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ze\Desktop\Cake\"/>
    </mc:Choice>
  </mc:AlternateContent>
  <xr:revisionPtr revIDLastSave="0" documentId="13_ncr:1_{5882A725-8749-4710-8A94-FC8CFF1BCEB5}" xr6:coauthVersionLast="45" xr6:coauthVersionMax="45" xr10:uidLastSave="{00000000-0000-0000-0000-000000000000}"/>
  <bookViews>
    <workbookView xWindow="-108" yWindow="-108" windowWidth="23256" windowHeight="12576" tabRatio="743" activeTab="1" xr2:uid="{EC60D7C5-D34F-4CC8-B630-28FC3F54ED3C}"/>
  </bookViews>
  <sheets>
    <sheet name="Sheet1" sheetId="1" r:id="rId1"/>
    <sheet name="Price Sheet" sheetId="10" r:id="rId2"/>
    <sheet name="Sheet3" sheetId="14" r:id="rId3"/>
    <sheet name="Chocolate Chip Sticks" sheetId="11" r:id="rId4"/>
    <sheet name="Brownies" sheetId="13" r:id="rId5"/>
    <sheet name="Blondies" sheetId="4" r:id="rId6"/>
    <sheet name="Deluxe PB Blondies" sheetId="8" r:id="rId7"/>
    <sheet name="Chocolate Cake" sheetId="2" r:id="rId8"/>
    <sheet name="Chocolate Glaze" sheetId="5" r:id="rId9"/>
    <sheet name="CC Cookies" sheetId="9" r:id="rId10"/>
    <sheet name="Lotus Blondies" sheetId="7" r:id="rId11"/>
    <sheet name="Ingredient Price Sheet" sheetId="3" r:id="rId12"/>
    <sheet name="Sheet2" sheetId="16" r:id="rId13"/>
    <sheet name="vodka amaretto cake" sheetId="15" r:id="rId1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5" l="1"/>
  <c r="K23" i="15"/>
  <c r="F14" i="15"/>
  <c r="F9" i="15"/>
  <c r="F10" i="15"/>
  <c r="F11" i="15"/>
  <c r="F12" i="15"/>
  <c r="F13" i="15"/>
  <c r="F4" i="15"/>
  <c r="F5" i="15"/>
  <c r="F6" i="15"/>
  <c r="F7" i="15"/>
  <c r="F3" i="15"/>
  <c r="E18" i="15"/>
  <c r="A13" i="13" l="1"/>
  <c r="A14" i="13"/>
  <c r="A15" i="13"/>
  <c r="A16" i="13"/>
  <c r="A17" i="13"/>
  <c r="A18" i="13"/>
  <c r="A19" i="13"/>
  <c r="A12" i="13"/>
  <c r="V33" i="10"/>
  <c r="V32" i="10"/>
  <c r="Q33" i="10"/>
  <c r="Q32" i="10"/>
  <c r="E12" i="10"/>
  <c r="D12" i="10"/>
  <c r="E4" i="8"/>
  <c r="E5" i="8"/>
  <c r="E6" i="8"/>
  <c r="E7" i="8"/>
  <c r="E8" i="8"/>
  <c r="E9" i="8"/>
  <c r="E10" i="8"/>
  <c r="E3" i="8"/>
  <c r="I63" i="10" l="1"/>
  <c r="L63" i="10"/>
  <c r="O63" i="10"/>
  <c r="I64" i="10"/>
  <c r="L64" i="10"/>
  <c r="O64" i="10"/>
  <c r="I65" i="10"/>
  <c r="L65" i="10"/>
  <c r="O65" i="10"/>
  <c r="I66" i="10"/>
  <c r="L66" i="10"/>
  <c r="O66" i="10"/>
  <c r="O69" i="10"/>
  <c r="O70" i="10"/>
  <c r="O71" i="10"/>
  <c r="O72" i="10"/>
  <c r="O47" i="10"/>
  <c r="O45" i="10"/>
  <c r="L45" i="10"/>
  <c r="L46" i="10"/>
  <c r="L47" i="10"/>
  <c r="O48" i="10"/>
  <c r="O46" i="10"/>
  <c r="O42" i="10"/>
  <c r="O41" i="10"/>
  <c r="O40" i="10"/>
  <c r="O39" i="10"/>
  <c r="L48" i="10"/>
  <c r="O60" i="10"/>
  <c r="O59" i="10"/>
  <c r="O58" i="10"/>
  <c r="O57" i="10"/>
  <c r="L40" i="10"/>
  <c r="L41" i="10"/>
  <c r="L42" i="10"/>
  <c r="L39" i="10"/>
  <c r="L52" i="10"/>
  <c r="L53" i="10"/>
  <c r="L54" i="10"/>
  <c r="L51" i="10"/>
  <c r="O53" i="10"/>
  <c r="I46" i="10"/>
  <c r="E23" i="10"/>
  <c r="E22" i="10"/>
  <c r="D57" i="10"/>
  <c r="E57" i="10"/>
  <c r="C57" i="10"/>
  <c r="O51" i="10"/>
  <c r="O54" i="10"/>
  <c r="O52" i="10"/>
  <c r="I54" i="10"/>
  <c r="I53" i="10"/>
  <c r="I52" i="10"/>
  <c r="I51" i="10"/>
  <c r="D53" i="10"/>
  <c r="K32" i="10"/>
  <c r="I48" i="10"/>
  <c r="I47" i="10"/>
  <c r="I42" i="10"/>
  <c r="I39" i="10"/>
  <c r="I41" i="10"/>
  <c r="I40" i="10"/>
  <c r="B40" i="10"/>
  <c r="C40" i="10"/>
  <c r="C42" i="10"/>
  <c r="C41" i="10"/>
  <c r="I45" i="10"/>
  <c r="M4" i="3"/>
  <c r="G15" i="15"/>
  <c r="G16" i="15"/>
  <c r="M15" i="3"/>
  <c r="M14" i="3"/>
  <c r="M11" i="3"/>
  <c r="G30" i="3"/>
  <c r="E30" i="3"/>
  <c r="M10" i="3"/>
  <c r="G15" i="3"/>
  <c r="G13" i="3"/>
  <c r="M8" i="3"/>
  <c r="M7" i="3"/>
  <c r="M6" i="3"/>
  <c r="M5" i="3"/>
  <c r="Q10" i="11" l="1"/>
  <c r="Q9" i="11"/>
  <c r="Q8" i="11"/>
  <c r="Q7" i="11"/>
  <c r="Q6" i="11"/>
  <c r="Q5" i="11"/>
  <c r="Q4" i="11"/>
  <c r="Q3" i="11"/>
  <c r="U1" i="11"/>
  <c r="L33" i="10"/>
  <c r="K33" i="10"/>
  <c r="L32" i="10"/>
  <c r="L31" i="10"/>
  <c r="K31" i="10"/>
  <c r="K15" i="10"/>
  <c r="J15" i="10"/>
  <c r="Q5" i="8" l="1"/>
  <c r="Q4" i="8"/>
  <c r="P5" i="8"/>
  <c r="P4" i="8"/>
  <c r="N5" i="8" l="1"/>
  <c r="K4" i="11"/>
  <c r="K3" i="11"/>
  <c r="K2" i="11"/>
  <c r="K1" i="11"/>
  <c r="R3" i="8"/>
  <c r="R2" i="8"/>
  <c r="R1" i="8"/>
  <c r="N22" i="8"/>
  <c r="N19" i="8"/>
  <c r="M19" i="8"/>
  <c r="O21" i="8"/>
  <c r="E20" i="3"/>
  <c r="G20" i="3" s="1"/>
  <c r="H1" i="8"/>
  <c r="J4" i="8"/>
  <c r="J5" i="8"/>
  <c r="J6" i="8"/>
  <c r="J7" i="8"/>
  <c r="J8" i="8"/>
  <c r="J9" i="8"/>
  <c r="J10" i="8"/>
  <c r="J3" i="8"/>
  <c r="E4" i="11"/>
  <c r="E5" i="11"/>
  <c r="E6" i="11"/>
  <c r="E7" i="11"/>
  <c r="E8" i="11"/>
  <c r="E9" i="11"/>
  <c r="E10" i="11"/>
  <c r="E11" i="11"/>
  <c r="E3" i="11"/>
  <c r="G12" i="3" l="1"/>
  <c r="O20" i="3"/>
  <c r="Q20" i="3" s="1"/>
  <c r="D20" i="7" l="1"/>
  <c r="E11" i="4" l="1"/>
  <c r="E5" i="4"/>
  <c r="G22" i="3" l="1"/>
  <c r="G21" i="3"/>
  <c r="E21" i="3"/>
  <c r="D1" i="7"/>
  <c r="E4" i="4"/>
  <c r="E6" i="4"/>
  <c r="E7" i="4"/>
  <c r="E8" i="4"/>
  <c r="E9" i="4"/>
  <c r="E10" i="4"/>
  <c r="E3" i="4"/>
  <c r="G10" i="3"/>
  <c r="E3" i="3"/>
  <c r="G3" i="3" s="1"/>
  <c r="E4" i="3"/>
  <c r="G4" i="3" s="1"/>
  <c r="E5" i="3"/>
  <c r="G5" i="3" s="1"/>
  <c r="E6" i="3"/>
  <c r="G6" i="3" s="1"/>
  <c r="E7" i="3"/>
  <c r="G7" i="3" s="1"/>
  <c r="E8" i="3"/>
  <c r="G8" i="3" s="1"/>
  <c r="E9" i="3"/>
  <c r="G9" i="3" s="1"/>
  <c r="E10" i="3"/>
  <c r="E11" i="3"/>
  <c r="G11" i="3" s="1"/>
  <c r="E12" i="3"/>
  <c r="E13" i="3"/>
  <c r="E14" i="3"/>
  <c r="E15" i="3"/>
  <c r="E16" i="3"/>
  <c r="E17" i="3"/>
  <c r="E18" i="3"/>
  <c r="G18" i="3" s="1"/>
  <c r="E19" i="3"/>
  <c r="E22" i="3"/>
  <c r="E23" i="3"/>
  <c r="E24" i="3"/>
  <c r="E25" i="3"/>
  <c r="E26" i="3"/>
  <c r="E27" i="3"/>
  <c r="E28" i="3"/>
  <c r="E29" i="3"/>
  <c r="E2" i="3"/>
  <c r="G2" i="3" s="1"/>
  <c r="G16" i="3" l="1"/>
</calcChain>
</file>

<file path=xl/sharedStrings.xml><?xml version="1.0" encoding="utf-8"?>
<sst xmlns="http://schemas.openxmlformats.org/spreadsheetml/2006/main" count="749" uniqueCount="299">
  <si>
    <t>Cake</t>
  </si>
  <si>
    <t>The Ultimate Chocolate Cake-Kosher Pallette</t>
  </si>
  <si>
    <t>Chocolate Cake</t>
  </si>
  <si>
    <t>Glaze</t>
  </si>
  <si>
    <t>Options</t>
  </si>
  <si>
    <t>Recipe</t>
  </si>
  <si>
    <t>Option Recipe</t>
  </si>
  <si>
    <t>Malka's Chocolate Glaze</t>
  </si>
  <si>
    <t>Blondies</t>
  </si>
  <si>
    <t>Chocolate Chip Sticks 9x13- Between Carpools</t>
  </si>
  <si>
    <t>Brownies</t>
  </si>
  <si>
    <t>Coffee Cake</t>
  </si>
  <si>
    <t>Vanilla Cake</t>
  </si>
  <si>
    <t>Vanilla Cake-Sara's Tried and Trues</t>
  </si>
  <si>
    <t>French Coffee Cake-Sara's Tried and Trues</t>
  </si>
  <si>
    <t>Can we find a coffee cake recipe that we can make without crumbs as a vanilla cake?</t>
  </si>
  <si>
    <t>Glaze, Frosting</t>
  </si>
  <si>
    <t>sugar</t>
  </si>
  <si>
    <t>flour</t>
  </si>
  <si>
    <t>cocoa</t>
  </si>
  <si>
    <t>baking soda</t>
  </si>
  <si>
    <t>baking powder</t>
  </si>
  <si>
    <t>salt</t>
  </si>
  <si>
    <t>soy milk</t>
  </si>
  <si>
    <t>oil</t>
  </si>
  <si>
    <t>vanilla</t>
  </si>
  <si>
    <t>eggs</t>
  </si>
  <si>
    <t>boiling water</t>
  </si>
  <si>
    <t>1 cup</t>
  </si>
  <si>
    <t>3/4 c</t>
  </si>
  <si>
    <t>c</t>
  </si>
  <si>
    <t>tsp</t>
  </si>
  <si>
    <t>tsp.</t>
  </si>
  <si>
    <t>whole</t>
  </si>
  <si>
    <t>Tbsp</t>
  </si>
  <si>
    <t>200 NIS</t>
  </si>
  <si>
    <t>Hechsher/ Mashgiach Fee</t>
  </si>
  <si>
    <t>Rich's Whip</t>
  </si>
  <si>
    <t>Coffee Rich</t>
  </si>
  <si>
    <t>Confectioner's Sugar</t>
  </si>
  <si>
    <t>Flour</t>
  </si>
  <si>
    <t>Sugar</t>
  </si>
  <si>
    <t>Cocoa</t>
  </si>
  <si>
    <t>Baking Soda</t>
  </si>
  <si>
    <t>Baking Powder</t>
  </si>
  <si>
    <t>Salt</t>
  </si>
  <si>
    <t>Soy Milk</t>
  </si>
  <si>
    <t>Oil</t>
  </si>
  <si>
    <t>Vanilla Extract</t>
  </si>
  <si>
    <t>Eggs</t>
  </si>
  <si>
    <t>Orange Juice</t>
  </si>
  <si>
    <t>Chocolate Chips</t>
  </si>
  <si>
    <t>Cinnamon</t>
  </si>
  <si>
    <t>Brown Sugar</t>
  </si>
  <si>
    <t>Margarine</t>
  </si>
  <si>
    <t>Honey</t>
  </si>
  <si>
    <t>Peanut Butter</t>
  </si>
  <si>
    <t xml:space="preserve">Vanilla Pudding </t>
  </si>
  <si>
    <t>Lotus Spread</t>
  </si>
  <si>
    <t>Baking Chocolate</t>
  </si>
  <si>
    <t>Ingrediant</t>
  </si>
  <si>
    <t>Osher Ad</t>
  </si>
  <si>
    <t>Vanilla Sugar</t>
  </si>
  <si>
    <t>Chopped Peanuts</t>
  </si>
  <si>
    <t>Chopped Walnuts</t>
  </si>
  <si>
    <t>Full Sized Pan</t>
  </si>
  <si>
    <t>Half Sized Pan</t>
  </si>
  <si>
    <t>k</t>
  </si>
  <si>
    <t>g</t>
  </si>
  <si>
    <t>l</t>
  </si>
  <si>
    <t>ml</t>
  </si>
  <si>
    <t>Price</t>
  </si>
  <si>
    <t>Qty</t>
  </si>
  <si>
    <t>Costs: 35NIS/4 Recipes</t>
  </si>
  <si>
    <t>8.75/recipe</t>
  </si>
  <si>
    <t>brown sugar</t>
  </si>
  <si>
    <t>vanilla extract</t>
  </si>
  <si>
    <t>chocolate chips</t>
  </si>
  <si>
    <t>L</t>
  </si>
  <si>
    <t>Vanilla</t>
  </si>
  <si>
    <t xml:space="preserve">Combine dry ingrediants </t>
  </si>
  <si>
    <t>add milk, oil, vanilla, and eggs in mixer for 2 min</t>
  </si>
  <si>
    <t>Bake at 350 for 25-50 min</t>
  </si>
  <si>
    <t>8-12 servings</t>
  </si>
  <si>
    <t>soy milk/creamer</t>
  </si>
  <si>
    <t>1/3c</t>
  </si>
  <si>
    <t>1c</t>
  </si>
  <si>
    <t>Conf sugar</t>
  </si>
  <si>
    <t>2 Tbs</t>
  </si>
  <si>
    <t>2 Tbsp</t>
  </si>
  <si>
    <t>Hot water</t>
  </si>
  <si>
    <t>1 tsp</t>
  </si>
  <si>
    <t>combine sugars with oil</t>
  </si>
  <si>
    <t>add baking soda and salt</t>
  </si>
  <si>
    <t>add eggs and vanilla</t>
  </si>
  <si>
    <t>add flour</t>
  </si>
  <si>
    <t>sprinkle with maldon sea salt flakes</t>
  </si>
  <si>
    <t>fill 9x13 pat down</t>
  </si>
  <si>
    <t>bake @ 350 for 25-30 min</t>
  </si>
  <si>
    <t>18 bars</t>
  </si>
  <si>
    <t>nis/cup</t>
  </si>
  <si>
    <t>nis</t>
  </si>
  <si>
    <t>3 tsp</t>
  </si>
  <si>
    <t>1 Tbsp</t>
  </si>
  <si>
    <t>16 Tbsp</t>
  </si>
  <si>
    <t>NIS</t>
  </si>
  <si>
    <t>48 tsp</t>
  </si>
  <si>
    <t>8.5/pan</t>
  </si>
  <si>
    <t>34NIS/4 Recipes</t>
  </si>
  <si>
    <t>x4</t>
  </si>
  <si>
    <t>Chocolate Chip Sticks-Kosher Pallete/BCP</t>
  </si>
  <si>
    <t>2/recipe</t>
  </si>
  <si>
    <t>8NIS/4 recipes</t>
  </si>
  <si>
    <t>Lotus Bars</t>
  </si>
  <si>
    <t>3 cups</t>
  </si>
  <si>
    <t>1 L</t>
  </si>
  <si>
    <t>egg</t>
  </si>
  <si>
    <t>1 jar</t>
  </si>
  <si>
    <t>Lotus crunchy spread</t>
  </si>
  <si>
    <t>Lotus biscuits crushed</t>
  </si>
  <si>
    <t>Lotus Blondies</t>
  </si>
  <si>
    <t>cookie butter</t>
  </si>
  <si>
    <t>mix wet ingrediants(may have to microwave lotus sread)</t>
  </si>
  <si>
    <t>bake @350 for 25-30 min</t>
  </si>
  <si>
    <t>PB Brownies</t>
  </si>
  <si>
    <t>Granola Bars</t>
  </si>
  <si>
    <t>Chocolate Chip Cookies</t>
  </si>
  <si>
    <t>Chocolate Chip PB cookies</t>
  </si>
  <si>
    <t>Crinkle Cookies</t>
  </si>
  <si>
    <t>plastic tablecloths</t>
  </si>
  <si>
    <t>kitchen scale</t>
  </si>
  <si>
    <t>ice cream scoop(small)</t>
  </si>
  <si>
    <t>ice creams coop(medium)</t>
  </si>
  <si>
    <t>cooling racks</t>
  </si>
  <si>
    <t>parve knife</t>
  </si>
  <si>
    <t>measuring cup(glass/plastic)</t>
  </si>
  <si>
    <t>To buy</t>
  </si>
  <si>
    <t>Tahini Chocolate Chip Sticks</t>
  </si>
  <si>
    <t>1 teaspoon vanilla extract</t>
  </si>
  <si>
    <t>1 cup creamy or chunky peanut butter</t>
  </si>
  <si>
    <t>6 tablespoons butter or margarine, softened</t>
  </si>
  <si>
    <t>1 1/4 cups granulated sugar</t>
  </si>
  <si>
    <t>3 large eggs</t>
  </si>
  <si>
    <t>1 cup all-purpose flour</t>
  </si>
  <si>
    <t>1/4 teaspoon salt</t>
  </si>
  <si>
    <t>1 3/4 cups (11.5-ounce package) NESTLÉ® TOLL HOUSE® Milk Chocolate Morsels, divided</t>
  </si>
  <si>
    <t>INSTRUCTIONS</t>
  </si>
  <si>
    <t>PREHEAT oven to 350º F.</t>
  </si>
  <si>
    <t>BEAT peanut butter and butter in large mixer bowl until smooth. Beat in sugar, eggs and vanilla extract. Beat in flour and salt. Stir in 3/4 cup morsels. Spread into ungreased 13 x 9-inch baking pan.</t>
  </si>
  <si>
    <t>BAKE for 25 to 30 minutes or until edges are lightly browned. Sprinkle with remaining morsels. Let stand for 5 minutes or until morsels are shiny; spread evenly. Cool completely in pan on wire rack. Cut into bars.</t>
  </si>
  <si>
    <t>Choclate Peanut Butter Buddy Bars</t>
  </si>
  <si>
    <t>Toll House</t>
  </si>
  <si>
    <t>bake 350 not sure how long in a pan but probably around 45 min to an hour. i do 9 min as a cookie</t>
  </si>
  <si>
    <t>Price Sheet</t>
  </si>
  <si>
    <t>Chocolate Chip Sticks</t>
  </si>
  <si>
    <t>Individual</t>
  </si>
  <si>
    <t>Full Size Pan</t>
  </si>
  <si>
    <t>Half Size Pan</t>
  </si>
  <si>
    <t>Chocolate Fudge Brownies</t>
  </si>
  <si>
    <t>Peanut Butter Brownies</t>
  </si>
  <si>
    <t>Chocolate Chip Blondies</t>
  </si>
  <si>
    <t>Chocolate Peanut Butter Blondies</t>
  </si>
  <si>
    <t>113g/stick</t>
  </si>
  <si>
    <t>cups</t>
  </si>
  <si>
    <t>teaspoon</t>
  </si>
  <si>
    <t>butter</t>
  </si>
  <si>
    <t>PREHEAT oven to 375° F. Grease 15 x 10-inch jelly-roll pan.</t>
  </si>
  <si>
    <t>COMBINE flour, baking soda and salt in small bowl. Beat butter, granulated sugar, brown sugar and vanilla extract in large mixer bowl. Add eggs, one at a time, beating well after each addition. Gradually beat in flour mixture. Stir in morsels and nuts. Spread into prepared pan.</t>
  </si>
  <si>
    <t>BAKE for 20 to 25 minutes or until golden brown. Cool in pan on wire rack. Cut into bars.</t>
  </si>
  <si>
    <t>Chocolate Chip Blondies-Toll House Bars</t>
  </si>
  <si>
    <t>19/pan</t>
  </si>
  <si>
    <t>76 NIS/4 Recipes</t>
  </si>
  <si>
    <t xml:space="preserve">c </t>
  </si>
  <si>
    <t>margarine</t>
  </si>
  <si>
    <t>Savta</t>
  </si>
  <si>
    <t>Confetti Sprinkle Blondies</t>
  </si>
  <si>
    <t>Medium</t>
  </si>
  <si>
    <t>Large</t>
  </si>
  <si>
    <t>Kiddush Platters</t>
  </si>
  <si>
    <t>11 ki11</t>
  </si>
  <si>
    <t>pb</t>
  </si>
  <si>
    <t>19.5NIS/pan</t>
  </si>
  <si>
    <t>x18</t>
  </si>
  <si>
    <t>3 bags</t>
  </si>
  <si>
    <t>2 pkgs</t>
  </si>
  <si>
    <t>2 bottles</t>
  </si>
  <si>
    <t>3+bags</t>
  </si>
  <si>
    <t>9 bags</t>
  </si>
  <si>
    <t>3 Tbsp</t>
  </si>
  <si>
    <t>1/4c+2Tbsp</t>
  </si>
  <si>
    <t>/6Tbsp</t>
  </si>
  <si>
    <t>4.6K</t>
  </si>
  <si>
    <t>4.5 sticks</t>
  </si>
  <si>
    <t>5.5 bags</t>
  </si>
  <si>
    <t>&lt;3 bags</t>
  </si>
  <si>
    <t>1 Tbsp+1.5tsp</t>
  </si>
  <si>
    <t>7 bags</t>
  </si>
  <si>
    <t>Deluxe Peanut Butter Blondies</t>
  </si>
  <si>
    <t>Loaf Pan</t>
  </si>
  <si>
    <t>Sm Pan</t>
  </si>
  <si>
    <t>Lg Pan</t>
  </si>
  <si>
    <t>1.25c</t>
  </si>
  <si>
    <t>2.5c</t>
  </si>
  <si>
    <t>Morning</t>
  </si>
  <si>
    <t>Afternoon</t>
  </si>
  <si>
    <t>Night</t>
  </si>
  <si>
    <t>Monday</t>
  </si>
  <si>
    <t>Tuesday</t>
  </si>
  <si>
    <t>Size Sheet</t>
  </si>
  <si>
    <t>S</t>
  </si>
  <si>
    <t>M</t>
  </si>
  <si>
    <t>XXL</t>
  </si>
  <si>
    <t>15-25</t>
  </si>
  <si>
    <t>30-40</t>
  </si>
  <si>
    <t>30-60 shek</t>
  </si>
  <si>
    <t>25/m pan</t>
  </si>
  <si>
    <t>40/xl pan</t>
  </si>
  <si>
    <t>30/l pan</t>
  </si>
  <si>
    <t>30/m pan</t>
  </si>
  <si>
    <t>35/l pan</t>
  </si>
  <si>
    <t>20-60 shek</t>
  </si>
  <si>
    <t>35/m pan</t>
  </si>
  <si>
    <t>25.5 NIS/3 Recipes</t>
  </si>
  <si>
    <t>profit</t>
  </si>
  <si>
    <t>x3</t>
  </si>
  <si>
    <t>old version:</t>
  </si>
  <si>
    <t>Batches</t>
  </si>
  <si>
    <t>Savta's Recipe</t>
  </si>
  <si>
    <t>50/xl pan</t>
  </si>
  <si>
    <t>45/xl pan</t>
  </si>
  <si>
    <t>Brookies</t>
  </si>
  <si>
    <t>Cinnamon Sugar Sticks</t>
  </si>
  <si>
    <t>Chocolate brownies</t>
  </si>
  <si>
    <t>40/l pan</t>
  </si>
  <si>
    <t>add dry ingredients and mix to combine</t>
  </si>
  <si>
    <t>xl</t>
  </si>
  <si>
    <t>Inventory</t>
  </si>
  <si>
    <t>need:</t>
  </si>
  <si>
    <t>mayonaise</t>
  </si>
  <si>
    <t>tomato sauce</t>
  </si>
  <si>
    <t>plastic forks</t>
  </si>
  <si>
    <t>onion powder</t>
  </si>
  <si>
    <t>pretzels</t>
  </si>
  <si>
    <t>onions</t>
  </si>
  <si>
    <t>ww bread</t>
  </si>
  <si>
    <t>Vodka Amaretto Cake</t>
  </si>
  <si>
    <t>Mom's Recipe</t>
  </si>
  <si>
    <t>baking pwder</t>
  </si>
  <si>
    <t>instant pudding mix</t>
  </si>
  <si>
    <t>orange juice</t>
  </si>
  <si>
    <t>amaretto</t>
  </si>
  <si>
    <t>confectioner's sugar</t>
  </si>
  <si>
    <t>OJ</t>
  </si>
  <si>
    <t>mL</t>
  </si>
  <si>
    <t>l and s brookie</t>
  </si>
  <si>
    <t>cake</t>
  </si>
  <si>
    <t>package</t>
  </si>
  <si>
    <t>drink</t>
  </si>
  <si>
    <t>packaging</t>
  </si>
  <si>
    <t>moscotto</t>
  </si>
  <si>
    <t>liquor</t>
  </si>
  <si>
    <t>small classic with iced coffee</t>
  </si>
  <si>
    <t>small specialty with iced coffee</t>
  </si>
  <si>
    <t>small specialty with bartenura'le</t>
  </si>
  <si>
    <t>delivery</t>
  </si>
  <si>
    <t>large specialty with bartenura'le</t>
  </si>
  <si>
    <t>Wednesday</t>
  </si>
  <si>
    <t>40 Vodka Cakes</t>
  </si>
  <si>
    <t>71 Brookies</t>
  </si>
  <si>
    <t>11 Hamentashen</t>
  </si>
  <si>
    <t>Thursday</t>
  </si>
  <si>
    <t>20 hamentashen</t>
  </si>
  <si>
    <t>65 chocolate chip sticks</t>
  </si>
  <si>
    <t>72 chocolate chip sticks</t>
  </si>
  <si>
    <t>2 m brookies</t>
  </si>
  <si>
    <t>4 loaf pans</t>
  </si>
  <si>
    <t>medium specialty with bartenura'le</t>
  </si>
  <si>
    <t>medium classic with iced coffee</t>
  </si>
  <si>
    <t>large classic with large iced coffee</t>
  </si>
  <si>
    <t>large specialty with bartenura</t>
  </si>
  <si>
    <t>medium specialty with iced coffee</t>
  </si>
  <si>
    <t>large specialty with large iced coffee</t>
  </si>
  <si>
    <t>Classic with Iced Coffee</t>
  </si>
  <si>
    <t>Small</t>
  </si>
  <si>
    <t>Specialty with Iced Coffee</t>
  </si>
  <si>
    <t>Specialty with Bartenura'le</t>
  </si>
  <si>
    <t>Classic with Bartenura'le</t>
  </si>
  <si>
    <t>small classic with bartenura'le</t>
  </si>
  <si>
    <t>medium classic with bartenura'le</t>
  </si>
  <si>
    <t>large classic with bartenura'le</t>
  </si>
  <si>
    <t>large classic with bartenura</t>
  </si>
  <si>
    <t>large bottle +$5</t>
  </si>
  <si>
    <t>1 sheet pan</t>
  </si>
  <si>
    <t>36 pieces</t>
  </si>
  <si>
    <t>all specialty</t>
  </si>
  <si>
    <t>box</t>
  </si>
  <si>
    <t>54 pieces</t>
  </si>
  <si>
    <t>1.5 sheet pans</t>
  </si>
  <si>
    <t>clear platter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</si>
</sst>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 [$₪-40D]\ * #,##0.00_ ;_ [$₪-40D]\ * \-#,##0.00_ ;_ [$₪-40D]\ * &quot;-&quot;??_ ;_ @_ 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11C24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.35"/>
      <color rgb="FF666666"/>
      <name val="Archer A"/>
    </font>
    <font>
      <b/>
      <sz val="11"/>
      <color rgb="FFFF9B2E"/>
      <name val="Archer A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tted">
        <color rgb="FF7F7F7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wrapText="1" indent="4"/>
    </xf>
    <xf numFmtId="0" fontId="0" fillId="0" borderId="0" xfId="0" applyAlignment="1">
      <alignment vertical="center" wrapText="1"/>
    </xf>
    <xf numFmtId="0" fontId="2" fillId="0" borderId="0" xfId="0" applyFont="1" applyAlignment="1"/>
    <xf numFmtId="0" fontId="3" fillId="0" borderId="0" xfId="0" applyFont="1" applyAlignment="1">
      <alignment horizontal="left" vertical="center" indent="4"/>
    </xf>
    <xf numFmtId="16" fontId="0" fillId="0" borderId="0" xfId="0" applyNumberFormat="1"/>
    <xf numFmtId="12" fontId="0" fillId="0" borderId="0" xfId="0" applyNumberFormat="1"/>
    <xf numFmtId="1" fontId="0" fillId="0" borderId="0" xfId="1" applyNumberFormat="1" applyFont="1"/>
    <xf numFmtId="16" fontId="0" fillId="0" borderId="0" xfId="0" applyNumberFormat="1" applyAlignment="1">
      <alignment horizontal="right"/>
    </xf>
    <xf numFmtId="0" fontId="4" fillId="0" borderId="0" xfId="0" applyFont="1"/>
    <xf numFmtId="0" fontId="5" fillId="0" borderId="0" xfId="0" applyFont="1"/>
    <xf numFmtId="0" fontId="0" fillId="0" borderId="0" xfId="0" applyFont="1"/>
    <xf numFmtId="0" fontId="0" fillId="0" borderId="0" xfId="0" applyNumberFormat="1"/>
    <xf numFmtId="0" fontId="7" fillId="0" borderId="0" xfId="0" applyFont="1" applyAlignment="1">
      <alignment horizontal="left" vertical="center" indent="1"/>
    </xf>
    <xf numFmtId="0" fontId="6" fillId="0" borderId="0" xfId="2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8" fillId="0" borderId="0" xfId="0" applyFont="1"/>
    <xf numFmtId="0" fontId="9" fillId="0" borderId="0" xfId="0" applyFont="1" applyAlignment="1">
      <alignment vertical="center"/>
    </xf>
    <xf numFmtId="0" fontId="0" fillId="0" borderId="0" xfId="0" applyAlignment="1"/>
    <xf numFmtId="0" fontId="5" fillId="0" borderId="0" xfId="0" applyFont="1" applyAlignment="1"/>
    <xf numFmtId="164" fontId="0" fillId="0" borderId="0" xfId="0" applyNumberFormat="1"/>
    <xf numFmtId="164" fontId="4" fillId="0" borderId="0" xfId="0" applyNumberFormat="1" applyFont="1"/>
    <xf numFmtId="0" fontId="0" fillId="0" borderId="0" xfId="0" applyAlignment="1">
      <alignment horizontal="right"/>
    </xf>
    <xf numFmtId="16" fontId="2" fillId="0" borderId="0" xfId="0" applyNumberFormat="1" applyFont="1"/>
    <xf numFmtId="6" fontId="0" fillId="0" borderId="0" xfId="0" applyNumberFormat="1"/>
    <xf numFmtId="6" fontId="2" fillId="0" borderId="0" xfId="0" applyNumberFormat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489D-0950-40EF-963E-1F295208C321}">
  <dimension ref="A1:O22"/>
  <sheetViews>
    <sheetView zoomScale="85" zoomScaleNormal="85" workbookViewId="0">
      <selection activeCell="A4" sqref="A4"/>
    </sheetView>
  </sheetViews>
  <sheetFormatPr defaultRowHeight="14.4"/>
  <cols>
    <col min="1" max="1" width="14.5546875" customWidth="1"/>
    <col min="2" max="2" width="41.109375" bestFit="1" customWidth="1"/>
    <col min="3" max="3" width="14.33203125" customWidth="1"/>
    <col min="4" max="4" width="22.21875" bestFit="1" customWidth="1"/>
    <col min="9" max="9" width="23.5546875" customWidth="1"/>
    <col min="15" max="15" width="26.21875" customWidth="1"/>
  </cols>
  <sheetData>
    <row r="1" spans="1:15" s="1" customFormat="1">
      <c r="A1" s="1" t="s">
        <v>0</v>
      </c>
      <c r="B1" s="1" t="s">
        <v>5</v>
      </c>
      <c r="C1" s="1" t="s">
        <v>4</v>
      </c>
      <c r="D1" s="1" t="s">
        <v>6</v>
      </c>
      <c r="O1" s="1" t="s">
        <v>136</v>
      </c>
    </row>
    <row r="2" spans="1:15">
      <c r="A2" t="s">
        <v>2</v>
      </c>
      <c r="B2" t="s">
        <v>1</v>
      </c>
      <c r="C2" t="s">
        <v>3</v>
      </c>
      <c r="D2" t="s">
        <v>7</v>
      </c>
      <c r="O2" t="s">
        <v>129</v>
      </c>
    </row>
    <row r="3" spans="1:15">
      <c r="A3" t="s">
        <v>8</v>
      </c>
      <c r="B3" t="s">
        <v>9</v>
      </c>
      <c r="H3" t="s">
        <v>35</v>
      </c>
      <c r="I3" t="s">
        <v>36</v>
      </c>
      <c r="O3" t="s">
        <v>130</v>
      </c>
    </row>
    <row r="4" spans="1:15">
      <c r="A4" t="s">
        <v>10</v>
      </c>
      <c r="B4" t="s">
        <v>227</v>
      </c>
      <c r="O4" t="s">
        <v>131</v>
      </c>
    </row>
    <row r="5" spans="1:15">
      <c r="A5" t="s">
        <v>11</v>
      </c>
      <c r="B5" t="s">
        <v>14</v>
      </c>
      <c r="O5" t="s">
        <v>132</v>
      </c>
    </row>
    <row r="6" spans="1:15">
      <c r="A6" t="s">
        <v>12</v>
      </c>
      <c r="B6" t="s">
        <v>13</v>
      </c>
      <c r="C6" t="s">
        <v>16</v>
      </c>
      <c r="O6" t="s">
        <v>133</v>
      </c>
    </row>
    <row r="7" spans="1:15">
      <c r="O7" t="s">
        <v>134</v>
      </c>
    </row>
    <row r="8" spans="1:15">
      <c r="O8" t="s">
        <v>135</v>
      </c>
    </row>
    <row r="10" spans="1:15">
      <c r="C10" t="s">
        <v>15</v>
      </c>
    </row>
    <row r="12" spans="1:15">
      <c r="A12" t="s">
        <v>10</v>
      </c>
    </row>
    <row r="13" spans="1:15">
      <c r="A13" t="s">
        <v>124</v>
      </c>
    </row>
    <row r="14" spans="1:15">
      <c r="A14" t="s">
        <v>8</v>
      </c>
    </row>
    <row r="17" spans="1:1">
      <c r="A17" t="s">
        <v>126</v>
      </c>
    </row>
    <row r="18" spans="1:1">
      <c r="A18" t="s">
        <v>127</v>
      </c>
    </row>
    <row r="19" spans="1:1">
      <c r="A19" t="s">
        <v>128</v>
      </c>
    </row>
    <row r="21" spans="1:1">
      <c r="A21" t="s">
        <v>125</v>
      </c>
    </row>
    <row r="22" spans="1:1">
      <c r="A22" t="s">
        <v>137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F88F6-02A3-4381-90B2-32D3CA993995}">
  <dimension ref="A1:D11"/>
  <sheetViews>
    <sheetView workbookViewId="0">
      <selection activeCell="D3" sqref="D3"/>
    </sheetView>
  </sheetViews>
  <sheetFormatPr defaultRowHeight="14.4"/>
  <cols>
    <col min="1" max="1" width="9.109375" customWidth="1"/>
    <col min="2" max="2" width="4.77734375" customWidth="1"/>
    <col min="3" max="3" width="11" bestFit="1" customWidth="1"/>
  </cols>
  <sheetData>
    <row r="1" spans="1:4" s="1" customFormat="1" ht="13.8" customHeight="1">
      <c r="A1" s="1" t="s">
        <v>126</v>
      </c>
      <c r="D1" s="1" t="s">
        <v>151</v>
      </c>
    </row>
    <row r="3" spans="1:4">
      <c r="A3">
        <v>1</v>
      </c>
      <c r="B3" t="s">
        <v>172</v>
      </c>
      <c r="C3" t="s">
        <v>173</v>
      </c>
    </row>
    <row r="4" spans="1:4">
      <c r="A4">
        <v>0.75</v>
      </c>
      <c r="B4" t="s">
        <v>172</v>
      </c>
      <c r="C4" t="s">
        <v>17</v>
      </c>
    </row>
    <row r="5" spans="1:4">
      <c r="A5">
        <v>0.75</v>
      </c>
      <c r="B5" t="s">
        <v>172</v>
      </c>
      <c r="C5" t="s">
        <v>75</v>
      </c>
    </row>
    <row r="6" spans="1:4">
      <c r="A6">
        <v>2</v>
      </c>
      <c r="B6" t="s">
        <v>69</v>
      </c>
      <c r="C6" t="s">
        <v>26</v>
      </c>
    </row>
    <row r="7" spans="1:4">
      <c r="A7">
        <v>1</v>
      </c>
      <c r="B7" t="s">
        <v>31</v>
      </c>
      <c r="C7" t="s">
        <v>25</v>
      </c>
    </row>
    <row r="8" spans="1:4">
      <c r="A8" s="7">
        <v>2.25</v>
      </c>
      <c r="B8" t="s">
        <v>172</v>
      </c>
      <c r="C8" t="s">
        <v>18</v>
      </c>
    </row>
    <row r="9" spans="1:4">
      <c r="A9">
        <v>1</v>
      </c>
      <c r="B9" t="s">
        <v>31</v>
      </c>
      <c r="C9" t="s">
        <v>20</v>
      </c>
    </row>
    <row r="11" spans="1:4" ht="15.6">
      <c r="A11" s="18" t="s">
        <v>152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8B465-74AD-4DF2-B1DE-19D999C0F526}">
  <dimension ref="A1:H20"/>
  <sheetViews>
    <sheetView workbookViewId="0">
      <selection activeCell="A17" sqref="A17"/>
    </sheetView>
  </sheetViews>
  <sheetFormatPr defaultRowHeight="14.4"/>
  <cols>
    <col min="3" max="3" width="12.88671875" bestFit="1" customWidth="1"/>
  </cols>
  <sheetData>
    <row r="1" spans="1:8">
      <c r="A1" s="1" t="s">
        <v>120</v>
      </c>
      <c r="D1" s="1">
        <f>SUM(D3:D9)</f>
        <v>25.277997388888892</v>
      </c>
      <c r="G1" s="1" t="s">
        <v>113</v>
      </c>
    </row>
    <row r="2" spans="1:8">
      <c r="G2" t="s">
        <v>114</v>
      </c>
      <c r="H2" t="s">
        <v>18</v>
      </c>
    </row>
    <row r="3" spans="1:8">
      <c r="A3">
        <v>0.5</v>
      </c>
      <c r="B3" t="s">
        <v>30</v>
      </c>
      <c r="C3" t="s">
        <v>24</v>
      </c>
      <c r="D3">
        <v>0.82799999999999996</v>
      </c>
      <c r="G3" t="s">
        <v>28</v>
      </c>
      <c r="H3" t="s">
        <v>17</v>
      </c>
    </row>
    <row r="4" spans="1:8">
      <c r="A4">
        <v>2</v>
      </c>
      <c r="B4" t="s">
        <v>78</v>
      </c>
      <c r="C4" t="s">
        <v>26</v>
      </c>
      <c r="D4">
        <v>1.8966666666666667</v>
      </c>
      <c r="G4" t="s">
        <v>28</v>
      </c>
      <c r="H4" t="s">
        <v>24</v>
      </c>
    </row>
    <row r="5" spans="1:8">
      <c r="A5">
        <v>2</v>
      </c>
      <c r="B5" t="s">
        <v>31</v>
      </c>
      <c r="C5" t="s">
        <v>25</v>
      </c>
      <c r="D5">
        <v>0.35094183333333334</v>
      </c>
      <c r="G5" t="s">
        <v>115</v>
      </c>
      <c r="H5" t="s">
        <v>116</v>
      </c>
    </row>
    <row r="6" spans="1:8">
      <c r="A6">
        <v>1</v>
      </c>
      <c r="B6" t="s">
        <v>30</v>
      </c>
      <c r="C6" t="s">
        <v>121</v>
      </c>
      <c r="D6">
        <v>12.8</v>
      </c>
      <c r="G6" t="s">
        <v>91</v>
      </c>
      <c r="H6" t="s">
        <v>76</v>
      </c>
    </row>
    <row r="7" spans="1:8">
      <c r="A7">
        <v>1.5</v>
      </c>
      <c r="B7" t="s">
        <v>30</v>
      </c>
      <c r="C7" t="s">
        <v>75</v>
      </c>
      <c r="D7">
        <v>2.8035000000000001</v>
      </c>
      <c r="G7" t="s">
        <v>117</v>
      </c>
      <c r="H7" t="s">
        <v>118</v>
      </c>
    </row>
    <row r="8" spans="1:8">
      <c r="A8" s="7">
        <v>1.3333333333333333</v>
      </c>
      <c r="B8" t="s">
        <v>30</v>
      </c>
      <c r="C8" t="s">
        <v>18</v>
      </c>
      <c r="D8">
        <v>6.5333333333333332</v>
      </c>
      <c r="G8">
        <v>10</v>
      </c>
      <c r="H8" t="s">
        <v>119</v>
      </c>
    </row>
    <row r="9" spans="1:8">
      <c r="A9">
        <v>1</v>
      </c>
      <c r="B9" t="s">
        <v>31</v>
      </c>
      <c r="C9" t="s">
        <v>21</v>
      </c>
      <c r="D9">
        <v>6.5555555555555561E-2</v>
      </c>
    </row>
    <row r="12" spans="1:8">
      <c r="A12" t="s">
        <v>122</v>
      </c>
    </row>
    <row r="13" spans="1:8">
      <c r="A13" t="s">
        <v>234</v>
      </c>
    </row>
    <row r="14" spans="1:8">
      <c r="A14" t="s">
        <v>123</v>
      </c>
    </row>
    <row r="20" spans="4:4">
      <c r="D20">
        <f>J19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1CE9A-B37C-46FE-9B85-26979E21A09D}">
  <dimension ref="A1:Q30"/>
  <sheetViews>
    <sheetView zoomScaleNormal="100" workbookViewId="0">
      <selection activeCell="M4" sqref="M4:M15"/>
    </sheetView>
  </sheetViews>
  <sheetFormatPr defaultRowHeight="14.4"/>
  <cols>
    <col min="1" max="1" width="18" bestFit="1" customWidth="1"/>
    <col min="8" max="8" width="12.88671875" bestFit="1" customWidth="1"/>
    <col min="9" max="9" width="5.21875" bestFit="1" customWidth="1"/>
    <col min="10" max="10" width="8.88671875" customWidth="1"/>
    <col min="11" max="11" width="13.77734375" bestFit="1" customWidth="1"/>
    <col min="12" max="12" width="17.6640625" bestFit="1" customWidth="1"/>
  </cols>
  <sheetData>
    <row r="1" spans="1:17">
      <c r="A1" s="1" t="s">
        <v>60</v>
      </c>
      <c r="B1" s="1" t="s">
        <v>61</v>
      </c>
      <c r="E1" t="s">
        <v>101</v>
      </c>
      <c r="G1" t="s">
        <v>100</v>
      </c>
    </row>
    <row r="2" spans="1:17">
      <c r="A2" t="s">
        <v>37</v>
      </c>
      <c r="B2">
        <v>18</v>
      </c>
      <c r="C2">
        <v>600</v>
      </c>
      <c r="E2">
        <f t="shared" ref="E2:E19" si="0">B2/C2</f>
        <v>0.03</v>
      </c>
      <c r="F2" t="s">
        <v>70</v>
      </c>
      <c r="G2">
        <f>236.59*E2</f>
        <v>7.0976999999999997</v>
      </c>
      <c r="M2" t="s">
        <v>70</v>
      </c>
      <c r="N2">
        <v>236.59</v>
      </c>
    </row>
    <row r="3" spans="1:17">
      <c r="A3" t="s">
        <v>38</v>
      </c>
      <c r="B3">
        <v>9.9</v>
      </c>
      <c r="C3">
        <v>426</v>
      </c>
      <c r="E3">
        <f t="shared" si="0"/>
        <v>2.323943661971831E-2</v>
      </c>
      <c r="F3" t="s">
        <v>70</v>
      </c>
      <c r="G3">
        <f>N2*E3</f>
        <v>5.4982183098591548</v>
      </c>
      <c r="M3" t="s">
        <v>68</v>
      </c>
    </row>
    <row r="4" spans="1:17">
      <c r="A4" t="s">
        <v>39</v>
      </c>
      <c r="B4">
        <v>6.9</v>
      </c>
      <c r="C4">
        <v>500</v>
      </c>
      <c r="E4">
        <f t="shared" si="0"/>
        <v>1.3800000000000002E-2</v>
      </c>
      <c r="F4" t="s">
        <v>68</v>
      </c>
      <c r="G4">
        <f>E4/0.0088</f>
        <v>1.5681818181818183</v>
      </c>
      <c r="J4">
        <v>2</v>
      </c>
      <c r="K4" t="s">
        <v>30</v>
      </c>
      <c r="L4" t="s">
        <v>18</v>
      </c>
      <c r="M4">
        <f>J4*G5</f>
        <v>1.1764705882352942</v>
      </c>
      <c r="P4" t="s">
        <v>102</v>
      </c>
      <c r="Q4" t="s">
        <v>103</v>
      </c>
    </row>
    <row r="5" spans="1:17">
      <c r="A5" t="s">
        <v>40</v>
      </c>
      <c r="B5">
        <v>4.9000000000000004</v>
      </c>
      <c r="C5">
        <v>1</v>
      </c>
      <c r="E5">
        <f t="shared" si="0"/>
        <v>4.9000000000000004</v>
      </c>
      <c r="F5" t="s">
        <v>67</v>
      </c>
      <c r="G5">
        <f>E5/8.33</f>
        <v>0.58823529411764708</v>
      </c>
      <c r="H5" s="13"/>
      <c r="J5" s="7">
        <v>1.6666666666666665</v>
      </c>
      <c r="K5" t="s">
        <v>30</v>
      </c>
      <c r="L5" t="s">
        <v>17</v>
      </c>
      <c r="M5" s="7">
        <f>J5*G6</f>
        <v>0.95709570957095691</v>
      </c>
      <c r="P5" t="s">
        <v>104</v>
      </c>
      <c r="Q5" t="s">
        <v>28</v>
      </c>
    </row>
    <row r="6" spans="1:17">
      <c r="A6" t="s">
        <v>41</v>
      </c>
      <c r="B6">
        <v>2.9</v>
      </c>
      <c r="C6">
        <v>1</v>
      </c>
      <c r="E6">
        <f t="shared" si="0"/>
        <v>2.9</v>
      </c>
      <c r="F6" t="s">
        <v>67</v>
      </c>
      <c r="G6">
        <f>E6/5.05</f>
        <v>0.57425742574257421</v>
      </c>
      <c r="I6" s="7"/>
      <c r="J6">
        <v>2</v>
      </c>
      <c r="K6" t="s">
        <v>31</v>
      </c>
      <c r="L6" t="s">
        <v>247</v>
      </c>
      <c r="M6">
        <f>J6*G9</f>
        <v>0.13111111111111112</v>
      </c>
      <c r="P6" t="s">
        <v>106</v>
      </c>
      <c r="Q6" t="s">
        <v>28</v>
      </c>
    </row>
    <row r="7" spans="1:17">
      <c r="A7" t="s">
        <v>42</v>
      </c>
      <c r="B7">
        <v>14.9</v>
      </c>
      <c r="C7">
        <v>800</v>
      </c>
      <c r="E7">
        <f t="shared" si="0"/>
        <v>1.8624999999999999E-2</v>
      </c>
      <c r="F7" t="s">
        <v>68</v>
      </c>
      <c r="G7">
        <f>E7*85</f>
        <v>1.5831249999999999</v>
      </c>
      <c r="J7" s="7">
        <v>1.5</v>
      </c>
      <c r="K7" t="s">
        <v>30</v>
      </c>
      <c r="L7" t="s">
        <v>24</v>
      </c>
      <c r="M7" s="7">
        <f>J7*G12</f>
        <v>2.484</v>
      </c>
    </row>
    <row r="8" spans="1:17">
      <c r="A8" t="s">
        <v>43</v>
      </c>
      <c r="B8">
        <v>4.9000000000000004</v>
      </c>
      <c r="C8">
        <v>150</v>
      </c>
      <c r="E8">
        <f t="shared" si="0"/>
        <v>3.266666666666667E-2</v>
      </c>
      <c r="F8" t="s">
        <v>68</v>
      </c>
      <c r="G8">
        <f>E8*18/3</f>
        <v>0.19600000000000004</v>
      </c>
      <c r="H8" t="s">
        <v>31</v>
      </c>
      <c r="J8">
        <v>4</v>
      </c>
      <c r="L8" t="s">
        <v>26</v>
      </c>
      <c r="M8">
        <f>J8*E29</f>
        <v>3.7933333333333334</v>
      </c>
    </row>
    <row r="9" spans="1:17">
      <c r="A9" t="s">
        <v>44</v>
      </c>
      <c r="B9">
        <v>5.9</v>
      </c>
      <c r="C9">
        <v>360</v>
      </c>
      <c r="E9">
        <f t="shared" si="0"/>
        <v>1.638888888888889E-2</v>
      </c>
      <c r="F9" t="s">
        <v>68</v>
      </c>
      <c r="G9">
        <f>E9*12/3</f>
        <v>6.5555555555555561E-2</v>
      </c>
      <c r="H9" t="s">
        <v>31</v>
      </c>
      <c r="L9" t="s">
        <v>248</v>
      </c>
    </row>
    <row r="10" spans="1:17">
      <c r="A10" t="s">
        <v>45</v>
      </c>
      <c r="B10">
        <v>1.5</v>
      </c>
      <c r="C10">
        <v>1000</v>
      </c>
      <c r="E10">
        <f t="shared" si="0"/>
        <v>1.5E-3</v>
      </c>
      <c r="F10" t="s">
        <v>68</v>
      </c>
      <c r="G10">
        <f>5.69*E10</f>
        <v>8.5350000000000009E-3</v>
      </c>
      <c r="H10" t="s">
        <v>31</v>
      </c>
      <c r="I10" s="7"/>
      <c r="J10" s="7">
        <v>0.75</v>
      </c>
      <c r="K10" t="s">
        <v>30</v>
      </c>
      <c r="L10" t="s">
        <v>249</v>
      </c>
      <c r="M10" s="7">
        <f>J10*G15</f>
        <v>1.9414893617021274</v>
      </c>
    </row>
    <row r="11" spans="1:17">
      <c r="A11" t="s">
        <v>46</v>
      </c>
      <c r="B11">
        <v>8</v>
      </c>
      <c r="C11">
        <v>1</v>
      </c>
      <c r="E11">
        <f t="shared" si="0"/>
        <v>8</v>
      </c>
      <c r="F11" t="s">
        <v>78</v>
      </c>
      <c r="G11">
        <f>E11/4.23</f>
        <v>1.8912529550827422</v>
      </c>
      <c r="I11" s="7"/>
      <c r="J11" s="7">
        <v>0.5</v>
      </c>
      <c r="K11" t="s">
        <v>30</v>
      </c>
      <c r="L11" t="s">
        <v>250</v>
      </c>
      <c r="M11">
        <f>8*G30</f>
        <v>7.0588235294117636</v>
      </c>
    </row>
    <row r="12" spans="1:17">
      <c r="A12" t="s">
        <v>47</v>
      </c>
      <c r="B12">
        <v>6.9</v>
      </c>
      <c r="C12">
        <v>1</v>
      </c>
      <c r="E12">
        <f t="shared" si="0"/>
        <v>6.9</v>
      </c>
      <c r="F12" t="s">
        <v>78</v>
      </c>
      <c r="G12">
        <f>0.24*E12</f>
        <v>1.6559999999999999</v>
      </c>
    </row>
    <row r="13" spans="1:17">
      <c r="A13" t="s">
        <v>48</v>
      </c>
      <c r="B13">
        <v>8.9</v>
      </c>
      <c r="C13">
        <v>250</v>
      </c>
      <c r="E13">
        <f t="shared" si="0"/>
        <v>3.56E-2</v>
      </c>
      <c r="F13" t="s">
        <v>70</v>
      </c>
      <c r="G13">
        <f>N2*E13/48</f>
        <v>0.17547091666666667</v>
      </c>
      <c r="H13" t="s">
        <v>31</v>
      </c>
      <c r="J13">
        <v>1</v>
      </c>
      <c r="K13" t="s">
        <v>30</v>
      </c>
      <c r="L13" t="s">
        <v>251</v>
      </c>
    </row>
    <row r="14" spans="1:17">
      <c r="A14" t="s">
        <v>62</v>
      </c>
      <c r="B14">
        <v>5.9</v>
      </c>
      <c r="C14">
        <v>360</v>
      </c>
      <c r="E14">
        <f t="shared" si="0"/>
        <v>1.638888888888889E-2</v>
      </c>
      <c r="F14" t="s">
        <v>68</v>
      </c>
      <c r="J14">
        <v>1</v>
      </c>
      <c r="K14" t="s">
        <v>34</v>
      </c>
      <c r="L14" t="s">
        <v>252</v>
      </c>
      <c r="M14">
        <f>G15/16</f>
        <v>0.16179078014184395</v>
      </c>
    </row>
    <row r="15" spans="1:17">
      <c r="A15" t="s">
        <v>50</v>
      </c>
      <c r="B15">
        <v>21.9</v>
      </c>
      <c r="C15">
        <v>2</v>
      </c>
      <c r="E15">
        <f t="shared" si="0"/>
        <v>10.95</v>
      </c>
      <c r="F15" t="s">
        <v>78</v>
      </c>
      <c r="G15">
        <f>E15/4.23</f>
        <v>2.5886524822695032</v>
      </c>
      <c r="J15">
        <v>2</v>
      </c>
      <c r="K15" t="s">
        <v>34</v>
      </c>
      <c r="L15" t="s">
        <v>250</v>
      </c>
      <c r="M15">
        <f>J15*G30</f>
        <v>1.7647058823529409</v>
      </c>
    </row>
    <row r="16" spans="1:17">
      <c r="A16" t="s">
        <v>51</v>
      </c>
      <c r="B16">
        <v>19.899999999999999</v>
      </c>
      <c r="C16">
        <v>750</v>
      </c>
      <c r="E16">
        <f t="shared" si="0"/>
        <v>2.6533333333333332E-2</v>
      </c>
      <c r="F16" t="s">
        <v>68</v>
      </c>
      <c r="G16">
        <f>E16*170</f>
        <v>4.5106666666666664</v>
      </c>
    </row>
    <row r="17" spans="1:17">
      <c r="A17" t="s">
        <v>52</v>
      </c>
      <c r="B17">
        <v>4.9000000000000004</v>
      </c>
      <c r="C17">
        <v>80</v>
      </c>
      <c r="E17">
        <f t="shared" si="0"/>
        <v>6.1250000000000006E-2</v>
      </c>
      <c r="F17" t="s">
        <v>68</v>
      </c>
    </row>
    <row r="18" spans="1:17">
      <c r="A18" t="s">
        <v>53</v>
      </c>
      <c r="B18">
        <v>8.9</v>
      </c>
      <c r="C18">
        <v>1</v>
      </c>
      <c r="E18">
        <f t="shared" si="0"/>
        <v>8.9</v>
      </c>
      <c r="F18" t="s">
        <v>67</v>
      </c>
      <c r="G18">
        <f>0.21*E18</f>
        <v>1.869</v>
      </c>
    </row>
    <row r="19" spans="1:17">
      <c r="A19" t="s">
        <v>54</v>
      </c>
      <c r="B19">
        <v>4.5</v>
      </c>
      <c r="C19">
        <v>200</v>
      </c>
      <c r="E19">
        <f t="shared" si="0"/>
        <v>2.2499999999999999E-2</v>
      </c>
      <c r="F19" t="s">
        <v>68</v>
      </c>
    </row>
    <row r="20" spans="1:17">
      <c r="A20" t="s">
        <v>56</v>
      </c>
      <c r="B20">
        <v>19.899999999999999</v>
      </c>
      <c r="C20">
        <v>1</v>
      </c>
      <c r="E20">
        <f>B20/C20</f>
        <v>19.899999999999999</v>
      </c>
      <c r="F20" t="s">
        <v>67</v>
      </c>
      <c r="G20">
        <f>E20/3.88</f>
        <v>5.1288659793814428</v>
      </c>
      <c r="I20" t="s">
        <v>179</v>
      </c>
      <c r="K20" t="s">
        <v>56</v>
      </c>
      <c r="L20">
        <v>29.9</v>
      </c>
      <c r="M20">
        <v>1.36</v>
      </c>
      <c r="O20">
        <f>L20/M20</f>
        <v>21.985294117647054</v>
      </c>
      <c r="P20" t="s">
        <v>67</v>
      </c>
      <c r="Q20">
        <f>O20/3.88</f>
        <v>5.6663129169193445</v>
      </c>
    </row>
    <row r="21" spans="1:17">
      <c r="A21" t="s">
        <v>55</v>
      </c>
      <c r="B21">
        <v>54.9</v>
      </c>
      <c r="C21">
        <v>1.5</v>
      </c>
      <c r="E21">
        <f>B21/C21/1000</f>
        <v>3.6600000000000001E-2</v>
      </c>
      <c r="F21" t="s">
        <v>68</v>
      </c>
      <c r="G21">
        <f>340*E21</f>
        <v>12.444000000000001</v>
      </c>
    </row>
    <row r="22" spans="1:17">
      <c r="A22" t="s">
        <v>58</v>
      </c>
      <c r="B22">
        <v>18.899999999999999</v>
      </c>
      <c r="C22">
        <v>400</v>
      </c>
      <c r="E22">
        <f t="shared" ref="E22:E30" si="1">B22/C22</f>
        <v>4.7249999999999993E-2</v>
      </c>
      <c r="F22" t="s">
        <v>68</v>
      </c>
      <c r="G22">
        <f>270*E22</f>
        <v>12.757499999999999</v>
      </c>
    </row>
    <row r="23" spans="1:17">
      <c r="A23" t="s">
        <v>57</v>
      </c>
      <c r="B23">
        <v>2.9</v>
      </c>
      <c r="C23">
        <v>85</v>
      </c>
      <c r="E23">
        <f t="shared" si="1"/>
        <v>3.411764705882353E-2</v>
      </c>
      <c r="F23" t="s">
        <v>68</v>
      </c>
    </row>
    <row r="24" spans="1:17">
      <c r="A24" t="s">
        <v>59</v>
      </c>
      <c r="B24">
        <v>16.899999999999999</v>
      </c>
      <c r="C24">
        <v>900</v>
      </c>
      <c r="E24">
        <f t="shared" si="1"/>
        <v>1.8777777777777775E-2</v>
      </c>
      <c r="F24" t="s">
        <v>68</v>
      </c>
    </row>
    <row r="25" spans="1:17">
      <c r="A25" t="s">
        <v>63</v>
      </c>
      <c r="B25">
        <v>12.9</v>
      </c>
      <c r="C25">
        <v>300</v>
      </c>
      <c r="E25">
        <f t="shared" si="1"/>
        <v>4.3000000000000003E-2</v>
      </c>
      <c r="F25" t="s">
        <v>68</v>
      </c>
    </row>
    <row r="26" spans="1:17">
      <c r="A26" t="s">
        <v>64</v>
      </c>
      <c r="B26">
        <v>18.899999999999999</v>
      </c>
      <c r="C26">
        <v>300</v>
      </c>
      <c r="E26">
        <f t="shared" si="1"/>
        <v>6.3E-2</v>
      </c>
      <c r="F26" t="s">
        <v>68</v>
      </c>
    </row>
    <row r="27" spans="1:17">
      <c r="A27" t="s">
        <v>65</v>
      </c>
      <c r="B27">
        <v>14.9</v>
      </c>
      <c r="C27">
        <v>28</v>
      </c>
      <c r="E27">
        <f t="shared" si="1"/>
        <v>0.53214285714285714</v>
      </c>
    </row>
    <row r="28" spans="1:17">
      <c r="A28" t="s">
        <v>66</v>
      </c>
      <c r="B28">
        <v>14.9</v>
      </c>
      <c r="C28">
        <v>15</v>
      </c>
      <c r="E28">
        <f t="shared" si="1"/>
        <v>0.9933333333333334</v>
      </c>
    </row>
    <row r="29" spans="1:17">
      <c r="A29" t="s">
        <v>49</v>
      </c>
      <c r="B29">
        <v>56.9</v>
      </c>
      <c r="C29">
        <v>60</v>
      </c>
      <c r="E29">
        <f t="shared" si="1"/>
        <v>0.94833333333333336</v>
      </c>
      <c r="F29" t="s">
        <v>78</v>
      </c>
    </row>
    <row r="30" spans="1:17">
      <c r="A30" t="s">
        <v>250</v>
      </c>
      <c r="B30">
        <v>45</v>
      </c>
      <c r="C30">
        <v>750</v>
      </c>
      <c r="D30" t="s">
        <v>253</v>
      </c>
      <c r="E30">
        <f t="shared" si="1"/>
        <v>0.06</v>
      </c>
      <c r="F30" t="s">
        <v>70</v>
      </c>
      <c r="G30">
        <f>E30/0.068</f>
        <v>0.88235294117647045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05F41-2505-4081-BE3A-D9242563C8C3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D544D-9049-43C4-AD41-35F74C84950F}">
  <dimension ref="A1:K23"/>
  <sheetViews>
    <sheetView zoomScale="70" zoomScaleNormal="70" workbookViewId="0">
      <selection activeCell="S42" sqref="S42"/>
    </sheetView>
  </sheetViews>
  <sheetFormatPr defaultRowHeight="14.4"/>
  <cols>
    <col min="1" max="1" width="10.109375" bestFit="1" customWidth="1"/>
    <col min="6" max="6" width="8.88671875" style="7"/>
  </cols>
  <sheetData>
    <row r="1" spans="1:8">
      <c r="A1" t="s">
        <v>245</v>
      </c>
      <c r="B1" t="s">
        <v>246</v>
      </c>
    </row>
    <row r="3" spans="1:8">
      <c r="A3">
        <v>2</v>
      </c>
      <c r="B3" t="s">
        <v>30</v>
      </c>
      <c r="C3" t="s">
        <v>18</v>
      </c>
      <c r="E3">
        <v>9.8000000000000007</v>
      </c>
      <c r="F3" s="7">
        <f>2.5*A3</f>
        <v>5</v>
      </c>
      <c r="G3" t="s">
        <v>30</v>
      </c>
      <c r="H3" t="s">
        <v>18</v>
      </c>
    </row>
    <row r="4" spans="1:8">
      <c r="A4" s="7">
        <v>1.5</v>
      </c>
      <c r="B4" t="s">
        <v>30</v>
      </c>
      <c r="C4" t="s">
        <v>17</v>
      </c>
      <c r="E4">
        <v>0.95709570957095691</v>
      </c>
      <c r="F4" s="7">
        <f t="shared" ref="F4:F13" si="0">2.5*A4</f>
        <v>3.75</v>
      </c>
      <c r="G4" t="s">
        <v>30</v>
      </c>
      <c r="H4" t="s">
        <v>17</v>
      </c>
    </row>
    <row r="5" spans="1:8">
      <c r="A5">
        <v>2</v>
      </c>
      <c r="B5" t="s">
        <v>31</v>
      </c>
      <c r="C5" t="s">
        <v>247</v>
      </c>
      <c r="E5">
        <v>0.13111111111111112</v>
      </c>
      <c r="F5" s="7">
        <f t="shared" si="0"/>
        <v>5</v>
      </c>
      <c r="G5" t="s">
        <v>31</v>
      </c>
      <c r="H5" t="s">
        <v>247</v>
      </c>
    </row>
    <row r="6" spans="1:8">
      <c r="A6" s="7">
        <v>0.66666666666666663</v>
      </c>
      <c r="B6" t="s">
        <v>30</v>
      </c>
      <c r="C6" t="s">
        <v>24</v>
      </c>
      <c r="E6">
        <v>2.484</v>
      </c>
      <c r="F6" s="7">
        <f t="shared" si="0"/>
        <v>1.6666666666666665</v>
      </c>
      <c r="G6" t="s">
        <v>30</v>
      </c>
      <c r="H6" t="s">
        <v>24</v>
      </c>
    </row>
    <row r="7" spans="1:8">
      <c r="A7">
        <v>4</v>
      </c>
      <c r="C7" t="s">
        <v>26</v>
      </c>
      <c r="E7">
        <v>3.7933333333333334</v>
      </c>
      <c r="F7" s="7">
        <f t="shared" si="0"/>
        <v>10</v>
      </c>
      <c r="H7" t="s">
        <v>26</v>
      </c>
    </row>
    <row r="8" spans="1:8">
      <c r="C8" t="s">
        <v>248</v>
      </c>
      <c r="F8" s="7">
        <f>0.5*2.5</f>
        <v>1.25</v>
      </c>
      <c r="G8" t="s">
        <v>30</v>
      </c>
      <c r="H8" t="s">
        <v>248</v>
      </c>
    </row>
    <row r="9" spans="1:8">
      <c r="A9" s="7">
        <v>0.75</v>
      </c>
      <c r="B9" t="s">
        <v>30</v>
      </c>
      <c r="C9" t="s">
        <v>249</v>
      </c>
      <c r="E9">
        <v>1.9414893617021274</v>
      </c>
      <c r="F9" s="7">
        <f t="shared" si="0"/>
        <v>1.875</v>
      </c>
      <c r="G9" t="s">
        <v>30</v>
      </c>
      <c r="H9" t="s">
        <v>249</v>
      </c>
    </row>
    <row r="10" spans="1:8">
      <c r="A10" s="7">
        <v>0.5</v>
      </c>
      <c r="B10" t="s">
        <v>30</v>
      </c>
      <c r="C10" t="s">
        <v>250</v>
      </c>
      <c r="E10">
        <v>7.0588235294117636</v>
      </c>
      <c r="F10" s="7">
        <f t="shared" si="0"/>
        <v>1.25</v>
      </c>
      <c r="G10" t="s">
        <v>30</v>
      </c>
      <c r="H10" t="s">
        <v>250</v>
      </c>
    </row>
    <row r="11" spans="1:8">
      <c r="F11" s="7">
        <f t="shared" si="0"/>
        <v>0</v>
      </c>
    </row>
    <row r="12" spans="1:8">
      <c r="A12">
        <v>1</v>
      </c>
      <c r="B12" t="s">
        <v>30</v>
      </c>
      <c r="C12" t="s">
        <v>251</v>
      </c>
      <c r="F12" s="7">
        <f t="shared" si="0"/>
        <v>2.5</v>
      </c>
      <c r="G12" t="s">
        <v>30</v>
      </c>
      <c r="H12" t="s">
        <v>251</v>
      </c>
    </row>
    <row r="13" spans="1:8">
      <c r="A13">
        <v>1</v>
      </c>
      <c r="B13" t="s">
        <v>34</v>
      </c>
      <c r="C13" t="s">
        <v>252</v>
      </c>
      <c r="E13">
        <v>0.16179078014184395</v>
      </c>
      <c r="F13" s="7">
        <f t="shared" si="0"/>
        <v>2.5</v>
      </c>
      <c r="G13" t="s">
        <v>34</v>
      </c>
      <c r="H13" t="s">
        <v>252</v>
      </c>
    </row>
    <row r="14" spans="1:8">
      <c r="A14">
        <v>2</v>
      </c>
      <c r="B14" t="s">
        <v>34</v>
      </c>
      <c r="C14" t="s">
        <v>250</v>
      </c>
      <c r="E14">
        <v>1.7647058823529409</v>
      </c>
      <c r="F14" s="7">
        <f>2.5*A14</f>
        <v>5</v>
      </c>
      <c r="G14" t="s">
        <v>34</v>
      </c>
      <c r="H14" t="s">
        <v>250</v>
      </c>
    </row>
    <row r="15" spans="1:8">
      <c r="G15">
        <f>21*3.5</f>
        <v>73.5</v>
      </c>
    </row>
    <row r="16" spans="1:8">
      <c r="G16">
        <f>G15-28</f>
        <v>45.5</v>
      </c>
    </row>
    <row r="18" spans="5:11">
      <c r="E18">
        <f>21*2.5</f>
        <v>52.5</v>
      </c>
    </row>
    <row r="23" spans="5:11">
      <c r="K23">
        <f>38*5</f>
        <v>190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C111-0C2C-4621-886B-50D2138FBA9E}">
  <dimension ref="A1:V73"/>
  <sheetViews>
    <sheetView tabSelected="1" topLeftCell="D18" zoomScaleNormal="100" workbookViewId="0">
      <selection activeCell="K57" sqref="K57"/>
    </sheetView>
  </sheetViews>
  <sheetFormatPr defaultRowHeight="14.4"/>
  <cols>
    <col min="1" max="1" width="28.77734375" bestFit="1" customWidth="1"/>
    <col min="3" max="3" width="9.33203125" bestFit="1" customWidth="1"/>
    <col min="4" max="4" width="10.77734375" bestFit="1" customWidth="1"/>
    <col min="5" max="5" width="11.33203125" bestFit="1" customWidth="1"/>
    <col min="9" max="9" width="19.33203125" customWidth="1"/>
    <col min="10" max="10" width="9.5546875" customWidth="1"/>
    <col min="11" max="11" width="9.88671875" customWidth="1"/>
    <col min="12" max="12" width="19.44140625" customWidth="1"/>
    <col min="13" max="13" width="9" customWidth="1"/>
    <col min="16" max="16" width="8.88671875" customWidth="1"/>
    <col min="20" max="20" width="10.44140625" customWidth="1"/>
  </cols>
  <sheetData>
    <row r="1" spans="1:12">
      <c r="A1" s="10" t="s">
        <v>153</v>
      </c>
    </row>
    <row r="2" spans="1:12">
      <c r="C2" s="1" t="s">
        <v>155</v>
      </c>
      <c r="D2" s="1" t="s">
        <v>156</v>
      </c>
      <c r="E2" s="1" t="s">
        <v>157</v>
      </c>
      <c r="H2" s="1" t="s">
        <v>197</v>
      </c>
    </row>
    <row r="3" spans="1:12">
      <c r="A3" t="s">
        <v>154</v>
      </c>
      <c r="C3">
        <v>2</v>
      </c>
      <c r="D3">
        <v>25</v>
      </c>
      <c r="E3">
        <v>13</v>
      </c>
      <c r="H3">
        <v>1</v>
      </c>
      <c r="I3">
        <v>3</v>
      </c>
    </row>
    <row r="4" spans="1:12">
      <c r="A4" t="s">
        <v>158</v>
      </c>
      <c r="C4">
        <v>2</v>
      </c>
      <c r="D4">
        <v>25</v>
      </c>
      <c r="E4">
        <v>13</v>
      </c>
      <c r="H4">
        <v>5</v>
      </c>
      <c r="I4">
        <v>15</v>
      </c>
      <c r="J4">
        <v>13</v>
      </c>
    </row>
    <row r="5" spans="1:12">
      <c r="A5" t="s">
        <v>159</v>
      </c>
      <c r="C5">
        <v>3</v>
      </c>
      <c r="D5">
        <v>30</v>
      </c>
      <c r="E5">
        <v>15</v>
      </c>
      <c r="H5">
        <v>10</v>
      </c>
      <c r="I5">
        <v>30</v>
      </c>
      <c r="J5">
        <v>25</v>
      </c>
    </row>
    <row r="6" spans="1:12">
      <c r="A6" t="s">
        <v>160</v>
      </c>
      <c r="C6">
        <v>3</v>
      </c>
      <c r="D6">
        <v>30</v>
      </c>
      <c r="E6">
        <v>15</v>
      </c>
      <c r="H6">
        <v>15</v>
      </c>
      <c r="I6">
        <v>45</v>
      </c>
      <c r="J6">
        <v>37</v>
      </c>
    </row>
    <row r="7" spans="1:12">
      <c r="A7" t="s">
        <v>161</v>
      </c>
      <c r="C7">
        <v>3</v>
      </c>
      <c r="D7">
        <v>30</v>
      </c>
      <c r="E7">
        <v>15</v>
      </c>
      <c r="H7" t="s">
        <v>198</v>
      </c>
      <c r="I7">
        <v>15</v>
      </c>
      <c r="J7" t="s">
        <v>86</v>
      </c>
    </row>
    <row r="8" spans="1:12">
      <c r="A8" t="s">
        <v>175</v>
      </c>
      <c r="C8">
        <v>2</v>
      </c>
      <c r="D8">
        <v>25</v>
      </c>
      <c r="E8">
        <v>13</v>
      </c>
      <c r="H8" t="s">
        <v>199</v>
      </c>
      <c r="I8">
        <v>20</v>
      </c>
      <c r="J8" t="s">
        <v>201</v>
      </c>
    </row>
    <row r="9" spans="1:12">
      <c r="H9" t="s">
        <v>200</v>
      </c>
      <c r="I9">
        <v>40</v>
      </c>
      <c r="J9" t="s">
        <v>202</v>
      </c>
    </row>
    <row r="10" spans="1:12">
      <c r="C10" s="1"/>
      <c r="D10" s="1" t="s">
        <v>176</v>
      </c>
      <c r="E10" s="1" t="s">
        <v>177</v>
      </c>
    </row>
    <row r="11" spans="1:12">
      <c r="A11" t="s">
        <v>178</v>
      </c>
      <c r="D11">
        <v>75</v>
      </c>
      <c r="E11">
        <v>100</v>
      </c>
    </row>
    <row r="12" spans="1:12">
      <c r="C12" s="11"/>
      <c r="D12" s="11">
        <f>D11/3.45</f>
        <v>21.739130434782609</v>
      </c>
      <c r="E12" s="11">
        <f>E11/3.45</f>
        <v>28.985507246376809</v>
      </c>
      <c r="F12" s="11"/>
    </row>
    <row r="13" spans="1:12">
      <c r="A13" s="10"/>
      <c r="C13" s="11"/>
      <c r="D13" s="11"/>
      <c r="E13" s="11"/>
      <c r="F13" s="11"/>
      <c r="J13" t="s">
        <v>203</v>
      </c>
      <c r="K13" t="s">
        <v>204</v>
      </c>
      <c r="L13" t="s">
        <v>205</v>
      </c>
    </row>
    <row r="14" spans="1:12">
      <c r="C14" s="10"/>
      <c r="D14" s="11" t="s">
        <v>207</v>
      </c>
      <c r="E14" s="11" t="s">
        <v>272</v>
      </c>
      <c r="F14" s="11">
        <v>2</v>
      </c>
      <c r="G14">
        <v>310</v>
      </c>
      <c r="I14" t="s">
        <v>206</v>
      </c>
      <c r="K14">
        <v>37</v>
      </c>
      <c r="L14">
        <v>8</v>
      </c>
    </row>
    <row r="15" spans="1:12">
      <c r="C15" s="11"/>
      <c r="D15" s="11"/>
      <c r="E15" s="11" t="s">
        <v>268</v>
      </c>
      <c r="F15" s="11">
        <v>3</v>
      </c>
      <c r="G15">
        <v>140</v>
      </c>
      <c r="I15" t="s">
        <v>207</v>
      </c>
      <c r="J15">
        <f>42-8</f>
        <v>34</v>
      </c>
      <c r="K15">
        <f>41.5+13-22</f>
        <v>32.5</v>
      </c>
    </row>
    <row r="16" spans="1:12">
      <c r="C16" s="11"/>
      <c r="D16" s="11" t="s">
        <v>266</v>
      </c>
      <c r="E16" s="11" t="s">
        <v>267</v>
      </c>
      <c r="F16" s="11">
        <v>3.5</v>
      </c>
      <c r="G16">
        <v>85</v>
      </c>
    </row>
    <row r="17" spans="1:22">
      <c r="C17" s="11"/>
      <c r="D17" s="11"/>
      <c r="E17" s="11" t="s">
        <v>269</v>
      </c>
      <c r="F17" s="11">
        <v>3</v>
      </c>
      <c r="G17">
        <v>46</v>
      </c>
    </row>
    <row r="18" spans="1:22">
      <c r="C18" s="11"/>
      <c r="D18" s="11" t="s">
        <v>270</v>
      </c>
      <c r="E18" s="11" t="s">
        <v>271</v>
      </c>
      <c r="F18" s="11">
        <v>2</v>
      </c>
      <c r="G18">
        <v>76</v>
      </c>
      <c r="N18" t="s">
        <v>254</v>
      </c>
    </row>
    <row r="19" spans="1:22">
      <c r="C19" s="11"/>
      <c r="D19" s="11"/>
      <c r="E19" s="11" t="s">
        <v>273</v>
      </c>
      <c r="F19" s="11">
        <v>2</v>
      </c>
      <c r="G19">
        <v>5.5</v>
      </c>
    </row>
    <row r="20" spans="1:22">
      <c r="C20" s="11"/>
      <c r="D20" s="11"/>
      <c r="E20" s="11" t="s">
        <v>274</v>
      </c>
      <c r="F20" s="11">
        <v>28</v>
      </c>
      <c r="G20">
        <v>2.1</v>
      </c>
    </row>
    <row r="21" spans="1:22">
      <c r="C21" s="11"/>
      <c r="D21" s="11"/>
      <c r="E21" s="11" t="s">
        <v>275</v>
      </c>
      <c r="F21" s="11">
        <v>18</v>
      </c>
      <c r="G21">
        <v>50</v>
      </c>
    </row>
    <row r="22" spans="1:22">
      <c r="C22" s="10"/>
      <c r="D22" s="10"/>
      <c r="E22" s="10">
        <f>2*65+71*3+40*3.5+3*11+40+72*2+4*18+2*28</f>
        <v>828</v>
      </c>
      <c r="F22" s="11"/>
      <c r="G22">
        <v>40</v>
      </c>
      <c r="I22" s="10" t="s">
        <v>208</v>
      </c>
    </row>
    <row r="23" spans="1:22">
      <c r="C23" s="11"/>
      <c r="D23" s="11"/>
      <c r="E23" s="11">
        <f>828-774.6</f>
        <v>53.399999999999977</v>
      </c>
      <c r="F23" s="11"/>
      <c r="G23">
        <v>20</v>
      </c>
      <c r="L23" t="s">
        <v>209</v>
      </c>
      <c r="M23" t="s">
        <v>210</v>
      </c>
      <c r="N23" t="s">
        <v>78</v>
      </c>
      <c r="O23" t="s">
        <v>235</v>
      </c>
      <c r="P23" t="s">
        <v>211</v>
      </c>
    </row>
    <row r="24" spans="1:22">
      <c r="I24" t="s">
        <v>154</v>
      </c>
      <c r="L24">
        <v>8</v>
      </c>
      <c r="M24">
        <v>12</v>
      </c>
      <c r="N24">
        <v>15</v>
      </c>
      <c r="O24">
        <v>20</v>
      </c>
      <c r="P24">
        <v>30</v>
      </c>
    </row>
    <row r="25" spans="1:22">
      <c r="D25" t="s">
        <v>212</v>
      </c>
      <c r="E25" t="s">
        <v>213</v>
      </c>
      <c r="I25" t="s">
        <v>158</v>
      </c>
      <c r="L25">
        <v>8</v>
      </c>
      <c r="M25">
        <v>12</v>
      </c>
      <c r="N25">
        <v>18</v>
      </c>
      <c r="O25">
        <v>24</v>
      </c>
      <c r="P25">
        <v>36</v>
      </c>
    </row>
    <row r="26" spans="1:22">
      <c r="A26" t="s">
        <v>154</v>
      </c>
      <c r="C26" t="s">
        <v>214</v>
      </c>
      <c r="D26" t="s">
        <v>215</v>
      </c>
      <c r="E26" t="s">
        <v>216</v>
      </c>
      <c r="I26" t="s">
        <v>159</v>
      </c>
      <c r="L26">
        <v>8</v>
      </c>
      <c r="M26">
        <v>12</v>
      </c>
      <c r="N26">
        <v>18</v>
      </c>
      <c r="O26">
        <v>24</v>
      </c>
      <c r="P26">
        <v>36</v>
      </c>
    </row>
    <row r="27" spans="1:22">
      <c r="A27" t="s">
        <v>231</v>
      </c>
      <c r="D27" t="s">
        <v>215</v>
      </c>
      <c r="E27" t="s">
        <v>216</v>
      </c>
      <c r="I27" t="s">
        <v>160</v>
      </c>
      <c r="L27">
        <v>8</v>
      </c>
      <c r="M27">
        <v>12</v>
      </c>
      <c r="N27">
        <v>18</v>
      </c>
      <c r="O27">
        <v>24</v>
      </c>
      <c r="P27">
        <v>36</v>
      </c>
    </row>
    <row r="28" spans="1:22">
      <c r="A28" t="s">
        <v>232</v>
      </c>
      <c r="D28" t="s">
        <v>215</v>
      </c>
      <c r="E28" t="s">
        <v>217</v>
      </c>
      <c r="F28" t="s">
        <v>216</v>
      </c>
      <c r="I28" t="s">
        <v>161</v>
      </c>
      <c r="L28">
        <v>8</v>
      </c>
      <c r="M28">
        <v>12</v>
      </c>
      <c r="N28">
        <v>18</v>
      </c>
      <c r="O28">
        <v>24</v>
      </c>
      <c r="P28">
        <v>36</v>
      </c>
    </row>
    <row r="29" spans="1:22">
      <c r="A29" t="s">
        <v>159</v>
      </c>
      <c r="D29" t="s">
        <v>218</v>
      </c>
      <c r="E29" t="s">
        <v>219</v>
      </c>
      <c r="F29" t="s">
        <v>229</v>
      </c>
      <c r="I29" t="s">
        <v>175</v>
      </c>
      <c r="L29">
        <v>8</v>
      </c>
      <c r="M29">
        <v>12</v>
      </c>
      <c r="N29">
        <v>18</v>
      </c>
      <c r="O29">
        <v>24</v>
      </c>
      <c r="P29">
        <v>36</v>
      </c>
    </row>
    <row r="30" spans="1:22">
      <c r="A30" t="s">
        <v>197</v>
      </c>
      <c r="C30" t="s">
        <v>220</v>
      </c>
      <c r="D30" t="s">
        <v>221</v>
      </c>
      <c r="E30" t="s">
        <v>233</v>
      </c>
      <c r="F30" t="s">
        <v>228</v>
      </c>
    </row>
    <row r="31" spans="1:22">
      <c r="A31" t="s">
        <v>230</v>
      </c>
      <c r="D31" t="s">
        <v>221</v>
      </c>
      <c r="E31" t="s">
        <v>233</v>
      </c>
      <c r="F31" t="s">
        <v>228</v>
      </c>
      <c r="K31">
        <f>12/25</f>
        <v>0.48</v>
      </c>
      <c r="L31">
        <f>15/30</f>
        <v>0.5</v>
      </c>
      <c r="P31" t="s">
        <v>176</v>
      </c>
      <c r="U31" t="s">
        <v>177</v>
      </c>
    </row>
    <row r="32" spans="1:22">
      <c r="K32">
        <f>12/30</f>
        <v>0.4</v>
      </c>
      <c r="L32">
        <f>15/35</f>
        <v>0.42857142857142855</v>
      </c>
      <c r="N32">
        <v>90</v>
      </c>
      <c r="O32" t="s">
        <v>292</v>
      </c>
      <c r="P32" t="s">
        <v>293</v>
      </c>
      <c r="Q32">
        <f>N32/3.45</f>
        <v>26.086956521739129</v>
      </c>
      <c r="R32" t="s">
        <v>294</v>
      </c>
      <c r="S32">
        <v>120</v>
      </c>
      <c r="T32" t="s">
        <v>297</v>
      </c>
      <c r="U32" t="s">
        <v>296</v>
      </c>
      <c r="V32">
        <f>S32/3.45</f>
        <v>34.782608695652172</v>
      </c>
    </row>
    <row r="33" spans="1:22">
      <c r="A33" t="s">
        <v>175</v>
      </c>
      <c r="D33" t="s">
        <v>218</v>
      </c>
      <c r="E33" t="s">
        <v>219</v>
      </c>
      <c r="K33">
        <f>12/35</f>
        <v>0.34285714285714286</v>
      </c>
      <c r="L33">
        <f>15/40</f>
        <v>0.375</v>
      </c>
      <c r="N33">
        <v>25</v>
      </c>
      <c r="O33" t="s">
        <v>295</v>
      </c>
      <c r="Q33">
        <f>N33/3.45</f>
        <v>7.2463768115942022</v>
      </c>
      <c r="S33">
        <v>25</v>
      </c>
      <c r="T33" t="s">
        <v>295</v>
      </c>
      <c r="V33">
        <f>S33/3.45</f>
        <v>7.2463768115942022</v>
      </c>
    </row>
    <row r="34" spans="1:22">
      <c r="A34" t="s">
        <v>160</v>
      </c>
      <c r="D34" t="s">
        <v>218</v>
      </c>
      <c r="E34" t="s">
        <v>219</v>
      </c>
      <c r="Q34" s="25">
        <v>40</v>
      </c>
      <c r="V34" s="25">
        <v>50</v>
      </c>
    </row>
    <row r="35" spans="1:22">
      <c r="P35" t="s">
        <v>298</v>
      </c>
      <c r="Q35" s="25">
        <v>35</v>
      </c>
      <c r="V35" s="25">
        <v>45</v>
      </c>
    </row>
    <row r="37" spans="1:22">
      <c r="R37">
        <v>1</v>
      </c>
    </row>
    <row r="38" spans="1:22">
      <c r="G38" s="26">
        <v>16</v>
      </c>
      <c r="H38" s="11" t="s">
        <v>261</v>
      </c>
      <c r="J38" s="26">
        <v>21</v>
      </c>
      <c r="K38" s="11" t="s">
        <v>277</v>
      </c>
      <c r="M38" s="26">
        <v>28</v>
      </c>
      <c r="N38" s="11" t="s">
        <v>278</v>
      </c>
      <c r="R38" t="s">
        <v>282</v>
      </c>
    </row>
    <row r="39" spans="1:22">
      <c r="G39" s="11" t="s">
        <v>255</v>
      </c>
      <c r="H39">
        <v>25</v>
      </c>
      <c r="I39">
        <f>H39/3.45</f>
        <v>7.2463768115942022</v>
      </c>
      <c r="J39" s="11" t="s">
        <v>255</v>
      </c>
      <c r="K39">
        <v>35</v>
      </c>
      <c r="L39">
        <f>K39/3.45</f>
        <v>10.144927536231883</v>
      </c>
      <c r="M39" s="11" t="s">
        <v>255</v>
      </c>
      <c r="N39">
        <v>45</v>
      </c>
      <c r="O39">
        <f>N39/3.45</f>
        <v>13.043478260869565</v>
      </c>
      <c r="R39" t="s">
        <v>283</v>
      </c>
      <c r="S39" s="25">
        <v>16</v>
      </c>
    </row>
    <row r="40" spans="1:22">
      <c r="B40">
        <f>100/4</f>
        <v>25</v>
      </c>
      <c r="C40">
        <f>25/3.45</f>
        <v>7.2463768115942022</v>
      </c>
      <c r="G40" s="11" t="s">
        <v>257</v>
      </c>
      <c r="H40">
        <v>6</v>
      </c>
      <c r="I40">
        <f>H40/3.45</f>
        <v>1.7391304347826086</v>
      </c>
      <c r="J40" s="11" t="s">
        <v>257</v>
      </c>
      <c r="K40">
        <v>6</v>
      </c>
      <c r="L40">
        <f>K40/3.45</f>
        <v>1.7391304347826086</v>
      </c>
      <c r="M40" s="11" t="s">
        <v>257</v>
      </c>
      <c r="N40">
        <v>12</v>
      </c>
      <c r="O40">
        <f>N40/3.45</f>
        <v>3.4782608695652173</v>
      </c>
      <c r="R40" t="s">
        <v>176</v>
      </c>
      <c r="S40" s="25">
        <v>21</v>
      </c>
    </row>
    <row r="41" spans="1:22">
      <c r="B41">
        <v>10</v>
      </c>
      <c r="C41">
        <f>10/3.45</f>
        <v>2.8985507246376812</v>
      </c>
      <c r="G41" s="11" t="s">
        <v>256</v>
      </c>
      <c r="H41">
        <v>10</v>
      </c>
      <c r="I41">
        <f>10/3.45</f>
        <v>2.8985507246376812</v>
      </c>
      <c r="J41" s="11" t="s">
        <v>256</v>
      </c>
      <c r="K41">
        <v>20</v>
      </c>
      <c r="L41">
        <f>K41/3.45</f>
        <v>5.7971014492753623</v>
      </c>
      <c r="M41" s="11" t="s">
        <v>256</v>
      </c>
      <c r="N41">
        <v>26</v>
      </c>
      <c r="O41">
        <f>N41/3.45</f>
        <v>7.5362318840579707</v>
      </c>
      <c r="R41" t="s">
        <v>177</v>
      </c>
      <c r="S41" s="25">
        <v>28</v>
      </c>
    </row>
    <row r="42" spans="1:22">
      <c r="B42">
        <v>6</v>
      </c>
      <c r="C42">
        <f>B42/3.45</f>
        <v>1.7391304347826086</v>
      </c>
      <c r="G42" s="11" t="s">
        <v>258</v>
      </c>
      <c r="H42">
        <v>2</v>
      </c>
      <c r="I42">
        <f>H42/3.5</f>
        <v>0.5714285714285714</v>
      </c>
      <c r="J42" s="11" t="s">
        <v>258</v>
      </c>
      <c r="K42">
        <v>2</v>
      </c>
      <c r="L42">
        <f>K42/3.45</f>
        <v>0.57971014492753625</v>
      </c>
      <c r="M42" s="11" t="s">
        <v>258</v>
      </c>
      <c r="N42">
        <v>2</v>
      </c>
      <c r="O42">
        <f>N42/3.45</f>
        <v>0.57971014492753625</v>
      </c>
    </row>
    <row r="43" spans="1:22">
      <c r="C43">
        <v>2</v>
      </c>
      <c r="G43" s="10" t="s">
        <v>264</v>
      </c>
      <c r="H43" s="1"/>
      <c r="I43" s="1">
        <v>5</v>
      </c>
      <c r="J43" s="10" t="s">
        <v>264</v>
      </c>
      <c r="L43" s="1">
        <v>5</v>
      </c>
      <c r="M43" s="10" t="s">
        <v>264</v>
      </c>
      <c r="O43" s="1">
        <v>5</v>
      </c>
      <c r="R43">
        <v>2</v>
      </c>
    </row>
    <row r="44" spans="1:22">
      <c r="B44">
        <v>25</v>
      </c>
      <c r="G44" s="26">
        <v>20</v>
      </c>
      <c r="H44" s="11" t="s">
        <v>262</v>
      </c>
      <c r="J44" s="26">
        <v>26</v>
      </c>
      <c r="K44" s="11" t="s">
        <v>280</v>
      </c>
      <c r="M44" s="26">
        <v>32</v>
      </c>
      <c r="N44" s="11" t="s">
        <v>281</v>
      </c>
      <c r="R44" t="s">
        <v>284</v>
      </c>
    </row>
    <row r="45" spans="1:22">
      <c r="G45" s="11" t="s">
        <v>255</v>
      </c>
      <c r="H45">
        <v>40</v>
      </c>
      <c r="I45">
        <f>40/3.45</f>
        <v>11.594202898550725</v>
      </c>
      <c r="J45" s="11" t="s">
        <v>255</v>
      </c>
      <c r="K45">
        <v>50</v>
      </c>
      <c r="L45">
        <f>K45/3.45</f>
        <v>14.492753623188404</v>
      </c>
      <c r="M45" s="11" t="s">
        <v>255</v>
      </c>
      <c r="N45">
        <v>60</v>
      </c>
      <c r="O45">
        <f>N45/3.45</f>
        <v>17.391304347826086</v>
      </c>
      <c r="R45" t="s">
        <v>283</v>
      </c>
      <c r="S45" s="25">
        <v>20</v>
      </c>
    </row>
    <row r="46" spans="1:22">
      <c r="C46">
        <v>10</v>
      </c>
      <c r="G46" s="11" t="s">
        <v>257</v>
      </c>
      <c r="H46">
        <v>6</v>
      </c>
      <c r="I46">
        <f>H46/3.45</f>
        <v>1.7391304347826086</v>
      </c>
      <c r="J46" s="11" t="s">
        <v>257</v>
      </c>
      <c r="K46">
        <v>6</v>
      </c>
      <c r="L46">
        <f>K46/3.45</f>
        <v>1.7391304347826086</v>
      </c>
      <c r="M46" s="11" t="s">
        <v>257</v>
      </c>
      <c r="N46">
        <v>12</v>
      </c>
      <c r="O46">
        <f>N46/3.45</f>
        <v>3.4782608695652173</v>
      </c>
      <c r="R46" t="s">
        <v>176</v>
      </c>
      <c r="S46" s="25">
        <v>26</v>
      </c>
    </row>
    <row r="47" spans="1:22">
      <c r="G47" s="11" t="s">
        <v>256</v>
      </c>
      <c r="H47">
        <v>10</v>
      </c>
      <c r="I47">
        <f>10/3.45</f>
        <v>2.8985507246376812</v>
      </c>
      <c r="J47" s="11" t="s">
        <v>256</v>
      </c>
      <c r="K47">
        <v>20</v>
      </c>
      <c r="L47">
        <f>K47/3.45</f>
        <v>5.7971014492753623</v>
      </c>
      <c r="M47" s="11" t="s">
        <v>256</v>
      </c>
      <c r="N47">
        <v>26</v>
      </c>
      <c r="O47">
        <f>N47/3.45</f>
        <v>7.5362318840579707</v>
      </c>
      <c r="R47" t="s">
        <v>177</v>
      </c>
      <c r="S47" s="25">
        <v>32</v>
      </c>
    </row>
    <row r="48" spans="1:22">
      <c r="G48" s="11" t="s">
        <v>256</v>
      </c>
      <c r="H48">
        <v>2</v>
      </c>
      <c r="I48">
        <f>H48/3.5</f>
        <v>0.5714285714285714</v>
      </c>
      <c r="J48" s="11" t="s">
        <v>256</v>
      </c>
      <c r="K48">
        <v>2</v>
      </c>
      <c r="L48">
        <f>K48/3.5</f>
        <v>0.5714285714285714</v>
      </c>
      <c r="M48" s="11" t="s">
        <v>256</v>
      </c>
      <c r="N48">
        <v>2</v>
      </c>
      <c r="O48">
        <f>N48/3.5</f>
        <v>0.5714285714285714</v>
      </c>
    </row>
    <row r="49" spans="3:20">
      <c r="G49" s="10" t="s">
        <v>264</v>
      </c>
      <c r="H49" s="1"/>
      <c r="I49" s="1">
        <v>5</v>
      </c>
      <c r="J49" s="10" t="s">
        <v>264</v>
      </c>
      <c r="K49" s="1"/>
      <c r="L49" s="1">
        <v>5</v>
      </c>
      <c r="M49" s="10" t="s">
        <v>264</v>
      </c>
      <c r="N49" s="1"/>
      <c r="O49" s="1">
        <v>5</v>
      </c>
      <c r="R49">
        <v>3</v>
      </c>
    </row>
    <row r="50" spans="3:20">
      <c r="G50" s="26">
        <v>28</v>
      </c>
      <c r="H50" s="11" t="s">
        <v>263</v>
      </c>
      <c r="J50" s="26">
        <v>33</v>
      </c>
      <c r="K50" s="11" t="s">
        <v>276</v>
      </c>
      <c r="M50" s="26">
        <v>38</v>
      </c>
      <c r="N50" s="11" t="s">
        <v>265</v>
      </c>
      <c r="R50" t="s">
        <v>286</v>
      </c>
    </row>
    <row r="51" spans="3:20">
      <c r="G51" s="11" t="s">
        <v>255</v>
      </c>
      <c r="H51">
        <v>40</v>
      </c>
      <c r="I51">
        <f>40/3.45</f>
        <v>11.594202898550725</v>
      </c>
      <c r="J51" s="11" t="s">
        <v>255</v>
      </c>
      <c r="K51">
        <v>50</v>
      </c>
      <c r="L51">
        <f>K51/3.45</f>
        <v>14.492753623188404</v>
      </c>
      <c r="M51" s="11" t="s">
        <v>255</v>
      </c>
      <c r="N51">
        <v>60</v>
      </c>
      <c r="O51">
        <f>N51/3.45</f>
        <v>17.391304347826086</v>
      </c>
      <c r="R51" t="s">
        <v>283</v>
      </c>
      <c r="S51" s="25">
        <v>23</v>
      </c>
    </row>
    <row r="52" spans="3:20">
      <c r="G52" s="11" t="s">
        <v>257</v>
      </c>
      <c r="H52">
        <v>32</v>
      </c>
      <c r="I52">
        <f>H52/3.45</f>
        <v>9.27536231884058</v>
      </c>
      <c r="J52" s="11" t="s">
        <v>257</v>
      </c>
      <c r="K52">
        <v>32</v>
      </c>
      <c r="L52">
        <f>K52/3.45</f>
        <v>9.27536231884058</v>
      </c>
      <c r="M52" s="11" t="s">
        <v>257</v>
      </c>
      <c r="N52">
        <v>32</v>
      </c>
      <c r="O52">
        <f>N52/3.45</f>
        <v>9.27536231884058</v>
      </c>
      <c r="R52" t="s">
        <v>176</v>
      </c>
      <c r="S52" s="25">
        <v>29</v>
      </c>
    </row>
    <row r="53" spans="3:20">
      <c r="C53" t="s">
        <v>259</v>
      </c>
      <c r="D53">
        <f>100/4</f>
        <v>25</v>
      </c>
      <c r="E53">
        <v>32</v>
      </c>
      <c r="G53" s="11" t="s">
        <v>256</v>
      </c>
      <c r="H53">
        <v>10</v>
      </c>
      <c r="I53">
        <f>10/3.45</f>
        <v>2.8985507246376812</v>
      </c>
      <c r="J53" s="11" t="s">
        <v>256</v>
      </c>
      <c r="K53">
        <v>20</v>
      </c>
      <c r="L53">
        <f>K53/3.45</f>
        <v>5.7971014492753623</v>
      </c>
      <c r="M53" s="11" t="s">
        <v>256</v>
      </c>
      <c r="N53">
        <v>26</v>
      </c>
      <c r="O53">
        <f>26/3.45</f>
        <v>7.5362318840579707</v>
      </c>
      <c r="R53" t="s">
        <v>177</v>
      </c>
      <c r="S53" s="25">
        <v>34</v>
      </c>
      <c r="T53" t="s">
        <v>291</v>
      </c>
    </row>
    <row r="54" spans="3:20">
      <c r="C54" t="s">
        <v>260</v>
      </c>
      <c r="D54">
        <v>33</v>
      </c>
      <c r="E54">
        <v>39</v>
      </c>
      <c r="G54" s="11" t="s">
        <v>256</v>
      </c>
      <c r="H54">
        <v>2</v>
      </c>
      <c r="I54">
        <f>H54/3.5</f>
        <v>0.5714285714285714</v>
      </c>
      <c r="J54" s="11" t="s">
        <v>256</v>
      </c>
      <c r="K54">
        <v>2</v>
      </c>
      <c r="L54">
        <f>K54/3.45</f>
        <v>0.57971014492753625</v>
      </c>
      <c r="M54" s="11" t="s">
        <v>256</v>
      </c>
      <c r="N54">
        <v>2</v>
      </c>
      <c r="O54">
        <f>N54/3.5</f>
        <v>0.5714285714285714</v>
      </c>
    </row>
    <row r="55" spans="3:20">
      <c r="G55" s="10" t="s">
        <v>264</v>
      </c>
      <c r="H55" s="1"/>
      <c r="I55" s="1">
        <v>5</v>
      </c>
      <c r="J55" s="10" t="s">
        <v>264</v>
      </c>
      <c r="L55" s="1">
        <v>5</v>
      </c>
      <c r="M55" s="10" t="s">
        <v>264</v>
      </c>
      <c r="N55" s="1"/>
      <c r="O55" s="1">
        <v>5</v>
      </c>
      <c r="R55">
        <v>4</v>
      </c>
    </row>
    <row r="56" spans="3:20">
      <c r="C56">
        <v>40</v>
      </c>
      <c r="D56">
        <v>50</v>
      </c>
      <c r="E56">
        <v>60</v>
      </c>
      <c r="G56" s="1"/>
      <c r="M56" s="26">
        <v>43</v>
      </c>
      <c r="N56" s="11" t="s">
        <v>279</v>
      </c>
      <c r="R56" t="s">
        <v>285</v>
      </c>
    </row>
    <row r="57" spans="3:20">
      <c r="C57">
        <f>C56/3.45</f>
        <v>11.594202898550725</v>
      </c>
      <c r="D57">
        <f>D56/3.45</f>
        <v>14.492753623188404</v>
      </c>
      <c r="E57">
        <f>E56/3.45</f>
        <v>17.391304347826086</v>
      </c>
      <c r="M57" s="11" t="s">
        <v>255</v>
      </c>
      <c r="N57">
        <v>60</v>
      </c>
      <c r="O57">
        <f>N57/3.45</f>
        <v>17.391304347826086</v>
      </c>
      <c r="R57" t="s">
        <v>283</v>
      </c>
      <c r="S57" s="25">
        <v>28</v>
      </c>
    </row>
    <row r="58" spans="3:20">
      <c r="M58" s="11" t="s">
        <v>257</v>
      </c>
      <c r="N58">
        <v>50</v>
      </c>
      <c r="O58">
        <f>N58/3.45</f>
        <v>14.492753623188404</v>
      </c>
      <c r="R58" t="s">
        <v>176</v>
      </c>
      <c r="S58" s="25">
        <v>33</v>
      </c>
    </row>
    <row r="59" spans="3:20">
      <c r="M59" s="11" t="s">
        <v>256</v>
      </c>
      <c r="N59">
        <v>26</v>
      </c>
      <c r="O59">
        <f>26/3.45</f>
        <v>7.5362318840579707</v>
      </c>
      <c r="R59" t="s">
        <v>177</v>
      </c>
      <c r="S59" s="25">
        <v>38</v>
      </c>
      <c r="T59" t="s">
        <v>291</v>
      </c>
    </row>
    <row r="60" spans="3:20">
      <c r="M60" s="11" t="s">
        <v>256</v>
      </c>
      <c r="N60">
        <v>2</v>
      </c>
      <c r="O60">
        <f>N60/3.5</f>
        <v>0.5714285714285714</v>
      </c>
    </row>
    <row r="61" spans="3:20">
      <c r="M61" s="10" t="s">
        <v>264</v>
      </c>
      <c r="N61" s="1"/>
      <c r="O61" s="1">
        <v>5</v>
      </c>
    </row>
    <row r="62" spans="3:20">
      <c r="G62" s="26">
        <v>23</v>
      </c>
      <c r="H62" s="11" t="s">
        <v>287</v>
      </c>
      <c r="J62" s="26">
        <v>29</v>
      </c>
      <c r="K62" s="11" t="s">
        <v>288</v>
      </c>
      <c r="M62" s="26">
        <v>34</v>
      </c>
      <c r="N62" s="11" t="s">
        <v>289</v>
      </c>
    </row>
    <row r="63" spans="3:20">
      <c r="G63" s="11" t="s">
        <v>255</v>
      </c>
      <c r="H63">
        <v>25</v>
      </c>
      <c r="I63">
        <f>H63/3.45</f>
        <v>7.2463768115942022</v>
      </c>
      <c r="J63" s="11" t="s">
        <v>255</v>
      </c>
      <c r="K63">
        <v>35</v>
      </c>
      <c r="L63">
        <f>K63/3.45</f>
        <v>10.144927536231883</v>
      </c>
      <c r="M63" s="11" t="s">
        <v>255</v>
      </c>
      <c r="N63">
        <v>45</v>
      </c>
      <c r="O63">
        <f>N63/3.45</f>
        <v>13.043478260869565</v>
      </c>
    </row>
    <row r="64" spans="3:20">
      <c r="G64" s="11" t="s">
        <v>257</v>
      </c>
      <c r="H64">
        <v>32</v>
      </c>
      <c r="I64">
        <f>H64/3.45</f>
        <v>9.27536231884058</v>
      </c>
      <c r="J64" s="11" t="s">
        <v>257</v>
      </c>
      <c r="K64">
        <v>32</v>
      </c>
      <c r="L64">
        <f>K64/3.45</f>
        <v>9.27536231884058</v>
      </c>
      <c r="M64" s="11" t="s">
        <v>257</v>
      </c>
      <c r="N64">
        <v>32</v>
      </c>
      <c r="O64">
        <f>N64/3.45</f>
        <v>9.27536231884058</v>
      </c>
    </row>
    <row r="65" spans="7:15">
      <c r="G65" s="11" t="s">
        <v>256</v>
      </c>
      <c r="H65">
        <v>10</v>
      </c>
      <c r="I65">
        <f>10/3.45</f>
        <v>2.8985507246376812</v>
      </c>
      <c r="J65" s="11" t="s">
        <v>256</v>
      </c>
      <c r="K65">
        <v>20</v>
      </c>
      <c r="L65">
        <f>K65/3.45</f>
        <v>5.7971014492753623</v>
      </c>
      <c r="M65" s="11" t="s">
        <v>256</v>
      </c>
      <c r="N65">
        <v>26</v>
      </c>
      <c r="O65">
        <f>26/3.45</f>
        <v>7.5362318840579707</v>
      </c>
    </row>
    <row r="66" spans="7:15">
      <c r="G66" s="11" t="s">
        <v>256</v>
      </c>
      <c r="H66">
        <v>2</v>
      </c>
      <c r="I66">
        <f>H66/3.5</f>
        <v>0.5714285714285714</v>
      </c>
      <c r="J66" s="11" t="s">
        <v>256</v>
      </c>
      <c r="K66">
        <v>2</v>
      </c>
      <c r="L66">
        <f>K66/3.45</f>
        <v>0.57971014492753625</v>
      </c>
      <c r="M66" s="11" t="s">
        <v>256</v>
      </c>
      <c r="N66">
        <v>2</v>
      </c>
      <c r="O66">
        <f>N66/3.5</f>
        <v>0.5714285714285714</v>
      </c>
    </row>
    <row r="67" spans="7:15">
      <c r="G67" s="10" t="s">
        <v>264</v>
      </c>
      <c r="H67" s="1"/>
      <c r="I67" s="1">
        <v>5</v>
      </c>
      <c r="J67" s="10" t="s">
        <v>264</v>
      </c>
      <c r="L67" s="1">
        <v>5</v>
      </c>
      <c r="M67" s="10" t="s">
        <v>264</v>
      </c>
      <c r="N67" s="1"/>
      <c r="O67" s="1">
        <v>5</v>
      </c>
    </row>
    <row r="68" spans="7:15">
      <c r="G68" s="1"/>
      <c r="M68" s="26">
        <v>39</v>
      </c>
      <c r="N68" s="11" t="s">
        <v>290</v>
      </c>
    </row>
    <row r="69" spans="7:15">
      <c r="M69" s="11" t="s">
        <v>255</v>
      </c>
      <c r="N69">
        <v>45</v>
      </c>
      <c r="O69">
        <f>N69/3.45</f>
        <v>13.043478260869565</v>
      </c>
    </row>
    <row r="70" spans="7:15">
      <c r="M70" s="11" t="s">
        <v>257</v>
      </c>
      <c r="N70">
        <v>50</v>
      </c>
      <c r="O70">
        <f>N70/3.45</f>
        <v>14.492753623188404</v>
      </c>
    </row>
    <row r="71" spans="7:15">
      <c r="M71" s="11" t="s">
        <v>256</v>
      </c>
      <c r="N71">
        <v>26</v>
      </c>
      <c r="O71">
        <f>26/3.45</f>
        <v>7.5362318840579707</v>
      </c>
    </row>
    <row r="72" spans="7:15">
      <c r="M72" s="11" t="s">
        <v>256</v>
      </c>
      <c r="N72">
        <v>2</v>
      </c>
      <c r="O72">
        <f>N72/3.5</f>
        <v>0.5714285714285714</v>
      </c>
    </row>
    <row r="73" spans="7:15">
      <c r="M73" s="10" t="s">
        <v>264</v>
      </c>
      <c r="N73" s="1"/>
      <c r="O73" s="1"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D431-41F3-4EFF-AEFA-9D4212EA3ADB}">
  <dimension ref="A1:E19"/>
  <sheetViews>
    <sheetView workbookViewId="0">
      <selection activeCell="E29" sqref="E29"/>
    </sheetView>
  </sheetViews>
  <sheetFormatPr defaultRowHeight="14.4"/>
  <cols>
    <col min="1" max="1" width="14.21875" bestFit="1" customWidth="1"/>
    <col min="5" max="5" width="13.77734375" bestFit="1" customWidth="1"/>
    <col min="7" max="7" width="12.33203125" bestFit="1" customWidth="1"/>
  </cols>
  <sheetData>
    <row r="1" spans="1:5">
      <c r="A1" s="1" t="s">
        <v>236</v>
      </c>
      <c r="B1" s="24">
        <v>43884</v>
      </c>
    </row>
    <row r="3" spans="1:5">
      <c r="E3" t="s">
        <v>237</v>
      </c>
    </row>
    <row r="4" spans="1:5">
      <c r="A4" t="s">
        <v>40</v>
      </c>
      <c r="E4" t="s">
        <v>77</v>
      </c>
    </row>
    <row r="5" spans="1:5">
      <c r="A5" t="s">
        <v>41</v>
      </c>
      <c r="B5">
        <v>5</v>
      </c>
      <c r="E5" t="s">
        <v>19</v>
      </c>
    </row>
    <row r="6" spans="1:5">
      <c r="A6" t="s">
        <v>53</v>
      </c>
      <c r="B6">
        <v>1</v>
      </c>
      <c r="E6" t="s">
        <v>26</v>
      </c>
    </row>
    <row r="7" spans="1:5">
      <c r="A7" t="s">
        <v>51</v>
      </c>
      <c r="B7">
        <v>3</v>
      </c>
      <c r="E7" t="s">
        <v>76</v>
      </c>
    </row>
    <row r="8" spans="1:5">
      <c r="A8" t="s">
        <v>42</v>
      </c>
      <c r="B8">
        <v>0</v>
      </c>
      <c r="E8" t="s">
        <v>24</v>
      </c>
    </row>
    <row r="9" spans="1:5">
      <c r="A9" t="s">
        <v>49</v>
      </c>
      <c r="B9">
        <v>8</v>
      </c>
    </row>
    <row r="10" spans="1:5">
      <c r="A10" t="s">
        <v>48</v>
      </c>
      <c r="B10">
        <v>2</v>
      </c>
    </row>
    <row r="11" spans="1:5">
      <c r="A11" t="s">
        <v>47</v>
      </c>
      <c r="B11">
        <v>1</v>
      </c>
    </row>
    <row r="13" spans="1:5">
      <c r="E13" t="s">
        <v>238</v>
      </c>
    </row>
    <row r="14" spans="1:5">
      <c r="E14" t="s">
        <v>239</v>
      </c>
    </row>
    <row r="15" spans="1:5">
      <c r="E15" t="s">
        <v>240</v>
      </c>
    </row>
    <row r="16" spans="1:5">
      <c r="E16" t="s">
        <v>241</v>
      </c>
    </row>
    <row r="17" spans="5:5">
      <c r="E17" t="s">
        <v>242</v>
      </c>
    </row>
    <row r="18" spans="5:5">
      <c r="E18" t="s">
        <v>243</v>
      </c>
    </row>
    <row r="19" spans="5:5">
      <c r="E19" t="s">
        <v>244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82218-0188-4202-AC57-EEC4AD57851A}">
  <dimension ref="A1:V19"/>
  <sheetViews>
    <sheetView zoomScaleNormal="100" workbookViewId="0">
      <selection activeCell="A3" sqref="A3:C11"/>
    </sheetView>
  </sheetViews>
  <sheetFormatPr defaultRowHeight="14.4"/>
  <cols>
    <col min="3" max="3" width="13.77734375" bestFit="1" customWidth="1"/>
    <col min="7" max="7" width="14.6640625" bestFit="1" customWidth="1"/>
  </cols>
  <sheetData>
    <row r="1" spans="1:22">
      <c r="B1" s="1" t="s">
        <v>110</v>
      </c>
      <c r="G1" s="1" t="s">
        <v>108</v>
      </c>
      <c r="K1">
        <f>9.5*12</f>
        <v>114</v>
      </c>
      <c r="N1" s="1" t="s">
        <v>110</v>
      </c>
      <c r="S1" s="1" t="s">
        <v>222</v>
      </c>
      <c r="U1">
        <f>108-25.5</f>
        <v>82.5</v>
      </c>
      <c r="V1" t="s">
        <v>223</v>
      </c>
    </row>
    <row r="2" spans="1:22">
      <c r="D2" t="s">
        <v>105</v>
      </c>
      <c r="E2" s="10" t="s">
        <v>182</v>
      </c>
      <c r="F2" s="10"/>
      <c r="G2" s="10" t="s">
        <v>107</v>
      </c>
      <c r="H2" s="10"/>
      <c r="I2" s="10"/>
      <c r="K2">
        <f>12*30</f>
        <v>360</v>
      </c>
      <c r="P2" t="s">
        <v>105</v>
      </c>
      <c r="Q2" t="s">
        <v>224</v>
      </c>
      <c r="S2" t="s">
        <v>107</v>
      </c>
    </row>
    <row r="3" spans="1:22">
      <c r="A3">
        <v>0.5</v>
      </c>
      <c r="B3" t="s">
        <v>30</v>
      </c>
      <c r="C3" t="s">
        <v>17</v>
      </c>
      <c r="D3">
        <v>0.28712871287128711</v>
      </c>
      <c r="E3" s="10">
        <f>18*A3</f>
        <v>9</v>
      </c>
      <c r="F3" s="10" t="s">
        <v>30</v>
      </c>
      <c r="G3" s="10" t="s">
        <v>17</v>
      </c>
      <c r="H3" s="10"/>
      <c r="I3" s="10" t="s">
        <v>183</v>
      </c>
      <c r="K3">
        <f>K2*2</f>
        <v>720</v>
      </c>
      <c r="M3">
        <v>0.5</v>
      </c>
      <c r="N3" t="s">
        <v>30</v>
      </c>
      <c r="O3" t="s">
        <v>17</v>
      </c>
      <c r="P3">
        <v>0.28712871287128711</v>
      </c>
      <c r="Q3">
        <f>3*M3</f>
        <v>1.5</v>
      </c>
      <c r="R3" t="s">
        <v>30</v>
      </c>
      <c r="S3" t="s">
        <v>17</v>
      </c>
    </row>
    <row r="4" spans="1:22">
      <c r="A4">
        <v>0.5</v>
      </c>
      <c r="B4" t="s">
        <v>30</v>
      </c>
      <c r="C4" t="s">
        <v>75</v>
      </c>
      <c r="D4">
        <v>0.9345</v>
      </c>
      <c r="E4" s="10">
        <f t="shared" ref="E4:E11" si="0">18*A4</f>
        <v>9</v>
      </c>
      <c r="F4" s="10" t="s">
        <v>30</v>
      </c>
      <c r="G4" s="10" t="s">
        <v>75</v>
      </c>
      <c r="H4" s="10"/>
      <c r="I4" s="10" t="s">
        <v>184</v>
      </c>
      <c r="K4">
        <f>K3-K1</f>
        <v>606</v>
      </c>
      <c r="M4">
        <v>0.5</v>
      </c>
      <c r="N4" t="s">
        <v>30</v>
      </c>
      <c r="O4" t="s">
        <v>75</v>
      </c>
      <c r="P4">
        <v>0.9345</v>
      </c>
      <c r="Q4">
        <f t="shared" ref="Q4:Q10" si="1">3*M4</f>
        <v>1.5</v>
      </c>
      <c r="R4" t="s">
        <v>30</v>
      </c>
      <c r="S4" t="s">
        <v>75</v>
      </c>
    </row>
    <row r="5" spans="1:22">
      <c r="A5">
        <v>0.5</v>
      </c>
      <c r="B5" t="s">
        <v>30</v>
      </c>
      <c r="C5" t="s">
        <v>24</v>
      </c>
      <c r="D5">
        <v>0.82799999999999996</v>
      </c>
      <c r="E5" s="10">
        <f t="shared" si="0"/>
        <v>9</v>
      </c>
      <c r="F5" s="10" t="s">
        <v>30</v>
      </c>
      <c r="G5" s="10" t="s">
        <v>24</v>
      </c>
      <c r="H5" s="10"/>
      <c r="I5" s="10" t="s">
        <v>185</v>
      </c>
      <c r="M5">
        <v>0.5</v>
      </c>
      <c r="N5" t="s">
        <v>30</v>
      </c>
      <c r="O5" t="s">
        <v>24</v>
      </c>
      <c r="P5">
        <v>0.82799999999999996</v>
      </c>
      <c r="Q5">
        <f t="shared" si="1"/>
        <v>1.5</v>
      </c>
      <c r="R5" t="s">
        <v>30</v>
      </c>
      <c r="S5" t="s">
        <v>24</v>
      </c>
    </row>
    <row r="6" spans="1:22">
      <c r="A6">
        <v>1</v>
      </c>
      <c r="B6" t="s">
        <v>31</v>
      </c>
      <c r="C6" t="s">
        <v>76</v>
      </c>
      <c r="D6">
        <v>0.17547091666666667</v>
      </c>
      <c r="E6" s="10">
        <f t="shared" si="0"/>
        <v>18</v>
      </c>
      <c r="F6" s="10" t="s">
        <v>31</v>
      </c>
      <c r="G6" s="10" t="s">
        <v>76</v>
      </c>
      <c r="H6" s="10"/>
      <c r="I6" s="10" t="s">
        <v>189</v>
      </c>
      <c r="J6" t="s">
        <v>190</v>
      </c>
      <c r="M6">
        <v>1</v>
      </c>
      <c r="N6" t="s">
        <v>31</v>
      </c>
      <c r="O6" t="s">
        <v>76</v>
      </c>
      <c r="P6">
        <v>0.17547091666666667</v>
      </c>
      <c r="Q6">
        <f t="shared" si="1"/>
        <v>3</v>
      </c>
      <c r="R6" t="s">
        <v>31</v>
      </c>
      <c r="S6" t="s">
        <v>76</v>
      </c>
    </row>
    <row r="7" spans="1:22">
      <c r="A7">
        <v>1</v>
      </c>
      <c r="B7" t="s">
        <v>78</v>
      </c>
      <c r="C7" t="s">
        <v>26</v>
      </c>
      <c r="D7">
        <v>0.94833333333333336</v>
      </c>
      <c r="E7" s="10">
        <f t="shared" si="0"/>
        <v>18</v>
      </c>
      <c r="F7" s="10" t="s">
        <v>78</v>
      </c>
      <c r="G7" s="10" t="s">
        <v>26</v>
      </c>
      <c r="H7" s="10"/>
      <c r="I7" s="10"/>
      <c r="M7">
        <v>1</v>
      </c>
      <c r="N7" t="s">
        <v>78</v>
      </c>
      <c r="O7" t="s">
        <v>26</v>
      </c>
      <c r="P7">
        <v>0.94833333333333336</v>
      </c>
      <c r="Q7">
        <f t="shared" si="1"/>
        <v>3</v>
      </c>
      <c r="R7" t="s">
        <v>78</v>
      </c>
      <c r="S7" t="s">
        <v>26</v>
      </c>
    </row>
    <row r="8" spans="1:22">
      <c r="A8">
        <v>1.25</v>
      </c>
      <c r="B8" t="s">
        <v>30</v>
      </c>
      <c r="C8" t="s">
        <v>18</v>
      </c>
      <c r="D8">
        <v>0.73529411764705888</v>
      </c>
      <c r="E8" s="10">
        <f t="shared" si="0"/>
        <v>22.5</v>
      </c>
      <c r="F8" s="10" t="s">
        <v>30</v>
      </c>
      <c r="G8" s="10" t="s">
        <v>18</v>
      </c>
      <c r="H8" s="10"/>
      <c r="I8" s="10" t="s">
        <v>186</v>
      </c>
      <c r="M8">
        <v>1.25</v>
      </c>
      <c r="N8" t="s">
        <v>30</v>
      </c>
      <c r="O8" t="s">
        <v>18</v>
      </c>
      <c r="P8">
        <v>0.73529411764705888</v>
      </c>
      <c r="Q8">
        <f t="shared" si="1"/>
        <v>3.75</v>
      </c>
      <c r="R8" t="s">
        <v>30</v>
      </c>
      <c r="S8" t="s">
        <v>18</v>
      </c>
    </row>
    <row r="9" spans="1:22">
      <c r="A9">
        <v>1</v>
      </c>
      <c r="B9" t="s">
        <v>30</v>
      </c>
      <c r="C9" t="s">
        <v>77</v>
      </c>
      <c r="D9">
        <v>4.5106666666666664</v>
      </c>
      <c r="E9" s="10">
        <f t="shared" si="0"/>
        <v>18</v>
      </c>
      <c r="F9" s="10" t="s">
        <v>30</v>
      </c>
      <c r="G9" s="10" t="s">
        <v>77</v>
      </c>
      <c r="H9" s="10"/>
      <c r="I9" s="10" t="s">
        <v>187</v>
      </c>
      <c r="M9">
        <v>1</v>
      </c>
      <c r="N9" t="s">
        <v>30</v>
      </c>
      <c r="O9" t="s">
        <v>77</v>
      </c>
      <c r="P9">
        <v>4.5106666666666664</v>
      </c>
      <c r="Q9">
        <f t="shared" si="1"/>
        <v>3</v>
      </c>
      <c r="R9" t="s">
        <v>30</v>
      </c>
      <c r="S9" t="s">
        <v>77</v>
      </c>
    </row>
    <row r="10" spans="1:22">
      <c r="A10">
        <v>0.5</v>
      </c>
      <c r="B10" t="s">
        <v>31</v>
      </c>
      <c r="C10" t="s">
        <v>20</v>
      </c>
      <c r="D10">
        <v>9.8000000000000018E-2</v>
      </c>
      <c r="E10" s="10">
        <f t="shared" si="0"/>
        <v>9</v>
      </c>
      <c r="F10" s="10" t="s">
        <v>31</v>
      </c>
      <c r="G10" s="10" t="s">
        <v>20</v>
      </c>
      <c r="H10" s="10"/>
      <c r="I10" s="10" t="s">
        <v>188</v>
      </c>
      <c r="M10">
        <v>0.5</v>
      </c>
      <c r="N10" t="s">
        <v>31</v>
      </c>
      <c r="O10" t="s">
        <v>20</v>
      </c>
      <c r="P10">
        <v>9.8000000000000018E-2</v>
      </c>
      <c r="Q10">
        <f t="shared" si="1"/>
        <v>1.5</v>
      </c>
      <c r="R10" t="s">
        <v>31</v>
      </c>
      <c r="S10" t="s">
        <v>20</v>
      </c>
    </row>
    <row r="11" spans="1:22">
      <c r="A11">
        <v>0.5</v>
      </c>
      <c r="B11" t="s">
        <v>31</v>
      </c>
      <c r="C11" t="s">
        <v>22</v>
      </c>
      <c r="E11" s="10">
        <f t="shared" si="0"/>
        <v>9</v>
      </c>
      <c r="F11" s="10" t="s">
        <v>31</v>
      </c>
      <c r="G11" s="10" t="s">
        <v>22</v>
      </c>
      <c r="H11" s="10"/>
      <c r="I11" s="10" t="s">
        <v>188</v>
      </c>
    </row>
    <row r="12" spans="1:22">
      <c r="B12" t="s">
        <v>92</v>
      </c>
      <c r="N12" t="s">
        <v>92</v>
      </c>
    </row>
    <row r="13" spans="1:22">
      <c r="B13" t="s">
        <v>93</v>
      </c>
      <c r="N13" t="s">
        <v>93</v>
      </c>
    </row>
    <row r="14" spans="1:22">
      <c r="B14" t="s">
        <v>94</v>
      </c>
      <c r="N14" t="s">
        <v>94</v>
      </c>
    </row>
    <row r="15" spans="1:22">
      <c r="B15" t="s">
        <v>95</v>
      </c>
      <c r="N15" t="s">
        <v>95</v>
      </c>
    </row>
    <row r="16" spans="1:22">
      <c r="B16" t="s">
        <v>97</v>
      </c>
      <c r="N16" t="s">
        <v>97</v>
      </c>
    </row>
    <row r="17" spans="2:14">
      <c r="B17" s="11" t="s">
        <v>96</v>
      </c>
      <c r="N17" s="11" t="s">
        <v>96</v>
      </c>
    </row>
    <row r="18" spans="2:14">
      <c r="B18" t="s">
        <v>98</v>
      </c>
      <c r="N18" t="s">
        <v>98</v>
      </c>
    </row>
    <row r="19" spans="2:14">
      <c r="B19" t="s">
        <v>99</v>
      </c>
      <c r="N19" t="s">
        <v>99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34172-1B45-48FF-8143-37B02D65C811}">
  <dimension ref="A1:G19"/>
  <sheetViews>
    <sheetView zoomScale="85" zoomScaleNormal="85" workbookViewId="0">
      <selection activeCell="A12" sqref="A12:C19"/>
    </sheetView>
  </sheetViews>
  <sheetFormatPr defaultRowHeight="14.4"/>
  <cols>
    <col min="1" max="1" width="9.21875" bestFit="1" customWidth="1"/>
    <col min="2" max="2" width="9.109375" bestFit="1" customWidth="1"/>
    <col min="3" max="3" width="13.77734375" bestFit="1" customWidth="1"/>
  </cols>
  <sheetData>
    <row r="1" spans="1:7">
      <c r="B1" s="1" t="s">
        <v>10</v>
      </c>
      <c r="D1" s="1" t="s">
        <v>174</v>
      </c>
    </row>
    <row r="2" spans="1:7">
      <c r="C2" s="23" t="s">
        <v>226</v>
      </c>
      <c r="D2">
        <v>1.25</v>
      </c>
      <c r="G2">
        <v>1.5</v>
      </c>
    </row>
    <row r="3" spans="1:7">
      <c r="A3" s="7">
        <v>4</v>
      </c>
      <c r="B3" t="s">
        <v>78</v>
      </c>
      <c r="C3" t="s">
        <v>26</v>
      </c>
      <c r="D3">
        <v>4.7416666666666671</v>
      </c>
      <c r="F3">
        <v>6</v>
      </c>
      <c r="G3">
        <v>5.69</v>
      </c>
    </row>
    <row r="4" spans="1:7">
      <c r="A4" s="7">
        <v>2</v>
      </c>
      <c r="B4" t="s">
        <v>30</v>
      </c>
      <c r="C4" t="s">
        <v>17</v>
      </c>
      <c r="D4">
        <v>1.4356435643564356</v>
      </c>
      <c r="F4">
        <v>3</v>
      </c>
      <c r="G4">
        <v>1.7227722772277225</v>
      </c>
    </row>
    <row r="5" spans="1:7">
      <c r="A5" s="7">
        <v>1</v>
      </c>
      <c r="B5" t="s">
        <v>30</v>
      </c>
      <c r="C5" t="s">
        <v>24</v>
      </c>
      <c r="D5">
        <v>2.0699999999999998</v>
      </c>
      <c r="F5">
        <v>1.5</v>
      </c>
      <c r="G5">
        <v>2.484</v>
      </c>
    </row>
    <row r="6" spans="1:7">
      <c r="A6" s="7">
        <v>1</v>
      </c>
      <c r="B6" t="s">
        <v>172</v>
      </c>
      <c r="C6" t="s">
        <v>18</v>
      </c>
      <c r="D6">
        <v>0.73529411764705888</v>
      </c>
      <c r="F6">
        <v>1.5</v>
      </c>
      <c r="G6">
        <v>0.88235294117647056</v>
      </c>
    </row>
    <row r="7" spans="1:7">
      <c r="A7" s="7">
        <v>0.66666666666666663</v>
      </c>
      <c r="B7" t="s">
        <v>30</v>
      </c>
      <c r="C7" t="s">
        <v>19</v>
      </c>
      <c r="D7">
        <v>1.1873437499999999</v>
      </c>
      <c r="F7">
        <v>1</v>
      </c>
      <c r="G7">
        <v>1.5831249999999999</v>
      </c>
    </row>
    <row r="8" spans="1:7">
      <c r="A8" s="7">
        <v>0.5</v>
      </c>
      <c r="B8" t="s">
        <v>31</v>
      </c>
      <c r="C8" t="s">
        <v>22</v>
      </c>
      <c r="D8">
        <v>4.2675000000000005E-3</v>
      </c>
      <c r="F8">
        <v>0.75</v>
      </c>
      <c r="G8">
        <v>6.4012500000000007E-3</v>
      </c>
    </row>
    <row r="9" spans="1:7">
      <c r="A9" s="7">
        <v>2</v>
      </c>
      <c r="B9" t="s">
        <v>31</v>
      </c>
      <c r="C9" t="s">
        <v>25</v>
      </c>
      <c r="D9">
        <v>0.43867729166666669</v>
      </c>
      <c r="F9">
        <v>3</v>
      </c>
      <c r="G9">
        <v>0.52641274999999998</v>
      </c>
    </row>
    <row r="10" spans="1:7">
      <c r="A10" s="7">
        <v>1</v>
      </c>
      <c r="B10" t="s">
        <v>30</v>
      </c>
      <c r="C10" t="s">
        <v>77</v>
      </c>
      <c r="D10">
        <v>1.638888888888889E-2</v>
      </c>
      <c r="G10">
        <v>3.2777777777777781E-2</v>
      </c>
    </row>
    <row r="11" spans="1:7">
      <c r="A11" s="7"/>
    </row>
    <row r="12" spans="1:7">
      <c r="A12" s="7">
        <f>1.25*A3</f>
        <v>5</v>
      </c>
      <c r="B12" t="s">
        <v>78</v>
      </c>
      <c r="C12" t="s">
        <v>26</v>
      </c>
    </row>
    <row r="13" spans="1:7">
      <c r="A13" s="7">
        <f t="shared" ref="A13:A19" si="0">1.25*A4</f>
        <v>2.5</v>
      </c>
      <c r="B13" t="s">
        <v>30</v>
      </c>
      <c r="C13" t="s">
        <v>17</v>
      </c>
    </row>
    <row r="14" spans="1:7">
      <c r="A14" s="7">
        <f t="shared" si="0"/>
        <v>1.25</v>
      </c>
      <c r="B14" t="s">
        <v>30</v>
      </c>
      <c r="C14" t="s">
        <v>24</v>
      </c>
    </row>
    <row r="15" spans="1:7">
      <c r="A15" s="7">
        <f t="shared" si="0"/>
        <v>1.25</v>
      </c>
      <c r="B15" t="s">
        <v>172</v>
      </c>
      <c r="C15" t="s">
        <v>18</v>
      </c>
    </row>
    <row r="16" spans="1:7">
      <c r="A16" s="7">
        <f t="shared" si="0"/>
        <v>0.83333333333333326</v>
      </c>
      <c r="B16" t="s">
        <v>30</v>
      </c>
      <c r="C16" t="s">
        <v>19</v>
      </c>
    </row>
    <row r="17" spans="1:3">
      <c r="A17" s="7">
        <f t="shared" si="0"/>
        <v>0.625</v>
      </c>
      <c r="B17" t="s">
        <v>31</v>
      </c>
      <c r="C17" t="s">
        <v>22</v>
      </c>
    </row>
    <row r="18" spans="1:3">
      <c r="A18" s="7">
        <f t="shared" si="0"/>
        <v>2.5</v>
      </c>
      <c r="B18" t="s">
        <v>31</v>
      </c>
      <c r="C18" t="s">
        <v>25</v>
      </c>
    </row>
    <row r="19" spans="1:3">
      <c r="A19" s="7">
        <f t="shared" si="0"/>
        <v>1.25</v>
      </c>
      <c r="B19" t="s">
        <v>30</v>
      </c>
      <c r="C19" t="s">
        <v>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154FC-8BB4-46E5-8EEC-2ABFAABA2F28}">
  <dimension ref="A1:H18"/>
  <sheetViews>
    <sheetView workbookViewId="0">
      <selection activeCell="D6" sqref="D6"/>
    </sheetView>
  </sheetViews>
  <sheetFormatPr defaultRowHeight="14.4"/>
  <cols>
    <col min="1" max="1" width="9.21875" bestFit="1" customWidth="1"/>
    <col min="3" max="3" width="13.77734375" bestFit="1" customWidth="1"/>
  </cols>
  <sheetData>
    <row r="1" spans="1:8">
      <c r="B1" s="1" t="s">
        <v>169</v>
      </c>
      <c r="G1" s="1" t="s">
        <v>171</v>
      </c>
    </row>
    <row r="2" spans="1:8">
      <c r="E2" t="s">
        <v>109</v>
      </c>
      <c r="G2" s="12" t="s">
        <v>170</v>
      </c>
    </row>
    <row r="3" spans="1:8" ht="16.2">
      <c r="A3" s="7">
        <v>2.25</v>
      </c>
      <c r="B3" t="s">
        <v>163</v>
      </c>
      <c r="C3" t="s">
        <v>18</v>
      </c>
      <c r="D3">
        <v>1.3235294117647058</v>
      </c>
      <c r="E3">
        <f>4*A3</f>
        <v>9</v>
      </c>
      <c r="H3" s="14"/>
    </row>
    <row r="4" spans="1:8" ht="16.2">
      <c r="A4">
        <v>1</v>
      </c>
      <c r="B4" t="s">
        <v>164</v>
      </c>
      <c r="C4" t="s">
        <v>20</v>
      </c>
      <c r="D4">
        <v>0.19600000000000004</v>
      </c>
      <c r="E4">
        <f t="shared" ref="E4:E11" si="0">4*A4</f>
        <v>4</v>
      </c>
      <c r="H4" s="14"/>
    </row>
    <row r="5" spans="1:8" ht="16.2">
      <c r="A5">
        <v>1</v>
      </c>
      <c r="B5" t="s">
        <v>164</v>
      </c>
      <c r="C5" t="s">
        <v>22</v>
      </c>
      <c r="D5">
        <v>8.5350000000000009E-3</v>
      </c>
      <c r="E5">
        <f t="shared" si="0"/>
        <v>4</v>
      </c>
      <c r="H5" s="14"/>
    </row>
    <row r="6" spans="1:8" ht="16.2">
      <c r="A6">
        <v>1</v>
      </c>
      <c r="B6" t="s">
        <v>163</v>
      </c>
      <c r="C6" t="s">
        <v>165</v>
      </c>
      <c r="D6">
        <v>4.5</v>
      </c>
      <c r="E6">
        <f t="shared" si="0"/>
        <v>4</v>
      </c>
      <c r="G6" t="s">
        <v>162</v>
      </c>
      <c r="H6" s="14"/>
    </row>
    <row r="7" spans="1:8" ht="16.2">
      <c r="A7" s="7">
        <v>0.75</v>
      </c>
      <c r="B7" t="s">
        <v>163</v>
      </c>
      <c r="C7" t="s">
        <v>17</v>
      </c>
      <c r="D7">
        <v>0.43069306930693063</v>
      </c>
      <c r="E7">
        <f t="shared" si="0"/>
        <v>3</v>
      </c>
      <c r="H7" s="14"/>
    </row>
    <row r="8" spans="1:8" ht="16.2">
      <c r="A8" s="7">
        <v>0.75</v>
      </c>
      <c r="B8" t="s">
        <v>163</v>
      </c>
      <c r="C8" t="s">
        <v>75</v>
      </c>
      <c r="D8">
        <v>1.4017500000000001</v>
      </c>
      <c r="E8">
        <f t="shared" si="0"/>
        <v>3</v>
      </c>
      <c r="H8" s="14"/>
    </row>
    <row r="9" spans="1:8" ht="16.2">
      <c r="A9">
        <v>1</v>
      </c>
      <c r="B9" t="s">
        <v>164</v>
      </c>
      <c r="C9" t="s">
        <v>76</v>
      </c>
      <c r="D9">
        <v>0.17547091666666667</v>
      </c>
      <c r="E9">
        <f t="shared" si="0"/>
        <v>4</v>
      </c>
      <c r="H9" s="14"/>
    </row>
    <row r="10" spans="1:8" ht="16.2">
      <c r="A10">
        <v>2</v>
      </c>
      <c r="B10" t="s">
        <v>78</v>
      </c>
      <c r="C10" t="s">
        <v>26</v>
      </c>
      <c r="D10">
        <v>1.8966666666666667</v>
      </c>
      <c r="E10">
        <f t="shared" si="0"/>
        <v>8</v>
      </c>
      <c r="H10" s="14"/>
    </row>
    <row r="11" spans="1:8">
      <c r="A11">
        <v>2</v>
      </c>
      <c r="B11" t="s">
        <v>163</v>
      </c>
      <c r="C11" t="s">
        <v>77</v>
      </c>
      <c r="D11">
        <v>9.0213333333333328</v>
      </c>
      <c r="E11">
        <f t="shared" si="0"/>
        <v>8</v>
      </c>
      <c r="H11" s="15"/>
    </row>
    <row r="12" spans="1:8" ht="16.2">
      <c r="H12" s="16"/>
    </row>
    <row r="14" spans="1:8" ht="100.8" customHeight="1">
      <c r="A14" s="19" t="s">
        <v>166</v>
      </c>
      <c r="B14" s="19"/>
      <c r="C14" s="19"/>
      <c r="D14" s="19"/>
      <c r="H14" s="17"/>
    </row>
    <row r="15" spans="1:8">
      <c r="A15" s="19"/>
      <c r="B15" s="19"/>
      <c r="C15" s="19"/>
      <c r="D15" s="19"/>
    </row>
    <row r="16" spans="1:8">
      <c r="A16" s="19" t="s">
        <v>167</v>
      </c>
      <c r="B16" s="19"/>
      <c r="C16" s="19"/>
      <c r="D16" s="19"/>
      <c r="H16" s="17"/>
    </row>
    <row r="17" spans="1:8">
      <c r="A17" s="19"/>
      <c r="B17" s="20"/>
      <c r="C17" s="19"/>
      <c r="D17" s="19"/>
      <c r="H17" s="17"/>
    </row>
    <row r="18" spans="1:8">
      <c r="A18" s="19" t="s">
        <v>168</v>
      </c>
      <c r="B18" s="19"/>
      <c r="C18" s="19"/>
      <c r="D18" s="19"/>
      <c r="H18" s="1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A38CF-5B31-4CD7-A663-A2E41B7C1896}">
  <dimension ref="A1:R26"/>
  <sheetViews>
    <sheetView zoomScale="98" zoomScaleNormal="98" workbookViewId="0">
      <selection activeCell="F3" sqref="F3:H10"/>
    </sheetView>
  </sheetViews>
  <sheetFormatPr defaultRowHeight="14.4"/>
  <cols>
    <col min="1" max="1" width="17.88671875" customWidth="1"/>
    <col min="5" max="5" width="9.77734375" bestFit="1" customWidth="1"/>
    <col min="6" max="6" width="9.21875" bestFit="1" customWidth="1"/>
    <col min="7" max="7" width="11.109375" bestFit="1" customWidth="1"/>
    <col min="8" max="8" width="13.77734375" bestFit="1" customWidth="1"/>
    <col min="11" max="11" width="13.44140625" bestFit="1" customWidth="1"/>
    <col min="12" max="12" width="14.88671875" bestFit="1" customWidth="1"/>
    <col min="13" max="13" width="12.21875" bestFit="1" customWidth="1"/>
  </cols>
  <sheetData>
    <row r="1" spans="1:18">
      <c r="A1" s="1" t="s">
        <v>150</v>
      </c>
      <c r="E1" t="s">
        <v>151</v>
      </c>
      <c r="G1" t="s">
        <v>181</v>
      </c>
      <c r="H1">
        <f>19.5*18</f>
        <v>351</v>
      </c>
      <c r="R1">
        <f>18*20</f>
        <v>360</v>
      </c>
    </row>
    <row r="2" spans="1:18">
      <c r="F2">
        <v>6</v>
      </c>
      <c r="J2" t="s">
        <v>182</v>
      </c>
      <c r="K2" s="10"/>
      <c r="L2" s="10"/>
      <c r="M2" s="10" t="s">
        <v>105</v>
      </c>
      <c r="R2">
        <f>360*3</f>
        <v>1080</v>
      </c>
    </row>
    <row r="3" spans="1:18">
      <c r="A3" t="s">
        <v>139</v>
      </c>
      <c r="E3" s="7">
        <f>F3*6</f>
        <v>6</v>
      </c>
      <c r="F3">
        <v>1</v>
      </c>
      <c r="G3" t="s">
        <v>30</v>
      </c>
      <c r="H3" t="s">
        <v>180</v>
      </c>
      <c r="I3" s="21">
        <v>5.1288659793814428</v>
      </c>
      <c r="J3" s="10">
        <f>18*F3</f>
        <v>18</v>
      </c>
      <c r="K3" s="10" t="s">
        <v>191</v>
      </c>
      <c r="L3" s="10" t="s">
        <v>180</v>
      </c>
      <c r="M3" s="22">
        <v>91.539999999999992</v>
      </c>
      <c r="R3">
        <f>1080-330.68</f>
        <v>749.31999999999994</v>
      </c>
    </row>
    <row r="4" spans="1:18">
      <c r="A4" t="s">
        <v>140</v>
      </c>
      <c r="E4" s="7">
        <f t="shared" ref="E4:E10" si="0">F4*6</f>
        <v>300</v>
      </c>
      <c r="F4">
        <v>50</v>
      </c>
      <c r="G4" t="s">
        <v>68</v>
      </c>
      <c r="H4" t="s">
        <v>173</v>
      </c>
      <c r="I4" s="21">
        <v>1.125</v>
      </c>
      <c r="J4" s="10">
        <f t="shared" ref="J4:J10" si="1">18*F4</f>
        <v>900</v>
      </c>
      <c r="K4" s="10" t="s">
        <v>192</v>
      </c>
      <c r="L4" s="10" t="s">
        <v>173</v>
      </c>
      <c r="M4" s="22">
        <v>20.25</v>
      </c>
      <c r="P4">
        <f>I11*1.5</f>
        <v>27.704999999999998</v>
      </c>
      <c r="Q4">
        <f>3*36</f>
        <v>108</v>
      </c>
    </row>
    <row r="5" spans="1:18">
      <c r="A5" t="s">
        <v>141</v>
      </c>
      <c r="E5" s="7">
        <f t="shared" si="0"/>
        <v>7.5</v>
      </c>
      <c r="F5" s="7">
        <v>1.25</v>
      </c>
      <c r="G5" t="s">
        <v>30</v>
      </c>
      <c r="H5" t="s">
        <v>17</v>
      </c>
      <c r="I5" s="21">
        <v>0.71782178217821779</v>
      </c>
      <c r="J5" s="10">
        <f t="shared" si="1"/>
        <v>22.5</v>
      </c>
      <c r="K5" s="10" t="s">
        <v>193</v>
      </c>
      <c r="L5" s="10" t="s">
        <v>17</v>
      </c>
      <c r="M5" s="22">
        <v>12.920792079207919</v>
      </c>
      <c r="N5">
        <f>6*1.25</f>
        <v>7.5</v>
      </c>
      <c r="P5">
        <f>P4/36</f>
        <v>0.76958333333333329</v>
      </c>
      <c r="Q5">
        <f>3-P5</f>
        <v>2.2304166666666667</v>
      </c>
    </row>
    <row r="6" spans="1:18">
      <c r="A6" t="s">
        <v>142</v>
      </c>
      <c r="E6" s="7">
        <f t="shared" si="0"/>
        <v>18</v>
      </c>
      <c r="F6">
        <v>3</v>
      </c>
      <c r="G6" t="s">
        <v>78</v>
      </c>
      <c r="H6" t="s">
        <v>26</v>
      </c>
      <c r="I6" s="21">
        <v>2.8450000000000002</v>
      </c>
      <c r="J6" s="10">
        <f t="shared" si="1"/>
        <v>54</v>
      </c>
      <c r="K6" s="10" t="s">
        <v>26</v>
      </c>
      <c r="L6" s="10" t="s">
        <v>26</v>
      </c>
      <c r="M6" s="22">
        <v>51.21</v>
      </c>
    </row>
    <row r="7" spans="1:18">
      <c r="A7" t="s">
        <v>138</v>
      </c>
      <c r="E7" s="7">
        <f t="shared" si="0"/>
        <v>6</v>
      </c>
      <c r="F7">
        <v>1</v>
      </c>
      <c r="G7" t="s">
        <v>31</v>
      </c>
      <c r="H7" t="s">
        <v>76</v>
      </c>
      <c r="I7" s="21">
        <v>0.17547091666666667</v>
      </c>
      <c r="J7" s="10">
        <f t="shared" si="1"/>
        <v>18</v>
      </c>
      <c r="K7" s="10" t="s">
        <v>31</v>
      </c>
      <c r="L7" s="10" t="s">
        <v>76</v>
      </c>
      <c r="M7" s="22">
        <v>3.1584764999999999</v>
      </c>
    </row>
    <row r="8" spans="1:18">
      <c r="A8" t="s">
        <v>143</v>
      </c>
      <c r="E8" s="7">
        <f t="shared" si="0"/>
        <v>6</v>
      </c>
      <c r="F8">
        <v>1</v>
      </c>
      <c r="G8" t="s">
        <v>30</v>
      </c>
      <c r="H8" t="s">
        <v>18</v>
      </c>
      <c r="I8" s="21">
        <v>0.58823529411764708</v>
      </c>
      <c r="J8" s="10">
        <f t="shared" si="1"/>
        <v>18</v>
      </c>
      <c r="K8" s="10" t="s">
        <v>194</v>
      </c>
      <c r="L8" s="10" t="s">
        <v>18</v>
      </c>
      <c r="M8" s="22">
        <v>12.25</v>
      </c>
    </row>
    <row r="9" spans="1:18">
      <c r="A9" t="s">
        <v>144</v>
      </c>
      <c r="E9" s="7">
        <f t="shared" si="0"/>
        <v>1.5</v>
      </c>
      <c r="F9" s="7">
        <v>0.25</v>
      </c>
      <c r="G9" t="s">
        <v>31</v>
      </c>
      <c r="H9" t="s">
        <v>22</v>
      </c>
      <c r="I9" s="21"/>
      <c r="J9" s="10">
        <f t="shared" si="1"/>
        <v>4.5</v>
      </c>
      <c r="K9" s="10" t="s">
        <v>195</v>
      </c>
      <c r="L9" s="10" t="s">
        <v>22</v>
      </c>
      <c r="M9" s="22">
        <v>5.1210000000000006E-2</v>
      </c>
    </row>
    <row r="10" spans="1:18">
      <c r="A10" t="s">
        <v>145</v>
      </c>
      <c r="E10" s="7">
        <f t="shared" si="0"/>
        <v>4.5</v>
      </c>
      <c r="F10" s="7">
        <v>0.75</v>
      </c>
      <c r="G10" t="s">
        <v>30</v>
      </c>
      <c r="H10" t="s">
        <v>77</v>
      </c>
      <c r="I10" s="21">
        <v>7.8936666666666664</v>
      </c>
      <c r="J10" s="10">
        <f t="shared" si="1"/>
        <v>13.5</v>
      </c>
      <c r="K10" s="10" t="s">
        <v>196</v>
      </c>
      <c r="L10" s="10" t="s">
        <v>77</v>
      </c>
      <c r="M10" s="22">
        <v>139.29999999999998</v>
      </c>
    </row>
    <row r="11" spans="1:18">
      <c r="I11">
        <v>18.47</v>
      </c>
      <c r="K11" s="10"/>
      <c r="L11" s="10"/>
      <c r="M11" s="22">
        <v>330.68</v>
      </c>
    </row>
    <row r="12" spans="1:18">
      <c r="A12" s="1" t="s">
        <v>146</v>
      </c>
    </row>
    <row r="13" spans="1:18">
      <c r="A13" t="s">
        <v>147</v>
      </c>
    </row>
    <row r="14" spans="1:18">
      <c r="A14" t="s">
        <v>148</v>
      </c>
    </row>
    <row r="15" spans="1:18">
      <c r="A15" t="s">
        <v>149</v>
      </c>
    </row>
    <row r="17" spans="5:15">
      <c r="E17" t="s">
        <v>225</v>
      </c>
      <c r="G17" t="s">
        <v>181</v>
      </c>
      <c r="H17">
        <v>39</v>
      </c>
      <c r="I17">
        <v>81</v>
      </c>
    </row>
    <row r="19" spans="5:15">
      <c r="F19">
        <v>1</v>
      </c>
      <c r="G19" t="s">
        <v>30</v>
      </c>
      <c r="H19" t="s">
        <v>180</v>
      </c>
      <c r="I19">
        <v>5.6663129169193445</v>
      </c>
      <c r="M19">
        <f>19.9/3.846154</f>
        <v>5.1739997930400081</v>
      </c>
      <c r="N19">
        <f>5.174*18</f>
        <v>93.132000000000005</v>
      </c>
    </row>
    <row r="20" spans="5:15">
      <c r="F20">
        <v>6</v>
      </c>
      <c r="G20" t="s">
        <v>34</v>
      </c>
      <c r="H20" t="s">
        <v>173</v>
      </c>
      <c r="I20">
        <v>1.7999999999999998</v>
      </c>
    </row>
    <row r="21" spans="5:15">
      <c r="F21">
        <v>1.25</v>
      </c>
      <c r="G21" t="s">
        <v>30</v>
      </c>
      <c r="H21" t="s">
        <v>17</v>
      </c>
      <c r="I21">
        <v>0.71782178217821779</v>
      </c>
      <c r="O21">
        <f>1/0.26</f>
        <v>3.8461538461538458</v>
      </c>
    </row>
    <row r="22" spans="5:15">
      <c r="F22">
        <v>3</v>
      </c>
      <c r="G22" t="s">
        <v>78</v>
      </c>
      <c r="H22" t="s">
        <v>26</v>
      </c>
      <c r="I22">
        <v>2.8450000000000002</v>
      </c>
      <c r="N22">
        <f>0.26*18</f>
        <v>4.68</v>
      </c>
    </row>
    <row r="23" spans="5:15">
      <c r="F23">
        <v>1</v>
      </c>
      <c r="G23" t="s">
        <v>31</v>
      </c>
      <c r="H23" t="s">
        <v>76</v>
      </c>
      <c r="I23">
        <v>3.56E-2</v>
      </c>
    </row>
    <row r="24" spans="5:15">
      <c r="F24">
        <v>1</v>
      </c>
      <c r="G24" t="s">
        <v>30</v>
      </c>
      <c r="H24" t="s">
        <v>18</v>
      </c>
      <c r="I24">
        <v>0.58823529411764708</v>
      </c>
    </row>
    <row r="25" spans="5:15">
      <c r="F25">
        <v>0.25</v>
      </c>
      <c r="G25" t="s">
        <v>31</v>
      </c>
      <c r="H25" t="s">
        <v>22</v>
      </c>
      <c r="I25">
        <v>2.1337500000000002E-3</v>
      </c>
    </row>
    <row r="26" spans="5:15">
      <c r="F26">
        <v>1.5</v>
      </c>
      <c r="G26" t="s">
        <v>30</v>
      </c>
      <c r="H26" t="s">
        <v>77</v>
      </c>
      <c r="I26">
        <v>6.766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ACAA-923A-4B0A-B24C-0B3725D5F893}">
  <dimension ref="A1:P20"/>
  <sheetViews>
    <sheetView zoomScaleNormal="100" workbookViewId="0">
      <selection activeCell="C30" sqref="C30"/>
    </sheetView>
  </sheetViews>
  <sheetFormatPr defaultRowHeight="14.4"/>
  <cols>
    <col min="1" max="1" width="13.77734375" customWidth="1"/>
    <col min="2" max="2" width="6.33203125" customWidth="1"/>
    <col min="3" max="3" width="12.88671875" bestFit="1" customWidth="1"/>
    <col min="16" max="16" width="9.6640625" bestFit="1" customWidth="1"/>
  </cols>
  <sheetData>
    <row r="1" spans="1:16">
      <c r="B1" s="4" t="s">
        <v>1</v>
      </c>
      <c r="C1" s="4"/>
      <c r="D1" s="4"/>
      <c r="E1" s="4"/>
      <c r="F1" s="4"/>
      <c r="G1" s="4" t="s">
        <v>73</v>
      </c>
      <c r="H1" s="4"/>
    </row>
    <row r="2" spans="1:16">
      <c r="A2" s="2"/>
      <c r="G2" t="s">
        <v>74</v>
      </c>
    </row>
    <row r="3" spans="1:16">
      <c r="A3">
        <v>2</v>
      </c>
      <c r="B3" t="s">
        <v>30</v>
      </c>
      <c r="C3" t="s">
        <v>17</v>
      </c>
      <c r="H3" t="s">
        <v>72</v>
      </c>
      <c r="J3" t="s">
        <v>71</v>
      </c>
    </row>
    <row r="4" spans="1:16">
      <c r="A4" s="7">
        <v>1.75</v>
      </c>
      <c r="B4" t="s">
        <v>30</v>
      </c>
      <c r="C4" t="s">
        <v>18</v>
      </c>
      <c r="E4">
        <v>8</v>
      </c>
      <c r="F4" t="s">
        <v>30</v>
      </c>
      <c r="G4" t="s">
        <v>17</v>
      </c>
      <c r="H4">
        <v>1.58</v>
      </c>
      <c r="I4" t="s">
        <v>67</v>
      </c>
      <c r="J4">
        <v>4.5819999999999999</v>
      </c>
    </row>
    <row r="5" spans="1:16">
      <c r="A5" s="9" t="s">
        <v>29</v>
      </c>
      <c r="B5" t="s">
        <v>30</v>
      </c>
      <c r="C5" t="s">
        <v>19</v>
      </c>
      <c r="E5">
        <v>7</v>
      </c>
      <c r="F5" t="s">
        <v>30</v>
      </c>
      <c r="G5" t="s">
        <v>18</v>
      </c>
      <c r="H5">
        <v>0.84</v>
      </c>
      <c r="I5" t="s">
        <v>67</v>
      </c>
      <c r="J5">
        <v>4.1160000000000005</v>
      </c>
      <c r="P5" s="8"/>
    </row>
    <row r="6" spans="1:16">
      <c r="A6">
        <v>1.5</v>
      </c>
      <c r="B6" t="s">
        <v>31</v>
      </c>
      <c r="C6" t="s">
        <v>20</v>
      </c>
      <c r="E6">
        <v>3</v>
      </c>
      <c r="F6" t="s">
        <v>30</v>
      </c>
      <c r="G6" t="s">
        <v>19</v>
      </c>
      <c r="H6">
        <v>255</v>
      </c>
      <c r="I6" t="s">
        <v>68</v>
      </c>
      <c r="J6">
        <v>4.7493749999999997</v>
      </c>
    </row>
    <row r="7" spans="1:16">
      <c r="A7">
        <v>1.5</v>
      </c>
      <c r="B7" t="s">
        <v>31</v>
      </c>
      <c r="C7" t="s">
        <v>21</v>
      </c>
      <c r="E7">
        <v>2</v>
      </c>
      <c r="F7" t="s">
        <v>34</v>
      </c>
      <c r="G7" t="s">
        <v>20</v>
      </c>
      <c r="H7">
        <v>36</v>
      </c>
      <c r="I7" t="s">
        <v>68</v>
      </c>
      <c r="J7">
        <v>1.1760000000000002</v>
      </c>
    </row>
    <row r="8" spans="1:16">
      <c r="A8">
        <v>1</v>
      </c>
      <c r="B8" t="s">
        <v>32</v>
      </c>
      <c r="C8" t="s">
        <v>22</v>
      </c>
      <c r="E8">
        <v>2</v>
      </c>
      <c r="F8" t="s">
        <v>34</v>
      </c>
      <c r="G8" t="s">
        <v>21</v>
      </c>
      <c r="H8">
        <v>24</v>
      </c>
      <c r="I8" t="s">
        <v>68</v>
      </c>
      <c r="J8">
        <v>0.39333333333333337</v>
      </c>
    </row>
    <row r="9" spans="1:16">
      <c r="A9">
        <v>1</v>
      </c>
      <c r="B9" t="s">
        <v>30</v>
      </c>
      <c r="C9" t="s">
        <v>84</v>
      </c>
      <c r="E9">
        <v>4</v>
      </c>
      <c r="F9" t="s">
        <v>32</v>
      </c>
      <c r="G9" t="s">
        <v>22</v>
      </c>
      <c r="H9">
        <v>22.75</v>
      </c>
      <c r="I9" t="s">
        <v>68</v>
      </c>
      <c r="J9">
        <v>3.4125000000000003E-2</v>
      </c>
    </row>
    <row r="10" spans="1:16">
      <c r="A10">
        <v>0.5</v>
      </c>
      <c r="B10" t="s">
        <v>30</v>
      </c>
      <c r="C10" t="s">
        <v>24</v>
      </c>
      <c r="E10">
        <v>4</v>
      </c>
      <c r="F10" t="s">
        <v>30</v>
      </c>
      <c r="G10" t="s">
        <v>23</v>
      </c>
      <c r="H10">
        <v>0.95</v>
      </c>
      <c r="I10" t="s">
        <v>69</v>
      </c>
      <c r="J10">
        <v>8</v>
      </c>
    </row>
    <row r="11" spans="1:16">
      <c r="A11">
        <v>2</v>
      </c>
      <c r="B11" t="s">
        <v>31</v>
      </c>
      <c r="C11" t="s">
        <v>25</v>
      </c>
      <c r="E11">
        <v>2</v>
      </c>
      <c r="F11" t="s">
        <v>30</v>
      </c>
      <c r="G11" t="s">
        <v>24</v>
      </c>
      <c r="H11">
        <v>0.47</v>
      </c>
      <c r="I11" t="s">
        <v>69</v>
      </c>
      <c r="J11">
        <v>3.2429999999999999</v>
      </c>
    </row>
    <row r="12" spans="1:16">
      <c r="A12">
        <v>2</v>
      </c>
      <c r="B12" t="s">
        <v>33</v>
      </c>
      <c r="C12" t="s">
        <v>26</v>
      </c>
      <c r="E12">
        <v>8</v>
      </c>
      <c r="F12" t="s">
        <v>31</v>
      </c>
      <c r="G12" t="s">
        <v>25</v>
      </c>
      <c r="H12">
        <v>39.43</v>
      </c>
      <c r="I12" t="s">
        <v>70</v>
      </c>
      <c r="J12">
        <v>1.403708</v>
      </c>
    </row>
    <row r="13" spans="1:16">
      <c r="A13">
        <v>1</v>
      </c>
      <c r="B13" t="s">
        <v>30</v>
      </c>
      <c r="C13" t="s">
        <v>27</v>
      </c>
      <c r="E13">
        <v>8</v>
      </c>
      <c r="F13" t="s">
        <v>33</v>
      </c>
      <c r="G13" t="s">
        <v>26</v>
      </c>
      <c r="J13">
        <v>7.5866666666666669</v>
      </c>
    </row>
    <row r="14" spans="1:16">
      <c r="E14">
        <v>4</v>
      </c>
      <c r="F14" t="s">
        <v>30</v>
      </c>
      <c r="G14" t="s">
        <v>27</v>
      </c>
    </row>
    <row r="15" spans="1:16">
      <c r="B15" s="5"/>
      <c r="J15" s="10">
        <v>35</v>
      </c>
    </row>
    <row r="16" spans="1:16">
      <c r="B16" s="3"/>
      <c r="C16" t="s">
        <v>80</v>
      </c>
    </row>
    <row r="17" spans="2:3">
      <c r="B17" s="5"/>
      <c r="C17" t="s">
        <v>81</v>
      </c>
    </row>
    <row r="18" spans="2:3">
      <c r="B18" s="3"/>
      <c r="C18" t="s">
        <v>82</v>
      </c>
    </row>
    <row r="19" spans="2:3">
      <c r="B19" s="5"/>
    </row>
    <row r="20" spans="2:3">
      <c r="C20" t="s">
        <v>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CAD60-8D25-441E-924E-8F37C2EA9A75}">
  <dimension ref="A1:D8"/>
  <sheetViews>
    <sheetView workbookViewId="0">
      <selection activeCell="G29" sqref="G29"/>
    </sheetView>
  </sheetViews>
  <sheetFormatPr defaultRowHeight="14.4"/>
  <cols>
    <col min="2" max="2" width="9.6640625" bestFit="1" customWidth="1"/>
    <col min="4" max="4" width="13.21875" bestFit="1" customWidth="1"/>
  </cols>
  <sheetData>
    <row r="1" spans="1:4">
      <c r="A1" s="1" t="s">
        <v>7</v>
      </c>
      <c r="D1" s="1" t="s">
        <v>112</v>
      </c>
    </row>
    <row r="2" spans="1:4">
      <c r="D2" t="s">
        <v>111</v>
      </c>
    </row>
    <row r="4" spans="1:4">
      <c r="A4" s="6" t="s">
        <v>85</v>
      </c>
      <c r="B4" t="s">
        <v>19</v>
      </c>
      <c r="C4">
        <v>6.5975912150194826E-4</v>
      </c>
    </row>
    <row r="5" spans="1:4">
      <c r="A5" t="s">
        <v>86</v>
      </c>
      <c r="B5" t="s">
        <v>87</v>
      </c>
      <c r="C5">
        <v>1.5681818181818183</v>
      </c>
    </row>
    <row r="6" spans="1:4">
      <c r="A6" t="s">
        <v>88</v>
      </c>
      <c r="B6" t="s">
        <v>24</v>
      </c>
      <c r="C6">
        <v>0.20699999999999999</v>
      </c>
    </row>
    <row r="7" spans="1:4">
      <c r="A7" t="s">
        <v>89</v>
      </c>
      <c r="B7" t="s">
        <v>90</v>
      </c>
    </row>
    <row r="8" spans="1:4">
      <c r="A8" t="s">
        <v>91</v>
      </c>
      <c r="B8" t="s">
        <v>79</v>
      </c>
      <c r="C8">
        <v>0.17547091666666667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Price Sheet</vt:lpstr>
      <vt:lpstr>Sheet3</vt:lpstr>
      <vt:lpstr>Chocolate Chip Sticks</vt:lpstr>
      <vt:lpstr>Brownies</vt:lpstr>
      <vt:lpstr>Blondies</vt:lpstr>
      <vt:lpstr>Deluxe PB Blondies</vt:lpstr>
      <vt:lpstr>Chocolate Cake</vt:lpstr>
      <vt:lpstr>Chocolate Glaze</vt:lpstr>
      <vt:lpstr>CC Cookies</vt:lpstr>
      <vt:lpstr>Lotus Blondies</vt:lpstr>
      <vt:lpstr>Ingredient Price Sheet</vt:lpstr>
      <vt:lpstr>Sheet2</vt:lpstr>
      <vt:lpstr>vodka amaretto cake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Dena Sondhelm</dc:creator>
  <cp:lastModifiedBy>Dena Sondhelm</cp:lastModifiedBy>
  <dcterms:created xsi:type="dcterms:W3CDTF">2020-01-02T14:59:53Z</dcterms:created>
  <dcterms:modified xsi:type="dcterms:W3CDTF">2020-03-06T14:17:44Z</dcterms:modified>
</cp:coreProperties>
</file>