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 1" sheetId="1" r:id="rId4"/>
    <sheet state="visible" name="Mec 2" sheetId="2" r:id="rId5"/>
    <sheet state="visible" name="Elec 1" sheetId="3" r:id="rId6"/>
    <sheet state="visible" name="Elec 2" sheetId="4" r:id="rId7"/>
    <sheet state="visible" name="Const" sheetId="5" r:id="rId8"/>
  </sheets>
  <definedNames/>
  <calcPr/>
</workbook>
</file>

<file path=xl/sharedStrings.xml><?xml version="1.0" encoding="utf-8"?>
<sst xmlns="http://schemas.openxmlformats.org/spreadsheetml/2006/main" count="44" uniqueCount="30">
  <si>
    <t>N</t>
  </si>
  <si>
    <t>Ri</t>
  </si>
  <si>
    <t>Rf</t>
  </si>
  <si>
    <t>Ti</t>
  </si>
  <si>
    <t>Tf</t>
  </si>
  <si>
    <t>DT</t>
  </si>
  <si>
    <t>DQ</t>
  </si>
  <si>
    <t>R</t>
  </si>
  <si>
    <t>T</t>
  </si>
  <si>
    <t>Q</t>
  </si>
  <si>
    <t>V</t>
  </si>
  <si>
    <t>t</t>
  </si>
  <si>
    <t xml:space="preserve">V = </t>
  </si>
  <si>
    <t>A =</t>
  </si>
  <si>
    <t>delta E =</t>
  </si>
  <si>
    <t>Masa plomadas</t>
  </si>
  <si>
    <t>(3490+-0,5)g</t>
  </si>
  <si>
    <t>número de vueltas que le da la cuerda al aro</t>
  </si>
  <si>
    <t>(226+-0,5)g</t>
  </si>
  <si>
    <t>(230+-0,5)g</t>
  </si>
  <si>
    <t>(309+-0,5)g</t>
  </si>
  <si>
    <t>rodillo</t>
  </si>
  <si>
    <t>(5,23+-0,01)cm</t>
  </si>
  <si>
    <t>diametro del rodillo</t>
  </si>
  <si>
    <t xml:space="preserve">r = </t>
  </si>
  <si>
    <t>Delta W =</t>
  </si>
  <si>
    <t>C =</t>
  </si>
  <si>
    <t>R/1000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</si>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</sst>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"/>
    <numFmt numFmtId="166" formatCode="0.0000"/>
    <numFmt numFmtId="167" formatCode="0.0000000"/>
    <numFmt numFmtId="168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2" xfId="0" applyFont="1" applyNumberFormat="1"/>
    <xf borderId="0" fillId="0" fontId="1" numFmtId="1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'Mec 1'!$B$13:$B$18</c:f>
            </c:strRef>
          </c:cat>
          <c:val>
            <c:numRef>
              <c:f>'Mec 1'!$A$13:$A$18</c:f>
              <c:numCache/>
            </c:numRef>
          </c:val>
          <c:smooth val="1"/>
        </c:ser>
        <c:axId val="1668371007"/>
        <c:axId val="103070997"/>
      </c:lineChart>
      <c:catAx>
        <c:axId val="1668371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70997"/>
      </c:catAx>
      <c:valAx>
        <c:axId val="103070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83710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'Mec 2'!$B$13:$B$21</c:f>
            </c:strRef>
          </c:cat>
          <c:val>
            <c:numRef>
              <c:f>'Mec 2'!$A$13:$A$21</c:f>
              <c:numCache/>
            </c:numRef>
          </c:val>
          <c:smooth val="1"/>
        </c:ser>
        <c:axId val="1338837363"/>
        <c:axId val="971277782"/>
      </c:lineChart>
      <c:catAx>
        <c:axId val="1338837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277782"/>
      </c:catAx>
      <c:valAx>
        <c:axId val="971277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837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23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20</xdr:row>
      <xdr:rowOff>104775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100.0</v>
      </c>
      <c r="B2" s="1">
        <v>0.117</v>
      </c>
      <c r="C2" s="1">
        <f t="shared" ref="C2:C3" si="1">B3</f>
        <v>0.103</v>
      </c>
      <c r="D2" s="2">
        <f>(Const!F$19*B2) + Const!G$19</f>
        <v>21.64120753</v>
      </c>
      <c r="E2" s="2">
        <f>(Const!F$19*C2) + Const!G$19</f>
        <v>24.46793952</v>
      </c>
      <c r="F2" s="3">
        <f t="shared" ref="F2:F6" si="2">ABS(D2-E2)</f>
        <v>2.826731995</v>
      </c>
      <c r="G2" s="4">
        <f>F2*Const!B$12*309</f>
        <v>783493.7872</v>
      </c>
      <c r="H2" s="5">
        <f t="shared" ref="H2:H6" si="3">B$2+C2</f>
        <v>0.22</v>
      </c>
      <c r="I2" s="6">
        <f>(Const!F$19*H2) + Const!G$19</f>
        <v>0.844536423</v>
      </c>
      <c r="J2" s="4">
        <f>I2*Const!B$12*309</f>
        <v>234082.694</v>
      </c>
    </row>
    <row r="3">
      <c r="A3" s="4">
        <f t="shared" ref="A3:A6" si="4">A2 + 100</f>
        <v>200</v>
      </c>
      <c r="B3" s="1">
        <v>0.103</v>
      </c>
      <c r="C3" s="1">
        <f t="shared" si="1"/>
        <v>0.094</v>
      </c>
      <c r="D3" s="2">
        <f>(Const!F$19*B3) + Const!G$19</f>
        <v>24.46793952</v>
      </c>
      <c r="E3" s="2">
        <f>(Const!F$19*C3) + Const!G$19</f>
        <v>26.28512438</v>
      </c>
      <c r="F3" s="3">
        <f t="shared" si="2"/>
        <v>1.817184854</v>
      </c>
      <c r="G3" s="4">
        <f>F3*Const!B$12*309</f>
        <v>503674.5775</v>
      </c>
      <c r="H3" s="5">
        <f t="shared" si="3"/>
        <v>0.211</v>
      </c>
      <c r="I3" s="6">
        <f>(Const!F$19*H3) + Const!G$19</f>
        <v>2.661721277</v>
      </c>
      <c r="J3" s="4">
        <f>I3*Const!B$12*309</f>
        <v>737757.2714</v>
      </c>
    </row>
    <row r="4">
      <c r="A4" s="4">
        <f t="shared" si="4"/>
        <v>300</v>
      </c>
      <c r="B4" s="1">
        <v>0.094</v>
      </c>
      <c r="C4" s="1">
        <v>0.086</v>
      </c>
      <c r="D4" s="2">
        <f>(Const!F$19*B4) + Const!G$19</f>
        <v>26.28512438</v>
      </c>
      <c r="E4" s="2">
        <f>(Const!F$19*C4) + Const!G$19</f>
        <v>27.9003998</v>
      </c>
      <c r="F4" s="3">
        <f t="shared" si="2"/>
        <v>1.615275426</v>
      </c>
      <c r="G4" s="4">
        <f>F4*Const!B$12*309</f>
        <v>447710.7355</v>
      </c>
      <c r="H4" s="5">
        <f t="shared" si="3"/>
        <v>0.203</v>
      </c>
      <c r="I4" s="6">
        <f>(Const!F$19*H4) + Const!G$19</f>
        <v>4.276996702</v>
      </c>
      <c r="J4" s="4">
        <f>I4*Const!B$12*309</f>
        <v>1185468.007</v>
      </c>
    </row>
    <row r="5">
      <c r="A5" s="4">
        <f t="shared" si="4"/>
        <v>400</v>
      </c>
      <c r="B5" s="1">
        <v>0.087</v>
      </c>
      <c r="C5" s="1">
        <v>0.082</v>
      </c>
      <c r="D5" s="2">
        <f>(Const!F$19*B5) + Const!G$19</f>
        <v>27.69849037</v>
      </c>
      <c r="E5" s="2">
        <f>(Const!F$19*C5) + Const!G$19</f>
        <v>28.70803751</v>
      </c>
      <c r="F5" s="3">
        <f t="shared" si="2"/>
        <v>1.009547141</v>
      </c>
      <c r="G5" s="4">
        <f>F5*Const!B$12*309</f>
        <v>279819.2097</v>
      </c>
      <c r="H5" s="5">
        <f t="shared" si="3"/>
        <v>0.199</v>
      </c>
      <c r="I5" s="6">
        <f>(Const!F$19*H5) + Const!G$19</f>
        <v>5.084634415</v>
      </c>
      <c r="J5" s="4">
        <f>I5*Const!B$12*309</f>
        <v>1409323.375</v>
      </c>
    </row>
    <row r="6">
      <c r="A6" s="4">
        <f t="shared" si="4"/>
        <v>500</v>
      </c>
      <c r="B6" s="1">
        <v>0.082</v>
      </c>
      <c r="C6" s="1">
        <v>0.075</v>
      </c>
      <c r="D6" s="2">
        <f>(Const!F$19*B6) + Const!G$19</f>
        <v>28.70803751</v>
      </c>
      <c r="E6" s="2">
        <f>(Const!F$19*C6) + Const!G$19</f>
        <v>30.12140351</v>
      </c>
      <c r="F6" s="3">
        <f t="shared" si="2"/>
        <v>1.413365997</v>
      </c>
      <c r="G6" s="4">
        <f>F6*Const!B$12*309</f>
        <v>391746.8936</v>
      </c>
      <c r="H6" s="5">
        <f t="shared" si="3"/>
        <v>0.192</v>
      </c>
      <c r="I6" s="6">
        <f>(Const!F$19*H6) + Const!G$19</f>
        <v>6.498000412</v>
      </c>
      <c r="J6" s="4">
        <f>I6*Const!B$12*309</f>
        <v>1801070.268</v>
      </c>
    </row>
    <row r="7">
      <c r="D7" s="2">
        <v>30.121403511445976</v>
      </c>
    </row>
    <row r="13">
      <c r="A13" s="4">
        <f>2 * PI() * Const!B$11</f>
        <v>5734.254823</v>
      </c>
      <c r="B13" s="4">
        <f t="shared" ref="B13:B17" si="5">J2</f>
        <v>234082.694</v>
      </c>
      <c r="C13" s="7">
        <f t="shared" ref="C13:C17" si="6">(H$13*B13) + I$13</f>
        <v>4758.211449</v>
      </c>
      <c r="D13" s="4">
        <f t="shared" ref="D13:D17" si="7">pow(A13-C13, 2)</f>
        <v>952660.6681</v>
      </c>
      <c r="E13" s="4">
        <f t="shared" ref="E13:E17" si="8">POW(B13,2)</f>
        <v>54794707613</v>
      </c>
      <c r="H13" s="8">
        <f t="array" ref="H13:I13">LINEST(A13:A17,B13:B17)</f>
        <v>0.01482451596</v>
      </c>
      <c r="I13" s="7">
        <v>1288.0488163548648</v>
      </c>
    </row>
    <row r="14">
      <c r="A14" s="4">
        <f t="shared" ref="A14:A17" si="9">A13+A$13</f>
        <v>11468.50965</v>
      </c>
      <c r="B14" s="4">
        <f t="shared" si="5"/>
        <v>737757.2714</v>
      </c>
      <c r="C14" s="7">
        <f t="shared" si="6"/>
        <v>12224.94326</v>
      </c>
      <c r="D14" s="4">
        <f t="shared" si="7"/>
        <v>572191.8138</v>
      </c>
      <c r="E14" s="4">
        <f t="shared" si="8"/>
        <v>544285791558</v>
      </c>
      <c r="H14" s="4">
        <f>RSQ(A13:A17,B13:B17)</f>
        <v>0.9838297872</v>
      </c>
    </row>
    <row r="15">
      <c r="A15" s="4">
        <f t="shared" si="9"/>
        <v>17202.76447</v>
      </c>
      <c r="B15" s="4">
        <f t="shared" si="5"/>
        <v>1185468.007</v>
      </c>
      <c r="C15" s="7">
        <f t="shared" si="6"/>
        <v>18862.0382</v>
      </c>
      <c r="D15" s="4">
        <f t="shared" si="7"/>
        <v>2753189.331</v>
      </c>
      <c r="E15" s="4">
        <f t="shared" si="8"/>
        <v>1405334395547</v>
      </c>
      <c r="G15" s="7">
        <f>SQRT(D18/(COUNT(E13:E17) - 2))</f>
        <v>1331.294778</v>
      </c>
      <c r="H15" s="8">
        <f>G15*SQRT(COUNT(E13:E17)/((COUNT(E13:E17) * E18) - (POW(A18,2))))</f>
        <v>0.0004950117924</v>
      </c>
      <c r="I15" s="7">
        <f>G15*SQRT(E18/((COUNT(E13:E17) * E18) - (POW(A18,2))))</f>
        <v>595.4340198</v>
      </c>
    </row>
    <row r="16">
      <c r="A16" s="4">
        <f t="shared" si="9"/>
        <v>22937.01929</v>
      </c>
      <c r="B16" s="4">
        <f t="shared" si="5"/>
        <v>1409323.375</v>
      </c>
      <c r="C16" s="7">
        <f t="shared" si="6"/>
        <v>22180.58568</v>
      </c>
      <c r="D16" s="4">
        <f t="shared" si="7"/>
        <v>572191.8138</v>
      </c>
      <c r="E16" s="4">
        <f t="shared" si="8"/>
        <v>1986192374574</v>
      </c>
      <c r="H16" s="3">
        <f>H15/H13 * 100</f>
        <v>3.339143037</v>
      </c>
    </row>
    <row r="17">
      <c r="A17" s="4">
        <f t="shared" si="9"/>
        <v>28671.27411</v>
      </c>
      <c r="B17" s="4">
        <f t="shared" si="5"/>
        <v>1801070.268</v>
      </c>
      <c r="C17" s="7">
        <f t="shared" si="6"/>
        <v>27988.04375</v>
      </c>
      <c r="D17" s="4">
        <f t="shared" si="7"/>
        <v>466803.7274</v>
      </c>
      <c r="E17" s="4">
        <f t="shared" si="8"/>
        <v>3243854111445</v>
      </c>
    </row>
    <row r="18">
      <c r="A18" s="4">
        <f t="shared" ref="A18:B18" si="10">SUM(A13:A17)</f>
        <v>86013.82234</v>
      </c>
      <c r="B18" s="4">
        <f t="shared" si="10"/>
        <v>5367701.615</v>
      </c>
      <c r="D18" s="9">
        <f t="shared" ref="D18:E18" si="11">SUM(D13:D17)</f>
        <v>5317037.354</v>
      </c>
      <c r="E18" s="4">
        <f t="shared" si="11"/>
        <v>7234461380738</v>
      </c>
      <c r="H18" s="4">
        <f>0.00134*131.2</f>
        <v>0.175808</v>
      </c>
      <c r="I18" s="10">
        <f>H13*0.00134*131.2</f>
        <v>0.002606268502</v>
      </c>
    </row>
    <row r="22">
      <c r="C22" s="4">
        <f t="array" ref="C22:G22">TRANSPOSE(A13:A17)</f>
        <v>5734.254823</v>
      </c>
      <c r="D22" s="4">
        <v>11468.509645635684</v>
      </c>
      <c r="E22" s="4">
        <v>17202.764468453526</v>
      </c>
      <c r="F22" s="4">
        <v>22937.01929127137</v>
      </c>
      <c r="G22" s="4">
        <v>28671.27411408921</v>
      </c>
    </row>
    <row r="23">
      <c r="C23" s="4">
        <f t="array" ref="C23:G23">TRANSPOSE(B13:B17)</f>
        <v>234082.694</v>
      </c>
      <c r="D23" s="4">
        <v>737757.2714371145</v>
      </c>
      <c r="E23" s="4">
        <v>1185468.0069689327</v>
      </c>
      <c r="F23" s="4">
        <v>1409323.3747348418</v>
      </c>
      <c r="G23" s="4">
        <v>1801070.2683251828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50.0</v>
      </c>
      <c r="B2" s="1">
        <v>0.123</v>
      </c>
      <c r="C2" s="1">
        <v>0.118</v>
      </c>
      <c r="D2" s="2">
        <f>(Const!F$19*B2) + Const!G$19</f>
        <v>20.42975096</v>
      </c>
      <c r="E2" s="2">
        <f>(Const!F$19*C2) + Const!G$19</f>
        <v>21.4392981</v>
      </c>
      <c r="F2" s="3">
        <f t="shared" ref="F2:F10" si="1">ABS(D2-E2)</f>
        <v>1.009547141</v>
      </c>
      <c r="G2" s="4">
        <f>F2*Const!B$12*309</f>
        <v>279819.2097</v>
      </c>
      <c r="H2" s="5">
        <f t="shared" ref="H2:H10" si="2">B$2+C2</f>
        <v>0.241</v>
      </c>
      <c r="I2" s="6">
        <f>(Const!F$19*H2) + Const!G$19 + 5</f>
        <v>1.604438431</v>
      </c>
      <c r="J2" s="4">
        <f>I2*Const!B$12*309</f>
        <v>444707.0132</v>
      </c>
    </row>
    <row r="3">
      <c r="A3" s="4">
        <f t="shared" ref="A3:A10" si="3">A2 + 50</f>
        <v>100</v>
      </c>
      <c r="B3" s="4">
        <f t="shared" ref="B3:B10" si="4">C2</f>
        <v>0.118</v>
      </c>
      <c r="C3" s="1">
        <v>0.102</v>
      </c>
      <c r="D3" s="2">
        <f>(Const!F$19*B3) + Const!G$19</f>
        <v>21.4392981</v>
      </c>
      <c r="E3" s="2">
        <f>(Const!F$19*C3) + Const!G$19</f>
        <v>24.66984895</v>
      </c>
      <c r="F3" s="3">
        <f t="shared" si="1"/>
        <v>3.230550851</v>
      </c>
      <c r="G3" s="4">
        <f>F3*Const!B$12*309</f>
        <v>895421.4711</v>
      </c>
      <c r="H3" s="5">
        <f t="shared" si="2"/>
        <v>0.225</v>
      </c>
      <c r="I3" s="6">
        <f>(Const!F$19*H3) + Const!G$19 + 5</f>
        <v>4.834989282</v>
      </c>
      <c r="J3" s="4">
        <f>I3*Const!B$12*309</f>
        <v>1340128.484</v>
      </c>
    </row>
    <row r="4">
      <c r="A4" s="4">
        <f t="shared" si="3"/>
        <v>150</v>
      </c>
      <c r="B4" s="4">
        <f t="shared" si="4"/>
        <v>0.102</v>
      </c>
      <c r="C4" s="1">
        <v>0.094</v>
      </c>
      <c r="D4" s="2">
        <f>(Const!F$19*B4) + Const!G$19</f>
        <v>24.66984895</v>
      </c>
      <c r="E4" s="2">
        <f>(Const!F$19*C4) + Const!G$19</f>
        <v>26.28512438</v>
      </c>
      <c r="F4" s="3">
        <f t="shared" si="1"/>
        <v>1.615275426</v>
      </c>
      <c r="G4" s="4">
        <f>F4*Const!B$12*309</f>
        <v>447710.7355</v>
      </c>
      <c r="H4" s="5">
        <f t="shared" si="2"/>
        <v>0.217</v>
      </c>
      <c r="I4" s="6">
        <f>(Const!F$19*H4) + Const!G$19 + 5</f>
        <v>6.450264708</v>
      </c>
      <c r="J4" s="4">
        <f>I4*Const!B$12*309</f>
        <v>1787839.22</v>
      </c>
    </row>
    <row r="5">
      <c r="A5" s="4">
        <f t="shared" si="3"/>
        <v>200</v>
      </c>
      <c r="B5" s="4">
        <f t="shared" si="4"/>
        <v>0.094</v>
      </c>
      <c r="C5" s="1">
        <v>0.088</v>
      </c>
      <c r="D5" s="2">
        <f>(Const!F$19*B5) + Const!G$19</f>
        <v>26.28512438</v>
      </c>
      <c r="E5" s="2">
        <f>(Const!F$19*C5) + Const!G$19</f>
        <v>27.49658094</v>
      </c>
      <c r="F5" s="3">
        <f t="shared" si="1"/>
        <v>1.211456569</v>
      </c>
      <c r="G5" s="4">
        <f>F5*Const!B$12*309</f>
        <v>335783.0516</v>
      </c>
      <c r="H5" s="5">
        <f t="shared" si="2"/>
        <v>0.211</v>
      </c>
      <c r="I5" s="6">
        <f>(Const!F$19*H5) + Const!G$19 + 5</f>
        <v>7.661721277</v>
      </c>
      <c r="J5" s="4">
        <f>I5*Const!B$12*309</f>
        <v>2123622.271</v>
      </c>
    </row>
    <row r="6">
      <c r="A6" s="4">
        <f t="shared" si="3"/>
        <v>250</v>
      </c>
      <c r="B6" s="4">
        <f t="shared" si="4"/>
        <v>0.088</v>
      </c>
      <c r="C6" s="1">
        <v>0.083</v>
      </c>
      <c r="D6" s="2">
        <f>(Const!F$19*B6) + Const!G$19</f>
        <v>27.49658094</v>
      </c>
      <c r="E6" s="2">
        <f>(Const!F$19*C6) + Const!G$19</f>
        <v>28.50612809</v>
      </c>
      <c r="F6" s="3">
        <f t="shared" si="1"/>
        <v>1.009547141</v>
      </c>
      <c r="G6" s="4">
        <f>F6*Const!B$12*309</f>
        <v>279819.2097</v>
      </c>
      <c r="H6" s="5">
        <f t="shared" si="2"/>
        <v>0.206</v>
      </c>
      <c r="I6" s="6">
        <f>(Const!F$19*H6) + Const!G$19 + 5</f>
        <v>8.671268418</v>
      </c>
      <c r="J6" s="4">
        <f>I6*Const!B$12*309</f>
        <v>2403441.481</v>
      </c>
    </row>
    <row r="7">
      <c r="A7" s="4">
        <f t="shared" si="3"/>
        <v>300</v>
      </c>
      <c r="B7" s="4">
        <f t="shared" si="4"/>
        <v>0.083</v>
      </c>
      <c r="C7" s="1">
        <v>0.081</v>
      </c>
      <c r="D7" s="2">
        <f>(Const!F$19*B7) + Const!G$19</f>
        <v>28.50612809</v>
      </c>
      <c r="E7" s="2">
        <f>(Const!F$19*C7) + Const!G$19</f>
        <v>28.90994694</v>
      </c>
      <c r="F7" s="3">
        <f t="shared" si="1"/>
        <v>0.4038188564</v>
      </c>
      <c r="G7" s="4">
        <f>F7*Const!B$12*309</f>
        <v>111927.6839</v>
      </c>
      <c r="H7" s="5">
        <f t="shared" si="2"/>
        <v>0.204</v>
      </c>
      <c r="I7" s="6">
        <f>(Const!F$19*H7) + Const!G$19 + 5</f>
        <v>9.075087274</v>
      </c>
      <c r="J7" s="4">
        <f>I7*Const!B$12*309</f>
        <v>2515369.165</v>
      </c>
    </row>
    <row r="8">
      <c r="A8" s="4">
        <f t="shared" si="3"/>
        <v>350</v>
      </c>
      <c r="B8" s="4">
        <f t="shared" si="4"/>
        <v>0.081</v>
      </c>
      <c r="C8" s="1">
        <v>0.078</v>
      </c>
      <c r="D8" s="2">
        <f>(Const!F$19*B8) + Const!G$19</f>
        <v>28.90994694</v>
      </c>
      <c r="E8" s="2">
        <f>(Const!F$19*C8) + Const!G$19</f>
        <v>29.51567523</v>
      </c>
      <c r="F8" s="3">
        <f t="shared" si="1"/>
        <v>0.6057282846</v>
      </c>
      <c r="G8" s="4">
        <f>F8*Const!B$12*309</f>
        <v>167891.5258</v>
      </c>
      <c r="H8" s="5">
        <f t="shared" si="2"/>
        <v>0.201</v>
      </c>
      <c r="I8" s="6">
        <f>(Const!F$19*H8) + Const!G$19 + 5</f>
        <v>9.680815559</v>
      </c>
      <c r="J8" s="4">
        <f>I8*Const!B$12*309</f>
        <v>2683260.691</v>
      </c>
    </row>
    <row r="9">
      <c r="A9" s="4">
        <f t="shared" si="3"/>
        <v>400</v>
      </c>
      <c r="B9" s="4">
        <f t="shared" si="4"/>
        <v>0.078</v>
      </c>
      <c r="C9" s="1">
        <v>0.075</v>
      </c>
      <c r="D9" s="2">
        <f>(Const!F$19*B9) + Const!G$19</f>
        <v>29.51567523</v>
      </c>
      <c r="E9" s="2">
        <f>(Const!F$19*C9) + Const!G$19</f>
        <v>30.12140351</v>
      </c>
      <c r="F9" s="3">
        <f t="shared" si="1"/>
        <v>0.6057282846</v>
      </c>
      <c r="G9" s="4">
        <f>F9*Const!B$12*309</f>
        <v>167891.5258</v>
      </c>
      <c r="H9" s="5">
        <f t="shared" si="2"/>
        <v>0.198</v>
      </c>
      <c r="I9" s="6">
        <f>(Const!F$19*H9) + Const!G$19 + 5</f>
        <v>10.28654384</v>
      </c>
      <c r="J9" s="4">
        <f>I9*Const!B$12*309</f>
        <v>2851152.217</v>
      </c>
    </row>
    <row r="10">
      <c r="A10" s="4">
        <f t="shared" si="3"/>
        <v>450</v>
      </c>
      <c r="B10" s="4">
        <f t="shared" si="4"/>
        <v>0.075</v>
      </c>
      <c r="C10" s="1">
        <v>0.072</v>
      </c>
      <c r="D10" s="2">
        <f>(Const!F$19*B10) + Const!G$19</f>
        <v>30.12140351</v>
      </c>
      <c r="E10" s="2">
        <f>(Const!F$19*C10) + Const!G$19</f>
        <v>30.7271318</v>
      </c>
      <c r="F10" s="3">
        <f t="shared" si="1"/>
        <v>0.6057282846</v>
      </c>
      <c r="G10" s="4">
        <f>F10*Const!B$12*309</f>
        <v>167891.5258</v>
      </c>
      <c r="H10" s="5">
        <f t="shared" si="2"/>
        <v>0.195</v>
      </c>
      <c r="I10" s="6">
        <f>(Const!F$19*H10) + Const!G$19 + 5</f>
        <v>10.89227213</v>
      </c>
      <c r="J10" s="4">
        <f>I10*Const!B$12*309</f>
        <v>3019043.743</v>
      </c>
    </row>
    <row r="11">
      <c r="C11" s="1" t="str">
        <f>B12</f>
        <v/>
      </c>
    </row>
    <row r="13">
      <c r="A13" s="4">
        <f>PI() * Const!B$11</f>
        <v>2867.127411</v>
      </c>
      <c r="B13" s="4">
        <f t="shared" ref="B13:B21" si="5">J2</f>
        <v>444707.0132</v>
      </c>
      <c r="C13" s="4">
        <f t="shared" ref="C13:C21" si="6">LN(A13)</f>
        <v>7.961065906</v>
      </c>
      <c r="D13" s="4">
        <f t="shared" ref="D13:D14" si="7">RSQ(B13:B21,A13:A21)</f>
        <v>0.88987033</v>
      </c>
      <c r="E13" s="4">
        <f t="array" ref="E13:F13">LINEST(B13:B21,A13:A21)</f>
        <v>98.89694172</v>
      </c>
      <c r="F13" s="4">
        <v>712089.8135798592</v>
      </c>
    </row>
    <row r="14">
      <c r="A14" s="4">
        <f t="shared" ref="A14:A21" si="8">A13+A$13</f>
        <v>5734.254823</v>
      </c>
      <c r="B14" s="4">
        <f t="shared" si="5"/>
        <v>1340128.484</v>
      </c>
      <c r="C14" s="4">
        <f t="shared" si="6"/>
        <v>8.654213086</v>
      </c>
      <c r="D14" s="4">
        <f t="shared" si="7"/>
        <v>0.9509491154</v>
      </c>
      <c r="E14" s="4">
        <f t="array" ref="E14:F14">LINEST(B14:B21,A14:A21)</f>
        <v>78.30890357</v>
      </c>
      <c r="F14" s="4">
        <v>1105613.3370731021</v>
      </c>
    </row>
    <row r="15">
      <c r="A15" s="4">
        <f t="shared" si="8"/>
        <v>8601.382234</v>
      </c>
      <c r="B15" s="4">
        <f t="shared" si="5"/>
        <v>1787839.22</v>
      </c>
      <c r="C15" s="4">
        <f t="shared" si="6"/>
        <v>9.059678194</v>
      </c>
    </row>
    <row r="16">
      <c r="A16" s="4">
        <f t="shared" si="8"/>
        <v>11468.50965</v>
      </c>
      <c r="B16" s="4">
        <f t="shared" si="5"/>
        <v>2123622.271</v>
      </c>
      <c r="C16" s="4">
        <f t="shared" si="6"/>
        <v>9.347360267</v>
      </c>
    </row>
    <row r="17">
      <c r="A17" s="4">
        <f t="shared" si="8"/>
        <v>14335.63706</v>
      </c>
      <c r="B17" s="4">
        <f t="shared" si="5"/>
        <v>2403441.481</v>
      </c>
      <c r="C17" s="4">
        <f t="shared" si="6"/>
        <v>9.570503818</v>
      </c>
    </row>
    <row r="18">
      <c r="A18" s="4">
        <f t="shared" si="8"/>
        <v>17202.76447</v>
      </c>
      <c r="B18" s="4">
        <f t="shared" si="5"/>
        <v>2515369.165</v>
      </c>
      <c r="C18" s="4">
        <f t="shared" si="6"/>
        <v>9.752825375</v>
      </c>
    </row>
    <row r="19">
      <c r="A19" s="4">
        <f t="shared" si="8"/>
        <v>20069.89188</v>
      </c>
      <c r="B19" s="4">
        <f t="shared" si="5"/>
        <v>2683260.691</v>
      </c>
      <c r="C19" s="4">
        <f t="shared" si="6"/>
        <v>9.906976055</v>
      </c>
    </row>
    <row r="20">
      <c r="A20" s="4">
        <f t="shared" si="8"/>
        <v>22937.01929</v>
      </c>
      <c r="B20" s="4">
        <f t="shared" si="5"/>
        <v>2851152.217</v>
      </c>
      <c r="C20" s="4">
        <f t="shared" si="6"/>
        <v>10.04050745</v>
      </c>
    </row>
    <row r="21">
      <c r="A21" s="4">
        <f t="shared" si="8"/>
        <v>25804.1467</v>
      </c>
      <c r="B21" s="4">
        <f t="shared" si="5"/>
        <v>3019043.743</v>
      </c>
      <c r="C21" s="4">
        <f t="shared" si="6"/>
        <v>10.15829048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8</v>
      </c>
    </row>
    <row r="2">
      <c r="A2" s="1">
        <v>0.0</v>
      </c>
      <c r="B2" s="1">
        <v>19.0</v>
      </c>
      <c r="E2" s="1" t="s">
        <v>12</v>
      </c>
      <c r="F2" s="1">
        <v>9.98</v>
      </c>
    </row>
    <row r="3">
      <c r="A3" s="1">
        <v>50.0</v>
      </c>
      <c r="B3" s="1">
        <v>19.5</v>
      </c>
      <c r="E3" s="1" t="s">
        <v>13</v>
      </c>
      <c r="F3" s="1">
        <v>2.01</v>
      </c>
    </row>
    <row r="4">
      <c r="A4" s="1">
        <v>100.0</v>
      </c>
      <c r="B4" s="1">
        <v>19.8</v>
      </c>
    </row>
    <row r="5">
      <c r="A5" s="1">
        <v>150.0</v>
      </c>
      <c r="B5" s="1">
        <v>20.0</v>
      </c>
      <c r="E5" s="1" t="s">
        <v>14</v>
      </c>
      <c r="F5" s="4">
        <f>F2*F3</f>
        <v>20.0598</v>
      </c>
    </row>
    <row r="6">
      <c r="A6" s="1">
        <v>200.0</v>
      </c>
      <c r="B6" s="1">
        <v>20.0</v>
      </c>
    </row>
    <row r="7">
      <c r="A7" s="1">
        <v>250.0</v>
      </c>
      <c r="B7" s="1">
        <v>21.0</v>
      </c>
    </row>
    <row r="8">
      <c r="A8" s="1">
        <v>300.0</v>
      </c>
      <c r="B8" s="1">
        <v>21.0</v>
      </c>
    </row>
    <row r="9">
      <c r="A9" s="1">
        <v>350.0</v>
      </c>
      <c r="B9" s="1">
        <v>22.0</v>
      </c>
    </row>
    <row r="10">
      <c r="A10" s="1">
        <v>400.0</v>
      </c>
      <c r="B10" s="1">
        <v>23.0</v>
      </c>
    </row>
    <row r="11">
      <c r="A11" s="1">
        <v>450.0</v>
      </c>
      <c r="B11" s="1">
        <v>23.0</v>
      </c>
    </row>
    <row r="12">
      <c r="A12" s="1">
        <v>500.0</v>
      </c>
      <c r="B12" s="1">
        <v>24.0</v>
      </c>
    </row>
    <row r="13">
      <c r="A13" s="1">
        <v>550.0</v>
      </c>
      <c r="B13" s="1">
        <v>25.0</v>
      </c>
    </row>
    <row r="14">
      <c r="A14" s="1">
        <v>600.0</v>
      </c>
      <c r="B14" s="1">
        <v>26.0</v>
      </c>
    </row>
    <row r="15">
      <c r="A15" s="1">
        <v>650.0</v>
      </c>
      <c r="B15" s="1">
        <v>27.0</v>
      </c>
    </row>
    <row r="16">
      <c r="A16" s="1">
        <v>700.0</v>
      </c>
      <c r="B16" s="1">
        <v>28.0</v>
      </c>
    </row>
    <row r="17">
      <c r="A17" s="1">
        <v>750.0</v>
      </c>
      <c r="B17" s="1">
        <v>28.5</v>
      </c>
    </row>
    <row r="18">
      <c r="A18" s="1">
        <v>800.0</v>
      </c>
      <c r="B18" s="1">
        <v>29.0</v>
      </c>
    </row>
    <row r="19">
      <c r="A19" s="1">
        <v>850.0</v>
      </c>
      <c r="B19" s="1">
        <v>30.0</v>
      </c>
    </row>
    <row r="20">
      <c r="A20" s="1">
        <v>900.0</v>
      </c>
      <c r="B20" s="1">
        <v>30.5</v>
      </c>
    </row>
    <row r="21">
      <c r="A21" s="1">
        <v>950.0</v>
      </c>
      <c r="B21" s="1">
        <v>31.0</v>
      </c>
    </row>
    <row r="22">
      <c r="A22" s="1">
        <v>1000.0</v>
      </c>
      <c r="B22" s="1">
        <v>32.0</v>
      </c>
    </row>
    <row r="23">
      <c r="A23" s="1">
        <v>1050.0</v>
      </c>
      <c r="B23" s="1">
        <v>33.0</v>
      </c>
    </row>
    <row r="24">
      <c r="A24" s="1">
        <v>1100.0</v>
      </c>
      <c r="B24" s="1">
        <v>34.0</v>
      </c>
    </row>
    <row r="25">
      <c r="A25" s="1">
        <v>1150.0</v>
      </c>
      <c r="B25" s="1">
        <v>35.0</v>
      </c>
    </row>
    <row r="26">
      <c r="A26" s="1">
        <v>1200.0</v>
      </c>
      <c r="B26" s="1">
        <v>35.5</v>
      </c>
    </row>
    <row r="27">
      <c r="A27" s="1">
        <v>1250.0</v>
      </c>
      <c r="B27" s="1">
        <v>36.0</v>
      </c>
    </row>
    <row r="28">
      <c r="A28" s="1">
        <v>1300.0</v>
      </c>
      <c r="B28" s="1">
        <v>37.0</v>
      </c>
    </row>
    <row r="29">
      <c r="A29" s="1">
        <v>1350.0</v>
      </c>
      <c r="B29" s="1">
        <v>38.0</v>
      </c>
    </row>
    <row r="30">
      <c r="A30" s="1">
        <v>1400.0</v>
      </c>
      <c r="B30" s="1">
        <v>39.0</v>
      </c>
    </row>
    <row r="31">
      <c r="A31" s="1">
        <v>1450.0</v>
      </c>
      <c r="B31" s="1">
        <v>39.0</v>
      </c>
    </row>
    <row r="32">
      <c r="A32" s="1">
        <v>1500.0</v>
      </c>
      <c r="B32" s="1">
        <v>40.0</v>
      </c>
    </row>
    <row r="33">
      <c r="A33" s="1">
        <v>1550.0</v>
      </c>
      <c r="B33" s="1">
        <v>41.0</v>
      </c>
    </row>
    <row r="34">
      <c r="A34" s="1">
        <v>1600.0</v>
      </c>
      <c r="B34" s="1">
        <v>41.5</v>
      </c>
    </row>
    <row r="35">
      <c r="A35" s="1">
        <v>1650.0</v>
      </c>
      <c r="B35" s="1">
        <v>42.0</v>
      </c>
    </row>
    <row r="36">
      <c r="A36" s="1">
        <v>1700.0</v>
      </c>
      <c r="B36" s="1">
        <v>43.0</v>
      </c>
    </row>
    <row r="37">
      <c r="A37" s="1">
        <v>1750.0</v>
      </c>
      <c r="B37" s="1">
        <v>44.0</v>
      </c>
    </row>
    <row r="38">
      <c r="A38" s="1">
        <v>1800.0</v>
      </c>
      <c r="B38" s="1">
        <v>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8</v>
      </c>
    </row>
    <row r="2">
      <c r="A2" s="1">
        <v>0.0</v>
      </c>
      <c r="B2" s="1">
        <v>20.0</v>
      </c>
    </row>
    <row r="3">
      <c r="A3" s="1">
        <v>1.0</v>
      </c>
      <c r="B3" s="1">
        <v>20.0</v>
      </c>
    </row>
    <row r="4">
      <c r="A4" s="1">
        <v>2.0</v>
      </c>
      <c r="B4" s="1">
        <v>21.0</v>
      </c>
    </row>
    <row r="5">
      <c r="A5" s="1">
        <v>3.0</v>
      </c>
      <c r="B5" s="1">
        <v>22.0</v>
      </c>
    </row>
    <row r="6">
      <c r="A6" s="1">
        <v>4.0</v>
      </c>
      <c r="B6" s="1">
        <v>32.0</v>
      </c>
    </row>
    <row r="7">
      <c r="A7" s="1">
        <v>5.0</v>
      </c>
      <c r="B7" s="1">
        <v>33.0</v>
      </c>
    </row>
    <row r="8">
      <c r="A8" s="1">
        <v>6.0</v>
      </c>
      <c r="B8" s="1">
        <v>24.0</v>
      </c>
    </row>
    <row r="9">
      <c r="A9" s="1">
        <v>7.0</v>
      </c>
      <c r="B9" s="1">
        <v>25.0</v>
      </c>
    </row>
    <row r="10">
      <c r="A10" s="1">
        <v>8.0</v>
      </c>
      <c r="B10" s="1">
        <v>26.0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15</v>
      </c>
      <c r="B1" s="11" t="s">
        <v>16</v>
      </c>
      <c r="C1" s="11"/>
      <c r="D1" s="11"/>
      <c r="E1" s="11"/>
      <c r="F1" s="11"/>
    </row>
    <row r="2">
      <c r="A2" s="12" t="s">
        <v>17</v>
      </c>
      <c r="B2" s="11"/>
      <c r="C2" s="13">
        <v>2.5</v>
      </c>
      <c r="D2" s="13"/>
      <c r="E2" s="13"/>
      <c r="F2" s="11"/>
    </row>
    <row r="3">
      <c r="A3" s="11" t="s">
        <v>18</v>
      </c>
      <c r="B3" s="11"/>
      <c r="C3" s="11"/>
      <c r="D3" s="11"/>
      <c r="E3" s="11"/>
      <c r="F3" s="11"/>
    </row>
    <row r="4">
      <c r="A4" s="11" t="s">
        <v>19</v>
      </c>
      <c r="B4" s="11"/>
      <c r="C4" s="11"/>
      <c r="D4" s="11"/>
      <c r="E4" s="11"/>
      <c r="F4" s="11"/>
    </row>
    <row r="5">
      <c r="A5" s="11" t="s">
        <v>20</v>
      </c>
      <c r="B5" s="11" t="s">
        <v>21</v>
      </c>
      <c r="C5" s="11"/>
      <c r="D5" s="11"/>
      <c r="E5" s="11"/>
      <c r="F5" s="11"/>
    </row>
    <row r="6">
      <c r="A6" s="11" t="s">
        <v>22</v>
      </c>
      <c r="B6" s="11" t="s">
        <v>23</v>
      </c>
      <c r="C6" s="11"/>
      <c r="D6" s="11"/>
      <c r="E6" s="11"/>
      <c r="F6" s="11"/>
    </row>
    <row r="8">
      <c r="A8" s="1" t="s">
        <v>24</v>
      </c>
      <c r="B8" s="4">
        <f>5.23/2</f>
        <v>2.615</v>
      </c>
      <c r="C8" s="1">
        <v>0.005</v>
      </c>
      <c r="D8" s="1"/>
      <c r="E8" s="1"/>
    </row>
    <row r="10">
      <c r="B10" s="1">
        <v>50.0</v>
      </c>
      <c r="C10" s="1">
        <v>100.0</v>
      </c>
    </row>
    <row r="11">
      <c r="A11" s="1" t="s">
        <v>25</v>
      </c>
      <c r="B11" s="4">
        <f>3.49*50*B8*2</f>
        <v>912.635</v>
      </c>
      <c r="C11" s="4">
        <f>B11*2</f>
        <v>1825.27</v>
      </c>
    </row>
    <row r="12">
      <c r="A12" s="1" t="s">
        <v>26</v>
      </c>
      <c r="B12" s="1">
        <v>897.0</v>
      </c>
    </row>
    <row r="18">
      <c r="A18" s="1" t="s">
        <v>7</v>
      </c>
      <c r="B18" s="1" t="s">
        <v>27</v>
      </c>
      <c r="C18" s="1" t="s">
        <v>8</v>
      </c>
      <c r="D18" s="1"/>
      <c r="E18" s="1"/>
      <c r="F18" s="1" t="s">
        <v>28</v>
      </c>
      <c r="G18" s="1" t="s">
        <v>29</v>
      </c>
    </row>
    <row r="19">
      <c r="A19" s="1">
        <v>120.81</v>
      </c>
      <c r="B19" s="4">
        <f t="shared" ref="B19:B25" si="1">A19/1000</f>
        <v>0.12081</v>
      </c>
      <c r="C19" s="1">
        <v>21.0</v>
      </c>
      <c r="D19" s="1"/>
      <c r="E19" s="1"/>
      <c r="F19" s="4">
        <f t="array" ref="F19:G19">LINEST(C19:C25,B19:B25)</f>
        <v>-201.9094282</v>
      </c>
      <c r="G19" s="3">
        <v>45.264610626175006</v>
      </c>
      <c r="H19" s="4">
        <f>RSQ(B19:B25,C19:C25)</f>
        <v>0.9979229268</v>
      </c>
    </row>
    <row r="20">
      <c r="A20" s="1">
        <v>115.19</v>
      </c>
      <c r="B20" s="4">
        <f t="shared" si="1"/>
        <v>0.11519</v>
      </c>
      <c r="C20" s="4">
        <f t="shared" ref="C20:C25" si="2">C19+1</f>
        <v>22</v>
      </c>
    </row>
    <row r="21">
      <c r="A21" s="1">
        <v>109.85</v>
      </c>
      <c r="B21" s="4">
        <f t="shared" si="1"/>
        <v>0.10985</v>
      </c>
      <c r="C21" s="4">
        <f t="shared" si="2"/>
        <v>23</v>
      </c>
    </row>
    <row r="22">
      <c r="A22" s="1">
        <v>104.8</v>
      </c>
      <c r="B22" s="4">
        <f t="shared" si="1"/>
        <v>0.1048</v>
      </c>
      <c r="C22" s="4">
        <f t="shared" si="2"/>
        <v>24</v>
      </c>
      <c r="F22" s="3"/>
    </row>
    <row r="23">
      <c r="A23" s="1">
        <v>100.0</v>
      </c>
      <c r="B23" s="4">
        <f t="shared" si="1"/>
        <v>0.1</v>
      </c>
      <c r="C23" s="4">
        <f t="shared" si="2"/>
        <v>25</v>
      </c>
    </row>
    <row r="24">
      <c r="A24" s="1">
        <v>95.447</v>
      </c>
      <c r="B24" s="4">
        <f t="shared" si="1"/>
        <v>0.095447</v>
      </c>
      <c r="C24" s="4">
        <f t="shared" si="2"/>
        <v>26</v>
      </c>
    </row>
    <row r="25">
      <c r="A25" s="1">
        <v>91.126</v>
      </c>
      <c r="B25" s="4">
        <f t="shared" si="1"/>
        <v>0.091126</v>
      </c>
      <c r="C25" s="4">
        <f t="shared" si="2"/>
        <v>27</v>
      </c>
    </row>
  </sheetData>
  <drawing r:id="rId1"/>
</worksheet>
</file>