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work\data_pengusahaan\assets\"/>
    </mc:Choice>
  </mc:AlternateContent>
  <xr:revisionPtr revIDLastSave="0" documentId="12_ncr:500000_{BE4C060E-8DF4-4A94-B9D2-8834294286C2}" xr6:coauthVersionLast="31" xr6:coauthVersionMax="31" xr10:uidLastSave="{00000000-0000-0000-0000-000000000000}"/>
  <bookViews>
    <workbookView xWindow="0" yWindow="0" windowWidth="20490" windowHeight="7545" tabRatio="612" xr2:uid="{00000000-000D-0000-FFFF-FFFF00000000}"/>
  </bookViews>
  <sheets>
    <sheet name="Data Pengusahaan" sheetId="18" r:id="rId1"/>
    <sheet name="daus-10" sheetId="6" state="hidden" r:id="rId2"/>
  </sheets>
  <definedNames>
    <definedName name="_xlnm.Print_Area" localSheetId="0">'Data Pengusahaan'!$A$1:$R$1</definedName>
    <definedName name="_xlnm.Print_Titles" localSheetId="0">'Data Pengusahaan'!$1:$1</definedName>
    <definedName name="_xlnm.Print_Titles" localSheetId="1">'daus-10'!$1:$7</definedName>
  </definedNames>
  <calcPr calcId="162913"/>
</workbook>
</file>

<file path=xl/calcChain.xml><?xml version="1.0" encoding="utf-8"?>
<calcChain xmlns="http://schemas.openxmlformats.org/spreadsheetml/2006/main">
  <c r="N166" i="6" l="1"/>
  <c r="M166" i="6"/>
  <c r="L166" i="6"/>
  <c r="K166" i="6"/>
  <c r="J166" i="6"/>
  <c r="I166" i="6"/>
  <c r="H166" i="6"/>
  <c r="G166" i="6"/>
  <c r="N162" i="6"/>
  <c r="S159" i="6"/>
  <c r="L147" i="6"/>
  <c r="K147" i="6"/>
  <c r="J147" i="6"/>
  <c r="I147" i="6"/>
  <c r="H147" i="6"/>
  <c r="G147" i="6"/>
  <c r="F147" i="6"/>
  <c r="L146" i="6"/>
  <c r="K146" i="6"/>
  <c r="J146" i="6"/>
  <c r="I146" i="6"/>
  <c r="H146" i="6"/>
  <c r="G146" i="6"/>
  <c r="F146" i="6"/>
  <c r="L143" i="6"/>
  <c r="K143" i="6"/>
  <c r="J143" i="6"/>
  <c r="I143" i="6"/>
  <c r="H143" i="6"/>
  <c r="G143" i="6"/>
  <c r="F143" i="6"/>
  <c r="L142" i="6"/>
  <c r="K142" i="6"/>
  <c r="J142" i="6"/>
  <c r="I142" i="6"/>
  <c r="H142" i="6"/>
  <c r="G142" i="6"/>
  <c r="F142" i="6"/>
  <c r="L138" i="6"/>
  <c r="K138" i="6"/>
  <c r="J138" i="6"/>
  <c r="I138" i="6"/>
  <c r="H138" i="6"/>
  <c r="G138" i="6"/>
  <c r="F138" i="6"/>
  <c r="L137" i="6"/>
  <c r="K137" i="6"/>
  <c r="J137" i="6"/>
  <c r="I137" i="6"/>
  <c r="H137" i="6"/>
  <c r="G137" i="6"/>
  <c r="F137" i="6"/>
  <c r="F123" i="6"/>
  <c r="F122" i="6"/>
  <c r="R143" i="6" l="1"/>
  <c r="R138" i="6"/>
  <c r="R137" i="6"/>
  <c r="R146" i="6"/>
  <c r="F158" i="6"/>
  <c r="F157" i="6" s="1"/>
  <c r="F166" i="6" s="1"/>
  <c r="F121" i="6"/>
  <c r="R120" i="6"/>
  <c r="R119" i="6"/>
  <c r="K119" i="6"/>
  <c r="K120" i="6" s="1"/>
  <c r="G119" i="6"/>
  <c r="G118" i="6"/>
  <c r="R121" i="6" l="1"/>
  <c r="E118" i="6"/>
  <c r="D117" i="6"/>
  <c r="U87" i="6"/>
  <c r="U85" i="6"/>
  <c r="V85" i="6" s="1"/>
  <c r="U86" i="6" l="1"/>
  <c r="E122" i="6"/>
  <c r="E121" i="6"/>
  <c r="V67" i="6"/>
  <c r="W48" i="6"/>
  <c r="W29" i="6"/>
  <c r="W11" i="6"/>
  <c r="U10" i="6"/>
  <c r="W49" i="6" l="1"/>
  <c r="W30" i="6"/>
  <c r="R142" i="6" l="1"/>
  <c r="R147" i="6"/>
  <c r="R154" i="6" s="1"/>
  <c r="S138" i="6" s="1"/>
  <c r="U138" i="6" s="1"/>
  <c r="S143" i="6" l="1"/>
  <c r="U143" i="6" s="1"/>
  <c r="R153" i="6"/>
  <c r="S147" i="6"/>
  <c r="U147" i="6" s="1"/>
  <c r="U159" i="6" l="1"/>
  <c r="S137" i="6"/>
  <c r="U137" i="6" s="1"/>
  <c r="S146" i="6"/>
  <c r="U146" i="6" s="1"/>
  <c r="U148" i="6" s="1"/>
  <c r="S142" i="6"/>
  <c r="U142" i="6" s="1"/>
  <c r="U144" i="6" s="1"/>
  <c r="U158" i="6" l="1"/>
  <c r="U160" i="6" s="1"/>
  <c r="U139" i="6"/>
</calcChain>
</file>

<file path=xl/sharedStrings.xml><?xml version="1.0" encoding="utf-8"?>
<sst xmlns="http://schemas.openxmlformats.org/spreadsheetml/2006/main" count="464" uniqueCount="135">
  <si>
    <t xml:space="preserve">    PT.PLN ( PERSERO )</t>
  </si>
  <si>
    <t xml:space="preserve">    DISTRIBUSI JATIM</t>
  </si>
  <si>
    <t xml:space="preserve">    A P J . SIDOARJO</t>
  </si>
  <si>
    <t xml:space="preserve"> </t>
  </si>
  <si>
    <t>NO</t>
  </si>
  <si>
    <t>SATUAN</t>
  </si>
  <si>
    <t>REALISASI</t>
  </si>
  <si>
    <t>TARGET</t>
  </si>
  <si>
    <t>JANUARI</t>
  </si>
  <si>
    <t>KUMULATIP</t>
  </si>
  <si>
    <t>PENCAPAIAN</t>
  </si>
  <si>
    <t>(%)</t>
  </si>
  <si>
    <t>1</t>
  </si>
  <si>
    <t>RAYON - SDA KOTA</t>
  </si>
  <si>
    <t>1.1</t>
  </si>
  <si>
    <t>K W H TERSEDIA</t>
  </si>
  <si>
    <t>KWH</t>
  </si>
  <si>
    <t>1.2</t>
  </si>
  <si>
    <t>K W H JUAL</t>
  </si>
  <si>
    <t>%</t>
  </si>
  <si>
    <t>JUMLAH PELANGGAN</t>
  </si>
  <si>
    <t>PLG</t>
  </si>
  <si>
    <t>DELTA PELANGGAN</t>
  </si>
  <si>
    <t>JUMLAH KVA TERSAMBUNG</t>
  </si>
  <si>
    <t>KVA</t>
  </si>
  <si>
    <t>DELTA VA TERSAMBUNG</t>
  </si>
  <si>
    <t>RUPIAH PENJUALAN</t>
  </si>
  <si>
    <t>X (Rp1000)</t>
  </si>
  <si>
    <t>RP / KWH  PENJUALAN</t>
  </si>
  <si>
    <t>Rp</t>
  </si>
  <si>
    <t>JAM NYALA</t>
  </si>
  <si>
    <t>JAM</t>
  </si>
  <si>
    <t>S A I D I</t>
  </si>
  <si>
    <t>JAM/PLG</t>
  </si>
  <si>
    <t>S A I F I</t>
  </si>
  <si>
    <t>KALI/ PLG</t>
  </si>
  <si>
    <t>GANGGUAN  PENYULANG</t>
  </si>
  <si>
    <t>KALI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</si>
  <si>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</si>
  <si>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</si>
  <si>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</si>
  <si>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</si>
  <si>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</si>
  <si>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</si>
  <si>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</si>
  <si>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</si>
  <si>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</si>
  <si>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</si>
  <si>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</si>
  <si>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2.12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</si>
  <si>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</si>
  <si>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</si>
  <si>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</si>
  <si>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</si>
  <si>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</si>
  <si>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</si>
  <si>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</si>
  <si>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</si>
  <si>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</si>
  <si>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</si>
  <si>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</si>
  <si>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</si>
  <si>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</si>
  <si>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GABUNGAN ( APJ/CABANG )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</si>
  <si>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</si>
  <si>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</si>
  <si>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</si>
  <si>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</si>
  <si>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</si>
  <si>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</si>
  <si>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</si>
  <si>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</si>
  <si>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</si>
  <si>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</si>
  <si>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</si>
  <si>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</si>
  <si>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PELEPASAN  PENYULANG</t>
  </si>
  <si>
    <t>4.13</t>
  </si>
  <si>
    <t>4.14</t>
  </si>
  <si>
    <t>4.15</t>
  </si>
  <si>
    <t>4.16</t>
  </si>
  <si>
    <t>PANJANG - JTM</t>
  </si>
  <si>
    <t>Kms</t>
  </si>
  <si>
    <t>4.17</t>
  </si>
  <si>
    <t>PERTUMBUHAN</t>
  </si>
  <si>
    <t>PT PLN (PRESERO)</t>
  </si>
  <si>
    <t>PEBRUARI</t>
  </si>
  <si>
    <t>MARET</t>
  </si>
  <si>
    <t>APRIL</t>
  </si>
  <si>
    <t>MEI</t>
  </si>
  <si>
    <t>JUNI</t>
  </si>
  <si>
    <t>AGST</t>
  </si>
  <si>
    <t>OKTB</t>
  </si>
  <si>
    <t>NOPB</t>
  </si>
  <si>
    <t>DESB</t>
  </si>
  <si>
    <t>CATATAN :</t>
  </si>
  <si>
    <t>UPJ - KRIAN</t>
  </si>
  <si>
    <t>UPJ - PORONG</t>
  </si>
  <si>
    <t xml:space="preserve">JULI </t>
  </si>
  <si>
    <t>SEPTB</t>
  </si>
  <si>
    <t xml:space="preserve">-  PERHITUNGAN SUSUT SESUAI  KEP.DIR.NO  : 217.K/DIR/2005 </t>
  </si>
  <si>
    <t>SUSUT ( TT+TM+TR )</t>
  </si>
  <si>
    <t>SUSUT ( TM+TR )</t>
  </si>
  <si>
    <t>kWh/PLG</t>
  </si>
  <si>
    <t>DSM ( kWh JUAL PLG R1 )</t>
  </si>
  <si>
    <t>UP-SDA</t>
  </si>
  <si>
    <t>KRN</t>
  </si>
  <si>
    <t>PRNG</t>
  </si>
  <si>
    <t>Kali/100 Kms</t>
  </si>
  <si>
    <t>JUMLH.GANGG-TM/100 Kms</t>
  </si>
  <si>
    <t>DSM-2009</t>
  </si>
  <si>
    <t>TH 2009</t>
  </si>
  <si>
    <t>DAUS-09</t>
  </si>
  <si>
    <t>GANGGUAN  TRAFO</t>
  </si>
  <si>
    <t>up</t>
  </si>
  <si>
    <t>krn</t>
  </si>
  <si>
    <t>prg</t>
  </si>
  <si>
    <t>TH 2010</t>
  </si>
  <si>
    <t>DATA PENGUSAHAAN    TH.2010</t>
  </si>
  <si>
    <t>SIDOARJO ,  …………...2010</t>
  </si>
  <si>
    <t>JAN</t>
  </si>
  <si>
    <t>FEB</t>
  </si>
  <si>
    <t>MAR</t>
  </si>
  <si>
    <t>APR</t>
  </si>
  <si>
    <t>JUN</t>
  </si>
  <si>
    <t>JUL</t>
  </si>
  <si>
    <t>AGS</t>
  </si>
  <si>
    <t>SEP</t>
  </si>
  <si>
    <t>OKT</t>
  </si>
  <si>
    <t>NOP</t>
  </si>
  <si>
    <t>DES</t>
  </si>
  <si>
    <t>KUM</t>
  </si>
  <si>
    <t>PENCAPAIAN (%)</t>
  </si>
  <si>
    <t>TARGET 2016</t>
  </si>
  <si>
    <t>REALISASI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</si>
</sst>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"/>
    <numFmt numFmtId="167" formatCode="#,##0.000_);\(#,##0.000\)"/>
    <numFmt numFmtId="168" formatCode="#,##0.0000_);\(#,##0.0000\)"/>
    <numFmt numFmtId="169" formatCode="#,##0.00000_);\(#,##0.00000\)"/>
    <numFmt numFmtId="170" formatCode="#,##0.000"/>
    <numFmt numFmtId="171" formatCode="0.000"/>
    <numFmt numFmtId="172" formatCode="0.0000"/>
    <numFmt numFmtId="173" formatCode="_-* #,##0.00_-;\-* #,##0.00_-;_-* &quot;-&quot;_-;_-@_-"/>
    <numFmt numFmtId="174" formatCode="_-* #,##0.000_-;\-* #,##0.000_-;_-* &quot;-&quot;_-;_-@_-"/>
    <numFmt numFmtId="175" formatCode="0.00000"/>
    <numFmt numFmtId="176" formatCode="_-* #,##0.0000_-;\-* #,##0.0000_-;_-* &quot;-&quot;_-;_-@_-"/>
    <numFmt numFmtId="177" formatCode="_-* #,##0.00000_-;\-* #,##0.00000_-;_-* &quot;-&quot;_-;_-@_-"/>
    <numFmt numFmtId="178" formatCode="#,##0.0000_);[Red]\(#,##0.0000\)"/>
    <numFmt numFmtId="179" formatCode="#,##0.00000_);[Red]\(#,##0.00000\)"/>
    <numFmt numFmtId="180" formatCode="_(* #,##0_);_(* \(#,##0\);_(* &quot;-&quot;??_);_(@_)"/>
    <numFmt numFmtId="181" formatCode="_(* #,##0.000_);_(* \(#,##0.000\);_(* &quot;-&quot;??_);_(@_)"/>
    <numFmt numFmtId="182" formatCode="#,##0.000;\-#,##0.000"/>
    <numFmt numFmtId="183" formatCode="0.000000"/>
    <numFmt numFmtId="184" formatCode="#,##0;\-#,##0;&quot;-&quot;"/>
    <numFmt numFmtId="185" formatCode="mm/dd/yy"/>
  </numFmts>
  <fonts count="87" x14ac:knownFonts="1">
    <font>
      <sz val="12"/>
      <name val="Arial"/>
    </font>
    <font>
      <sz val="11"/>
      <color theme="1"/>
      <name val="Calibri"/>
      <family val="2"/>
      <charset val="1"/>
      <scheme val="minor"/>
    </font>
    <font>
      <b/>
      <i/>
      <u/>
      <sz val="18"/>
      <color indexed="8"/>
      <name val="Comic Sans MS"/>
      <family val="4"/>
    </font>
    <font>
      <sz val="14"/>
      <color indexed="8"/>
      <name val="Arial"/>
      <family val="2"/>
    </font>
    <font>
      <b/>
      <i/>
      <u/>
      <sz val="14"/>
      <color indexed="8"/>
      <name val="Arial"/>
      <family val="2"/>
    </font>
    <font>
      <b/>
      <i/>
      <u/>
      <sz val="40"/>
      <color indexed="8"/>
      <name val="Comic Sans MS"/>
      <family val="4"/>
    </font>
    <font>
      <sz val="11"/>
      <color indexed="8"/>
      <name val="Times New Roman"/>
      <family val="1"/>
    </font>
    <font>
      <sz val="18"/>
      <color indexed="8"/>
      <name val="Times New Roman"/>
      <family val="1"/>
    </font>
    <font>
      <sz val="22"/>
      <color indexed="8"/>
      <name val="Times New Roman"/>
      <family val="1"/>
    </font>
    <font>
      <b/>
      <sz val="14"/>
      <color indexed="8"/>
      <name val="Comic Sans MS"/>
      <family val="4"/>
    </font>
    <font>
      <sz val="20"/>
      <color indexed="8"/>
      <name val="Times New Roman"/>
      <family val="1"/>
    </font>
    <font>
      <sz val="16"/>
      <color indexed="8"/>
      <name val="Times New Roman"/>
      <family val="1"/>
    </font>
    <font>
      <sz val="13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23"/>
      <color indexed="8"/>
      <name val="Comic Sans MS"/>
      <family val="4"/>
    </font>
    <font>
      <sz val="23"/>
      <color indexed="8"/>
      <name val="Comic Sans MS"/>
      <family val="4"/>
    </font>
    <font>
      <sz val="23"/>
      <color indexed="8"/>
      <name val="Times New Roman"/>
      <family val="1"/>
    </font>
    <font>
      <sz val="23"/>
      <color indexed="8"/>
      <name val="Comic Sans MS"/>
      <family val="4"/>
    </font>
    <font>
      <sz val="16"/>
      <color indexed="8"/>
      <name val="Times New Roman"/>
      <family val="1"/>
    </font>
    <font>
      <sz val="24"/>
      <color indexed="8"/>
      <name val="Times New Roman"/>
      <family val="1"/>
    </font>
    <font>
      <sz val="28"/>
      <color indexed="8"/>
      <name val="Times New Roman"/>
      <family val="1"/>
    </font>
    <font>
      <b/>
      <i/>
      <sz val="26"/>
      <color indexed="8"/>
      <name val="Times New Roman"/>
      <family val="1"/>
    </font>
    <font>
      <b/>
      <u/>
      <sz val="26"/>
      <color indexed="8"/>
      <name val="Times New Roman"/>
      <family val="1"/>
    </font>
    <font>
      <b/>
      <sz val="24"/>
      <color indexed="8"/>
      <name val="Comic Sans MS"/>
      <family val="4"/>
    </font>
    <font>
      <b/>
      <u/>
      <sz val="24"/>
      <color indexed="8"/>
      <name val="Comic Sans MS"/>
      <family val="4"/>
    </font>
    <font>
      <sz val="24"/>
      <color indexed="8"/>
      <name val="Comic Sans MS"/>
      <family val="4"/>
    </font>
    <font>
      <sz val="24"/>
      <color indexed="8"/>
      <name val="Times New Roman"/>
      <family val="1"/>
    </font>
    <font>
      <b/>
      <sz val="24"/>
      <color indexed="8"/>
      <name val="Comic Sans MS"/>
      <family val="4"/>
    </font>
    <font>
      <sz val="24"/>
      <color indexed="8"/>
      <name val="Comic Sans MS"/>
      <family val="4"/>
    </font>
    <font>
      <sz val="18"/>
      <color indexed="8"/>
      <name val="Times New Roman"/>
      <family val="1"/>
    </font>
    <font>
      <sz val="24"/>
      <name val="Comic Sans MS"/>
      <family val="4"/>
    </font>
    <font>
      <sz val="10"/>
      <name val="Arial"/>
      <family val="2"/>
    </font>
    <font>
      <b/>
      <sz val="18"/>
      <color indexed="8"/>
      <name val="Times New Roman"/>
      <family val="1"/>
    </font>
    <font>
      <b/>
      <sz val="24"/>
      <color indexed="10"/>
      <name val="Comic Sans MS"/>
      <family val="4"/>
    </font>
    <font>
      <i/>
      <sz val="11"/>
      <color indexed="10"/>
      <name val="Times New Roman"/>
      <family val="1"/>
    </font>
    <font>
      <sz val="24"/>
      <color indexed="10"/>
      <name val="Comic Sans MS"/>
      <family val="4"/>
    </font>
    <font>
      <sz val="20"/>
      <name val="Arial"/>
      <family val="2"/>
    </font>
    <font>
      <sz val="18"/>
      <name val="Arial"/>
      <family val="2"/>
    </font>
    <font>
      <sz val="14"/>
      <color indexed="8"/>
      <name val="Comic Sans MS"/>
      <family val="4"/>
    </font>
    <font>
      <sz val="14"/>
      <color indexed="8"/>
      <name val="Times New Roman"/>
      <family val="1"/>
    </font>
    <font>
      <b/>
      <sz val="24"/>
      <color indexed="12"/>
      <name val="Comic Sans MS"/>
      <family val="4"/>
    </font>
    <font>
      <sz val="16"/>
      <color indexed="10"/>
      <name val="Times New Roman"/>
      <family val="1"/>
    </font>
    <font>
      <sz val="22"/>
      <color indexed="8"/>
      <name val="Comic Sans MS"/>
      <family val="4"/>
    </font>
    <font>
      <sz val="16"/>
      <name val="Arial"/>
      <family val="2"/>
    </font>
    <font>
      <sz val="20"/>
      <color indexed="10"/>
      <name val="Times New Roman"/>
      <family val="1"/>
    </font>
    <font>
      <sz val="11"/>
      <color indexed="9"/>
      <name val="Times New Roman"/>
      <family val="1"/>
    </font>
    <font>
      <sz val="24"/>
      <color indexed="9"/>
      <name val="Arial"/>
      <family val="2"/>
    </font>
    <font>
      <sz val="12"/>
      <color indexed="9"/>
      <name val="Arial"/>
      <family val="2"/>
    </font>
    <font>
      <sz val="24"/>
      <color indexed="9"/>
      <name val="Comic Sans MS"/>
      <family val="4"/>
    </font>
    <font>
      <sz val="20"/>
      <color indexed="9"/>
      <name val="Arial"/>
      <family val="2"/>
    </font>
    <font>
      <sz val="18"/>
      <color indexed="9"/>
      <name val="Arial"/>
      <family val="2"/>
    </font>
    <font>
      <sz val="20"/>
      <color indexed="9"/>
      <name val="Comic Sans MS"/>
      <family val="4"/>
    </font>
    <font>
      <sz val="14"/>
      <color indexed="9"/>
      <name val="Arial"/>
      <family val="2"/>
    </font>
    <font>
      <sz val="18"/>
      <color indexed="9"/>
      <name val="Comic Sans MS"/>
      <family val="4"/>
    </font>
    <font>
      <sz val="16"/>
      <color indexed="9"/>
      <name val="Arial"/>
      <family val="2"/>
    </font>
    <font>
      <sz val="20"/>
      <color indexed="9"/>
      <name val="Times New Roman"/>
      <family val="1"/>
    </font>
    <font>
      <sz val="22"/>
      <color indexed="9"/>
      <name val="Arial"/>
      <family val="2"/>
    </font>
    <font>
      <sz val="20"/>
      <color indexed="9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b/>
      <sz val="24"/>
      <name val="Comic Sans MS"/>
      <family val="4"/>
    </font>
    <font>
      <sz val="23"/>
      <name val="Comic Sans MS"/>
      <family val="4"/>
    </font>
    <font>
      <sz val="23"/>
      <color indexed="10"/>
      <name val="Comic Sans MS"/>
      <family val="4"/>
    </font>
    <font>
      <sz val="24"/>
      <name val="Times New Roman"/>
      <family val="1"/>
    </font>
    <font>
      <sz val="26"/>
      <name val="Arial"/>
      <family val="2"/>
    </font>
    <font>
      <sz val="22"/>
      <color indexed="14"/>
      <name val="Times New Roman"/>
      <family val="1"/>
    </font>
    <font>
      <sz val="20"/>
      <name val="Times New Roman"/>
      <family val="1"/>
    </font>
    <font>
      <sz val="24"/>
      <color indexed="12"/>
      <name val="Comic Sans MS"/>
      <family val="4"/>
    </font>
    <font>
      <b/>
      <sz val="24"/>
      <name val="Comic Sans MS"/>
      <family val="4"/>
    </font>
    <font>
      <sz val="26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b/>
      <sz val="20"/>
      <name val="Comic Sans MS"/>
      <family val="4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  <font>
      <sz val="12"/>
      <color theme="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sz val="8"/>
      <name val="Helv"/>
    </font>
    <font>
      <b/>
      <sz val="8"/>
      <color indexed="8"/>
      <name val="Helv"/>
    </font>
    <font>
      <sz val="11"/>
      <color indexed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thick">
        <color indexed="8"/>
      </right>
      <top style="hair">
        <color indexed="8"/>
      </top>
      <bottom/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ck">
        <color indexed="8"/>
      </bottom>
      <diagonal/>
    </border>
    <border>
      <left style="double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thin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 style="thick">
        <color indexed="8"/>
      </left>
      <right style="double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64"/>
      </top>
      <bottom style="hair">
        <color indexed="8"/>
      </bottom>
      <diagonal/>
    </border>
    <border>
      <left/>
      <right style="thick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double">
        <color indexed="8"/>
      </right>
      <top style="hair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double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double">
        <color indexed="8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double">
        <color theme="0"/>
      </right>
      <top/>
      <bottom style="double">
        <color indexed="8"/>
      </bottom>
      <diagonal/>
    </border>
    <border>
      <left style="thin">
        <color indexed="8"/>
      </left>
      <right style="thin">
        <color theme="0"/>
      </right>
      <top/>
      <bottom/>
      <diagonal/>
    </border>
    <border>
      <left style="double">
        <color theme="0"/>
      </left>
      <right style="thin">
        <color indexed="8"/>
      </right>
      <top/>
      <bottom/>
      <diagonal/>
    </border>
    <border>
      <left style="thin">
        <color indexed="8"/>
      </left>
      <right style="thin">
        <color theme="0"/>
      </right>
      <top/>
      <bottom style="double">
        <color indexed="8"/>
      </bottom>
      <diagonal/>
    </border>
    <border>
      <left style="double">
        <color theme="0"/>
      </left>
      <right/>
      <top/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9">
    <xf numFmtId="0" fontId="0" fillId="2" borderId="0"/>
    <xf numFmtId="165" fontId="70" fillId="0" borderId="0" applyFont="0" applyFill="0" applyBorder="0" applyAlignment="0" applyProtection="0"/>
    <xf numFmtId="41" fontId="31" fillId="0" borderId="0" applyFon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  <xf numFmtId="0" fontId="77" fillId="0" borderId="0" applyFill="0" applyProtection="0"/>
    <xf numFmtId="0" fontId="78" fillId="0" borderId="0" applyFill="0" applyProtection="0"/>
    <xf numFmtId="0" fontId="75" fillId="0" borderId="0" applyFill="0" applyProtection="0"/>
    <xf numFmtId="0" fontId="79" fillId="0" borderId="0"/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31" fillId="0" borderId="0" applyFont="0" applyFill="0" applyBorder="0" applyAlignment="0" applyProtection="0"/>
    <xf numFmtId="184" fontId="80" fillId="0" borderId="0" applyFill="0" applyBorder="0" applyAlignment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8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81" fillId="0" borderId="0" applyNumberFormat="0" applyAlignment="0">
      <alignment horizontal="left"/>
    </xf>
    <xf numFmtId="0" fontId="82" fillId="0" borderId="0" applyNumberFormat="0" applyAlignment="0">
      <alignment horizontal="left"/>
    </xf>
    <xf numFmtId="38" fontId="71" fillId="8" borderId="0" applyNumberFormat="0" applyBorder="0" applyAlignment="0" applyProtection="0"/>
    <xf numFmtId="0" fontId="83" fillId="0" borderId="57" applyNumberFormat="0" applyAlignment="0" applyProtection="0">
      <alignment horizontal="left" vertical="center"/>
    </xf>
    <xf numFmtId="0" fontId="83" fillId="0" borderId="56">
      <alignment horizontal="left" vertical="center"/>
    </xf>
    <xf numFmtId="10" fontId="71" fillId="10" borderId="45" applyNumberFormat="0" applyBorder="0" applyAlignment="0" applyProtection="0"/>
    <xf numFmtId="0" fontId="31" fillId="0" borderId="0"/>
    <xf numFmtId="0" fontId="86" fillId="0" borderId="0"/>
    <xf numFmtId="0" fontId="86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10" fontId="31" fillId="0" borderId="0" applyFont="0" applyFill="0" applyBorder="0" applyAlignment="0" applyProtection="0"/>
    <xf numFmtId="185" fontId="84" fillId="0" borderId="0" applyNumberFormat="0" applyFill="0" applyBorder="0" applyAlignment="0" applyProtection="0">
      <alignment horizontal="left"/>
    </xf>
    <xf numFmtId="40" fontId="85" fillId="0" borderId="0" applyBorder="0">
      <alignment horizontal="right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</cellStyleXfs>
  <cellXfs count="372">
    <xf numFmtId="0" fontId="0" fillId="2" borderId="0" xfId="0" applyNumberFormat="1"/>
    <xf numFmtId="1" fontId="0" fillId="2" borderId="0" xfId="0" applyNumberFormat="1"/>
    <xf numFmtId="166" fontId="0" fillId="2" borderId="0" xfId="0" applyNumberFormat="1"/>
    <xf numFmtId="0" fontId="2" fillId="2" borderId="0" xfId="0" applyNumberFormat="1" applyFont="1" applyAlignment="1"/>
    <xf numFmtId="0" fontId="3" fillId="2" borderId="0" xfId="0" applyNumberFormat="1" applyFont="1" applyAlignment="1"/>
    <xf numFmtId="0" fontId="4" fillId="2" borderId="0" xfId="0" applyNumberFormat="1" applyFont="1" applyAlignment="1"/>
    <xf numFmtId="0" fontId="0" fillId="2" borderId="0" xfId="0" applyNumberFormat="1" applyAlignment="1"/>
    <xf numFmtId="0" fontId="3" fillId="2" borderId="0" xfId="0" applyNumberFormat="1" applyFont="1"/>
    <xf numFmtId="1" fontId="6" fillId="2" borderId="0" xfId="0" applyNumberFormat="1" applyFont="1"/>
    <xf numFmtId="166" fontId="6" fillId="2" borderId="0" xfId="0" applyNumberFormat="1" applyFont="1"/>
    <xf numFmtId="37" fontId="6" fillId="2" borderId="0" xfId="0" applyNumberFormat="1" applyFont="1"/>
    <xf numFmtId="0" fontId="6" fillId="2" borderId="0" xfId="0" applyNumberFormat="1" applyFont="1"/>
    <xf numFmtId="1" fontId="6" fillId="2" borderId="1" xfId="0" applyNumberFormat="1" applyFont="1" applyBorder="1"/>
    <xf numFmtId="166" fontId="6" fillId="2" borderId="1" xfId="0" applyNumberFormat="1" applyFont="1" applyBorder="1"/>
    <xf numFmtId="0" fontId="6" fillId="2" borderId="1" xfId="0" applyNumberFormat="1" applyFont="1" applyBorder="1"/>
    <xf numFmtId="0" fontId="9" fillId="2" borderId="0" xfId="0" applyNumberFormat="1" applyFont="1"/>
    <xf numFmtId="166" fontId="12" fillId="2" borderId="0" xfId="0" applyNumberFormat="1" applyFont="1"/>
    <xf numFmtId="0" fontId="12" fillId="2" borderId="0" xfId="0" applyNumberFormat="1" applyFont="1"/>
    <xf numFmtId="0" fontId="13" fillId="2" borderId="0" xfId="0" applyNumberFormat="1" applyFont="1"/>
    <xf numFmtId="0" fontId="8" fillId="2" borderId="0" xfId="0" applyNumberFormat="1" applyFont="1"/>
    <xf numFmtId="0" fontId="5" fillId="2" borderId="0" xfId="0" applyNumberFormat="1" applyFont="1" applyAlignment="1">
      <alignment horizontal="centerContinuous" vertical="center" wrapText="1"/>
    </xf>
    <xf numFmtId="0" fontId="0" fillId="2" borderId="0" xfId="0" applyNumberFormat="1" applyAlignment="1">
      <alignment horizontal="centerContinuous" vertical="center" wrapText="1"/>
    </xf>
    <xf numFmtId="0" fontId="11" fillId="2" borderId="4" xfId="0" applyNumberFormat="1" applyFont="1" applyBorder="1"/>
    <xf numFmtId="0" fontId="7" fillId="2" borderId="4" xfId="0" applyNumberFormat="1" applyFont="1" applyBorder="1"/>
    <xf numFmtId="0" fontId="7" fillId="2" borderId="5" xfId="0" applyNumberFormat="1" applyFont="1" applyBorder="1"/>
    <xf numFmtId="0" fontId="7" fillId="2" borderId="6" xfId="0" applyNumberFormat="1" applyFont="1" applyBorder="1"/>
    <xf numFmtId="0" fontId="7" fillId="2" borderId="7" xfId="0" applyNumberFormat="1" applyFont="1" applyBorder="1"/>
    <xf numFmtId="167" fontId="14" fillId="2" borderId="8" xfId="0" applyNumberFormat="1" applyFont="1" applyBorder="1"/>
    <xf numFmtId="0" fontId="16" fillId="2" borderId="4" xfId="0" applyNumberFormat="1" applyFont="1" applyBorder="1"/>
    <xf numFmtId="0" fontId="17" fillId="2" borderId="9" xfId="0" applyNumberFormat="1" applyFont="1" applyBorder="1" applyAlignment="1">
      <alignment horizontal="center"/>
    </xf>
    <xf numFmtId="1" fontId="17" fillId="2" borderId="9" xfId="0" applyNumberFormat="1" applyFont="1" applyBorder="1" applyAlignment="1">
      <alignment horizontal="center"/>
    </xf>
    <xf numFmtId="1" fontId="17" fillId="2" borderId="11" xfId="0" applyNumberFormat="1" applyFont="1" applyBorder="1" applyAlignment="1">
      <alignment horizontal="center"/>
    </xf>
    <xf numFmtId="1" fontId="17" fillId="2" borderId="12" xfId="0" applyNumberFormat="1" applyFont="1" applyBorder="1" applyAlignment="1">
      <alignment horizontal="center"/>
    </xf>
    <xf numFmtId="0" fontId="18" fillId="2" borderId="0" xfId="0" applyNumberFormat="1" applyFont="1"/>
    <xf numFmtId="0" fontId="7" fillId="2" borderId="13" xfId="0" applyNumberFormat="1" applyFont="1" applyBorder="1"/>
    <xf numFmtId="0" fontId="7" fillId="2" borderId="14" xfId="0" applyNumberFormat="1" applyFont="1" applyBorder="1"/>
    <xf numFmtId="166" fontId="20" fillId="2" borderId="0" xfId="0" applyNumberFormat="1" applyFont="1"/>
    <xf numFmtId="0" fontId="21" fillId="2" borderId="0" xfId="0" quotePrefix="1" applyNumberFormat="1" applyFont="1"/>
    <xf numFmtId="0" fontId="22" fillId="2" borderId="0" xfId="0" applyNumberFormat="1" applyFont="1"/>
    <xf numFmtId="0" fontId="23" fillId="2" borderId="15" xfId="0" applyNumberFormat="1" applyFont="1" applyBorder="1" applyAlignment="1">
      <alignment horizontal="center"/>
    </xf>
    <xf numFmtId="0" fontId="24" fillId="2" borderId="16" xfId="0" applyNumberFormat="1" applyFont="1" applyBorder="1"/>
    <xf numFmtId="0" fontId="25" fillId="2" borderId="17" xfId="0" applyNumberFormat="1" applyFont="1" applyBorder="1" applyAlignment="1">
      <alignment horizontal="center"/>
    </xf>
    <xf numFmtId="0" fontId="25" fillId="2" borderId="19" xfId="0" applyNumberFormat="1" applyFont="1" applyBorder="1"/>
    <xf numFmtId="2" fontId="25" fillId="2" borderId="20" xfId="0" applyNumberFormat="1" applyFont="1" applyBorder="1" applyAlignment="1">
      <alignment horizontal="center"/>
    </xf>
    <xf numFmtId="2" fontId="25" fillId="2" borderId="17" xfId="0" applyNumberFormat="1" applyFont="1" applyBorder="1" applyAlignment="1">
      <alignment horizontal="center"/>
    </xf>
    <xf numFmtId="0" fontId="25" fillId="2" borderId="23" xfId="0" applyNumberFormat="1" applyFont="1" applyBorder="1"/>
    <xf numFmtId="37" fontId="27" fillId="2" borderId="9" xfId="0" applyNumberFormat="1" applyFont="1" applyBorder="1"/>
    <xf numFmtId="37" fontId="28" fillId="2" borderId="9" xfId="0" applyNumberFormat="1" applyFont="1" applyBorder="1"/>
    <xf numFmtId="37" fontId="28" fillId="2" borderId="18" xfId="0" applyNumberFormat="1" applyFont="1" applyBorder="1"/>
    <xf numFmtId="37" fontId="27" fillId="2" borderId="8" xfId="0" applyNumberFormat="1" applyFont="1" applyBorder="1"/>
    <xf numFmtId="39" fontId="27" fillId="2" borderId="25" xfId="0" applyNumberFormat="1" applyFont="1" applyBorder="1"/>
    <xf numFmtId="39" fontId="27" fillId="2" borderId="9" xfId="0" applyNumberFormat="1" applyFont="1" applyBorder="1"/>
    <xf numFmtId="39" fontId="28" fillId="2" borderId="9" xfId="0" applyNumberFormat="1" applyFont="1" applyBorder="1"/>
    <xf numFmtId="39" fontId="28" fillId="2" borderId="24" xfId="0" applyNumberFormat="1" applyFont="1" applyBorder="1"/>
    <xf numFmtId="167" fontId="27" fillId="2" borderId="8" xfId="0" applyNumberFormat="1" applyFont="1" applyBorder="1"/>
    <xf numFmtId="166" fontId="27" fillId="2" borderId="25" xfId="0" applyNumberFormat="1" applyFont="1" applyBorder="1"/>
    <xf numFmtId="39" fontId="27" fillId="2" borderId="8" xfId="0" applyNumberFormat="1" applyFont="1" applyBorder="1"/>
    <xf numFmtId="166" fontId="27" fillId="2" borderId="9" xfId="0" applyNumberFormat="1" applyFont="1" applyBorder="1"/>
    <xf numFmtId="0" fontId="28" fillId="2" borderId="9" xfId="0" applyNumberFormat="1" applyFont="1" applyBorder="1"/>
    <xf numFmtId="169" fontId="28" fillId="2" borderId="9" xfId="0" applyNumberFormat="1" applyFont="1" applyBorder="1"/>
    <xf numFmtId="0" fontId="28" fillId="2" borderId="24" xfId="0" applyNumberFormat="1" applyFont="1" applyBorder="1"/>
    <xf numFmtId="169" fontId="27" fillId="2" borderId="8" xfId="0" applyNumberFormat="1" applyFont="1" applyBorder="1"/>
    <xf numFmtId="169" fontId="28" fillId="2" borderId="24" xfId="0" applyNumberFormat="1" applyFont="1" applyBorder="1"/>
    <xf numFmtId="166" fontId="27" fillId="2" borderId="26" xfId="0" applyNumberFormat="1" applyFont="1" applyBorder="1"/>
    <xf numFmtId="37" fontId="27" fillId="2" borderId="10" xfId="0" applyNumberFormat="1" applyFont="1" applyBorder="1"/>
    <xf numFmtId="39" fontId="28" fillId="2" borderId="10" xfId="0" applyNumberFormat="1" applyFont="1" applyBorder="1"/>
    <xf numFmtId="39" fontId="28" fillId="2" borderId="21" xfId="0" applyNumberFormat="1" applyFont="1" applyBorder="1"/>
    <xf numFmtId="39" fontId="28" fillId="2" borderId="0" xfId="0" applyNumberFormat="1" applyFont="1" applyBorder="1"/>
    <xf numFmtId="39" fontId="28" fillId="2" borderId="27" xfId="0" applyNumberFormat="1" applyFont="1" applyBorder="1"/>
    <xf numFmtId="39" fontId="27" fillId="2" borderId="28" xfId="0" applyNumberFormat="1" applyFont="1" applyBorder="1"/>
    <xf numFmtId="39" fontId="27" fillId="2" borderId="3" xfId="0" applyNumberFormat="1" applyFont="1" applyBorder="1"/>
    <xf numFmtId="37" fontId="27" fillId="2" borderId="25" xfId="0" applyNumberFormat="1" applyFont="1" applyBorder="1"/>
    <xf numFmtId="167" fontId="28" fillId="2" borderId="9" xfId="0" applyNumberFormat="1" applyFont="1" applyBorder="1"/>
    <xf numFmtId="37" fontId="28" fillId="2" borderId="11" xfId="0" applyNumberFormat="1" applyFont="1" applyBorder="1"/>
    <xf numFmtId="37" fontId="27" fillId="2" borderId="30" xfId="0" applyNumberFormat="1" applyFont="1" applyBorder="1"/>
    <xf numFmtId="0" fontId="28" fillId="2" borderId="7" xfId="0" applyNumberFormat="1" applyFont="1" applyBorder="1"/>
    <xf numFmtId="168" fontId="27" fillId="2" borderId="8" xfId="0" applyNumberFormat="1" applyFont="1" applyBorder="1"/>
    <xf numFmtId="1" fontId="27" fillId="2" borderId="9" xfId="0" applyNumberFormat="1" applyFont="1" applyBorder="1"/>
    <xf numFmtId="168" fontId="28" fillId="2" borderId="9" xfId="0" applyNumberFormat="1" applyFont="1" applyBorder="1"/>
    <xf numFmtId="168" fontId="28" fillId="2" borderId="24" xfId="0" applyNumberFormat="1" applyFont="1" applyBorder="1"/>
    <xf numFmtId="39" fontId="27" fillId="2" borderId="12" xfId="0" applyNumberFormat="1" applyFont="1" applyBorder="1"/>
    <xf numFmtId="2" fontId="15" fillId="2" borderId="17" xfId="0" applyNumberFormat="1" applyFont="1" applyBorder="1" applyAlignment="1">
      <alignment horizontal="center"/>
    </xf>
    <xf numFmtId="2" fontId="15" fillId="2" borderId="32" xfId="0" applyNumberFormat="1" applyFont="1" applyBorder="1" applyAlignment="1">
      <alignment horizontal="center"/>
    </xf>
    <xf numFmtId="2" fontId="15" fillId="2" borderId="33" xfId="0" applyNumberFormat="1" applyFont="1" applyBorder="1" applyAlignment="1">
      <alignment horizontal="center"/>
    </xf>
    <xf numFmtId="166" fontId="29" fillId="2" borderId="1" xfId="0" applyNumberFormat="1" applyFont="1" applyBorder="1"/>
    <xf numFmtId="37" fontId="30" fillId="2" borderId="9" xfId="0" applyNumberFormat="1" applyFont="1" applyBorder="1"/>
    <xf numFmtId="2" fontId="27" fillId="2" borderId="25" xfId="0" applyNumberFormat="1" applyFont="1" applyBorder="1"/>
    <xf numFmtId="3" fontId="19" fillId="2" borderId="0" xfId="0" applyNumberFormat="1" applyFont="1"/>
    <xf numFmtId="37" fontId="28" fillId="2" borderId="10" xfId="0" applyNumberFormat="1" applyFont="1" applyBorder="1"/>
    <xf numFmtId="37" fontId="28" fillId="2" borderId="21" xfId="0" applyNumberFormat="1" applyFont="1" applyBorder="1"/>
    <xf numFmtId="37" fontId="27" fillId="2" borderId="28" xfId="0" applyNumberFormat="1" applyFont="1" applyBorder="1"/>
    <xf numFmtId="166" fontId="27" fillId="2" borderId="3" xfId="0" applyNumberFormat="1" applyFont="1" applyBorder="1"/>
    <xf numFmtId="0" fontId="27" fillId="2" borderId="10" xfId="0" applyNumberFormat="1" applyFont="1" applyBorder="1"/>
    <xf numFmtId="0" fontId="28" fillId="2" borderId="10" xfId="0" applyNumberFormat="1" applyFont="1" applyBorder="1"/>
    <xf numFmtId="0" fontId="28" fillId="2" borderId="21" xfId="0" applyNumberFormat="1" applyFont="1" applyBorder="1"/>
    <xf numFmtId="0" fontId="27" fillId="2" borderId="28" xfId="0" applyNumberFormat="1" applyFont="1" applyBorder="1"/>
    <xf numFmtId="0" fontId="27" fillId="2" borderId="3" xfId="0" applyNumberFormat="1" applyFont="1" applyBorder="1"/>
    <xf numFmtId="166" fontId="27" fillId="2" borderId="10" xfId="0" applyNumberFormat="1" applyFont="1" applyBorder="1"/>
    <xf numFmtId="37" fontId="27" fillId="2" borderId="3" xfId="0" applyNumberFormat="1" applyFont="1" applyBorder="1"/>
    <xf numFmtId="167" fontId="32" fillId="2" borderId="0" xfId="0" applyNumberFormat="1" applyFont="1"/>
    <xf numFmtId="3" fontId="0" fillId="2" borderId="0" xfId="0" applyNumberFormat="1"/>
    <xf numFmtId="0" fontId="11" fillId="2" borderId="0" xfId="0" applyNumberFormat="1" applyFont="1"/>
    <xf numFmtId="3" fontId="11" fillId="2" borderId="0" xfId="0" applyNumberFormat="1" applyFont="1"/>
    <xf numFmtId="3" fontId="20" fillId="2" borderId="0" xfId="0" applyNumberFormat="1" applyFont="1"/>
    <xf numFmtId="3" fontId="6" fillId="2" borderId="0" xfId="0" applyNumberFormat="1" applyFont="1"/>
    <xf numFmtId="39" fontId="33" fillId="2" borderId="8" xfId="0" applyNumberFormat="1" applyFont="1" applyBorder="1"/>
    <xf numFmtId="0" fontId="11" fillId="2" borderId="0" xfId="0" applyNumberFormat="1" applyFont="1" applyAlignment="1">
      <alignment horizontal="right"/>
    </xf>
    <xf numFmtId="1" fontId="28" fillId="2" borderId="9" xfId="0" applyNumberFormat="1" applyFont="1" applyBorder="1"/>
    <xf numFmtId="39" fontId="10" fillId="2" borderId="0" xfId="0" applyNumberFormat="1" applyFont="1"/>
    <xf numFmtId="166" fontId="10" fillId="2" borderId="0" xfId="0" applyNumberFormat="1" applyFont="1"/>
    <xf numFmtId="169" fontId="28" fillId="2" borderId="0" xfId="0" applyNumberFormat="1" applyFont="1" applyBorder="1"/>
    <xf numFmtId="166" fontId="34" fillId="2" borderId="1" xfId="0" applyNumberFormat="1" applyFont="1" applyBorder="1"/>
    <xf numFmtId="39" fontId="35" fillId="2" borderId="24" xfId="0" applyNumberFormat="1" applyFont="1" applyBorder="1"/>
    <xf numFmtId="37" fontId="35" fillId="2" borderId="27" xfId="0" applyNumberFormat="1" applyFont="1" applyBorder="1"/>
    <xf numFmtId="41" fontId="36" fillId="2" borderId="0" xfId="2" applyFont="1" applyFill="1"/>
    <xf numFmtId="175" fontId="28" fillId="2" borderId="9" xfId="0" applyNumberFormat="1" applyFont="1" applyBorder="1"/>
    <xf numFmtId="1" fontId="28" fillId="2" borderId="11" xfId="0" applyNumberFormat="1" applyFont="1" applyBorder="1"/>
    <xf numFmtId="39" fontId="28" fillId="2" borderId="12" xfId="0" applyNumberFormat="1" applyFont="1" applyBorder="1"/>
    <xf numFmtId="37" fontId="27" fillId="3" borderId="9" xfId="0" applyNumberFormat="1" applyFont="1" applyFill="1" applyBorder="1"/>
    <xf numFmtId="39" fontId="27" fillId="3" borderId="9" xfId="0" applyNumberFormat="1" applyFont="1" applyFill="1" applyBorder="1"/>
    <xf numFmtId="1" fontId="27" fillId="3" borderId="9" xfId="0" applyNumberFormat="1" applyFont="1" applyFill="1" applyBorder="1"/>
    <xf numFmtId="171" fontId="28" fillId="2" borderId="10" xfId="0" applyNumberFormat="1" applyFont="1" applyBorder="1"/>
    <xf numFmtId="167" fontId="27" fillId="3" borderId="9" xfId="0" applyNumberFormat="1" applyFont="1" applyFill="1" applyBorder="1"/>
    <xf numFmtId="37" fontId="28" fillId="4" borderId="11" xfId="0" applyNumberFormat="1" applyFont="1" applyFill="1" applyBorder="1"/>
    <xf numFmtId="37" fontId="27" fillId="4" borderId="9" xfId="0" applyNumberFormat="1" applyFont="1" applyFill="1" applyBorder="1"/>
    <xf numFmtId="39" fontId="27" fillId="5" borderId="9" xfId="0" applyNumberFormat="1" applyFont="1" applyFill="1" applyBorder="1"/>
    <xf numFmtId="0" fontId="36" fillId="2" borderId="0" xfId="0" applyNumberFormat="1" applyFont="1"/>
    <xf numFmtId="41" fontId="11" fillId="2" borderId="0" xfId="2" applyFont="1" applyFill="1"/>
    <xf numFmtId="3" fontId="37" fillId="2" borderId="0" xfId="0" applyNumberFormat="1" applyFont="1"/>
    <xf numFmtId="37" fontId="39" fillId="2" borderId="0" xfId="0" applyNumberFormat="1" applyFont="1"/>
    <xf numFmtId="37" fontId="28" fillId="4" borderId="9" xfId="0" applyNumberFormat="1" applyFont="1" applyFill="1" applyBorder="1"/>
    <xf numFmtId="0" fontId="38" fillId="2" borderId="0" xfId="0" applyNumberFormat="1" applyFont="1" applyBorder="1"/>
    <xf numFmtId="1" fontId="17" fillId="2" borderId="10" xfId="0" applyNumberFormat="1" applyFont="1" applyBorder="1" applyAlignment="1">
      <alignment horizontal="center"/>
    </xf>
    <xf numFmtId="0" fontId="28" fillId="2" borderId="11" xfId="0" applyNumberFormat="1" applyFont="1" applyBorder="1"/>
    <xf numFmtId="0" fontId="27" fillId="2" borderId="30" xfId="0" applyNumberFormat="1" applyFont="1" applyBorder="1"/>
    <xf numFmtId="0" fontId="27" fillId="2" borderId="31" xfId="0" applyNumberFormat="1" applyFont="1" applyBorder="1"/>
    <xf numFmtId="171" fontId="28" fillId="2" borderId="34" xfId="0" applyNumberFormat="1" applyFont="1" applyBorder="1"/>
    <xf numFmtId="2" fontId="25" fillId="2" borderId="32" xfId="0" applyNumberFormat="1" applyFont="1" applyBorder="1" applyAlignment="1">
      <alignment horizontal="center"/>
    </xf>
    <xf numFmtId="0" fontId="23" fillId="2" borderId="35" xfId="0" applyNumberFormat="1" applyFont="1" applyBorder="1" applyAlignment="1">
      <alignment horizontal="center"/>
    </xf>
    <xf numFmtId="0" fontId="24" fillId="2" borderId="36" xfId="0" applyNumberFormat="1" applyFont="1" applyBorder="1"/>
    <xf numFmtId="0" fontId="17" fillId="2" borderId="37" xfId="0" applyNumberFormat="1" applyFont="1" applyBorder="1"/>
    <xf numFmtId="166" fontId="28" fillId="2" borderId="37" xfId="0" applyNumberFormat="1" applyFont="1" applyBorder="1"/>
    <xf numFmtId="0" fontId="28" fillId="2" borderId="37" xfId="0" applyNumberFormat="1" applyFont="1" applyBorder="1"/>
    <xf numFmtId="176" fontId="28" fillId="2" borderId="9" xfId="2" applyNumberFormat="1" applyFont="1" applyFill="1" applyBorder="1"/>
    <xf numFmtId="167" fontId="28" fillId="4" borderId="9" xfId="0" applyNumberFormat="1" applyFont="1" applyFill="1" applyBorder="1"/>
    <xf numFmtId="177" fontId="28" fillId="2" borderId="9" xfId="2" applyNumberFormat="1" applyFont="1" applyFill="1" applyBorder="1"/>
    <xf numFmtId="171" fontId="27" fillId="2" borderId="34" xfId="0" applyNumberFormat="1" applyFont="1" applyBorder="1"/>
    <xf numFmtId="37" fontId="35" fillId="2" borderId="10" xfId="0" applyNumberFormat="1" applyFont="1" applyBorder="1"/>
    <xf numFmtId="1" fontId="40" fillId="2" borderId="10" xfId="0" applyNumberFormat="1" applyFont="1" applyBorder="1"/>
    <xf numFmtId="1" fontId="40" fillId="2" borderId="11" xfId="0" applyNumberFormat="1" applyFont="1" applyBorder="1"/>
    <xf numFmtId="41" fontId="10" fillId="2" borderId="0" xfId="2" applyFont="1" applyFill="1"/>
    <xf numFmtId="1" fontId="26" fillId="2" borderId="0" xfId="0" applyNumberFormat="1" applyFont="1"/>
    <xf numFmtId="41" fontId="26" fillId="2" borderId="0" xfId="2" applyFont="1" applyFill="1"/>
    <xf numFmtId="41" fontId="8" fillId="2" borderId="0" xfId="2" applyFont="1" applyFill="1"/>
    <xf numFmtId="3" fontId="10" fillId="2" borderId="0" xfId="2" applyNumberFormat="1" applyFont="1" applyFill="1"/>
    <xf numFmtId="37" fontId="42" fillId="2" borderId="9" xfId="0" applyNumberFormat="1" applyFont="1" applyBorder="1"/>
    <xf numFmtId="173" fontId="26" fillId="2" borderId="0" xfId="2" applyNumberFormat="1" applyFont="1" applyFill="1"/>
    <xf numFmtId="2" fontId="26" fillId="2" borderId="0" xfId="0" applyNumberFormat="1" applyFont="1"/>
    <xf numFmtId="41" fontId="8" fillId="4" borderId="0" xfId="2" applyFont="1" applyFill="1"/>
    <xf numFmtId="174" fontId="26" fillId="2" borderId="0" xfId="2" applyNumberFormat="1" applyFont="1" applyFill="1"/>
    <xf numFmtId="173" fontId="8" fillId="2" borderId="0" xfId="2" applyNumberFormat="1" applyFont="1" applyFill="1"/>
    <xf numFmtId="166" fontId="26" fillId="2" borderId="0" xfId="0" applyNumberFormat="1" applyFont="1" applyAlignment="1">
      <alignment horizontal="center"/>
    </xf>
    <xf numFmtId="4" fontId="19" fillId="2" borderId="0" xfId="0" applyNumberFormat="1" applyFont="1"/>
    <xf numFmtId="173" fontId="42" fillId="4" borderId="0" xfId="2" applyNumberFormat="1" applyFont="1" applyFill="1" applyBorder="1"/>
    <xf numFmtId="3" fontId="7" fillId="2" borderId="0" xfId="0" applyNumberFormat="1" applyFont="1"/>
    <xf numFmtId="37" fontId="11" fillId="2" borderId="0" xfId="0" applyNumberFormat="1" applyFont="1"/>
    <xf numFmtId="169" fontId="30" fillId="2" borderId="9" xfId="0" applyNumberFormat="1" applyFont="1" applyBorder="1"/>
    <xf numFmtId="39" fontId="30" fillId="2" borderId="9" xfId="0" applyNumberFormat="1" applyFont="1" applyBorder="1"/>
    <xf numFmtId="37" fontId="30" fillId="2" borderId="18" xfId="0" applyNumberFormat="1" applyFont="1" applyBorder="1"/>
    <xf numFmtId="167" fontId="30" fillId="2" borderId="9" xfId="0" applyNumberFormat="1" applyFont="1" applyBorder="1"/>
    <xf numFmtId="166" fontId="27" fillId="2" borderId="38" xfId="0" applyNumberFormat="1" applyFont="1" applyBorder="1"/>
    <xf numFmtId="37" fontId="10" fillId="2" borderId="0" xfId="0" applyNumberFormat="1" applyFont="1"/>
    <xf numFmtId="0" fontId="41" fillId="2" borderId="0" xfId="0" applyNumberFormat="1" applyFont="1"/>
    <xf numFmtId="170" fontId="20" fillId="2" borderId="0" xfId="0" applyNumberFormat="1" applyFont="1"/>
    <xf numFmtId="170" fontId="10" fillId="2" borderId="0" xfId="0" applyNumberFormat="1" applyFont="1"/>
    <xf numFmtId="38" fontId="11" fillId="2" borderId="0" xfId="0" applyNumberFormat="1" applyFont="1"/>
    <xf numFmtId="38" fontId="43" fillId="2" borderId="0" xfId="0" applyNumberFormat="1" applyFont="1"/>
    <xf numFmtId="3" fontId="41" fillId="3" borderId="0" xfId="0" applyNumberFormat="1" applyFont="1" applyFill="1"/>
    <xf numFmtId="171" fontId="6" fillId="2" borderId="0" xfId="0" applyNumberFormat="1" applyFont="1"/>
    <xf numFmtId="171" fontId="28" fillId="2" borderId="24" xfId="0" applyNumberFormat="1" applyFont="1" applyBorder="1"/>
    <xf numFmtId="39" fontId="27" fillId="2" borderId="40" xfId="0" applyNumberFormat="1" applyFont="1" applyBorder="1"/>
    <xf numFmtId="171" fontId="28" fillId="2" borderId="41" xfId="0" applyNumberFormat="1" applyFont="1" applyBorder="1"/>
    <xf numFmtId="0" fontId="7" fillId="2" borderId="0" xfId="0" applyNumberFormat="1" applyFont="1"/>
    <xf numFmtId="0" fontId="10" fillId="2" borderId="0" xfId="0" applyNumberFormat="1" applyFont="1"/>
    <xf numFmtId="2" fontId="10" fillId="2" borderId="0" xfId="0" applyNumberFormat="1" applyFont="1"/>
    <xf numFmtId="38" fontId="10" fillId="2" borderId="0" xfId="0" applyNumberFormat="1" applyFont="1"/>
    <xf numFmtId="178" fontId="10" fillId="2" borderId="0" xfId="0" applyNumberFormat="1" applyFont="1"/>
    <xf numFmtId="0" fontId="44" fillId="2" borderId="0" xfId="0" applyNumberFormat="1" applyFont="1"/>
    <xf numFmtId="0" fontId="45" fillId="2" borderId="0" xfId="0" applyNumberFormat="1" applyFont="1"/>
    <xf numFmtId="0" fontId="47" fillId="2" borderId="0" xfId="0" applyNumberFormat="1" applyFont="1"/>
    <xf numFmtId="37" fontId="30" fillId="4" borderId="9" xfId="0" applyNumberFormat="1" applyFont="1" applyFill="1" applyBorder="1"/>
    <xf numFmtId="172" fontId="27" fillId="3" borderId="9" xfId="0" applyNumberFormat="1" applyFont="1" applyFill="1" applyBorder="1"/>
    <xf numFmtId="166" fontId="11" fillId="2" borderId="0" xfId="0" applyNumberFormat="1" applyFont="1"/>
    <xf numFmtId="37" fontId="33" fillId="2" borderId="8" xfId="0" applyNumberFormat="1" applyFont="1" applyBorder="1"/>
    <xf numFmtId="166" fontId="33" fillId="2" borderId="25" xfId="0" applyNumberFormat="1" applyFont="1" applyBorder="1"/>
    <xf numFmtId="169" fontId="30" fillId="2" borderId="24" xfId="0" applyNumberFormat="1" applyFont="1" applyBorder="1"/>
    <xf numFmtId="0" fontId="30" fillId="2" borderId="17" xfId="0" applyNumberFormat="1" applyFont="1" applyBorder="1" applyAlignment="1">
      <alignment horizontal="center"/>
    </xf>
    <xf numFmtId="0" fontId="30" fillId="2" borderId="19" xfId="0" applyNumberFormat="1" applyFont="1" applyBorder="1"/>
    <xf numFmtId="1" fontId="61" fillId="2" borderId="9" xfId="0" applyNumberFormat="1" applyFont="1" applyBorder="1" applyAlignment="1">
      <alignment horizontal="center"/>
    </xf>
    <xf numFmtId="166" fontId="30" fillId="2" borderId="25" xfId="0" applyNumberFormat="1" applyFont="1" applyBorder="1"/>
    <xf numFmtId="39" fontId="30" fillId="2" borderId="25" xfId="0" applyNumberFormat="1" applyFont="1" applyBorder="1"/>
    <xf numFmtId="0" fontId="25" fillId="2" borderId="0" xfId="0" applyNumberFormat="1" applyFont="1" applyBorder="1"/>
    <xf numFmtId="0" fontId="17" fillId="2" borderId="0" xfId="0" applyNumberFormat="1" applyFont="1" applyBorder="1" applyAlignment="1">
      <alignment horizontal="center"/>
    </xf>
    <xf numFmtId="1" fontId="17" fillId="2" borderId="0" xfId="0" applyNumberFormat="1" applyFont="1" applyBorder="1" applyAlignment="1">
      <alignment horizontal="center"/>
    </xf>
    <xf numFmtId="3" fontId="7" fillId="4" borderId="0" xfId="0" applyNumberFormat="1" applyFont="1" applyFill="1"/>
    <xf numFmtId="3" fontId="41" fillId="6" borderId="0" xfId="0" applyNumberFormat="1" applyFont="1" applyFill="1"/>
    <xf numFmtId="39" fontId="28" fillId="4" borderId="9" xfId="0" applyNumberFormat="1" applyFont="1" applyFill="1" applyBorder="1"/>
    <xf numFmtId="37" fontId="28" fillId="4" borderId="18" xfId="0" applyNumberFormat="1" applyFont="1" applyFill="1" applyBorder="1"/>
    <xf numFmtId="37" fontId="27" fillId="4" borderId="8" xfId="0" applyNumberFormat="1" applyFont="1" applyFill="1" applyBorder="1"/>
    <xf numFmtId="167" fontId="35" fillId="4" borderId="9" xfId="0" applyNumberFormat="1" applyFont="1" applyFill="1" applyBorder="1"/>
    <xf numFmtId="37" fontId="60" fillId="4" borderId="8" xfId="0" applyNumberFormat="1" applyFont="1" applyFill="1" applyBorder="1"/>
    <xf numFmtId="1" fontId="62" fillId="2" borderId="9" xfId="0" applyNumberFormat="1" applyFont="1" applyBorder="1" applyAlignment="1">
      <alignment horizontal="center"/>
    </xf>
    <xf numFmtId="40" fontId="20" fillId="2" borderId="0" xfId="0" applyNumberFormat="1" applyFont="1"/>
    <xf numFmtId="3" fontId="10" fillId="2" borderId="0" xfId="0" applyNumberFormat="1" applyFont="1"/>
    <xf numFmtId="3" fontId="30" fillId="2" borderId="0" xfId="0" applyNumberFormat="1" applyFont="1"/>
    <xf numFmtId="4" fontId="30" fillId="2" borderId="0" xfId="0" applyNumberFormat="1" applyFont="1"/>
    <xf numFmtId="39" fontId="28" fillId="2" borderId="18" xfId="0" applyNumberFormat="1" applyFont="1" applyBorder="1"/>
    <xf numFmtId="167" fontId="28" fillId="2" borderId="18" xfId="0" applyNumberFormat="1" applyFont="1" applyBorder="1"/>
    <xf numFmtId="3" fontId="30" fillId="2" borderId="9" xfId="0" applyNumberFormat="1" applyFont="1" applyBorder="1"/>
    <xf numFmtId="170" fontId="30" fillId="2" borderId="9" xfId="0" applyNumberFormat="1" applyFont="1" applyBorder="1"/>
    <xf numFmtId="167" fontId="30" fillId="4" borderId="9" xfId="0" applyNumberFormat="1" applyFont="1" applyFill="1" applyBorder="1"/>
    <xf numFmtId="0" fontId="7" fillId="2" borderId="42" xfId="0" applyNumberFormat="1" applyFont="1" applyBorder="1"/>
    <xf numFmtId="39" fontId="27" fillId="3" borderId="8" xfId="0" applyNumberFormat="1" applyFont="1" applyFill="1" applyBorder="1"/>
    <xf numFmtId="39" fontId="27" fillId="3" borderId="25" xfId="0" applyNumberFormat="1" applyFont="1" applyFill="1" applyBorder="1"/>
    <xf numFmtId="173" fontId="41" fillId="2" borderId="0" xfId="2" applyNumberFormat="1" applyFont="1" applyFill="1"/>
    <xf numFmtId="170" fontId="19" fillId="2" borderId="0" xfId="0" applyNumberFormat="1" applyFont="1"/>
    <xf numFmtId="170" fontId="26" fillId="2" borderId="0" xfId="2" applyNumberFormat="1" applyFont="1" applyFill="1"/>
    <xf numFmtId="39" fontId="30" fillId="2" borderId="18" xfId="0" applyNumberFormat="1" applyFont="1" applyBorder="1"/>
    <xf numFmtId="169" fontId="28" fillId="0" borderId="9" xfId="0" applyNumberFormat="1" applyFont="1" applyFill="1" applyBorder="1"/>
    <xf numFmtId="3" fontId="35" fillId="2" borderId="27" xfId="0" applyNumberFormat="1" applyFont="1" applyBorder="1"/>
    <xf numFmtId="3" fontId="30" fillId="0" borderId="39" xfId="2" applyNumberFormat="1" applyFont="1" applyFill="1" applyBorder="1"/>
    <xf numFmtId="37" fontId="30" fillId="0" borderId="24" xfId="0" applyNumberFormat="1" applyFont="1" applyFill="1" applyBorder="1"/>
    <xf numFmtId="39" fontId="30" fillId="0" borderId="24" xfId="0" applyNumberFormat="1" applyFont="1" applyFill="1" applyBorder="1"/>
    <xf numFmtId="37" fontId="28" fillId="0" borderId="24" xfId="0" applyNumberFormat="1" applyFont="1" applyFill="1" applyBorder="1"/>
    <xf numFmtId="167" fontId="30" fillId="0" borderId="24" xfId="0" applyNumberFormat="1" applyFont="1" applyFill="1" applyBorder="1"/>
    <xf numFmtId="37" fontId="28" fillId="0" borderId="9" xfId="0" applyNumberFormat="1" applyFont="1" applyFill="1" applyBorder="1"/>
    <xf numFmtId="39" fontId="28" fillId="0" borderId="9" xfId="0" applyNumberFormat="1" applyFont="1" applyFill="1" applyBorder="1"/>
    <xf numFmtId="39" fontId="30" fillId="0" borderId="9" xfId="0" applyNumberFormat="1" applyFont="1" applyFill="1" applyBorder="1"/>
    <xf numFmtId="37" fontId="30" fillId="0" borderId="9" xfId="0" applyNumberFormat="1" applyFont="1" applyFill="1" applyBorder="1"/>
    <xf numFmtId="37" fontId="35" fillId="0" borderId="24" xfId="0" applyNumberFormat="1" applyFont="1" applyFill="1" applyBorder="1"/>
    <xf numFmtId="167" fontId="30" fillId="0" borderId="9" xfId="0" applyNumberFormat="1" applyFont="1" applyFill="1" applyBorder="1"/>
    <xf numFmtId="0" fontId="66" fillId="4" borderId="0" xfId="0" applyNumberFormat="1" applyFont="1" applyFill="1"/>
    <xf numFmtId="0" fontId="67" fillId="2" borderId="19" xfId="0" applyNumberFormat="1" applyFont="1" applyBorder="1"/>
    <xf numFmtId="0" fontId="67" fillId="2" borderId="2" xfId="0" applyNumberFormat="1" applyFont="1" applyBorder="1"/>
    <xf numFmtId="0" fontId="67" fillId="2" borderId="22" xfId="0" applyNumberFormat="1" applyFont="1" applyBorder="1"/>
    <xf numFmtId="37" fontId="30" fillId="0" borderId="29" xfId="0" applyNumberFormat="1" applyFont="1" applyFill="1" applyBorder="1"/>
    <xf numFmtId="2" fontId="25" fillId="8" borderId="20" xfId="0" applyNumberFormat="1" applyFont="1" applyFill="1" applyBorder="1" applyAlignment="1">
      <alignment horizontal="center"/>
    </xf>
    <xf numFmtId="0" fontId="25" fillId="8" borderId="19" xfId="0" applyNumberFormat="1" applyFont="1" applyFill="1" applyBorder="1"/>
    <xf numFmtId="1" fontId="17" fillId="8" borderId="9" xfId="0" applyNumberFormat="1" applyFont="1" applyFill="1" applyBorder="1" applyAlignment="1">
      <alignment horizontal="center"/>
    </xf>
    <xf numFmtId="39" fontId="28" fillId="8" borderId="9" xfId="0" applyNumberFormat="1" applyFont="1" applyFill="1" applyBorder="1"/>
    <xf numFmtId="39" fontId="27" fillId="8" borderId="9" xfId="0" applyNumberFormat="1" applyFont="1" applyFill="1" applyBorder="1"/>
    <xf numFmtId="39" fontId="30" fillId="8" borderId="9" xfId="0" applyNumberFormat="1" applyFont="1" applyFill="1" applyBorder="1"/>
    <xf numFmtId="39" fontId="28" fillId="8" borderId="24" xfId="0" applyNumberFormat="1" applyFont="1" applyFill="1" applyBorder="1"/>
    <xf numFmtId="39" fontId="33" fillId="8" borderId="8" xfId="0" applyNumberFormat="1" applyFont="1" applyFill="1" applyBorder="1"/>
    <xf numFmtId="39" fontId="33" fillId="8" borderId="25" xfId="0" applyNumberFormat="1" applyFont="1" applyFill="1" applyBorder="1"/>
    <xf numFmtId="0" fontId="25" fillId="8" borderId="17" xfId="0" applyNumberFormat="1" applyFont="1" applyFill="1" applyBorder="1" applyAlignment="1">
      <alignment horizontal="center"/>
    </xf>
    <xf numFmtId="39" fontId="33" fillId="8" borderId="9" xfId="0" applyNumberFormat="1" applyFont="1" applyFill="1" applyBorder="1"/>
    <xf numFmtId="41" fontId="27" fillId="3" borderId="9" xfId="2" applyNumberFormat="1" applyFont="1" applyFill="1" applyBorder="1"/>
    <xf numFmtId="0" fontId="30" fillId="2" borderId="24" xfId="0" applyNumberFormat="1" applyFont="1" applyBorder="1"/>
    <xf numFmtId="1" fontId="11" fillId="2" borderId="0" xfId="0" applyNumberFormat="1" applyFont="1"/>
    <xf numFmtId="37" fontId="60" fillId="3" borderId="9" xfId="0" applyNumberFormat="1" applyFont="1" applyFill="1" applyBorder="1"/>
    <xf numFmtId="41" fontId="7" fillId="2" borderId="16" xfId="2" applyFont="1" applyFill="1" applyBorder="1"/>
    <xf numFmtId="167" fontId="42" fillId="2" borderId="9" xfId="0" applyNumberFormat="1" applyFont="1" applyBorder="1"/>
    <xf numFmtId="37" fontId="28" fillId="7" borderId="9" xfId="0" applyNumberFormat="1" applyFont="1" applyFill="1" applyBorder="1"/>
    <xf numFmtId="167" fontId="28" fillId="7" borderId="9" xfId="0" applyNumberFormat="1" applyFont="1" applyFill="1" applyBorder="1"/>
    <xf numFmtId="167" fontId="60" fillId="3" borderId="9" xfId="0" applyNumberFormat="1" applyFont="1" applyFill="1" applyBorder="1"/>
    <xf numFmtId="37" fontId="60" fillId="0" borderId="9" xfId="0" applyNumberFormat="1" applyFont="1" applyFill="1" applyBorder="1"/>
    <xf numFmtId="37" fontId="68" fillId="3" borderId="9" xfId="0" applyNumberFormat="1" applyFont="1" applyFill="1" applyBorder="1"/>
    <xf numFmtId="39" fontId="60" fillId="2" borderId="9" xfId="0" applyNumberFormat="1" applyFont="1" applyBorder="1"/>
    <xf numFmtId="166" fontId="60" fillId="2" borderId="9" xfId="0" applyNumberFormat="1" applyFont="1" applyBorder="1"/>
    <xf numFmtId="37" fontId="60" fillId="3" borderId="11" xfId="0" applyNumberFormat="1" applyFont="1" applyFill="1" applyBorder="1"/>
    <xf numFmtId="1" fontId="60" fillId="3" borderId="11" xfId="0" applyNumberFormat="1" applyFont="1" applyFill="1" applyBorder="1"/>
    <xf numFmtId="1" fontId="60" fillId="2" borderId="11" xfId="0" applyNumberFormat="1" applyFont="1" applyBorder="1"/>
    <xf numFmtId="39" fontId="60" fillId="3" borderId="9" xfId="0" applyNumberFormat="1" applyFont="1" applyFill="1" applyBorder="1"/>
    <xf numFmtId="37" fontId="60" fillId="5" borderId="9" xfId="0" applyNumberFormat="1" applyFont="1" applyFill="1" applyBorder="1"/>
    <xf numFmtId="172" fontId="60" fillId="3" borderId="9" xfId="0" applyNumberFormat="1" applyFont="1" applyFill="1" applyBorder="1"/>
    <xf numFmtId="37" fontId="27" fillId="0" borderId="9" xfId="0" applyNumberFormat="1" applyFont="1" applyFill="1" applyBorder="1"/>
    <xf numFmtId="39" fontId="28" fillId="7" borderId="9" xfId="0" applyNumberFormat="1" applyFont="1" applyFill="1" applyBorder="1"/>
    <xf numFmtId="167" fontId="60" fillId="2" borderId="8" xfId="0" applyNumberFormat="1" applyFont="1" applyBorder="1"/>
    <xf numFmtId="168" fontId="60" fillId="2" borderId="8" xfId="0" applyNumberFormat="1" applyFont="1" applyBorder="1"/>
    <xf numFmtId="37" fontId="7" fillId="2" borderId="0" xfId="0" applyNumberFormat="1" applyFont="1"/>
    <xf numFmtId="166" fontId="7" fillId="2" borderId="0" xfId="0" applyNumberFormat="1" applyFont="1"/>
    <xf numFmtId="167" fontId="28" fillId="0" borderId="9" xfId="0" applyNumberFormat="1" applyFont="1" applyFill="1" applyBorder="1"/>
    <xf numFmtId="0" fontId="69" fillId="2" borderId="0" xfId="0" applyNumberFormat="1" applyFont="1"/>
    <xf numFmtId="2" fontId="15" fillId="2" borderId="0" xfId="0" applyNumberFormat="1" applyFont="1" applyBorder="1" applyAlignment="1">
      <alignment horizontal="center"/>
    </xf>
    <xf numFmtId="39" fontId="27" fillId="2" borderId="0" xfId="0" applyNumberFormat="1" applyFont="1" applyBorder="1"/>
    <xf numFmtId="40" fontId="35" fillId="2" borderId="0" xfId="0" applyNumberFormat="1" applyFont="1" applyBorder="1"/>
    <xf numFmtId="40" fontId="28" fillId="2" borderId="0" xfId="0" applyNumberFormat="1" applyFont="1" applyBorder="1"/>
    <xf numFmtId="169" fontId="35" fillId="2" borderId="0" xfId="0" applyNumberFormat="1" applyFont="1" applyBorder="1"/>
    <xf numFmtId="179" fontId="35" fillId="2" borderId="0" xfId="0" applyNumberFormat="1" applyFont="1" applyBorder="1"/>
    <xf numFmtId="39" fontId="35" fillId="2" borderId="0" xfId="0" applyNumberFormat="1" applyFont="1" applyBorder="1"/>
    <xf numFmtId="169" fontId="30" fillId="2" borderId="0" xfId="0" applyNumberFormat="1" applyFont="1" applyBorder="1"/>
    <xf numFmtId="180" fontId="28" fillId="2" borderId="10" xfId="1" applyNumberFormat="1" applyFont="1" applyFill="1" applyBorder="1"/>
    <xf numFmtId="181" fontId="28" fillId="2" borderId="10" xfId="1" applyNumberFormat="1" applyFont="1" applyFill="1" applyBorder="1"/>
    <xf numFmtId="181" fontId="28" fillId="2" borderId="11" xfId="1" applyNumberFormat="1" applyFont="1" applyFill="1" applyBorder="1"/>
    <xf numFmtId="39" fontId="27" fillId="0" borderId="8" xfId="0" applyNumberFormat="1" applyFont="1" applyFill="1" applyBorder="1"/>
    <xf numFmtId="39" fontId="27" fillId="0" borderId="25" xfId="0" applyNumberFormat="1" applyFont="1" applyFill="1" applyBorder="1"/>
    <xf numFmtId="182" fontId="30" fillId="2" borderId="9" xfId="0" applyNumberFormat="1" applyFont="1" applyBorder="1"/>
    <xf numFmtId="183" fontId="28" fillId="2" borderId="9" xfId="0" applyNumberFormat="1" applyFont="1" applyBorder="1"/>
    <xf numFmtId="40" fontId="30" fillId="2" borderId="12" xfId="0" applyNumberFormat="1" applyFont="1" applyBorder="1"/>
    <xf numFmtId="39" fontId="30" fillId="2" borderId="12" xfId="0" applyNumberFormat="1" applyFont="1" applyBorder="1"/>
    <xf numFmtId="173" fontId="30" fillId="2" borderId="23" xfId="2" applyNumberFormat="1" applyFont="1" applyFill="1" applyBorder="1"/>
    <xf numFmtId="40" fontId="30" fillId="2" borderId="23" xfId="0" applyNumberFormat="1" applyFont="1" applyBorder="1"/>
    <xf numFmtId="39" fontId="27" fillId="2" borderId="43" xfId="0" applyNumberFormat="1" applyFont="1" applyBorder="1"/>
    <xf numFmtId="2" fontId="27" fillId="2" borderId="44" xfId="0" applyNumberFormat="1" applyFont="1" applyBorder="1"/>
    <xf numFmtId="41" fontId="69" fillId="2" borderId="0" xfId="2" applyFont="1" applyFill="1"/>
    <xf numFmtId="37" fontId="69" fillId="2" borderId="0" xfId="0" applyNumberFormat="1" applyFont="1"/>
    <xf numFmtId="3" fontId="46" fillId="4" borderId="0" xfId="0" applyNumberFormat="1" applyFont="1" applyFill="1"/>
    <xf numFmtId="0" fontId="47" fillId="4" borderId="0" xfId="0" applyNumberFormat="1" applyFont="1" applyFill="1"/>
    <xf numFmtId="0" fontId="0" fillId="4" borderId="0" xfId="0" applyNumberFormat="1" applyFill="1"/>
    <xf numFmtId="0" fontId="65" fillId="4" borderId="0" xfId="0" applyNumberFormat="1" applyFont="1" applyFill="1"/>
    <xf numFmtId="0" fontId="45" fillId="4" borderId="0" xfId="0" applyNumberFormat="1" applyFont="1" applyFill="1"/>
    <xf numFmtId="37" fontId="48" fillId="4" borderId="9" xfId="0" applyNumberFormat="1" applyFont="1" applyFill="1" applyBorder="1"/>
    <xf numFmtId="0" fontId="11" fillId="4" borderId="0" xfId="0" applyNumberFormat="1" applyFont="1" applyFill="1" applyAlignment="1">
      <alignment horizontal="left"/>
    </xf>
    <xf numFmtId="0" fontId="7" fillId="4" borderId="0" xfId="0" applyNumberFormat="1" applyFont="1" applyFill="1"/>
    <xf numFmtId="4" fontId="49" fillId="4" borderId="0" xfId="0" applyNumberFormat="1" applyFont="1" applyFill="1"/>
    <xf numFmtId="4" fontId="50" fillId="4" borderId="0" xfId="0" applyNumberFormat="1" applyFont="1" applyFill="1"/>
    <xf numFmtId="39" fontId="51" fillId="4" borderId="9" xfId="0" applyNumberFormat="1" applyFont="1" applyFill="1" applyBorder="1"/>
    <xf numFmtId="0" fontId="49" fillId="4" borderId="0" xfId="0" applyNumberFormat="1" applyFont="1" applyFill="1"/>
    <xf numFmtId="3" fontId="52" fillId="4" borderId="0" xfId="0" applyNumberFormat="1" applyFont="1" applyFill="1"/>
    <xf numFmtId="1" fontId="37" fillId="4" borderId="0" xfId="0" applyNumberFormat="1" applyFont="1" applyFill="1"/>
    <xf numFmtId="167" fontId="53" fillId="4" borderId="9" xfId="0" applyNumberFormat="1" applyFont="1" applyFill="1" applyBorder="1"/>
    <xf numFmtId="0" fontId="54" fillId="4" borderId="0" xfId="0" applyNumberFormat="1" applyFont="1" applyFill="1"/>
    <xf numFmtId="171" fontId="54" fillId="4" borderId="0" xfId="0" applyNumberFormat="1" applyFont="1" applyFill="1"/>
    <xf numFmtId="3" fontId="49" fillId="4" borderId="0" xfId="0" applyNumberFormat="1" applyFont="1" applyFill="1"/>
    <xf numFmtId="2" fontId="49" fillId="4" borderId="0" xfId="0" applyNumberFormat="1" applyFont="1" applyFill="1"/>
    <xf numFmtId="37" fontId="60" fillId="4" borderId="9" xfId="0" applyNumberFormat="1" applyFont="1" applyFill="1" applyBorder="1"/>
    <xf numFmtId="41" fontId="49" fillId="4" borderId="0" xfId="2" applyFont="1" applyFill="1"/>
    <xf numFmtId="41" fontId="49" fillId="4" borderId="0" xfId="2" applyFont="1" applyFill="1" applyAlignment="1">
      <alignment horizontal="left" indent="2"/>
    </xf>
    <xf numFmtId="3" fontId="55" fillId="4" borderId="0" xfId="0" applyNumberFormat="1" applyFont="1" applyFill="1"/>
    <xf numFmtId="41" fontId="49" fillId="4" borderId="0" xfId="0" applyNumberFormat="1" applyFont="1" applyFill="1"/>
    <xf numFmtId="4" fontId="41" fillId="4" borderId="0" xfId="0" applyNumberFormat="1" applyFont="1" applyFill="1"/>
    <xf numFmtId="0" fontId="64" fillId="4" borderId="0" xfId="0" applyNumberFormat="1" applyFont="1" applyFill="1"/>
    <xf numFmtId="0" fontId="63" fillId="4" borderId="0" xfId="0" applyNumberFormat="1" applyFont="1" applyFill="1"/>
    <xf numFmtId="4" fontId="56" fillId="4" borderId="0" xfId="0" applyNumberFormat="1" applyFont="1" applyFill="1"/>
    <xf numFmtId="37" fontId="66" fillId="4" borderId="0" xfId="0" applyNumberFormat="1" applyFont="1" applyFill="1"/>
    <xf numFmtId="41" fontId="57" fillId="4" borderId="0" xfId="2" applyFont="1" applyFill="1"/>
    <xf numFmtId="0" fontId="11" fillId="4" borderId="0" xfId="0" applyNumberFormat="1" applyFont="1" applyFill="1"/>
    <xf numFmtId="41" fontId="58" fillId="4" borderId="0" xfId="0" applyNumberFormat="1" applyFont="1" applyFill="1"/>
    <xf numFmtId="0" fontId="10" fillId="4" borderId="0" xfId="0" applyNumberFormat="1" applyFont="1" applyFill="1"/>
    <xf numFmtId="0" fontId="59" fillId="4" borderId="0" xfId="0" applyNumberFormat="1" applyFont="1" applyFill="1"/>
    <xf numFmtId="41" fontId="56" fillId="4" borderId="0" xfId="0" applyNumberFormat="1" applyFont="1" applyFill="1"/>
    <xf numFmtId="0" fontId="55" fillId="4" borderId="0" xfId="0" applyNumberFormat="1" applyFont="1" applyFill="1"/>
    <xf numFmtId="41" fontId="54" fillId="4" borderId="0" xfId="2" applyFont="1" applyFill="1"/>
    <xf numFmtId="41" fontId="54" fillId="4" borderId="0" xfId="0" applyNumberFormat="1" applyFont="1" applyFill="1"/>
    <xf numFmtId="41" fontId="65" fillId="4" borderId="0" xfId="2" applyFont="1" applyFill="1"/>
    <xf numFmtId="167" fontId="30" fillId="5" borderId="24" xfId="0" applyNumberFormat="1" applyFont="1" applyFill="1" applyBorder="1"/>
    <xf numFmtId="41" fontId="36" fillId="4" borderId="0" xfId="2" applyFont="1" applyFill="1"/>
    <xf numFmtId="0" fontId="36" fillId="4" borderId="0" xfId="0" applyNumberFormat="1" applyFont="1" applyFill="1"/>
    <xf numFmtId="1" fontId="36" fillId="4" borderId="0" xfId="0" applyNumberFormat="1" applyFont="1" applyFill="1"/>
    <xf numFmtId="167" fontId="72" fillId="3" borderId="9" xfId="0" applyNumberFormat="1" applyFont="1" applyFill="1" applyBorder="1"/>
    <xf numFmtId="0" fontId="70" fillId="2" borderId="0" xfId="0" applyNumberFormat="1" applyFont="1"/>
    <xf numFmtId="0" fontId="70" fillId="0" borderId="0" xfId="0" applyNumberFormat="1" applyFont="1" applyFill="1"/>
    <xf numFmtId="0" fontId="0" fillId="0" borderId="0" xfId="0" applyNumberFormat="1" applyFill="1"/>
    <xf numFmtId="0" fontId="76" fillId="2" borderId="0" xfId="0" applyNumberFormat="1" applyFont="1"/>
    <xf numFmtId="0" fontId="76" fillId="0" borderId="0" xfId="0" applyNumberFormat="1" applyFont="1" applyFill="1"/>
    <xf numFmtId="0" fontId="73" fillId="9" borderId="47" xfId="0" applyNumberFormat="1" applyFont="1" applyFill="1" applyBorder="1" applyAlignment="1">
      <alignment horizontal="center" vertical="center" wrapText="1"/>
    </xf>
    <xf numFmtId="0" fontId="73" fillId="9" borderId="52" xfId="0" applyNumberFormat="1" applyFont="1" applyFill="1" applyBorder="1" applyAlignment="1">
      <alignment horizontal="center" vertical="center" wrapText="1"/>
    </xf>
    <xf numFmtId="0" fontId="73" fillId="9" borderId="46" xfId="0" applyNumberFormat="1" applyFont="1" applyFill="1" applyBorder="1" applyAlignment="1">
      <alignment horizontal="center" vertical="center" wrapText="1"/>
    </xf>
    <xf numFmtId="0" fontId="73" fillId="9" borderId="48" xfId="0" applyNumberFormat="1" applyFont="1" applyFill="1" applyBorder="1" applyAlignment="1">
      <alignment horizontal="center" vertical="center" wrapText="1"/>
    </xf>
    <xf numFmtId="0" fontId="73" fillId="9" borderId="53" xfId="0" applyNumberFormat="1" applyFont="1" applyFill="1" applyBorder="1" applyAlignment="1">
      <alignment horizontal="center" vertical="center" wrapText="1"/>
    </xf>
    <xf numFmtId="166" fontId="20" fillId="2" borderId="0" xfId="0" applyNumberFormat="1" applyFont="1" applyAlignment="1">
      <alignment horizontal="center"/>
    </xf>
    <xf numFmtId="0" fontId="73" fillId="9" borderId="46" xfId="0" applyNumberFormat="1" applyFont="1" applyFill="1" applyBorder="1" applyAlignment="1">
      <alignment horizontal="center" vertical="center" wrapText="1"/>
    </xf>
    <xf numFmtId="0" fontId="73" fillId="9" borderId="49" xfId="0" applyNumberFormat="1" applyFont="1" applyFill="1" applyBorder="1" applyAlignment="1">
      <alignment horizontal="center" vertical="center" wrapText="1"/>
    </xf>
    <xf numFmtId="0" fontId="73" fillId="9" borderId="48" xfId="0" applyNumberFormat="1" applyFont="1" applyFill="1" applyBorder="1" applyAlignment="1">
      <alignment horizontal="center" vertical="center" wrapText="1"/>
    </xf>
    <xf numFmtId="0" fontId="73" fillId="9" borderId="51" xfId="0" applyNumberFormat="1" applyFont="1" applyFill="1" applyBorder="1" applyAlignment="1">
      <alignment horizontal="center" vertical="center" wrapText="1"/>
    </xf>
    <xf numFmtId="0" fontId="73" fillId="9" borderId="47" xfId="0" applyNumberFormat="1" applyFont="1" applyFill="1" applyBorder="1" applyAlignment="1">
      <alignment horizontal="center" vertical="center" wrapText="1"/>
    </xf>
    <xf numFmtId="0" fontId="73" fillId="9" borderId="50" xfId="0" applyNumberFormat="1" applyFont="1" applyFill="1" applyBorder="1" applyAlignment="1">
      <alignment horizontal="center" vertical="center" wrapText="1"/>
    </xf>
    <xf numFmtId="0" fontId="73" fillId="9" borderId="53" xfId="0" applyNumberFormat="1" applyFont="1" applyFill="1" applyBorder="1" applyAlignment="1">
      <alignment horizontal="center" vertical="center" wrapText="1"/>
    </xf>
    <xf numFmtId="0" fontId="73" fillId="9" borderId="55" xfId="0" applyNumberFormat="1" applyFont="1" applyFill="1" applyBorder="1" applyAlignment="1">
      <alignment horizontal="center" vertical="center" wrapText="1"/>
    </xf>
    <xf numFmtId="0" fontId="73" fillId="9" borderId="52" xfId="0" applyNumberFormat="1" applyFont="1" applyFill="1" applyBorder="1" applyAlignment="1">
      <alignment horizontal="center" vertical="center" wrapText="1"/>
    </xf>
    <xf numFmtId="0" fontId="74" fillId="9" borderId="54" xfId="0" applyNumberFormat="1" applyFont="1" applyFill="1" applyBorder="1" applyAlignment="1">
      <alignment horizontal="center" vertical="center" wrapText="1"/>
    </xf>
  </cellXfs>
  <cellStyles count="49">
    <cellStyle name="Calc Currency (0)" xfId="15" xr:uid="{00000000-0005-0000-0000-000000000000}"/>
    <cellStyle name="Comma" xfId="1" builtinId="3"/>
    <cellStyle name="Comma [0]" xfId="2" builtinId="6"/>
    <cellStyle name="Comma [0] 10" xfId="4" xr:uid="{00000000-0005-0000-0000-000003000000}"/>
    <cellStyle name="Comma [0] 2" xfId="10" xr:uid="{00000000-0005-0000-0000-000004000000}"/>
    <cellStyle name="Comma [0] 2 2" xfId="16" xr:uid="{00000000-0005-0000-0000-000005000000}"/>
    <cellStyle name="Comma [0] 3" xfId="17" xr:uid="{00000000-0005-0000-0000-000006000000}"/>
    <cellStyle name="Comma [0] 4" xfId="18" xr:uid="{00000000-0005-0000-0000-000007000000}"/>
    <cellStyle name="Comma 2" xfId="11" xr:uid="{00000000-0005-0000-0000-000008000000}"/>
    <cellStyle name="Comma 2 2" xfId="20" xr:uid="{00000000-0005-0000-0000-000009000000}"/>
    <cellStyle name="Comma 2 3" xfId="19" xr:uid="{00000000-0005-0000-0000-00000A000000}"/>
    <cellStyle name="Comma 3" xfId="13" xr:uid="{00000000-0005-0000-0000-00000B000000}"/>
    <cellStyle name="Comma 3 2" xfId="22" xr:uid="{00000000-0005-0000-0000-00000C000000}"/>
    <cellStyle name="Comma 3 3" xfId="21" xr:uid="{00000000-0005-0000-0000-00000D000000}"/>
    <cellStyle name="Comma 4" xfId="9" xr:uid="{00000000-0005-0000-0000-00000E000000}"/>
    <cellStyle name="Comma 5" xfId="12" xr:uid="{00000000-0005-0000-0000-00000F000000}"/>
    <cellStyle name="Comma 6" xfId="14" xr:uid="{00000000-0005-0000-0000-000010000000}"/>
    <cellStyle name="Copied" xfId="23" xr:uid="{00000000-0005-0000-0000-000011000000}"/>
    <cellStyle name="Entered" xfId="24" xr:uid="{00000000-0005-0000-0000-000012000000}"/>
    <cellStyle name="Grey" xfId="25" xr:uid="{00000000-0005-0000-0000-000013000000}"/>
    <cellStyle name="Header1" xfId="26" xr:uid="{00000000-0005-0000-0000-000014000000}"/>
    <cellStyle name="Header2" xfId="27" xr:uid="{00000000-0005-0000-0000-000015000000}"/>
    <cellStyle name="Input [yellow]" xfId="28" xr:uid="{00000000-0005-0000-0000-000016000000}"/>
    <cellStyle name="Normal" xfId="0" builtinId="0"/>
    <cellStyle name="Normal - Style1" xfId="29" xr:uid="{00000000-0005-0000-0000-000018000000}"/>
    <cellStyle name="Normal 10" xfId="43" xr:uid="{00000000-0005-0000-0000-000019000000}"/>
    <cellStyle name="Normal 11" xfId="44" xr:uid="{00000000-0005-0000-0000-00001A000000}"/>
    <cellStyle name="Normal 12" xfId="45" xr:uid="{00000000-0005-0000-0000-00001B000000}"/>
    <cellStyle name="Normal 13" xfId="46" xr:uid="{00000000-0005-0000-0000-00001C000000}"/>
    <cellStyle name="Normal 14" xfId="30" xr:uid="{00000000-0005-0000-0000-00001D000000}"/>
    <cellStyle name="Normal 15" xfId="31" xr:uid="{00000000-0005-0000-0000-00001E000000}"/>
    <cellStyle name="Normal 16" xfId="47" xr:uid="{00000000-0005-0000-0000-00001F000000}"/>
    <cellStyle name="Normal 17" xfId="48" xr:uid="{00000000-0005-0000-0000-000020000000}"/>
    <cellStyle name="Normal 2" xfId="3" xr:uid="{00000000-0005-0000-0000-000021000000}"/>
    <cellStyle name="Normal 2 2" xfId="32" xr:uid="{00000000-0005-0000-0000-000022000000}"/>
    <cellStyle name="Normal 3" xfId="5" xr:uid="{00000000-0005-0000-0000-000023000000}"/>
    <cellStyle name="Normal 3 10" xfId="34" xr:uid="{00000000-0005-0000-0000-000024000000}"/>
    <cellStyle name="Normal 3 2" xfId="33" xr:uid="{00000000-0005-0000-0000-000025000000}"/>
    <cellStyle name="Normal 4" xfId="6" xr:uid="{00000000-0005-0000-0000-000026000000}"/>
    <cellStyle name="Normal 5" xfId="7" xr:uid="{00000000-0005-0000-0000-000027000000}"/>
    <cellStyle name="Normal 6" xfId="8" xr:uid="{00000000-0005-0000-0000-000028000000}"/>
    <cellStyle name="Normal 6 2" xfId="36" xr:uid="{00000000-0005-0000-0000-000029000000}"/>
    <cellStyle name="Normal 6 3" xfId="35" xr:uid="{00000000-0005-0000-0000-00002A000000}"/>
    <cellStyle name="Normal 7" xfId="40" xr:uid="{00000000-0005-0000-0000-00002B000000}"/>
    <cellStyle name="Normal 8" xfId="41" xr:uid="{00000000-0005-0000-0000-00002C000000}"/>
    <cellStyle name="Normal 9" xfId="42" xr:uid="{00000000-0005-0000-0000-00002D000000}"/>
    <cellStyle name="Percent [2]" xfId="37" xr:uid="{00000000-0005-0000-0000-000030000000}"/>
    <cellStyle name="RevList" xfId="38" xr:uid="{00000000-0005-0000-0000-000031000000}"/>
    <cellStyle name="Subtotal" xfId="39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134201616571381"/>
          <c:y val="2.6856240126382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US" sz="13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1328392131787909"/>
          <c:y val="0.16113768935390957"/>
          <c:w val="0.64126791174585129"/>
          <c:h val="0.73459828970161956"/>
        </c:manualLayout>
      </c:layout>
      <c:lineChart>
        <c:grouping val="standard"/>
        <c:varyColors val="0"/>
        <c:ser>
          <c:idx val="0"/>
          <c:order val="0"/>
          <c:tx>
            <c:v>KWH BELI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iamond"/>
            <c:size val="13"/>
            <c:spPr>
              <a:solidFill>
                <a:srgbClr val="00CC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'daus-10'!$F$66:$Q$66</c:f>
              <c:numCache>
                <c:formatCode>#,##0_);\(#,##0\)</c:formatCode>
                <c:ptCount val="12"/>
                <c:pt idx="0">
                  <c:v>162313994</c:v>
                </c:pt>
                <c:pt idx="1">
                  <c:v>151791514</c:v>
                </c:pt>
                <c:pt idx="2">
                  <c:v>169756160</c:v>
                </c:pt>
                <c:pt idx="3">
                  <c:v>168363984</c:v>
                </c:pt>
                <c:pt idx="4">
                  <c:v>169642053</c:v>
                </c:pt>
                <c:pt idx="5">
                  <c:v>170431057</c:v>
                </c:pt>
                <c:pt idx="6">
                  <c:v>177382460</c:v>
                </c:pt>
                <c:pt idx="7">
                  <c:v>178146023</c:v>
                </c:pt>
                <c:pt idx="8">
                  <c:v>143602830</c:v>
                </c:pt>
                <c:pt idx="9">
                  <c:v>180793607</c:v>
                </c:pt>
                <c:pt idx="10">
                  <c:v>170209660</c:v>
                </c:pt>
                <c:pt idx="11">
                  <c:v>166237044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F-4A70-84BA-24AB2E64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3264"/>
        <c:axId val="59964800"/>
      </c:lineChart>
      <c:catAx>
        <c:axId val="599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9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964800"/>
        <c:scaling>
          <c:orientation val="minMax"/>
          <c:min val="12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963264"/>
        <c:crosses val="autoZero"/>
        <c:crossBetween val="between"/>
        <c:majorUnit val="100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33136881153457"/>
          <c:y val="0.38546669817935797"/>
          <c:w val="0.15643972015300289"/>
          <c:h val="0.1785153396110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3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SUSUT</a:t>
            </a:r>
          </a:p>
        </c:rich>
      </c:tx>
      <c:layout>
        <c:manualLayout>
          <c:xMode val="edge"/>
          <c:yMode val="edge"/>
          <c:x val="0.43497767263399462"/>
          <c:y val="2.4347826086956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022421524663934E-2"/>
          <c:y val="0.13217391304347817"/>
          <c:w val="0.92959641255605385"/>
          <c:h val="0.786086956521739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'daus-10'!$F$68:$P$68</c:f>
              <c:numCache>
                <c:formatCode>#,##0.000_);\(#,##0.000\)</c:formatCode>
                <c:ptCount val="11"/>
                <c:pt idx="0">
                  <c:v>10.482090040862404</c:v>
                </c:pt>
                <c:pt idx="1">
                  <c:v>9.0671648655596684</c:v>
                </c:pt>
                <c:pt idx="2">
                  <c:v>6.556603247858579</c:v>
                </c:pt>
                <c:pt idx="3">
                  <c:v>9.4664765119837035</c:v>
                </c:pt>
                <c:pt idx="4">
                  <c:v>7.626047180648067</c:v>
                </c:pt>
                <c:pt idx="5">
                  <c:v>5.7295135617462201</c:v>
                </c:pt>
                <c:pt idx="6">
                  <c:v>5.1815140008769749</c:v>
                </c:pt>
                <c:pt idx="7">
                  <c:v>20.828442518753281</c:v>
                </c:pt>
                <c:pt idx="8">
                  <c:v>-9.9369066943779654</c:v>
                </c:pt>
                <c:pt idx="9">
                  <c:v>7.0287999696468244</c:v>
                </c:pt>
                <c:pt idx="10">
                  <c:v>7.6547907536712536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2-43B7-B8D6-2A67E256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7968"/>
        <c:axId val="59627008"/>
      </c:lineChart>
      <c:catAx>
        <c:axId val="5958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2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Bulan</a:t>
                </a:r>
              </a:p>
            </c:rich>
          </c:tx>
          <c:layout>
            <c:manualLayout>
              <c:xMode val="edge"/>
              <c:yMode val="edge"/>
              <c:x val="0.50762341254435406"/>
              <c:y val="0.94086993038918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62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62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2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Nilai Susut</a:t>
                </a:r>
              </a:p>
            </c:rich>
          </c:tx>
          <c:layout>
            <c:manualLayout>
              <c:xMode val="edge"/>
              <c:yMode val="edge"/>
              <c:x val="7.1748878923766834E-3"/>
              <c:y val="0.4521740956293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59587968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123</xdr:row>
      <xdr:rowOff>28575</xdr:rowOff>
    </xdr:from>
    <xdr:to>
      <xdr:col>7</xdr:col>
      <xdr:colOff>1885950</xdr:colOff>
      <xdr:row>136</xdr:row>
      <xdr:rowOff>47625</xdr:rowOff>
    </xdr:to>
    <xdr:graphicFrame macro="">
      <xdr:nvGraphicFramePr>
        <xdr:cNvPr id="7428" name="Chart 2">
          <a:extLst>
            <a:ext uri="{FF2B5EF4-FFF2-40B4-BE49-F238E27FC236}">
              <a16:creationId xmlns:a16="http://schemas.microsoft.com/office/drawing/2014/main" id="{00000000-0008-0000-0100-000004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89</xdr:row>
      <xdr:rowOff>190500</xdr:rowOff>
    </xdr:from>
    <xdr:to>
      <xdr:col>12</xdr:col>
      <xdr:colOff>1314450</xdr:colOff>
      <xdr:row>112</xdr:row>
      <xdr:rowOff>190500</xdr:rowOff>
    </xdr:to>
    <xdr:graphicFrame macro="">
      <xdr:nvGraphicFramePr>
        <xdr:cNvPr id="7429" name="Chart 3">
          <a:extLst>
            <a:ext uri="{FF2B5EF4-FFF2-40B4-BE49-F238E27FC236}">
              <a16:creationId xmlns:a16="http://schemas.microsoft.com/office/drawing/2014/main" id="{00000000-0008-0000-0100-0000051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409575</xdr:colOff>
          <xdr:row>0</xdr:row>
          <xdr:rowOff>114300</xdr:rowOff>
        </xdr:from>
        <xdr:to>
          <xdr:col>0</xdr:col>
          <xdr:colOff>885825</xdr:colOff>
          <xdr:row>3</xdr:row>
          <xdr:rowOff>0</xdr:rowOff>
        </xdr:to>
        <xdr:sp macro="" textlink="">
          <xdr:nvSpPr>
            <xdr:cNvPr id="7169" name="Picture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showOutlineSymbols="0" zoomScale="80" zoomScaleNormal="80" zoomScaleSheetLayoutView="85" workbookViewId="0">
      <pane xSplit="3" ySplit="1" topLeftCell="F2" activePane="bottomRight" state="frozen"/>
      <selection pane="topRight" activeCell="D1" sqref="D1"/>
      <selection pane="bottomLeft" activeCell="A8" sqref="A8"/>
      <selection pane="bottomRight" activeCell="G10" sqref="G10"/>
    </sheetView>
  </sheetViews>
  <sheetFormatPr defaultColWidth="8.6640625" defaultRowHeight="15" x14ac:dyDescent="0.2"/>
  <cols>
    <col min="1" max="1" width="4.44140625" bestFit="1" customWidth="1"/>
    <col min="2" max="2" width="41.109375" bestFit="1" customWidth="1"/>
    <col min="3" max="3" width="9.5546875" bestFit="1" customWidth="1"/>
    <col min="4" max="4" width="15.6640625" hidden="1" customWidth="1"/>
    <col min="5" max="5" width="14.109375" hidden="1" customWidth="1"/>
    <col min="6" max="6" width="14.44140625" customWidth="1"/>
    <col min="7" max="7" width="14" customWidth="1"/>
    <col min="8" max="8" width="13.21875" customWidth="1"/>
    <col min="9" max="9" width="14.6640625" customWidth="1"/>
    <col min="10" max="10" width="12.77734375" style="351" customWidth="1"/>
    <col min="11" max="11" width="12.44140625" style="351" customWidth="1"/>
    <col min="12" max="12" width="15" style="351" customWidth="1"/>
    <col min="13" max="13" width="14.109375" style="352" customWidth="1"/>
    <col min="14" max="14" width="12.6640625" style="351" customWidth="1"/>
    <col min="15" max="16" width="13.21875" customWidth="1"/>
    <col min="17" max="17" width="12.44140625" customWidth="1"/>
    <col min="18" max="18" width="15.44140625" customWidth="1"/>
    <col min="19" max="19" width="14.77734375" hidden="1" customWidth="1"/>
    <col min="20" max="20" width="14" style="353" bestFit="1" customWidth="1"/>
    <col min="21" max="21" width="16.5546875" style="353" bestFit="1" customWidth="1"/>
    <col min="22" max="22" width="12.44140625" style="353" customWidth="1"/>
    <col min="23" max="23" width="12.44140625" customWidth="1"/>
    <col min="24" max="25" width="12.44140625" bestFit="1" customWidth="1"/>
  </cols>
  <sheetData>
    <row r="1" spans="1:26" ht="24.95" customHeight="1" x14ac:dyDescent="0.2">
      <c r="A1" s="357" t="s">
        <v>4</v>
      </c>
      <c r="B1" s="358"/>
      <c r="C1" s="358" t="s">
        <v>5</v>
      </c>
      <c r="D1" s="358" t="s">
        <v>134</v>
      </c>
      <c r="E1" s="358" t="s">
        <v>133</v>
      </c>
      <c r="F1" s="358" t="s">
        <v>120</v>
      </c>
      <c r="G1" s="358" t="s">
        <v>121</v>
      </c>
      <c r="H1" s="358" t="s">
        <v>122</v>
      </c>
      <c r="I1" s="358" t="s">
        <v>123</v>
      </c>
      <c r="J1" s="358" t="s">
        <v>89</v>
      </c>
      <c r="K1" s="358" t="s">
        <v>124</v>
      </c>
      <c r="L1" s="358" t="s">
        <v>125</v>
      </c>
      <c r="M1" s="358" t="s">
        <v>126</v>
      </c>
      <c r="N1" s="358" t="s">
        <v>127</v>
      </c>
      <c r="O1" s="356" t="s">
        <v>128</v>
      </c>
      <c r="P1" s="358" t="s">
        <v>129</v>
      </c>
      <c r="Q1" s="358" t="s">
        <v>130</v>
      </c>
      <c r="R1" s="359" t="s">
        <v>131</v>
      </c>
      <c r="S1" s="360" t="s">
        <v>132</v>
      </c>
      <c r="T1" s="355"/>
      <c r="U1" s="355"/>
      <c r="V1" s="355"/>
      <c r="W1" s="354"/>
      <c r="X1" s="354"/>
      <c r="Y1" s="354"/>
      <c r="Z1" s="354"/>
    </row>
  </sheetData>
  <printOptions horizontalCentered="1"/>
  <pageMargins left="1.5" right="0" top="0.90551181102362199" bottom="0" header="0.511811023622047" footer="0.511811023622047"/>
  <pageSetup paperSize="258" scale="53" orientation="landscape" horizontalDpi="360" verticalDpi="360" r:id="rId1"/>
  <headerFooter alignWithMargins="0">
    <oddFooter>Page &amp;P&amp;R&amp;Z&amp;F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B245"/>
  <sheetViews>
    <sheetView showOutlineSymbols="0" zoomScale="80" zoomScaleNormal="80" zoomScaleSheetLayoutView="40" workbookViewId="0">
      <pane xSplit="2" ySplit="7" topLeftCell="S8" activePane="bottomRight" state="frozen"/>
      <selection pane="topRight" activeCell="D1" sqref="D1"/>
      <selection pane="bottomLeft" activeCell="A11" sqref="A11"/>
      <selection pane="bottomRight" activeCell="A6" sqref="A6:S7"/>
    </sheetView>
  </sheetViews>
  <sheetFormatPr defaultColWidth="8.6640625" defaultRowHeight="15" x14ac:dyDescent="0.2"/>
  <cols>
    <col min="1" max="1" width="11.5546875" customWidth="1"/>
    <col min="2" max="2" width="54.77734375" customWidth="1"/>
    <col min="3" max="3" width="19.6640625" customWidth="1"/>
    <col min="4" max="4" width="28.77734375" customWidth="1"/>
    <col min="5" max="5" width="31.21875" customWidth="1"/>
    <col min="6" max="6" width="32.33203125" customWidth="1"/>
    <col min="7" max="7" width="30.77734375" customWidth="1"/>
    <col min="8" max="8" width="32.88671875" customWidth="1"/>
    <col min="9" max="9" width="34.33203125" customWidth="1"/>
    <col min="10" max="10" width="33.33203125" customWidth="1"/>
    <col min="11" max="11" width="40.21875" customWidth="1"/>
    <col min="12" max="12" width="33" customWidth="1"/>
    <col min="13" max="13" width="30.77734375" customWidth="1"/>
    <col min="14" max="14" width="43.44140625" customWidth="1"/>
    <col min="15" max="15" width="38.77734375" customWidth="1"/>
    <col min="16" max="16" width="38.44140625" customWidth="1"/>
    <col min="17" max="17" width="39.5546875" customWidth="1"/>
    <col min="18" max="18" width="39.33203125" customWidth="1"/>
    <col min="19" max="19" width="24.33203125" customWidth="1"/>
    <col min="20" max="20" width="4.21875" customWidth="1"/>
    <col min="21" max="21" width="32" customWidth="1"/>
    <col min="22" max="22" width="25.33203125" customWidth="1"/>
    <col min="23" max="23" width="28.21875" bestFit="1" customWidth="1"/>
  </cols>
  <sheetData>
    <row r="1" spans="1:28" ht="20.100000000000001" customHeight="1" x14ac:dyDescent="0.55000000000000004">
      <c r="A1" s="3"/>
      <c r="B1" s="15" t="s">
        <v>0</v>
      </c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6"/>
      <c r="S1" s="4"/>
      <c r="T1" s="7"/>
      <c r="U1" s="7"/>
      <c r="V1" s="7"/>
      <c r="W1" s="7"/>
      <c r="X1" s="7"/>
      <c r="Y1" s="7"/>
    </row>
    <row r="2" spans="1:28" ht="23.1" customHeight="1" x14ac:dyDescent="0.45">
      <c r="A2" s="7"/>
      <c r="B2" s="15" t="s">
        <v>1</v>
      </c>
      <c r="C2" s="7"/>
      <c r="D2" s="7"/>
      <c r="S2" s="7"/>
      <c r="T2" s="7"/>
      <c r="U2" s="7"/>
      <c r="V2" s="7"/>
      <c r="W2" s="7"/>
      <c r="X2" s="7"/>
      <c r="Y2" s="7"/>
    </row>
    <row r="3" spans="1:28" ht="21.95" customHeight="1" x14ac:dyDescent="0.45">
      <c r="A3" s="7"/>
      <c r="B3" s="15" t="s">
        <v>2</v>
      </c>
      <c r="C3" s="7"/>
      <c r="D3" s="7"/>
      <c r="S3" s="7"/>
      <c r="T3" s="7"/>
      <c r="U3" s="7"/>
      <c r="V3" s="7"/>
      <c r="W3" s="7"/>
      <c r="X3" s="7"/>
      <c r="Y3" s="7"/>
    </row>
    <row r="4" spans="1:28" ht="9.9499999999999993" customHeight="1" x14ac:dyDescent="0.25">
      <c r="A4" s="7"/>
      <c r="B4" s="7"/>
      <c r="C4" s="7"/>
      <c r="D4" s="7"/>
      <c r="S4" s="7"/>
      <c r="T4" s="7"/>
      <c r="U4" s="7"/>
      <c r="V4" s="7"/>
      <c r="W4" s="7"/>
      <c r="X4" s="7"/>
      <c r="Y4" s="7"/>
    </row>
    <row r="5" spans="1:28" ht="45.95" customHeight="1" x14ac:dyDescent="0.25">
      <c r="A5" s="20" t="s">
        <v>118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7"/>
      <c r="U5" s="7"/>
      <c r="V5" s="7"/>
      <c r="W5" s="7"/>
      <c r="X5" s="7"/>
      <c r="Y5" s="7"/>
    </row>
    <row r="6" spans="1:28" ht="27.95" customHeight="1" x14ac:dyDescent="0.35">
      <c r="A6" s="370" t="s">
        <v>4</v>
      </c>
      <c r="B6" s="362"/>
      <c r="C6" s="362" t="s">
        <v>5</v>
      </c>
      <c r="D6" s="362" t="s">
        <v>6</v>
      </c>
      <c r="E6" s="362" t="s">
        <v>7</v>
      </c>
      <c r="F6" s="362" t="s">
        <v>8</v>
      </c>
      <c r="G6" s="362" t="s">
        <v>86</v>
      </c>
      <c r="H6" s="362" t="s">
        <v>87</v>
      </c>
      <c r="I6" s="362" t="s">
        <v>88</v>
      </c>
      <c r="J6" s="362" t="s">
        <v>89</v>
      </c>
      <c r="K6" s="362" t="s">
        <v>90</v>
      </c>
      <c r="L6" s="362" t="s">
        <v>98</v>
      </c>
      <c r="M6" s="362" t="s">
        <v>91</v>
      </c>
      <c r="N6" s="362" t="s">
        <v>99</v>
      </c>
      <c r="O6" s="366" t="s">
        <v>92</v>
      </c>
      <c r="P6" s="362" t="s">
        <v>93</v>
      </c>
      <c r="Q6" s="362" t="s">
        <v>94</v>
      </c>
      <c r="R6" s="364" t="s">
        <v>9</v>
      </c>
      <c r="S6" s="368" t="s">
        <v>10</v>
      </c>
      <c r="T6" s="18"/>
    </row>
    <row r="7" spans="1:28" ht="29.25" customHeight="1" thickBot="1" x14ac:dyDescent="0.45">
      <c r="A7" s="371"/>
      <c r="B7" s="363"/>
      <c r="C7" s="363"/>
      <c r="D7" s="363" t="s">
        <v>111</v>
      </c>
      <c r="E7" s="363" t="s">
        <v>117</v>
      </c>
      <c r="F7" s="363"/>
      <c r="G7" s="363"/>
      <c r="H7" s="363"/>
      <c r="I7" s="363"/>
      <c r="J7" s="363"/>
      <c r="K7" s="363"/>
      <c r="L7" s="363"/>
      <c r="M7" s="363"/>
      <c r="N7" s="363"/>
      <c r="O7" s="367"/>
      <c r="P7" s="363"/>
      <c r="Q7" s="363"/>
      <c r="R7" s="365"/>
      <c r="S7" s="369" t="s">
        <v>11</v>
      </c>
      <c r="T7" s="19"/>
    </row>
    <row r="8" spans="1:28" ht="35.1" customHeight="1" thickTop="1" x14ac:dyDescent="0.7">
      <c r="A8" s="39" t="s">
        <v>12</v>
      </c>
      <c r="B8" s="40" t="s">
        <v>13</v>
      </c>
      <c r="C8" s="28" t="s">
        <v>3</v>
      </c>
      <c r="D8" s="22"/>
      <c r="E8" s="23"/>
      <c r="F8" s="23"/>
      <c r="G8" s="23"/>
      <c r="H8" s="221"/>
      <c r="I8" s="261"/>
      <c r="J8" s="23"/>
      <c r="K8" s="26"/>
      <c r="L8" s="26"/>
      <c r="M8" s="75"/>
      <c r="N8" s="23"/>
      <c r="O8" s="221"/>
      <c r="P8" s="34"/>
      <c r="Q8" s="35"/>
      <c r="R8" s="24"/>
      <c r="S8" s="25"/>
      <c r="T8" s="11"/>
      <c r="U8" s="11"/>
    </row>
    <row r="9" spans="1:28" ht="35.1" customHeight="1" x14ac:dyDescent="0.7">
      <c r="A9" s="41" t="s">
        <v>14</v>
      </c>
      <c r="B9" s="42" t="s">
        <v>15</v>
      </c>
      <c r="C9" s="29" t="s">
        <v>16</v>
      </c>
      <c r="D9" s="85">
        <v>734222087.14471865</v>
      </c>
      <c r="E9" s="260">
        <v>774280937.08009338</v>
      </c>
      <c r="F9" s="85">
        <v>66690675</v>
      </c>
      <c r="G9" s="85">
        <v>61131880</v>
      </c>
      <c r="H9" s="85">
        <v>70825446</v>
      </c>
      <c r="I9" s="85">
        <v>67710667</v>
      </c>
      <c r="J9" s="85">
        <v>69350137</v>
      </c>
      <c r="K9" s="130">
        <v>70233668</v>
      </c>
      <c r="L9" s="47">
        <v>72307522</v>
      </c>
      <c r="M9" s="47">
        <v>75087233</v>
      </c>
      <c r="N9" s="85">
        <v>58969589</v>
      </c>
      <c r="O9" s="47">
        <v>73825585</v>
      </c>
      <c r="P9" s="47">
        <v>71569041</v>
      </c>
      <c r="Q9" s="230">
        <v>68212202</v>
      </c>
      <c r="R9" s="49">
        <v>825913645</v>
      </c>
      <c r="S9" s="50"/>
      <c r="T9" s="19"/>
      <c r="U9" s="130"/>
      <c r="V9" s="307"/>
      <c r="W9" s="347">
        <v>825913645</v>
      </c>
      <c r="X9" s="309"/>
      <c r="Y9" s="309"/>
      <c r="Z9" s="309"/>
      <c r="AA9" s="309"/>
      <c r="AB9" s="309"/>
    </row>
    <row r="10" spans="1:28" ht="35.1" customHeight="1" x14ac:dyDescent="0.7">
      <c r="A10" s="41" t="s">
        <v>17</v>
      </c>
      <c r="B10" s="42" t="s">
        <v>18</v>
      </c>
      <c r="C10" s="29" t="s">
        <v>16</v>
      </c>
      <c r="D10" s="85">
        <v>672968930</v>
      </c>
      <c r="E10" s="260">
        <v>722005610.14650071</v>
      </c>
      <c r="F10" s="85">
        <v>61058939.100000001</v>
      </c>
      <c r="G10" s="47">
        <v>59146212</v>
      </c>
      <c r="H10" s="47">
        <v>56311036.1736909</v>
      </c>
      <c r="I10" s="47">
        <v>66824693.100000001</v>
      </c>
      <c r="J10" s="47">
        <v>62785657</v>
      </c>
      <c r="K10" s="130">
        <v>62887978</v>
      </c>
      <c r="L10" s="47">
        <v>65772086</v>
      </c>
      <c r="M10" s="214">
        <v>69532534</v>
      </c>
      <c r="N10" s="85">
        <v>58202802</v>
      </c>
      <c r="O10" s="47">
        <v>65018420.399999999</v>
      </c>
      <c r="P10" s="85">
        <v>69228204.700000003</v>
      </c>
      <c r="Q10" s="231">
        <v>65798914.870796323</v>
      </c>
      <c r="R10" s="49">
        <v>762567477.34448719</v>
      </c>
      <c r="S10" s="50">
        <v>105.61794349350777</v>
      </c>
      <c r="T10" s="19"/>
      <c r="U10" s="345">
        <f>SUM(G10:Q10)+V10</f>
        <v>765777201.21127689</v>
      </c>
      <c r="V10" s="310">
        <v>64268662.966789551</v>
      </c>
      <c r="W10" s="348">
        <v>765777201.21127689</v>
      </c>
      <c r="X10" s="309"/>
      <c r="Y10" s="309"/>
      <c r="Z10" s="309"/>
      <c r="AA10" s="309"/>
      <c r="AB10" s="309"/>
    </row>
    <row r="11" spans="1:28" ht="35.1" customHeight="1" x14ac:dyDescent="0.7">
      <c r="A11" s="41">
        <v>1.3</v>
      </c>
      <c r="B11" s="42" t="s">
        <v>101</v>
      </c>
      <c r="C11" s="30" t="s">
        <v>19</v>
      </c>
      <c r="D11" s="167">
        <v>6.8053825973870481</v>
      </c>
      <c r="E11" s="265">
        <v>6.7514676430920835</v>
      </c>
      <c r="F11" s="72">
        <v>11.312620542527123</v>
      </c>
      <c r="G11" s="72">
        <v>7.8859734500380156</v>
      </c>
      <c r="H11" s="72">
        <v>5.6487507328933706</v>
      </c>
      <c r="I11" s="72">
        <v>7.2736102274697716</v>
      </c>
      <c r="J11" s="72">
        <v>9.3181632791871785</v>
      </c>
      <c r="K11" s="144">
        <v>6.3524832563208857</v>
      </c>
      <c r="L11" s="144">
        <v>3.8377584008479779</v>
      </c>
      <c r="M11" s="144">
        <v>22.486420561002692</v>
      </c>
      <c r="N11" s="144">
        <v>-10.257543765482236</v>
      </c>
      <c r="O11" s="220">
        <v>6.227353701294744</v>
      </c>
      <c r="P11" s="220">
        <v>8.0623214291828749</v>
      </c>
      <c r="Q11" s="234">
        <v>5.7812809403374033</v>
      </c>
      <c r="R11" s="278">
        <v>7.2812023572661895</v>
      </c>
      <c r="S11" s="50">
        <v>92.724625849115924</v>
      </c>
      <c r="T11" s="19"/>
      <c r="U11" s="311"/>
      <c r="V11" s="308"/>
      <c r="W11" s="265">
        <f>(W9-W10)/W9*100</f>
        <v>7.2812023572661895</v>
      </c>
      <c r="X11" s="309"/>
      <c r="Y11" s="309"/>
      <c r="Z11" s="309"/>
      <c r="AA11" s="309"/>
      <c r="AB11" s="309"/>
    </row>
    <row r="12" spans="1:28" ht="35.1" customHeight="1" x14ac:dyDescent="0.7">
      <c r="A12" s="41">
        <v>1.4</v>
      </c>
      <c r="B12" s="42" t="s">
        <v>102</v>
      </c>
      <c r="C12" s="30" t="s">
        <v>19</v>
      </c>
      <c r="D12" s="52"/>
      <c r="E12" s="51"/>
      <c r="F12" s="52">
        <v>176516187.27369088</v>
      </c>
      <c r="G12" s="52"/>
      <c r="H12" s="52"/>
      <c r="I12" s="52">
        <v>369014515.37369084</v>
      </c>
      <c r="J12" s="52"/>
      <c r="K12" s="52"/>
      <c r="L12" s="52">
        <v>562521937.37369084</v>
      </c>
      <c r="M12" s="52"/>
      <c r="N12" s="52"/>
      <c r="O12" s="52"/>
      <c r="P12" s="167"/>
      <c r="Q12" s="232"/>
      <c r="R12" s="54"/>
      <c r="S12" s="50"/>
      <c r="T12" s="19"/>
      <c r="U12" s="311"/>
      <c r="V12" s="308"/>
      <c r="W12" s="308"/>
      <c r="X12" s="309"/>
      <c r="Y12" s="309"/>
      <c r="Z12" s="309"/>
      <c r="AA12" s="309"/>
      <c r="AB12" s="309"/>
    </row>
    <row r="13" spans="1:28" ht="35.1" customHeight="1" x14ac:dyDescent="0.7">
      <c r="A13" s="196">
        <v>1.5</v>
      </c>
      <c r="B13" s="197" t="s">
        <v>20</v>
      </c>
      <c r="C13" s="198" t="s">
        <v>21</v>
      </c>
      <c r="D13" s="85">
        <v>111261</v>
      </c>
      <c r="E13" s="266"/>
      <c r="F13" s="238">
        <v>112531</v>
      </c>
      <c r="G13" s="238">
        <v>112592</v>
      </c>
      <c r="H13" s="238">
        <v>112636</v>
      </c>
      <c r="I13" s="85">
        <v>112899</v>
      </c>
      <c r="J13" s="85">
        <v>113207</v>
      </c>
      <c r="K13" s="130">
        <v>113810</v>
      </c>
      <c r="L13" s="85">
        <v>114443</v>
      </c>
      <c r="M13" s="214">
        <v>114979</v>
      </c>
      <c r="N13" s="85">
        <v>115749</v>
      </c>
      <c r="O13" s="85">
        <v>117612</v>
      </c>
      <c r="P13" s="85">
        <v>118578</v>
      </c>
      <c r="Q13" s="231">
        <v>118849</v>
      </c>
      <c r="R13" s="208">
        <v>118849</v>
      </c>
      <c r="S13" s="194"/>
      <c r="T13" s="19"/>
      <c r="U13" s="311"/>
      <c r="V13" s="312"/>
      <c r="W13" s="308"/>
      <c r="X13" s="309"/>
      <c r="Y13" s="309"/>
      <c r="Z13" s="309"/>
      <c r="AA13" s="309"/>
      <c r="AB13" s="309"/>
    </row>
    <row r="14" spans="1:28" ht="35.1" customHeight="1" x14ac:dyDescent="0.7">
      <c r="A14" s="41">
        <v>1.6</v>
      </c>
      <c r="B14" s="42" t="s">
        <v>22</v>
      </c>
      <c r="C14" s="30" t="s">
        <v>21</v>
      </c>
      <c r="D14" s="47">
        <v>5957</v>
      </c>
      <c r="E14" s="118">
        <v>11708.539799683711</v>
      </c>
      <c r="F14" s="47">
        <v>1270</v>
      </c>
      <c r="G14" s="47">
        <v>61</v>
      </c>
      <c r="H14" s="47">
        <v>44</v>
      </c>
      <c r="I14" s="47">
        <v>263</v>
      </c>
      <c r="J14" s="47">
        <v>308</v>
      </c>
      <c r="K14" s="47">
        <v>603</v>
      </c>
      <c r="L14" s="47">
        <v>633</v>
      </c>
      <c r="M14" s="47">
        <v>536</v>
      </c>
      <c r="N14" s="47">
        <v>770</v>
      </c>
      <c r="O14" s="47">
        <v>1863</v>
      </c>
      <c r="P14" s="47">
        <v>966</v>
      </c>
      <c r="Q14" s="47">
        <v>271</v>
      </c>
      <c r="R14" s="49">
        <v>7588</v>
      </c>
      <c r="S14" s="50">
        <v>64.807398102750426</v>
      </c>
      <c r="T14" s="19"/>
      <c r="U14" s="313"/>
      <c r="V14" s="308"/>
      <c r="W14" s="308"/>
      <c r="X14" s="309"/>
      <c r="Y14" s="309"/>
      <c r="Z14" s="309"/>
      <c r="AA14" s="309"/>
      <c r="AB14" s="309"/>
    </row>
    <row r="15" spans="1:28" ht="35.1" customHeight="1" x14ac:dyDescent="0.7">
      <c r="A15" s="41">
        <v>1.7</v>
      </c>
      <c r="B15" s="42" t="s">
        <v>23</v>
      </c>
      <c r="C15" s="30" t="s">
        <v>24</v>
      </c>
      <c r="D15" s="47">
        <v>307020.86</v>
      </c>
      <c r="E15" s="124"/>
      <c r="F15" s="235">
        <v>309934.51</v>
      </c>
      <c r="G15" s="235">
        <v>311444.01</v>
      </c>
      <c r="H15" s="263">
        <v>305107.86</v>
      </c>
      <c r="I15" s="236">
        <v>305591.76</v>
      </c>
      <c r="J15" s="52">
        <v>308087.96000000002</v>
      </c>
      <c r="K15" s="52">
        <v>309107.61</v>
      </c>
      <c r="L15" s="52">
        <v>318408.21000000002</v>
      </c>
      <c r="M15" s="215">
        <v>321111.40999999997</v>
      </c>
      <c r="N15" s="52">
        <v>322843.76</v>
      </c>
      <c r="O15" s="52">
        <v>332766.71000000002</v>
      </c>
      <c r="P15" s="167">
        <v>334402.65999999997</v>
      </c>
      <c r="Q15" s="232">
        <v>335001.06</v>
      </c>
      <c r="R15" s="49">
        <v>335001.06</v>
      </c>
      <c r="S15" s="55"/>
      <c r="T15" s="19"/>
      <c r="U15" s="314"/>
      <c r="V15" s="315"/>
      <c r="W15" s="316"/>
      <c r="X15" s="309"/>
      <c r="Y15" s="309"/>
      <c r="Z15" s="309"/>
      <c r="AA15" s="309"/>
      <c r="AB15" s="309"/>
    </row>
    <row r="16" spans="1:28" ht="35.1" customHeight="1" x14ac:dyDescent="0.7">
      <c r="A16" s="41">
        <v>1.8</v>
      </c>
      <c r="B16" s="42" t="s">
        <v>25</v>
      </c>
      <c r="C16" s="30" t="s">
        <v>24</v>
      </c>
      <c r="D16" s="47">
        <v>18229.909999999974</v>
      </c>
      <c r="E16" s="118">
        <v>17432.491326545845</v>
      </c>
      <c r="F16" s="52">
        <v>2913.6500000000233</v>
      </c>
      <c r="G16" s="52">
        <v>1509.5</v>
      </c>
      <c r="H16" s="277">
        <v>-6336.1500000000233</v>
      </c>
      <c r="I16" s="52">
        <v>483.90000000002328</v>
      </c>
      <c r="J16" s="52">
        <v>2496.2000000000116</v>
      </c>
      <c r="K16" s="52">
        <v>1019.6499999999651</v>
      </c>
      <c r="L16" s="52">
        <v>9300.6000000000349</v>
      </c>
      <c r="M16" s="52">
        <v>2703.1999999999534</v>
      </c>
      <c r="N16" s="52">
        <v>1732.3500000000349</v>
      </c>
      <c r="O16" s="52">
        <v>9922.9500000000116</v>
      </c>
      <c r="P16" s="52">
        <v>1635.9499999999534</v>
      </c>
      <c r="Q16" s="52">
        <v>598.40000000002328</v>
      </c>
      <c r="R16" s="105">
        <v>27980.200000000012</v>
      </c>
      <c r="S16" s="50">
        <v>160.5060313863018</v>
      </c>
      <c r="T16" s="19"/>
      <c r="U16" s="311"/>
      <c r="V16" s="308"/>
      <c r="W16" s="308"/>
      <c r="X16" s="309"/>
      <c r="Y16" s="309"/>
      <c r="Z16" s="309"/>
      <c r="AA16" s="309"/>
      <c r="AB16" s="309"/>
    </row>
    <row r="17" spans="1:28" ht="35.1" customHeight="1" x14ac:dyDescent="0.7">
      <c r="A17" s="41">
        <v>1.9</v>
      </c>
      <c r="B17" s="42" t="s">
        <v>26</v>
      </c>
      <c r="C17" s="30" t="s">
        <v>27</v>
      </c>
      <c r="D17" s="47">
        <v>472883712.83100003</v>
      </c>
      <c r="E17" s="260">
        <v>545529286.96466017</v>
      </c>
      <c r="F17" s="52">
        <v>43171438.605609998</v>
      </c>
      <c r="G17" s="52">
        <v>42610052.086000003</v>
      </c>
      <c r="H17" s="52">
        <v>40842288.695</v>
      </c>
      <c r="I17" s="52">
        <v>46836659.684</v>
      </c>
      <c r="J17" s="52">
        <v>45012401.359999999</v>
      </c>
      <c r="K17" s="206">
        <v>44920947.980999999</v>
      </c>
      <c r="L17" s="52">
        <v>46092008.901000001</v>
      </c>
      <c r="M17" s="215">
        <v>50555904.239</v>
      </c>
      <c r="N17" s="167">
        <v>44018013.994999997</v>
      </c>
      <c r="O17" s="52">
        <v>48083071.373999998</v>
      </c>
      <c r="P17" s="167">
        <v>51124936.608000003</v>
      </c>
      <c r="Q17" s="232">
        <v>49198868.501122899</v>
      </c>
      <c r="R17" s="27">
        <v>552466592.02973294</v>
      </c>
      <c r="S17" s="50">
        <v>101.27166501063071</v>
      </c>
      <c r="T17" s="19"/>
      <c r="U17" s="314"/>
      <c r="V17" s="317"/>
      <c r="W17" s="308"/>
      <c r="X17" s="309"/>
      <c r="Y17" s="309"/>
      <c r="Z17" s="309"/>
      <c r="AA17" s="309"/>
      <c r="AB17" s="309"/>
    </row>
    <row r="18" spans="1:28" ht="35.1" customHeight="1" x14ac:dyDescent="0.7">
      <c r="A18" s="43">
        <v>1.1000000000000001</v>
      </c>
      <c r="B18" s="42" t="s">
        <v>28</v>
      </c>
      <c r="C18" s="30" t="s">
        <v>29</v>
      </c>
      <c r="D18" s="47">
        <v>702.6828308864126</v>
      </c>
      <c r="E18" s="119">
        <v>755.57485883519371</v>
      </c>
      <c r="F18" s="52">
        <v>707.04534408803704</v>
      </c>
      <c r="G18" s="52">
        <v>720.41895237517497</v>
      </c>
      <c r="H18" s="52">
        <v>725.29812040791285</v>
      </c>
      <c r="I18" s="52">
        <v>700.88851158524812</v>
      </c>
      <c r="J18" s="52">
        <v>716.92172242459776</v>
      </c>
      <c r="K18" s="52">
        <v>714.30103828429662</v>
      </c>
      <c r="L18" s="52">
        <v>700.78374739399328</v>
      </c>
      <c r="M18" s="52">
        <v>727.08272416765362</v>
      </c>
      <c r="N18" s="52">
        <v>756.28685359512417</v>
      </c>
      <c r="O18" s="52">
        <v>739.5299836290701</v>
      </c>
      <c r="P18" s="167">
        <v>738.49866293008165</v>
      </c>
      <c r="Q18" s="232">
        <v>747.71549952959697</v>
      </c>
      <c r="R18" s="222">
        <v>724.48223723571948</v>
      </c>
      <c r="S18" s="223">
        <v>95.884905216750184</v>
      </c>
      <c r="T18" s="19"/>
      <c r="U18" s="311"/>
      <c r="V18" s="308"/>
      <c r="W18" s="308"/>
      <c r="X18" s="309"/>
      <c r="Y18" s="309"/>
      <c r="Z18" s="309"/>
      <c r="AA18" s="309"/>
      <c r="AB18" s="309"/>
    </row>
    <row r="19" spans="1:28" ht="34.5" customHeight="1" x14ac:dyDescent="0.7">
      <c r="A19" s="246">
        <v>1.1100000000000001</v>
      </c>
      <c r="B19" s="247" t="s">
        <v>104</v>
      </c>
      <c r="C19" s="248" t="s">
        <v>103</v>
      </c>
      <c r="D19" s="249"/>
      <c r="E19" s="250"/>
      <c r="F19" s="249"/>
      <c r="G19" s="249"/>
      <c r="H19" s="249"/>
      <c r="I19" s="249"/>
      <c r="J19" s="249"/>
      <c r="K19" s="251"/>
      <c r="L19" s="251"/>
      <c r="M19" s="251"/>
      <c r="N19" s="249"/>
      <c r="O19" s="249"/>
      <c r="P19" s="249"/>
      <c r="Q19" s="252"/>
      <c r="R19" s="253"/>
      <c r="S19" s="254"/>
      <c r="T19" s="19"/>
      <c r="U19" s="311"/>
      <c r="V19" s="308"/>
      <c r="W19" s="308"/>
      <c r="X19" s="309"/>
      <c r="Y19" s="309"/>
      <c r="Z19" s="309"/>
      <c r="AA19" s="309"/>
      <c r="AB19" s="309"/>
    </row>
    <row r="20" spans="1:28" ht="35.1" customHeight="1" x14ac:dyDescent="0.7">
      <c r="A20" s="44">
        <v>1.1200000000000001</v>
      </c>
      <c r="B20" s="42" t="s">
        <v>30</v>
      </c>
      <c r="C20" s="30" t="s">
        <v>31</v>
      </c>
      <c r="D20" s="72">
        <v>187.10900383562958</v>
      </c>
      <c r="E20" s="57"/>
      <c r="F20" s="52">
        <v>197.00593877074223</v>
      </c>
      <c r="G20" s="52">
        <v>189.90961489354058</v>
      </c>
      <c r="H20" s="52">
        <v>184.56108005113634</v>
      </c>
      <c r="I20" s="52">
        <v>218.67308562246575</v>
      </c>
      <c r="J20" s="52">
        <v>203.79133608466879</v>
      </c>
      <c r="K20" s="52">
        <v>203.45011240583821</v>
      </c>
      <c r="L20" s="52">
        <v>206.56529553682049</v>
      </c>
      <c r="M20" s="52">
        <v>216.53710156235184</v>
      </c>
      <c r="N20" s="52">
        <v>180.28163839994926</v>
      </c>
      <c r="O20" s="52">
        <v>195.38739437006782</v>
      </c>
      <c r="P20" s="52">
        <v>207.02049648767749</v>
      </c>
      <c r="Q20" s="52">
        <v>196.41404976687633</v>
      </c>
      <c r="R20" s="56">
        <v>199.96642866267791</v>
      </c>
      <c r="S20" s="55"/>
      <c r="T20" s="19"/>
      <c r="U20" s="311"/>
      <c r="V20" s="308"/>
      <c r="W20" s="308"/>
      <c r="X20" s="309"/>
      <c r="Y20" s="309"/>
      <c r="Z20" s="309"/>
      <c r="AA20" s="309"/>
      <c r="AB20" s="309"/>
    </row>
    <row r="21" spans="1:28" ht="35.1" customHeight="1" x14ac:dyDescent="0.7">
      <c r="A21" s="44">
        <v>1.1299999999999999</v>
      </c>
      <c r="B21" s="42" t="s">
        <v>32</v>
      </c>
      <c r="C21" s="29" t="s">
        <v>33</v>
      </c>
      <c r="D21" s="72">
        <v>2.3466459999999998</v>
      </c>
      <c r="E21" s="191">
        <v>2.0106666666666668</v>
      </c>
      <c r="F21" s="58">
        <v>0.21693499999999999</v>
      </c>
      <c r="G21" s="58">
        <v>0.188196</v>
      </c>
      <c r="H21" s="58">
        <v>0.15137700000000001</v>
      </c>
      <c r="I21" s="58">
        <v>0.15862499999999999</v>
      </c>
      <c r="J21" s="58">
        <v>0.14283000000000001</v>
      </c>
      <c r="K21" s="58">
        <v>0.10866000000000001</v>
      </c>
      <c r="L21" s="58">
        <v>0.15534000000000001</v>
      </c>
      <c r="M21" s="115">
        <v>0.17041799999999999</v>
      </c>
      <c r="N21" s="115">
        <v>0.110663</v>
      </c>
      <c r="O21" s="58">
        <v>0.20267499999999999</v>
      </c>
      <c r="P21" s="298">
        <v>0.20410081690251705</v>
      </c>
      <c r="Q21" s="258">
        <v>0.21238000000000001</v>
      </c>
      <c r="R21" s="61">
        <v>2.0221998169025168</v>
      </c>
      <c r="S21" s="50">
        <v>100.5735983207485</v>
      </c>
      <c r="T21" s="19"/>
      <c r="U21" s="311"/>
      <c r="V21" s="308"/>
      <c r="W21" s="308"/>
      <c r="X21" s="309"/>
      <c r="Y21" s="309"/>
      <c r="Z21" s="309"/>
      <c r="AA21" s="309"/>
      <c r="AB21" s="309"/>
    </row>
    <row r="22" spans="1:28" ht="35.1" customHeight="1" x14ac:dyDescent="0.7">
      <c r="A22" s="44">
        <v>1.1399999999999999</v>
      </c>
      <c r="B22" s="42" t="s">
        <v>34</v>
      </c>
      <c r="C22" s="29" t="s">
        <v>35</v>
      </c>
      <c r="D22" s="72">
        <v>3.3333240000000002</v>
      </c>
      <c r="E22" s="122">
        <v>2.99</v>
      </c>
      <c r="F22" s="59">
        <v>0.340528</v>
      </c>
      <c r="G22" s="59">
        <v>0.254832</v>
      </c>
      <c r="H22" s="59">
        <v>0.29445300000000002</v>
      </c>
      <c r="I22" s="59">
        <v>0.25773600000000002</v>
      </c>
      <c r="J22" s="59">
        <v>0.22123300000000001</v>
      </c>
      <c r="K22" s="59">
        <v>0.13883999999999999</v>
      </c>
      <c r="L22" s="59">
        <v>0.20217099999999999</v>
      </c>
      <c r="M22" s="59">
        <v>0.22205800000000001</v>
      </c>
      <c r="N22" s="59">
        <v>0.121867</v>
      </c>
      <c r="O22" s="59">
        <v>0.20779300000000001</v>
      </c>
      <c r="P22" s="59">
        <v>0.20147919512894463</v>
      </c>
      <c r="Q22" s="195">
        <v>0.42871999999999999</v>
      </c>
      <c r="R22" s="61">
        <v>2.8917101951289448</v>
      </c>
      <c r="S22" s="50">
        <v>96.712715556151991</v>
      </c>
      <c r="T22" s="19"/>
      <c r="U22" s="311"/>
      <c r="V22" s="308"/>
      <c r="W22" s="308"/>
      <c r="X22" s="309"/>
      <c r="Y22" s="309"/>
      <c r="Z22" s="309"/>
      <c r="AA22" s="309"/>
      <c r="AB22" s="309"/>
    </row>
    <row r="23" spans="1:28" ht="35.1" customHeight="1" x14ac:dyDescent="0.7">
      <c r="A23" s="44"/>
      <c r="B23" s="242" t="s">
        <v>113</v>
      </c>
      <c r="C23" s="211" t="s">
        <v>37</v>
      </c>
      <c r="D23" s="47">
        <v>16</v>
      </c>
      <c r="E23" s="267">
        <v>12</v>
      </c>
      <c r="F23" s="47">
        <v>3</v>
      </c>
      <c r="G23" s="47">
        <v>2</v>
      </c>
      <c r="H23" s="47">
        <v>2</v>
      </c>
      <c r="I23" s="47">
        <v>0</v>
      </c>
      <c r="J23" s="47">
        <v>2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231">
        <v>0</v>
      </c>
      <c r="R23" s="49">
        <v>9</v>
      </c>
      <c r="S23" s="50">
        <v>75</v>
      </c>
      <c r="T23" s="19"/>
      <c r="U23" s="311"/>
      <c r="V23" s="308"/>
      <c r="W23" s="308"/>
      <c r="X23" s="309"/>
      <c r="Y23" s="309"/>
      <c r="Z23" s="309"/>
      <c r="AA23" s="309"/>
      <c r="AB23" s="309"/>
    </row>
    <row r="24" spans="1:28" ht="35.1" customHeight="1" x14ac:dyDescent="0.7">
      <c r="A24" s="44">
        <v>1.1499999999999999</v>
      </c>
      <c r="B24" s="242" t="s">
        <v>36</v>
      </c>
      <c r="C24" s="30" t="s">
        <v>37</v>
      </c>
      <c r="D24" s="107">
        <v>114</v>
      </c>
      <c r="E24" s="257">
        <v>70</v>
      </c>
      <c r="F24" s="47">
        <v>7</v>
      </c>
      <c r="G24" s="47">
        <v>13</v>
      </c>
      <c r="H24" s="47">
        <v>11</v>
      </c>
      <c r="I24" s="47">
        <v>8</v>
      </c>
      <c r="J24" s="47">
        <v>5</v>
      </c>
      <c r="K24" s="47">
        <v>4</v>
      </c>
      <c r="L24" s="47">
        <v>3</v>
      </c>
      <c r="M24" s="47">
        <v>5</v>
      </c>
      <c r="N24" s="47">
        <v>1</v>
      </c>
      <c r="O24" s="47">
        <v>1</v>
      </c>
      <c r="P24" s="47">
        <v>1</v>
      </c>
      <c r="Q24" s="231">
        <v>2</v>
      </c>
      <c r="R24" s="49">
        <v>61</v>
      </c>
      <c r="S24" s="55">
        <v>87.142857142857139</v>
      </c>
      <c r="T24" s="19"/>
      <c r="U24" s="311"/>
      <c r="V24" s="308"/>
      <c r="W24" s="308"/>
      <c r="X24" s="309"/>
      <c r="Y24" s="309"/>
      <c r="Z24" s="309"/>
      <c r="AA24" s="309"/>
      <c r="AB24" s="309"/>
    </row>
    <row r="25" spans="1:28" ht="35.1" customHeight="1" x14ac:dyDescent="0.7">
      <c r="A25" s="44">
        <v>1.1599999999999999</v>
      </c>
      <c r="B25" s="242" t="s">
        <v>81</v>
      </c>
      <c r="C25" s="30" t="s">
        <v>82</v>
      </c>
      <c r="D25" s="121">
        <v>310.66199999999998</v>
      </c>
      <c r="E25" s="148"/>
      <c r="F25" s="121">
        <v>310.66200000000003</v>
      </c>
      <c r="G25" s="121">
        <v>313.06600000000003</v>
      </c>
      <c r="H25" s="121">
        <v>313.42680000000001</v>
      </c>
      <c r="I25" s="121">
        <v>313.42680000000001</v>
      </c>
      <c r="J25" s="293">
        <v>317.99799999999999</v>
      </c>
      <c r="K25" s="293">
        <v>317.99799999999999</v>
      </c>
      <c r="L25" s="293">
        <v>318.76799999999997</v>
      </c>
      <c r="M25" s="293">
        <v>319.27499999999998</v>
      </c>
      <c r="N25" s="293">
        <v>319.27499999999998</v>
      </c>
      <c r="O25" s="292"/>
      <c r="P25" s="121"/>
      <c r="Q25" s="179"/>
      <c r="R25" s="90"/>
      <c r="S25" s="91"/>
      <c r="T25" s="19"/>
      <c r="U25" s="311"/>
      <c r="V25" s="308"/>
      <c r="W25" s="308"/>
      <c r="X25" s="309"/>
      <c r="Y25" s="309"/>
      <c r="Z25" s="309"/>
      <c r="AA25" s="309"/>
      <c r="AB25" s="309"/>
    </row>
    <row r="26" spans="1:28" ht="35.1" customHeight="1" thickBot="1" x14ac:dyDescent="0.75">
      <c r="A26" s="137">
        <v>1.17</v>
      </c>
      <c r="B26" s="243" t="s">
        <v>109</v>
      </c>
      <c r="C26" s="132" t="s">
        <v>108</v>
      </c>
      <c r="D26" s="136">
        <v>36.695830194874176</v>
      </c>
      <c r="E26" s="146">
        <v>22.532527312642038</v>
      </c>
      <c r="F26" s="136">
        <v>2.2532527312642032</v>
      </c>
      <c r="G26" s="136">
        <v>4.1524790299808982</v>
      </c>
      <c r="H26" s="136">
        <v>3.5095913942266583</v>
      </c>
      <c r="I26" s="136">
        <v>2.5524301048921152</v>
      </c>
      <c r="J26" s="136">
        <v>1.572336932936685</v>
      </c>
      <c r="K26" s="136">
        <v>1.2578695463493483</v>
      </c>
      <c r="L26" s="136">
        <v>0.941123324800482</v>
      </c>
      <c r="M26" s="136">
        <v>1.5660480776759849</v>
      </c>
      <c r="N26" s="136">
        <v>0.31320961553519694</v>
      </c>
      <c r="O26" s="136" t="e">
        <v>#DIV/0!</v>
      </c>
      <c r="P26" s="136"/>
      <c r="Q26" s="181"/>
      <c r="R26" s="180">
        <v>12.467753260363876</v>
      </c>
      <c r="S26" s="63">
        <v>55.332245191016604</v>
      </c>
      <c r="T26" s="19"/>
      <c r="U26" s="311"/>
      <c r="V26" s="308"/>
      <c r="W26" s="308"/>
      <c r="X26" s="309"/>
      <c r="Y26" s="309"/>
      <c r="Z26" s="309"/>
      <c r="AA26" s="309"/>
      <c r="AB26" s="309"/>
    </row>
    <row r="27" spans="1:28" ht="32.1" customHeight="1" thickTop="1" x14ac:dyDescent="0.7">
      <c r="A27" s="138" t="s">
        <v>38</v>
      </c>
      <c r="B27" s="139" t="s">
        <v>96</v>
      </c>
      <c r="C27" s="140" t="s">
        <v>3</v>
      </c>
      <c r="D27" s="88"/>
      <c r="E27" s="64"/>
      <c r="F27" s="65"/>
      <c r="G27" s="65"/>
      <c r="H27" s="65"/>
      <c r="I27" s="65"/>
      <c r="J27" s="65"/>
      <c r="K27" s="66"/>
      <c r="L27" s="66"/>
      <c r="M27" s="66"/>
      <c r="N27" s="65"/>
      <c r="O27" s="65"/>
      <c r="P27" s="65"/>
      <c r="Q27" s="68"/>
      <c r="R27" s="69"/>
      <c r="S27" s="70"/>
      <c r="T27" s="19"/>
      <c r="U27" s="311"/>
      <c r="V27" s="318"/>
      <c r="W27" s="308"/>
      <c r="X27" s="309"/>
      <c r="Y27" s="309"/>
      <c r="Z27" s="309"/>
      <c r="AA27" s="309"/>
      <c r="AB27" s="309"/>
    </row>
    <row r="28" spans="1:28" ht="32.1" customHeight="1" x14ac:dyDescent="0.7">
      <c r="A28" s="41" t="s">
        <v>39</v>
      </c>
      <c r="B28" s="42" t="s">
        <v>15</v>
      </c>
      <c r="C28" s="29" t="s">
        <v>16</v>
      </c>
      <c r="D28" s="47">
        <v>860966557.32878995</v>
      </c>
      <c r="E28" s="260">
        <v>911076696.81049037</v>
      </c>
      <c r="F28" s="85">
        <v>80159083</v>
      </c>
      <c r="G28" s="85">
        <v>75717209</v>
      </c>
      <c r="H28" s="85">
        <v>82957055</v>
      </c>
      <c r="I28" s="85">
        <v>85052117</v>
      </c>
      <c r="J28" s="85">
        <v>83225821</v>
      </c>
      <c r="K28" s="130">
        <v>83088927</v>
      </c>
      <c r="L28" s="47">
        <v>87795442</v>
      </c>
      <c r="M28" s="47">
        <v>86132156</v>
      </c>
      <c r="N28" s="85">
        <v>68173442</v>
      </c>
      <c r="O28" s="47">
        <v>89306752</v>
      </c>
      <c r="P28" s="47">
        <v>81250320</v>
      </c>
      <c r="Q28" s="230">
        <v>82048840</v>
      </c>
      <c r="R28" s="49">
        <v>984907164</v>
      </c>
      <c r="S28" s="71"/>
      <c r="T28" s="19"/>
      <c r="U28" s="311"/>
      <c r="V28" s="319"/>
      <c r="W28" s="320">
        <v>984907164</v>
      </c>
      <c r="X28" s="309"/>
      <c r="Y28" s="309"/>
      <c r="Z28" s="309"/>
      <c r="AA28" s="309"/>
      <c r="AB28" s="309"/>
    </row>
    <row r="29" spans="1:28" ht="32.1" customHeight="1" x14ac:dyDescent="0.7">
      <c r="A29" s="41" t="s">
        <v>40</v>
      </c>
      <c r="B29" s="42" t="s">
        <v>18</v>
      </c>
      <c r="C29" s="29" t="s">
        <v>16</v>
      </c>
      <c r="D29" s="47">
        <v>805251845</v>
      </c>
      <c r="E29" s="260">
        <v>863927476.81653059</v>
      </c>
      <c r="F29" s="85">
        <v>71505922.200000003</v>
      </c>
      <c r="G29" s="47">
        <v>75943285</v>
      </c>
      <c r="H29" s="47">
        <v>69487370</v>
      </c>
      <c r="I29" s="47">
        <v>77777476</v>
      </c>
      <c r="J29" s="47">
        <v>75840010</v>
      </c>
      <c r="K29" s="207">
        <v>79917409</v>
      </c>
      <c r="L29" s="48">
        <v>80126093.575757578</v>
      </c>
      <c r="M29" s="218">
        <v>82784963</v>
      </c>
      <c r="N29" s="85">
        <v>68387506</v>
      </c>
      <c r="O29" s="47">
        <v>78435799.827586204</v>
      </c>
      <c r="P29" s="85">
        <v>82697365.306060612</v>
      </c>
      <c r="Q29" s="231">
        <v>75993913.453977808</v>
      </c>
      <c r="R29" s="49">
        <v>918897113.3633821</v>
      </c>
      <c r="S29" s="50">
        <v>106.36276053510973</v>
      </c>
      <c r="T29" s="19"/>
      <c r="U29" s="310"/>
      <c r="V29" s="310">
        <v>76848453.120252222</v>
      </c>
      <c r="W29" s="320">
        <f>SUM(G29:Q29)+V29</f>
        <v>924239644.28363431</v>
      </c>
      <c r="X29" s="309"/>
      <c r="Y29" s="309"/>
      <c r="Z29" s="309"/>
      <c r="AA29" s="309"/>
      <c r="AB29" s="309"/>
    </row>
    <row r="30" spans="1:28" ht="32.1" customHeight="1" x14ac:dyDescent="0.7">
      <c r="A30" s="41" t="s">
        <v>41</v>
      </c>
      <c r="B30" s="42" t="s">
        <v>101</v>
      </c>
      <c r="C30" s="30" t="s">
        <v>19</v>
      </c>
      <c r="D30" s="52">
        <v>5.9633008845410025</v>
      </c>
      <c r="E30" s="265">
        <v>5.1751098627613255</v>
      </c>
      <c r="F30" s="72">
        <v>5.2592892061901457</v>
      </c>
      <c r="G30" s="72">
        <v>8.2277715756797107</v>
      </c>
      <c r="H30" s="72">
        <v>6.2436871704281209</v>
      </c>
      <c r="I30" s="72">
        <v>10.831131928203504</v>
      </c>
      <c r="J30" s="72">
        <v>3.9752230260365948</v>
      </c>
      <c r="K30" s="220">
        <v>3.5658583294046169</v>
      </c>
      <c r="L30" s="220">
        <v>5.7069921693656944</v>
      </c>
      <c r="M30" s="220">
        <v>20.601655437488411</v>
      </c>
      <c r="N30" s="220">
        <v>-15.053307455982939</v>
      </c>
      <c r="O30" s="220">
        <v>7.4007693101854022</v>
      </c>
      <c r="P30" s="220">
        <v>6.4693979617830326</v>
      </c>
      <c r="Q30" s="234">
        <v>6.3381601491840449</v>
      </c>
      <c r="R30" s="278">
        <v>6.1597196095088709</v>
      </c>
      <c r="S30" s="50">
        <v>84.015347951429703</v>
      </c>
      <c r="T30" s="19"/>
      <c r="U30" s="311"/>
      <c r="V30" s="308"/>
      <c r="W30" s="265">
        <f>(W28-W29)/W28*100</f>
        <v>6.1597196095088709</v>
      </c>
      <c r="X30" s="309"/>
      <c r="Y30" s="309"/>
      <c r="Z30" s="309"/>
      <c r="AA30" s="309"/>
      <c r="AB30" s="309"/>
    </row>
    <row r="31" spans="1:28" ht="32.1" customHeight="1" x14ac:dyDescent="0.7">
      <c r="A31" s="41" t="s">
        <v>42</v>
      </c>
      <c r="B31" s="42" t="s">
        <v>102</v>
      </c>
      <c r="C31" s="30" t="s">
        <v>19</v>
      </c>
      <c r="D31" s="47">
        <v>0</v>
      </c>
      <c r="E31" s="268"/>
      <c r="F31" s="52">
        <v>216936577.19999999</v>
      </c>
      <c r="G31" s="52"/>
      <c r="H31" s="52"/>
      <c r="I31" s="52">
        <v>450471472.19999999</v>
      </c>
      <c r="J31" s="52"/>
      <c r="K31" s="52"/>
      <c r="L31" s="52">
        <v>681770034.77575755</v>
      </c>
      <c r="M31" s="52"/>
      <c r="N31" s="52"/>
      <c r="O31" s="52"/>
      <c r="P31" s="167"/>
      <c r="Q31" s="232"/>
      <c r="R31" s="54"/>
      <c r="S31" s="50"/>
      <c r="T31" s="19"/>
      <c r="U31" s="311"/>
      <c r="V31" s="308"/>
      <c r="W31" s="320"/>
      <c r="X31" s="309"/>
      <c r="Y31" s="309"/>
      <c r="Z31" s="309"/>
      <c r="AA31" s="309"/>
      <c r="AB31" s="309"/>
    </row>
    <row r="32" spans="1:28" ht="32.1" customHeight="1" x14ac:dyDescent="0.7">
      <c r="A32" s="196" t="s">
        <v>43</v>
      </c>
      <c r="B32" s="197" t="s">
        <v>20</v>
      </c>
      <c r="C32" s="198" t="s">
        <v>21</v>
      </c>
      <c r="D32" s="47">
        <v>127372</v>
      </c>
      <c r="E32" s="266"/>
      <c r="F32" s="85">
        <v>127989</v>
      </c>
      <c r="G32" s="85">
        <v>128039</v>
      </c>
      <c r="H32" s="85">
        <v>128224</v>
      </c>
      <c r="I32" s="85">
        <v>128329</v>
      </c>
      <c r="J32" s="85">
        <v>128768</v>
      </c>
      <c r="K32" s="130">
        <v>129093</v>
      </c>
      <c r="L32" s="168">
        <v>129499</v>
      </c>
      <c r="M32" s="218">
        <v>129774</v>
      </c>
      <c r="N32" s="85">
        <v>130673</v>
      </c>
      <c r="O32" s="85">
        <v>131916</v>
      </c>
      <c r="P32" s="85">
        <v>133482</v>
      </c>
      <c r="Q32" s="231">
        <v>133918</v>
      </c>
      <c r="R32" s="208">
        <v>133918</v>
      </c>
      <c r="S32" s="199"/>
      <c r="T32" s="19"/>
      <c r="U32" s="311"/>
      <c r="V32" s="308"/>
      <c r="W32" s="320"/>
      <c r="X32" s="309"/>
      <c r="Y32" s="309"/>
      <c r="Z32" s="309"/>
      <c r="AA32" s="309"/>
      <c r="AB32" s="309"/>
    </row>
    <row r="33" spans="1:28" ht="32.1" customHeight="1" x14ac:dyDescent="0.7">
      <c r="A33" s="41" t="s">
        <v>44</v>
      </c>
      <c r="B33" s="42" t="s">
        <v>22</v>
      </c>
      <c r="C33" s="30" t="s">
        <v>21</v>
      </c>
      <c r="D33" s="47">
        <v>4995</v>
      </c>
      <c r="E33" s="260">
        <v>9817.7197078093232</v>
      </c>
      <c r="F33" s="47">
        <v>617</v>
      </c>
      <c r="G33" s="47">
        <v>50</v>
      </c>
      <c r="H33" s="47">
        <v>185</v>
      </c>
      <c r="I33" s="47">
        <v>105</v>
      </c>
      <c r="J33" s="47">
        <v>439</v>
      </c>
      <c r="K33" s="47">
        <v>325</v>
      </c>
      <c r="L33" s="47">
        <v>406</v>
      </c>
      <c r="M33" s="48">
        <v>275</v>
      </c>
      <c r="N33" s="48">
        <v>899</v>
      </c>
      <c r="O33" s="48">
        <v>1243</v>
      </c>
      <c r="P33" s="48">
        <v>1566</v>
      </c>
      <c r="Q33" s="48">
        <v>436</v>
      </c>
      <c r="R33" s="49">
        <v>6546</v>
      </c>
      <c r="S33" s="50">
        <v>66.675360417889152</v>
      </c>
      <c r="T33" s="19"/>
      <c r="U33" s="313"/>
      <c r="V33" s="308"/>
      <c r="W33" s="320"/>
      <c r="X33" s="309"/>
      <c r="Y33" s="309"/>
      <c r="Z33" s="309"/>
      <c r="AA33" s="309"/>
      <c r="AB33" s="309"/>
    </row>
    <row r="34" spans="1:28" ht="32.1" customHeight="1" x14ac:dyDescent="0.7">
      <c r="A34" s="41" t="s">
        <v>45</v>
      </c>
      <c r="B34" s="42" t="s">
        <v>23</v>
      </c>
      <c r="C34" s="30" t="s">
        <v>24</v>
      </c>
      <c r="D34" s="47">
        <v>350098.2</v>
      </c>
      <c r="E34" s="269"/>
      <c r="F34" s="72">
        <v>359980.65</v>
      </c>
      <c r="G34" s="72">
        <v>360858.15</v>
      </c>
      <c r="H34" s="264">
        <v>346850.3</v>
      </c>
      <c r="I34" s="72">
        <v>348503.15</v>
      </c>
      <c r="J34" s="72">
        <v>349819.6</v>
      </c>
      <c r="K34" s="72">
        <v>351517.4</v>
      </c>
      <c r="L34" s="217">
        <v>369951.3</v>
      </c>
      <c r="M34" s="219">
        <v>373196.55</v>
      </c>
      <c r="N34" s="167">
        <v>377926.45</v>
      </c>
      <c r="O34" s="72">
        <v>382542.35</v>
      </c>
      <c r="P34" s="167">
        <v>386303.8</v>
      </c>
      <c r="Q34" s="232">
        <v>394042.45</v>
      </c>
      <c r="R34" s="49">
        <v>394042.45</v>
      </c>
      <c r="S34" s="55"/>
      <c r="T34" s="19"/>
      <c r="U34" s="314"/>
      <c r="V34" s="315"/>
      <c r="W34" s="316"/>
      <c r="X34" s="309"/>
      <c r="Y34" s="309"/>
      <c r="Z34" s="309"/>
      <c r="AA34" s="309"/>
      <c r="AB34" s="309"/>
    </row>
    <row r="35" spans="1:28" ht="32.1" customHeight="1" x14ac:dyDescent="0.7">
      <c r="A35" s="41" t="s">
        <v>46</v>
      </c>
      <c r="B35" s="42" t="s">
        <v>25</v>
      </c>
      <c r="C35" s="30" t="s">
        <v>24</v>
      </c>
      <c r="D35" s="47">
        <v>11135.350000000035</v>
      </c>
      <c r="E35" s="260">
        <v>19369.698265309169</v>
      </c>
      <c r="F35" s="52">
        <v>9882.4500000000116</v>
      </c>
      <c r="G35" s="52">
        <v>877.5</v>
      </c>
      <c r="H35" s="277">
        <v>-14007.850000000035</v>
      </c>
      <c r="I35" s="52">
        <v>1652.8500000000349</v>
      </c>
      <c r="J35" s="52">
        <v>1316.4499999999534</v>
      </c>
      <c r="K35" s="52">
        <v>1697.8000000000466</v>
      </c>
      <c r="L35" s="52">
        <v>18433.899999999965</v>
      </c>
      <c r="M35" s="216">
        <v>3245.25</v>
      </c>
      <c r="N35" s="216">
        <v>4729.9000000000233</v>
      </c>
      <c r="O35" s="216">
        <v>4615.8999999999651</v>
      </c>
      <c r="P35" s="216">
        <v>3761.4500000000116</v>
      </c>
      <c r="Q35" s="216">
        <v>7738.6500000000233</v>
      </c>
      <c r="R35" s="105">
        <v>43944.25</v>
      </c>
      <c r="S35" s="50">
        <v>226.8711127973711</v>
      </c>
      <c r="T35" s="19"/>
      <c r="U35" s="311"/>
      <c r="V35" s="308"/>
      <c r="W35" s="308"/>
      <c r="X35" s="309"/>
      <c r="Y35" s="309"/>
      <c r="Z35" s="309"/>
      <c r="AA35" s="309"/>
      <c r="AB35" s="309"/>
    </row>
    <row r="36" spans="1:28" ht="32.1" customHeight="1" x14ac:dyDescent="0.7">
      <c r="A36" s="41" t="s">
        <v>47</v>
      </c>
      <c r="B36" s="42" t="s">
        <v>26</v>
      </c>
      <c r="C36" s="30" t="s">
        <v>27</v>
      </c>
      <c r="D36" s="47">
        <v>533201508.76300001</v>
      </c>
      <c r="E36" s="260">
        <v>615113252.98681736</v>
      </c>
      <c r="F36" s="72">
        <v>47484103.357000001</v>
      </c>
      <c r="G36" s="72">
        <v>50395466.189999998</v>
      </c>
      <c r="H36" s="72">
        <v>46933565.751999997</v>
      </c>
      <c r="I36" s="72">
        <v>52323891.390000001</v>
      </c>
      <c r="J36" s="72">
        <v>52348054.880000003</v>
      </c>
      <c r="K36" s="206">
        <v>52490478.015000001</v>
      </c>
      <c r="L36" s="217">
        <v>53291319.137000002</v>
      </c>
      <c r="M36" s="219">
        <v>57129282.229000002</v>
      </c>
      <c r="N36" s="169">
        <v>48024363.163000003</v>
      </c>
      <c r="O36" s="72">
        <v>54755158.961999997</v>
      </c>
      <c r="P36" s="297">
        <v>55181858.270000003</v>
      </c>
      <c r="Q36" s="234">
        <v>51240140.412962802</v>
      </c>
      <c r="R36" s="27">
        <v>621597681.75796282</v>
      </c>
      <c r="S36" s="50">
        <v>101.0541845326302</v>
      </c>
      <c r="T36" s="19"/>
      <c r="U36" s="314"/>
      <c r="V36" s="321"/>
      <c r="W36" s="308"/>
      <c r="X36" s="309"/>
      <c r="Y36" s="309"/>
      <c r="Z36" s="309"/>
      <c r="AA36" s="309"/>
      <c r="AB36" s="309"/>
    </row>
    <row r="37" spans="1:28" ht="32.1" customHeight="1" x14ac:dyDescent="0.7">
      <c r="A37" s="41" t="s">
        <v>48</v>
      </c>
      <c r="B37" s="42" t="s">
        <v>28</v>
      </c>
      <c r="C37" s="30" t="s">
        <v>29</v>
      </c>
      <c r="D37" s="52">
        <v>662.15496688865085</v>
      </c>
      <c r="E37" s="119">
        <v>711.99639957445982</v>
      </c>
      <c r="F37" s="52">
        <v>664.05833105946579</v>
      </c>
      <c r="G37" s="52">
        <v>663.59344595114624</v>
      </c>
      <c r="H37" s="52">
        <v>675.42584720072148</v>
      </c>
      <c r="I37" s="52">
        <v>672.73835666768105</v>
      </c>
      <c r="J37" s="52">
        <v>690.24324864936068</v>
      </c>
      <c r="K37" s="52">
        <v>656.80905664746967</v>
      </c>
      <c r="L37" s="216">
        <v>665.09318948157829</v>
      </c>
      <c r="M37" s="216">
        <v>690.09250181098719</v>
      </c>
      <c r="N37" s="216">
        <v>702.2388440806717</v>
      </c>
      <c r="O37" s="216">
        <v>698.08887118331359</v>
      </c>
      <c r="P37" s="227">
        <v>667.27468361021545</v>
      </c>
      <c r="Q37" s="232">
        <v>674.26637324045726</v>
      </c>
      <c r="R37" s="222">
        <v>676.46058815308209</v>
      </c>
      <c r="S37" s="223">
        <v>95.008990011379765</v>
      </c>
      <c r="T37" s="19"/>
      <c r="U37" s="311"/>
      <c r="V37" s="308"/>
      <c r="W37" s="308"/>
      <c r="X37" s="309"/>
      <c r="Y37" s="309"/>
      <c r="Z37" s="309"/>
      <c r="AA37" s="309"/>
      <c r="AB37" s="309"/>
    </row>
    <row r="38" spans="1:28" ht="32.1" customHeight="1" x14ac:dyDescent="0.7">
      <c r="A38" s="246">
        <v>2.11</v>
      </c>
      <c r="B38" s="247" t="s">
        <v>104</v>
      </c>
      <c r="C38" s="248" t="s">
        <v>103</v>
      </c>
      <c r="D38" s="249"/>
      <c r="E38" s="250"/>
      <c r="F38" s="249"/>
      <c r="G38" s="249"/>
      <c r="H38" s="249"/>
      <c r="I38" s="249"/>
      <c r="J38" s="249"/>
      <c r="K38" s="251"/>
      <c r="L38" s="251"/>
      <c r="M38" s="249"/>
      <c r="N38" s="249"/>
      <c r="O38" s="249"/>
      <c r="P38" s="249"/>
      <c r="Q38" s="252"/>
      <c r="R38" s="253"/>
      <c r="S38" s="254"/>
      <c r="T38" s="19"/>
      <c r="U38" s="311"/>
      <c r="V38" s="322"/>
      <c r="W38" s="308"/>
      <c r="X38" s="309"/>
      <c r="Y38" s="309"/>
      <c r="Z38" s="309"/>
      <c r="AA38" s="309"/>
      <c r="AB38" s="309"/>
    </row>
    <row r="39" spans="1:28" ht="32.1" customHeight="1" x14ac:dyDescent="0.7">
      <c r="A39" s="41" t="s">
        <v>49</v>
      </c>
      <c r="B39" s="42" t="s">
        <v>30</v>
      </c>
      <c r="C39" s="30" t="s">
        <v>31</v>
      </c>
      <c r="D39" s="47">
        <v>195.42511851064074</v>
      </c>
      <c r="E39" s="57"/>
      <c r="F39" s="52">
        <v>198.63823847198452</v>
      </c>
      <c r="G39" s="52">
        <v>210.45190471657628</v>
      </c>
      <c r="H39" s="52">
        <v>200.33821507434189</v>
      </c>
      <c r="I39" s="52">
        <v>223.1758192142596</v>
      </c>
      <c r="J39" s="52">
        <v>216.79748647588644</v>
      </c>
      <c r="K39" s="52">
        <v>227.34979548665299</v>
      </c>
      <c r="L39" s="52">
        <v>216.58551700117712</v>
      </c>
      <c r="M39" s="52">
        <v>221.82671034874252</v>
      </c>
      <c r="N39" s="52">
        <v>180.95453758264338</v>
      </c>
      <c r="O39" s="52">
        <v>205.03821296540426</v>
      </c>
      <c r="P39" s="52">
        <v>214.07339328803033</v>
      </c>
      <c r="Q39" s="52">
        <v>192.85717428154709</v>
      </c>
      <c r="R39" s="56">
        <v>209.00725040893721</v>
      </c>
      <c r="S39" s="55"/>
      <c r="T39" s="19"/>
      <c r="U39" s="311"/>
      <c r="V39" s="308"/>
      <c r="W39" s="308"/>
      <c r="X39" s="309"/>
      <c r="Y39" s="309"/>
      <c r="Z39" s="309"/>
      <c r="AA39" s="309"/>
      <c r="AB39" s="309"/>
    </row>
    <row r="40" spans="1:28" ht="32.1" customHeight="1" x14ac:dyDescent="0.7">
      <c r="A40" s="41">
        <v>2.13</v>
      </c>
      <c r="B40" s="42" t="s">
        <v>32</v>
      </c>
      <c r="C40" s="29" t="s">
        <v>33</v>
      </c>
      <c r="D40" s="72">
        <v>2.3722319999999995</v>
      </c>
      <c r="E40" s="191">
        <v>2.0106666666666668</v>
      </c>
      <c r="F40" s="59">
        <v>0.21009</v>
      </c>
      <c r="G40" s="59">
        <v>0.16869799999999999</v>
      </c>
      <c r="H40" s="59">
        <v>0.16067200000000001</v>
      </c>
      <c r="I40" s="59">
        <v>0.15087999999999999</v>
      </c>
      <c r="J40" s="59">
        <v>0.145258</v>
      </c>
      <c r="K40" s="59">
        <v>0.10933</v>
      </c>
      <c r="L40" s="59">
        <v>0.15396699999999999</v>
      </c>
      <c r="M40" s="59">
        <v>0.19040099999999999</v>
      </c>
      <c r="N40" s="59">
        <v>0.10036100000000001</v>
      </c>
      <c r="O40" s="228">
        <v>0.18393899999999999</v>
      </c>
      <c r="P40" s="228">
        <v>0.19621859127073313</v>
      </c>
      <c r="Q40" s="195">
        <v>0.210421</v>
      </c>
      <c r="R40" s="61">
        <v>1.9802355912707332</v>
      </c>
      <c r="S40" s="50">
        <v>98.486518133491359</v>
      </c>
      <c r="T40" s="19"/>
      <c r="U40" s="311"/>
      <c r="V40" s="308"/>
      <c r="W40" s="308"/>
      <c r="X40" s="309"/>
      <c r="Y40" s="309"/>
      <c r="Z40" s="309"/>
      <c r="AA40" s="309"/>
      <c r="AB40" s="309"/>
    </row>
    <row r="41" spans="1:28" ht="32.1" customHeight="1" x14ac:dyDescent="0.7">
      <c r="A41" s="81">
        <v>2.14</v>
      </c>
      <c r="B41" s="42" t="s">
        <v>34</v>
      </c>
      <c r="C41" s="29" t="s">
        <v>35</v>
      </c>
      <c r="D41" s="72">
        <v>3.2819910000000005</v>
      </c>
      <c r="E41" s="265">
        <v>2.99</v>
      </c>
      <c r="F41" s="59">
        <v>0.33773259999999999</v>
      </c>
      <c r="G41" s="59">
        <v>0.26147500000000001</v>
      </c>
      <c r="H41" s="59">
        <v>0.248612</v>
      </c>
      <c r="I41" s="59">
        <v>0.24348500000000001</v>
      </c>
      <c r="J41" s="59">
        <v>0.21845400000000001</v>
      </c>
      <c r="K41" s="59">
        <v>0.13911999999999999</v>
      </c>
      <c r="L41" s="59">
        <v>0.207121</v>
      </c>
      <c r="M41" s="59">
        <v>0.24973400000000001</v>
      </c>
      <c r="N41" s="59">
        <v>0.156054</v>
      </c>
      <c r="O41" s="228">
        <v>0.22010199999999999</v>
      </c>
      <c r="P41" s="228">
        <v>0.26874035450472727</v>
      </c>
      <c r="Q41" s="195">
        <v>0.38030000000000003</v>
      </c>
      <c r="R41" s="61">
        <v>2.9309299545047272</v>
      </c>
      <c r="S41" s="50">
        <v>98.02441319413802</v>
      </c>
      <c r="T41" s="19"/>
      <c r="U41" s="311"/>
      <c r="V41" s="308"/>
      <c r="W41" s="308"/>
      <c r="X41" s="309"/>
      <c r="Y41" s="309"/>
      <c r="Z41" s="309"/>
      <c r="AA41" s="309"/>
      <c r="AB41" s="309"/>
    </row>
    <row r="42" spans="1:28" ht="32.1" customHeight="1" x14ac:dyDescent="0.7">
      <c r="A42" s="82"/>
      <c r="B42" s="242" t="s">
        <v>113</v>
      </c>
      <c r="C42" s="211" t="s">
        <v>37</v>
      </c>
      <c r="D42" s="47">
        <v>13</v>
      </c>
      <c r="E42" s="270">
        <v>11</v>
      </c>
      <c r="F42" s="47">
        <v>2</v>
      </c>
      <c r="G42" s="47">
        <v>1</v>
      </c>
      <c r="H42" s="47">
        <v>2</v>
      </c>
      <c r="I42" s="47">
        <v>1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231">
        <v>0</v>
      </c>
      <c r="R42" s="49">
        <v>6</v>
      </c>
      <c r="S42" s="50">
        <v>54.54545454545454</v>
      </c>
      <c r="T42" s="19"/>
      <c r="U42" s="311"/>
      <c r="V42" s="308"/>
      <c r="W42" s="308"/>
      <c r="X42" s="309"/>
      <c r="Y42" s="309"/>
      <c r="Z42" s="309"/>
      <c r="AA42" s="309"/>
      <c r="AB42" s="309"/>
    </row>
    <row r="43" spans="1:28" ht="32.1" customHeight="1" x14ac:dyDescent="0.7">
      <c r="A43" s="82">
        <v>2.15</v>
      </c>
      <c r="B43" s="244" t="s">
        <v>36</v>
      </c>
      <c r="C43" s="31" t="s">
        <v>37</v>
      </c>
      <c r="D43" s="116">
        <v>156</v>
      </c>
      <c r="E43" s="271">
        <v>127</v>
      </c>
      <c r="F43" s="73">
        <v>13</v>
      </c>
      <c r="G43" s="73">
        <v>22</v>
      </c>
      <c r="H43" s="73">
        <v>19</v>
      </c>
      <c r="I43" s="73">
        <v>12</v>
      </c>
      <c r="J43" s="73">
        <v>11</v>
      </c>
      <c r="K43" s="73">
        <v>6</v>
      </c>
      <c r="L43" s="73">
        <v>5</v>
      </c>
      <c r="M43" s="73">
        <v>6</v>
      </c>
      <c r="N43" s="73">
        <v>1</v>
      </c>
      <c r="O43" s="73">
        <v>14</v>
      </c>
      <c r="P43" s="73">
        <v>5</v>
      </c>
      <c r="Q43" s="245">
        <v>10</v>
      </c>
      <c r="R43" s="74">
        <v>124</v>
      </c>
      <c r="S43" s="55">
        <v>97.637795275590548</v>
      </c>
      <c r="T43" s="19"/>
      <c r="U43" s="311"/>
      <c r="V43" s="323"/>
      <c r="W43" s="308"/>
      <c r="X43" s="309"/>
      <c r="Y43" s="309"/>
      <c r="Z43" s="309"/>
      <c r="AA43" s="309"/>
      <c r="AB43" s="309"/>
    </row>
    <row r="44" spans="1:28" ht="36.75" customHeight="1" x14ac:dyDescent="0.7">
      <c r="A44" s="82">
        <v>2.16</v>
      </c>
      <c r="B44" s="244" t="s">
        <v>81</v>
      </c>
      <c r="C44" s="31" t="s">
        <v>82</v>
      </c>
      <c r="D44" s="133">
        <v>553.74099999999999</v>
      </c>
      <c r="E44" s="272"/>
      <c r="F44" s="133">
        <v>557.54100000000005</v>
      </c>
      <c r="G44" s="133">
        <v>560.84100000000001</v>
      </c>
      <c r="H44" s="133">
        <v>560.89100000000008</v>
      </c>
      <c r="I44" s="133">
        <v>560.89100000000008</v>
      </c>
      <c r="J44" s="294">
        <v>560.89099999999996</v>
      </c>
      <c r="K44" s="133">
        <v>561.351</v>
      </c>
      <c r="L44" s="133">
        <v>561.35699999999997</v>
      </c>
      <c r="M44" s="133">
        <v>626.36300000000006</v>
      </c>
      <c r="N44" s="133">
        <v>626.399</v>
      </c>
      <c r="O44" s="133"/>
      <c r="P44" s="133"/>
      <c r="Q44" s="60"/>
      <c r="R44" s="134"/>
      <c r="S44" s="135"/>
      <c r="T44" s="19"/>
      <c r="U44" s="311"/>
      <c r="V44" s="308"/>
      <c r="W44" s="308"/>
      <c r="X44" s="309"/>
      <c r="Y44" s="309"/>
      <c r="Z44" s="309"/>
      <c r="AA44" s="309"/>
      <c r="AB44" s="309"/>
    </row>
    <row r="45" spans="1:28" ht="30.75" customHeight="1" thickBot="1" x14ac:dyDescent="0.75">
      <c r="A45" s="82">
        <v>2.17</v>
      </c>
      <c r="B45" s="244" t="s">
        <v>109</v>
      </c>
      <c r="C45" s="31" t="s">
        <v>108</v>
      </c>
      <c r="D45" s="136">
        <v>28.172015436819741</v>
      </c>
      <c r="E45" s="146">
        <v>22.934910003051971</v>
      </c>
      <c r="F45" s="136">
        <v>2.3316670881603323</v>
      </c>
      <c r="G45" s="136">
        <v>3.922680403180224</v>
      </c>
      <c r="H45" s="136">
        <v>3.3874674401978275</v>
      </c>
      <c r="I45" s="136">
        <v>2.1394531201249438</v>
      </c>
      <c r="J45" s="136">
        <v>1.961165360114532</v>
      </c>
      <c r="K45" s="136">
        <v>1.0688499708738384</v>
      </c>
      <c r="L45" s="136">
        <v>0.89069878882778697</v>
      </c>
      <c r="M45" s="136">
        <v>0.95791098771798455</v>
      </c>
      <c r="N45" s="136">
        <v>0.15964265587908028</v>
      </c>
      <c r="O45" s="136" t="e">
        <v>#DIV/0!</v>
      </c>
      <c r="P45" s="136"/>
      <c r="Q45" s="181"/>
      <c r="R45" s="180">
        <v>11.781268051663329</v>
      </c>
      <c r="S45" s="170">
        <v>51.368276788945685</v>
      </c>
      <c r="T45" s="19"/>
      <c r="U45" s="311"/>
      <c r="V45" s="308"/>
      <c r="W45" s="308"/>
      <c r="X45" s="309"/>
      <c r="Y45" s="309"/>
      <c r="Z45" s="309"/>
      <c r="AA45" s="309"/>
      <c r="AB45" s="309"/>
    </row>
    <row r="46" spans="1:28" ht="38.1" customHeight="1" thickTop="1" x14ac:dyDescent="0.7">
      <c r="A46" s="138" t="s">
        <v>50</v>
      </c>
      <c r="B46" s="139" t="s">
        <v>97</v>
      </c>
      <c r="C46" s="140" t="s">
        <v>3</v>
      </c>
      <c r="D46" s="141"/>
      <c r="E46" s="97"/>
      <c r="F46" s="88"/>
      <c r="G46" s="88"/>
      <c r="H46" s="147"/>
      <c r="I46" s="147"/>
      <c r="J46" s="147"/>
      <c r="K46" s="89"/>
      <c r="L46" s="89"/>
      <c r="M46" s="89"/>
      <c r="N46" s="88"/>
      <c r="O46" s="88"/>
      <c r="P46" s="88"/>
      <c r="Q46" s="113"/>
      <c r="R46" s="90"/>
      <c r="S46" s="98"/>
      <c r="T46" s="19"/>
      <c r="U46" s="311"/>
      <c r="V46" s="308"/>
      <c r="W46" s="308"/>
      <c r="X46" s="309"/>
      <c r="Y46" s="309"/>
      <c r="Z46" s="309"/>
      <c r="AA46" s="309"/>
      <c r="AB46" s="309"/>
    </row>
    <row r="47" spans="1:28" ht="38.1" customHeight="1" x14ac:dyDescent="0.7">
      <c r="A47" s="41" t="s">
        <v>51</v>
      </c>
      <c r="B47" s="42" t="s">
        <v>15</v>
      </c>
      <c r="C47" s="29" t="s">
        <v>16</v>
      </c>
      <c r="D47" s="47">
        <v>181227398.52649149</v>
      </c>
      <c r="E47" s="260">
        <v>190111366.1094164</v>
      </c>
      <c r="F47" s="85">
        <v>15464236</v>
      </c>
      <c r="G47" s="85">
        <v>14942425</v>
      </c>
      <c r="H47" s="85">
        <v>15973659</v>
      </c>
      <c r="I47" s="85">
        <v>15601200</v>
      </c>
      <c r="J47" s="85">
        <v>17066095</v>
      </c>
      <c r="K47" s="130">
        <v>17108462</v>
      </c>
      <c r="L47" s="47">
        <v>17279496</v>
      </c>
      <c r="M47" s="47">
        <v>16926634</v>
      </c>
      <c r="N47" s="85">
        <v>16459799</v>
      </c>
      <c r="O47" s="47">
        <v>17661270</v>
      </c>
      <c r="P47" s="47">
        <v>17390299</v>
      </c>
      <c r="Q47" s="230">
        <v>15976002</v>
      </c>
      <c r="R47" s="49">
        <v>197849577</v>
      </c>
      <c r="S47" s="55"/>
      <c r="T47" s="19"/>
      <c r="U47" s="311"/>
      <c r="V47" s="307"/>
      <c r="W47" s="348">
        <v>197849577</v>
      </c>
      <c r="X47" s="309"/>
      <c r="Y47" s="309"/>
      <c r="Z47" s="309"/>
      <c r="AA47" s="309"/>
      <c r="AB47" s="309"/>
    </row>
    <row r="48" spans="1:28" ht="38.1" customHeight="1" x14ac:dyDescent="0.7">
      <c r="A48" s="41" t="s">
        <v>52</v>
      </c>
      <c r="B48" s="42" t="s">
        <v>18</v>
      </c>
      <c r="C48" s="29" t="s">
        <v>16</v>
      </c>
      <c r="D48" s="47">
        <v>159446644</v>
      </c>
      <c r="E48" s="260">
        <v>171064913.03696871</v>
      </c>
      <c r="F48" s="85">
        <v>13938992.5</v>
      </c>
      <c r="G48" s="47">
        <v>10210598</v>
      </c>
      <c r="H48" s="47">
        <v>12229921</v>
      </c>
      <c r="I48" s="47">
        <v>14023753</v>
      </c>
      <c r="J48" s="47">
        <v>13800180</v>
      </c>
      <c r="K48" s="130">
        <v>13899683</v>
      </c>
      <c r="L48" s="47">
        <v>14768006.9</v>
      </c>
      <c r="M48" s="218">
        <v>15873866</v>
      </c>
      <c r="N48" s="85">
        <v>14450673</v>
      </c>
      <c r="O48" s="47">
        <v>14418289</v>
      </c>
      <c r="P48" s="85">
        <v>16160416</v>
      </c>
      <c r="Q48" s="231">
        <v>15387638.359690564</v>
      </c>
      <c r="R48" s="49">
        <v>169162016.75969058</v>
      </c>
      <c r="S48" s="50">
        <v>98.887617429258043</v>
      </c>
      <c r="T48" s="19"/>
      <c r="U48" s="310"/>
      <c r="V48" s="310">
        <v>14494735.859425908</v>
      </c>
      <c r="W48" s="349">
        <f>SUM(G48:Q48)+V48</f>
        <v>169717760.11911649</v>
      </c>
      <c r="X48" s="309"/>
      <c r="Y48" s="309"/>
      <c r="Z48" s="309"/>
      <c r="AA48" s="309"/>
      <c r="AB48" s="309"/>
    </row>
    <row r="49" spans="1:28" ht="38.1" customHeight="1" x14ac:dyDescent="0.7">
      <c r="A49" s="41" t="s">
        <v>53</v>
      </c>
      <c r="B49" s="42" t="s">
        <v>101</v>
      </c>
      <c r="C49" s="30" t="s">
        <v>19</v>
      </c>
      <c r="D49" s="52">
        <v>11.472010135074795</v>
      </c>
      <c r="E49" s="273">
        <v>10.018576722806632</v>
      </c>
      <c r="F49" s="72">
        <v>33.972826074304606</v>
      </c>
      <c r="G49" s="72">
        <v>18.153037408586627</v>
      </c>
      <c r="H49" s="72">
        <v>12.207009051589244</v>
      </c>
      <c r="I49" s="72">
        <v>11.544111991385279</v>
      </c>
      <c r="J49" s="72">
        <v>18.553816792886714</v>
      </c>
      <c r="K49" s="72">
        <v>13.680102279211305</v>
      </c>
      <c r="L49" s="144">
        <v>8.134670131582542</v>
      </c>
      <c r="M49" s="144">
        <v>14.627604046971182</v>
      </c>
      <c r="N49" s="144">
        <v>12.403006865393678</v>
      </c>
      <c r="O49" s="220">
        <v>8.4979958972372884</v>
      </c>
      <c r="P49" s="220">
        <v>11.515964390890785</v>
      </c>
      <c r="Q49" s="234">
        <v>9.2718199495348834</v>
      </c>
      <c r="R49" s="278">
        <v>14.218790511178861</v>
      </c>
      <c r="S49" s="50">
        <v>70.460119058157531</v>
      </c>
      <c r="T49" s="19"/>
      <c r="U49" s="241"/>
      <c r="V49" s="308"/>
      <c r="W49" s="350">
        <f>(W47-W48)/W47*100</f>
        <v>14.218790511178861</v>
      </c>
      <c r="X49" s="309"/>
      <c r="Y49" s="309"/>
      <c r="Z49" s="309"/>
      <c r="AA49" s="309"/>
      <c r="AB49" s="309"/>
    </row>
    <row r="50" spans="1:28" ht="38.1" customHeight="1" x14ac:dyDescent="0.7">
      <c r="A50" s="41" t="s">
        <v>54</v>
      </c>
      <c r="B50" s="42" t="s">
        <v>102</v>
      </c>
      <c r="C50" s="30" t="s">
        <v>19</v>
      </c>
      <c r="D50" s="47"/>
      <c r="E50" s="268"/>
      <c r="F50" s="52">
        <v>36379511.5</v>
      </c>
      <c r="G50" s="52"/>
      <c r="H50" s="52"/>
      <c r="I50" s="52">
        <v>78103127.5</v>
      </c>
      <c r="J50" s="52"/>
      <c r="K50" s="52"/>
      <c r="L50" s="52">
        <v>123195673.40000001</v>
      </c>
      <c r="M50" s="52"/>
      <c r="N50" s="52"/>
      <c r="O50" s="52"/>
      <c r="P50" s="167"/>
      <c r="Q50" s="112"/>
      <c r="R50" s="54"/>
      <c r="S50" s="50"/>
      <c r="T50" s="19"/>
      <c r="U50" s="311"/>
      <c r="V50" s="308"/>
      <c r="W50" s="308"/>
      <c r="X50" s="309"/>
      <c r="Y50" s="309"/>
      <c r="Z50" s="309"/>
      <c r="AA50" s="309"/>
      <c r="AB50" s="309"/>
    </row>
    <row r="51" spans="1:28" ht="38.1" customHeight="1" x14ac:dyDescent="0.7">
      <c r="A51" s="196" t="s">
        <v>55</v>
      </c>
      <c r="B51" s="197" t="s">
        <v>20</v>
      </c>
      <c r="C51" s="198" t="s">
        <v>21</v>
      </c>
      <c r="D51" s="47">
        <v>95140</v>
      </c>
      <c r="E51" s="266"/>
      <c r="F51" s="85">
        <v>95359</v>
      </c>
      <c r="G51" s="85">
        <v>95482</v>
      </c>
      <c r="H51" s="85">
        <v>95812</v>
      </c>
      <c r="I51" s="85">
        <v>96183</v>
      </c>
      <c r="J51" s="85">
        <v>96170</v>
      </c>
      <c r="K51" s="130">
        <v>96444</v>
      </c>
      <c r="L51" s="85">
        <v>96633</v>
      </c>
      <c r="M51" s="218">
        <v>96873</v>
      </c>
      <c r="N51" s="85">
        <v>97218</v>
      </c>
      <c r="O51" s="85">
        <v>97774</v>
      </c>
      <c r="P51" s="85">
        <v>98374</v>
      </c>
      <c r="Q51" s="231">
        <v>98918</v>
      </c>
      <c r="R51" s="210">
        <v>98918</v>
      </c>
      <c r="S51" s="199"/>
      <c r="T51" s="19"/>
      <c r="U51" s="311"/>
      <c r="V51" s="308"/>
      <c r="W51" s="308"/>
      <c r="X51" s="309"/>
      <c r="Y51" s="309"/>
      <c r="Z51" s="309"/>
      <c r="AA51" s="309"/>
      <c r="AB51" s="309"/>
    </row>
    <row r="52" spans="1:28" ht="38.1" customHeight="1" x14ac:dyDescent="0.7">
      <c r="A52" s="41" t="s">
        <v>56</v>
      </c>
      <c r="B52" s="42" t="s">
        <v>22</v>
      </c>
      <c r="C52" s="30" t="s">
        <v>21</v>
      </c>
      <c r="D52" s="47">
        <v>2327</v>
      </c>
      <c r="E52" s="274">
        <v>4573.7404925069659</v>
      </c>
      <c r="F52" s="47">
        <v>219</v>
      </c>
      <c r="G52" s="47">
        <v>123</v>
      </c>
      <c r="H52" s="47">
        <v>330</v>
      </c>
      <c r="I52" s="47">
        <v>371</v>
      </c>
      <c r="J52" s="47">
        <v>-13</v>
      </c>
      <c r="K52" s="47">
        <v>274</v>
      </c>
      <c r="L52" s="47">
        <v>189</v>
      </c>
      <c r="M52" s="47">
        <v>240</v>
      </c>
      <c r="N52" s="47">
        <v>345</v>
      </c>
      <c r="O52" s="47">
        <v>556</v>
      </c>
      <c r="P52" s="47">
        <v>600</v>
      </c>
      <c r="Q52" s="47">
        <v>544</v>
      </c>
      <c r="R52" s="49">
        <v>3778</v>
      </c>
      <c r="S52" s="50">
        <v>82.601975476951395</v>
      </c>
      <c r="T52" s="19"/>
      <c r="U52" s="313"/>
      <c r="V52" s="308"/>
      <c r="W52" s="308"/>
      <c r="X52" s="309"/>
      <c r="Y52" s="309"/>
      <c r="Z52" s="309"/>
      <c r="AA52" s="309"/>
      <c r="AB52" s="309"/>
    </row>
    <row r="53" spans="1:28" ht="38.1" customHeight="1" x14ac:dyDescent="0.7">
      <c r="A53" s="41" t="s">
        <v>57</v>
      </c>
      <c r="B53" s="42" t="s">
        <v>23</v>
      </c>
      <c r="C53" s="30" t="s">
        <v>24</v>
      </c>
      <c r="D53" s="47">
        <v>91024.6</v>
      </c>
      <c r="E53" s="269"/>
      <c r="F53" s="72">
        <v>91432.7</v>
      </c>
      <c r="G53" s="72">
        <v>91765.75</v>
      </c>
      <c r="H53" s="282">
        <v>91933.2</v>
      </c>
      <c r="I53" s="72">
        <v>92529.2</v>
      </c>
      <c r="J53" s="72">
        <v>92854.8</v>
      </c>
      <c r="K53" s="72">
        <v>93304.3</v>
      </c>
      <c r="L53" s="72">
        <v>93450.7</v>
      </c>
      <c r="M53" s="219">
        <v>94025.35</v>
      </c>
      <c r="N53" s="240">
        <v>94593.049999999988</v>
      </c>
      <c r="O53" s="72">
        <v>95264.35</v>
      </c>
      <c r="P53" s="169">
        <v>95841.8</v>
      </c>
      <c r="Q53" s="234">
        <v>96633.35</v>
      </c>
      <c r="R53" s="54">
        <v>96633.35</v>
      </c>
      <c r="S53" s="55"/>
      <c r="T53" s="19"/>
      <c r="U53" s="314"/>
      <c r="V53" s="315"/>
      <c r="W53" s="316"/>
      <c r="X53" s="309"/>
      <c r="Y53" s="309"/>
      <c r="Z53" s="309"/>
      <c r="AA53" s="309"/>
      <c r="AB53" s="309"/>
    </row>
    <row r="54" spans="1:28" ht="38.1" customHeight="1" x14ac:dyDescent="0.7">
      <c r="A54" s="41" t="s">
        <v>58</v>
      </c>
      <c r="B54" s="42" t="s">
        <v>25</v>
      </c>
      <c r="C54" s="30" t="s">
        <v>24</v>
      </c>
      <c r="D54" s="47">
        <v>4066.346000000005</v>
      </c>
      <c r="E54" s="274">
        <v>2905.8104081449856</v>
      </c>
      <c r="F54" s="52">
        <v>408.09999999999127</v>
      </c>
      <c r="G54" s="52">
        <v>333.05000000000291</v>
      </c>
      <c r="H54" s="236">
        <v>167.44999999999709</v>
      </c>
      <c r="I54" s="52">
        <v>596</v>
      </c>
      <c r="J54" s="52">
        <v>325.60000000000582</v>
      </c>
      <c r="K54" s="52">
        <v>449.5</v>
      </c>
      <c r="L54" s="52">
        <v>146.39999999999418</v>
      </c>
      <c r="M54" s="52">
        <v>574.65000000000873</v>
      </c>
      <c r="N54" s="237">
        <v>567.69999999998254</v>
      </c>
      <c r="O54" s="237">
        <v>671.30000000001746</v>
      </c>
      <c r="P54" s="52">
        <v>577.44999999999709</v>
      </c>
      <c r="Q54" s="52">
        <v>791.55000000000291</v>
      </c>
      <c r="R54" s="105">
        <v>5608.75</v>
      </c>
      <c r="S54" s="50">
        <v>193.01844278204371</v>
      </c>
      <c r="T54" s="19"/>
      <c r="U54" s="314"/>
      <c r="V54" s="308"/>
      <c r="W54" s="308"/>
      <c r="X54" s="309"/>
      <c r="Y54" s="309"/>
      <c r="Z54" s="309"/>
      <c r="AA54" s="309"/>
      <c r="AB54" s="309"/>
    </row>
    <row r="55" spans="1:28" ht="38.1" customHeight="1" x14ac:dyDescent="0.7">
      <c r="A55" s="41" t="s">
        <v>59</v>
      </c>
      <c r="B55" s="42" t="s">
        <v>26</v>
      </c>
      <c r="C55" s="30" t="s">
        <v>27</v>
      </c>
      <c r="D55" s="47">
        <v>98295516.851000011</v>
      </c>
      <c r="E55" s="260">
        <v>113395919.04852237</v>
      </c>
      <c r="F55" s="72">
        <v>8674977.056809999</v>
      </c>
      <c r="G55" s="72">
        <v>6913107.1529999999</v>
      </c>
      <c r="H55" s="72">
        <v>7882920.7050000001</v>
      </c>
      <c r="I55" s="72">
        <v>8794143.8200000003</v>
      </c>
      <c r="J55" s="72">
        <v>8760891.1309999991</v>
      </c>
      <c r="K55" s="206">
        <v>8859529.0390000008</v>
      </c>
      <c r="L55" s="72">
        <v>9187638.193</v>
      </c>
      <c r="M55" s="218">
        <v>10067925.086999999</v>
      </c>
      <c r="N55" s="169">
        <v>9242846.9299999997</v>
      </c>
      <c r="O55" s="72">
        <v>9260267.1490000002</v>
      </c>
      <c r="P55" s="169">
        <v>10407479.101</v>
      </c>
      <c r="Q55" s="234">
        <v>9974132.1520229708</v>
      </c>
      <c r="R55" s="54">
        <v>108025857.51683296</v>
      </c>
      <c r="S55" s="50">
        <v>95.264325580013562</v>
      </c>
      <c r="T55" s="19"/>
      <c r="U55" s="314"/>
      <c r="V55" s="308"/>
      <c r="W55" s="308"/>
      <c r="X55" s="309"/>
      <c r="Y55" s="309"/>
      <c r="Z55" s="309"/>
      <c r="AA55" s="309"/>
      <c r="AB55" s="309"/>
    </row>
    <row r="56" spans="1:28" ht="38.1" customHeight="1" x14ac:dyDescent="0.7">
      <c r="A56" s="41" t="s">
        <v>60</v>
      </c>
      <c r="B56" s="42" t="s">
        <v>28</v>
      </c>
      <c r="C56" s="30" t="s">
        <v>29</v>
      </c>
      <c r="D56" s="52">
        <v>616.47905772792569</v>
      </c>
      <c r="E56" s="125">
        <v>662.88239379642073</v>
      </c>
      <c r="F56" s="52">
        <v>622.35323369389846</v>
      </c>
      <c r="G56" s="52">
        <v>677.05213279378938</v>
      </c>
      <c r="H56" s="52">
        <v>644.56023101048652</v>
      </c>
      <c r="I56" s="52">
        <v>627.08918361582664</v>
      </c>
      <c r="J56" s="52">
        <v>634.83890289836802</v>
      </c>
      <c r="K56" s="52">
        <v>637.39072603310456</v>
      </c>
      <c r="L56" s="52">
        <v>622.13122293435538</v>
      </c>
      <c r="M56" s="52">
        <v>634.24531157060278</v>
      </c>
      <c r="N56" s="52">
        <v>639.61359654321984</v>
      </c>
      <c r="O56" s="52">
        <v>642.25839480676245</v>
      </c>
      <c r="P56" s="167">
        <v>644.0105936010558</v>
      </c>
      <c r="Q56" s="237">
        <v>648.19122459695916</v>
      </c>
      <c r="R56" s="222">
        <v>638.59405075722839</v>
      </c>
      <c r="S56" s="223">
        <v>96.335949896015549</v>
      </c>
      <c r="T56" s="19"/>
      <c r="U56" s="311"/>
      <c r="V56" s="308"/>
      <c r="W56" s="308"/>
      <c r="X56" s="309"/>
      <c r="Y56" s="309"/>
      <c r="Z56" s="309"/>
      <c r="AA56" s="309"/>
      <c r="AB56" s="309"/>
    </row>
    <row r="57" spans="1:28" ht="38.1" customHeight="1" x14ac:dyDescent="0.7">
      <c r="A57" s="255" t="s">
        <v>61</v>
      </c>
      <c r="B57" s="247" t="s">
        <v>104</v>
      </c>
      <c r="C57" s="248" t="s">
        <v>103</v>
      </c>
      <c r="D57" s="249"/>
      <c r="E57" s="250"/>
      <c r="F57" s="249"/>
      <c r="G57" s="249"/>
      <c r="H57" s="249"/>
      <c r="I57" s="249"/>
      <c r="J57" s="249"/>
      <c r="K57" s="251"/>
      <c r="L57" s="251"/>
      <c r="M57" s="249"/>
      <c r="N57" s="249"/>
      <c r="O57" s="249"/>
      <c r="P57" s="251"/>
      <c r="Q57" s="252"/>
      <c r="R57" s="253"/>
      <c r="S57" s="254"/>
      <c r="T57" s="19"/>
      <c r="U57" s="311"/>
      <c r="V57" s="322"/>
      <c r="W57" s="308"/>
      <c r="X57" s="309"/>
      <c r="Y57" s="309"/>
      <c r="Z57" s="309"/>
      <c r="AA57" s="309"/>
      <c r="AB57" s="309"/>
    </row>
    <row r="58" spans="1:28" ht="38.1" customHeight="1" x14ac:dyDescent="0.7">
      <c r="A58" s="41" t="s">
        <v>62</v>
      </c>
      <c r="B58" s="42" t="s">
        <v>30</v>
      </c>
      <c r="C58" s="30" t="s">
        <v>31</v>
      </c>
      <c r="D58" s="52">
        <v>148.39092080138929</v>
      </c>
      <c r="E58" s="46"/>
      <c r="F58" s="52">
        <v>152.45084636021906</v>
      </c>
      <c r="G58" s="52">
        <v>111.26807114854944</v>
      </c>
      <c r="H58" s="52">
        <v>133.0305156352656</v>
      </c>
      <c r="I58" s="52">
        <v>151.56029664149264</v>
      </c>
      <c r="J58" s="52">
        <v>148.62107290091626</v>
      </c>
      <c r="K58" s="52">
        <v>148.97151578223082</v>
      </c>
      <c r="L58" s="52">
        <v>158.02992272931075</v>
      </c>
      <c r="M58" s="52">
        <v>168.82538591986096</v>
      </c>
      <c r="N58" s="52">
        <v>152.76675189139161</v>
      </c>
      <c r="O58" s="52">
        <v>151.35031100301424</v>
      </c>
      <c r="P58" s="52">
        <v>168.61553101047767</v>
      </c>
      <c r="Q58" s="53"/>
      <c r="R58" s="56">
        <v>137.12418508522742</v>
      </c>
      <c r="S58" s="55"/>
      <c r="T58" s="19"/>
      <c r="U58" s="311"/>
      <c r="V58" s="308"/>
      <c r="W58" s="308"/>
      <c r="X58" s="309"/>
      <c r="Y58" s="309"/>
      <c r="Z58" s="309"/>
      <c r="AA58" s="309"/>
      <c r="AB58" s="309"/>
    </row>
    <row r="59" spans="1:28" ht="38.1" customHeight="1" x14ac:dyDescent="0.7">
      <c r="A59" s="41">
        <v>3.13</v>
      </c>
      <c r="B59" s="42" t="s">
        <v>32</v>
      </c>
      <c r="C59" s="29" t="s">
        <v>33</v>
      </c>
      <c r="D59" s="78">
        <v>2.3514050000000002</v>
      </c>
      <c r="E59" s="275">
        <v>2.0106666666666668</v>
      </c>
      <c r="F59" s="59">
        <v>0.18013399999999999</v>
      </c>
      <c r="G59" s="59">
        <v>0.217949</v>
      </c>
      <c r="H59" s="59">
        <v>0.15645300000000001</v>
      </c>
      <c r="I59" s="59">
        <v>0.15154500000000001</v>
      </c>
      <c r="J59" s="59">
        <v>0.143929</v>
      </c>
      <c r="K59" s="59">
        <v>0.1071</v>
      </c>
      <c r="L59" s="59">
        <v>0.15260599999999999</v>
      </c>
      <c r="M59" s="59">
        <v>8.4304000000000004E-2</v>
      </c>
      <c r="N59" s="59">
        <v>8.0796000000000007E-2</v>
      </c>
      <c r="O59" s="59">
        <v>0.201294</v>
      </c>
      <c r="P59" s="59">
        <v>0.30085981390746874</v>
      </c>
      <c r="Q59" s="195">
        <v>0.205929</v>
      </c>
      <c r="R59" s="61">
        <v>1.9828988139074688</v>
      </c>
      <c r="S59" s="50">
        <v>98.618972840225567</v>
      </c>
      <c r="T59" s="19"/>
      <c r="U59" s="311"/>
      <c r="V59" s="308"/>
      <c r="W59" s="308"/>
      <c r="X59" s="309"/>
      <c r="Y59" s="309"/>
      <c r="Z59" s="309"/>
      <c r="AA59" s="309"/>
      <c r="AB59" s="309"/>
    </row>
    <row r="60" spans="1:28" ht="38.1" customHeight="1" x14ac:dyDescent="0.7">
      <c r="A60" s="81">
        <v>3.14</v>
      </c>
      <c r="B60" s="42" t="s">
        <v>34</v>
      </c>
      <c r="C60" s="29" t="s">
        <v>35</v>
      </c>
      <c r="D60" s="78">
        <v>3.3713229999999998</v>
      </c>
      <c r="E60" s="265">
        <v>2.99</v>
      </c>
      <c r="F60" s="143">
        <v>0.23934800000000001</v>
      </c>
      <c r="G60" s="145">
        <v>0.29575200000000001</v>
      </c>
      <c r="H60" s="145">
        <v>0.29517199999999999</v>
      </c>
      <c r="I60" s="145">
        <v>0.24132400000000001</v>
      </c>
      <c r="J60" s="145">
        <v>0.22419800000000001</v>
      </c>
      <c r="K60" s="59">
        <v>0.13120999999999999</v>
      </c>
      <c r="L60" s="59">
        <v>0.20444399999999999</v>
      </c>
      <c r="M60" s="59">
        <v>0.13792299999999999</v>
      </c>
      <c r="N60" s="59">
        <v>0.12374400000000001</v>
      </c>
      <c r="O60" s="59">
        <v>0.23860500000000001</v>
      </c>
      <c r="P60" s="59">
        <v>0.3847866306137801</v>
      </c>
      <c r="Q60" s="195">
        <v>0.38834200000000002</v>
      </c>
      <c r="R60" s="61">
        <v>2.9048486306137802</v>
      </c>
      <c r="S60" s="50">
        <v>97.152128114173237</v>
      </c>
      <c r="T60" s="19"/>
      <c r="U60" s="311"/>
      <c r="V60" s="308"/>
      <c r="W60" s="308"/>
      <c r="X60" s="309"/>
      <c r="Y60" s="309"/>
      <c r="Z60" s="309"/>
      <c r="AA60" s="309"/>
      <c r="AB60" s="309"/>
    </row>
    <row r="61" spans="1:28" ht="38.1" customHeight="1" x14ac:dyDescent="0.7">
      <c r="A61" s="82"/>
      <c r="B61" s="242" t="s">
        <v>113</v>
      </c>
      <c r="C61" s="211" t="s">
        <v>37</v>
      </c>
      <c r="D61" s="47">
        <v>7</v>
      </c>
      <c r="E61" s="270">
        <v>5</v>
      </c>
      <c r="F61" s="47">
        <v>1</v>
      </c>
      <c r="G61" s="47">
        <v>1</v>
      </c>
      <c r="H61" s="47">
        <v>1</v>
      </c>
      <c r="I61" s="47">
        <v>0</v>
      </c>
      <c r="J61" s="47">
        <v>2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231">
        <v>0</v>
      </c>
      <c r="R61" s="49">
        <v>5</v>
      </c>
      <c r="S61" s="50">
        <v>100</v>
      </c>
      <c r="T61" s="19"/>
      <c r="U61" s="311"/>
      <c r="V61" s="308"/>
      <c r="W61" s="308"/>
      <c r="X61" s="309"/>
      <c r="Y61" s="309"/>
      <c r="Z61" s="309"/>
      <c r="AA61" s="309"/>
      <c r="AB61" s="309"/>
    </row>
    <row r="62" spans="1:28" ht="38.1" customHeight="1" x14ac:dyDescent="0.7">
      <c r="A62" s="82">
        <v>3.15</v>
      </c>
      <c r="B62" s="244" t="s">
        <v>36</v>
      </c>
      <c r="C62" s="31" t="s">
        <v>37</v>
      </c>
      <c r="D62" s="116">
        <v>65</v>
      </c>
      <c r="E62" s="271">
        <v>53</v>
      </c>
      <c r="F62" s="123">
        <v>4</v>
      </c>
      <c r="G62" s="73">
        <v>10</v>
      </c>
      <c r="H62" s="73">
        <v>8</v>
      </c>
      <c r="I62" s="73">
        <v>6</v>
      </c>
      <c r="J62" s="73">
        <v>4</v>
      </c>
      <c r="K62" s="73">
        <v>1</v>
      </c>
      <c r="L62" s="73">
        <v>2</v>
      </c>
      <c r="M62" s="47">
        <v>0</v>
      </c>
      <c r="N62" s="73">
        <v>0</v>
      </c>
      <c r="O62" s="73">
        <v>3</v>
      </c>
      <c r="P62" s="73">
        <v>3</v>
      </c>
      <c r="Q62" s="245">
        <v>1</v>
      </c>
      <c r="R62" s="49">
        <v>42</v>
      </c>
      <c r="S62" s="55">
        <v>79.245283018867923</v>
      </c>
      <c r="T62" s="19"/>
      <c r="U62" s="311"/>
      <c r="V62" s="308"/>
      <c r="W62" s="308"/>
      <c r="X62" s="309"/>
      <c r="Y62" s="309"/>
      <c r="Z62" s="309"/>
      <c r="AA62" s="309"/>
      <c r="AB62" s="309"/>
    </row>
    <row r="63" spans="1:28" ht="36" customHeight="1" x14ac:dyDescent="0.7">
      <c r="A63" s="82">
        <v>3.16</v>
      </c>
      <c r="B63" s="244" t="s">
        <v>81</v>
      </c>
      <c r="C63" s="31" t="s">
        <v>82</v>
      </c>
      <c r="D63" s="133">
        <v>230.392</v>
      </c>
      <c r="E63" s="149"/>
      <c r="F63" s="133">
        <v>231.69399999999999</v>
      </c>
      <c r="G63" s="133">
        <v>231.49100000000001</v>
      </c>
      <c r="H63" s="133">
        <v>233.85400000000001</v>
      </c>
      <c r="I63" s="133">
        <v>233.85400000000001</v>
      </c>
      <c r="J63" s="294">
        <v>233.95400000000001</v>
      </c>
      <c r="K63" s="133">
        <v>233.95400000000001</v>
      </c>
      <c r="L63" s="133">
        <v>234.47399999999999</v>
      </c>
      <c r="M63" s="133">
        <v>234.47399999999999</v>
      </c>
      <c r="N63" s="133">
        <v>235.614</v>
      </c>
      <c r="O63" s="133"/>
      <c r="P63" s="133"/>
      <c r="Q63" s="60"/>
      <c r="R63" s="134"/>
      <c r="S63" s="135"/>
      <c r="T63" s="19"/>
      <c r="U63" s="311"/>
      <c r="V63" s="308"/>
      <c r="W63" s="308"/>
      <c r="X63" s="309"/>
      <c r="Y63" s="309"/>
      <c r="Z63" s="309"/>
      <c r="AA63" s="309"/>
      <c r="AB63" s="309"/>
    </row>
    <row r="64" spans="1:28" ht="36" customHeight="1" thickBot="1" x14ac:dyDescent="0.75">
      <c r="A64" s="82">
        <v>3.17</v>
      </c>
      <c r="B64" s="244" t="s">
        <v>109</v>
      </c>
      <c r="C64" s="31" t="s">
        <v>108</v>
      </c>
      <c r="D64" s="136">
        <v>28.212785166151605</v>
      </c>
      <c r="E64" s="146">
        <v>23.004270981631304</v>
      </c>
      <c r="F64" s="136">
        <v>1.7264150129049523</v>
      </c>
      <c r="G64" s="136">
        <v>4.3198223689041901</v>
      </c>
      <c r="H64" s="136">
        <v>3.4209378501116077</v>
      </c>
      <c r="I64" s="136">
        <v>2.5657033875837056</v>
      </c>
      <c r="J64" s="136">
        <v>1.7097378117065747</v>
      </c>
      <c r="K64" s="136">
        <v>0.42743445292664367</v>
      </c>
      <c r="L64" s="136">
        <v>0.85297303752228404</v>
      </c>
      <c r="M64" s="136">
        <v>0</v>
      </c>
      <c r="N64" s="136">
        <v>0</v>
      </c>
      <c r="O64" s="136" t="e">
        <v>#DIV/0!</v>
      </c>
      <c r="P64" s="136"/>
      <c r="Q64" s="181"/>
      <c r="R64" s="180">
        <v>12.032878619504455</v>
      </c>
      <c r="S64" s="63">
        <v>52.307150394431524</v>
      </c>
      <c r="T64" s="19"/>
      <c r="U64" s="311"/>
      <c r="V64" s="308"/>
      <c r="W64" s="308"/>
      <c r="X64" s="309"/>
      <c r="Y64" s="309"/>
      <c r="Z64" s="309"/>
      <c r="AA64" s="309"/>
      <c r="AB64" s="309"/>
    </row>
    <row r="65" spans="1:28" ht="38.1" customHeight="1" thickTop="1" x14ac:dyDescent="0.7">
      <c r="A65" s="138">
        <v>4</v>
      </c>
      <c r="B65" s="139" t="s">
        <v>63</v>
      </c>
      <c r="C65" s="140"/>
      <c r="D65" s="142"/>
      <c r="E65" s="92"/>
      <c r="F65" s="93"/>
      <c r="G65" s="93"/>
      <c r="H65" s="93"/>
      <c r="I65" s="93"/>
      <c r="J65" s="93"/>
      <c r="K65" s="94"/>
      <c r="L65" s="94"/>
      <c r="M65" s="94"/>
      <c r="N65" s="93"/>
      <c r="O65" s="93"/>
      <c r="P65" s="93"/>
      <c r="Q65" s="229"/>
      <c r="R65" s="95"/>
      <c r="S65" s="96"/>
      <c r="T65" s="19"/>
      <c r="U65" s="311"/>
      <c r="V65" s="324"/>
      <c r="W65" s="325"/>
      <c r="X65" s="309"/>
      <c r="Y65" s="309"/>
      <c r="Z65" s="309"/>
      <c r="AA65" s="309"/>
      <c r="AB65" s="309"/>
    </row>
    <row r="66" spans="1:28" ht="38.1" customHeight="1" x14ac:dyDescent="0.7">
      <c r="A66" s="41" t="s">
        <v>64</v>
      </c>
      <c r="B66" s="42" t="s">
        <v>15</v>
      </c>
      <c r="C66" s="29" t="s">
        <v>16</v>
      </c>
      <c r="D66" s="155">
        <v>1776416043</v>
      </c>
      <c r="E66" s="260">
        <v>1875469000.0000002</v>
      </c>
      <c r="F66" s="130">
        <v>162313994</v>
      </c>
      <c r="G66" s="190">
        <v>151791514</v>
      </c>
      <c r="H66" s="190">
        <v>169756160</v>
      </c>
      <c r="I66" s="190">
        <v>168363984</v>
      </c>
      <c r="J66" s="190">
        <v>169642053</v>
      </c>
      <c r="K66" s="190">
        <v>170431057</v>
      </c>
      <c r="L66" s="190">
        <v>177382460</v>
      </c>
      <c r="M66" s="190">
        <v>178146023</v>
      </c>
      <c r="N66" s="190">
        <v>143602830</v>
      </c>
      <c r="O66" s="190">
        <v>180793607</v>
      </c>
      <c r="P66" s="190">
        <v>170209660</v>
      </c>
      <c r="Q66" s="190">
        <v>166237044</v>
      </c>
      <c r="R66" s="49">
        <v>2008670386</v>
      </c>
      <c r="S66" s="50">
        <v>107.10229739867734</v>
      </c>
      <c r="T66" s="19"/>
      <c r="U66" s="326"/>
      <c r="V66" s="327"/>
      <c r="W66" s="328"/>
      <c r="X66" s="309"/>
      <c r="Y66" s="309"/>
      <c r="Z66" s="309"/>
      <c r="AA66" s="309"/>
      <c r="AB66" s="309"/>
    </row>
    <row r="67" spans="1:28" ht="38.1" customHeight="1" x14ac:dyDescent="0.7">
      <c r="A67" s="41" t="s">
        <v>65</v>
      </c>
      <c r="B67" s="42" t="s">
        <v>18</v>
      </c>
      <c r="C67" s="29" t="s">
        <v>16</v>
      </c>
      <c r="D67" s="155">
        <v>1637667419</v>
      </c>
      <c r="E67" s="260">
        <v>1756998000</v>
      </c>
      <c r="F67" s="190">
        <v>146503853.80000001</v>
      </c>
      <c r="G67" s="130">
        <v>145300095</v>
      </c>
      <c r="H67" s="130">
        <v>138028327.17369092</v>
      </c>
      <c r="I67" s="130">
        <v>158625922.09999999</v>
      </c>
      <c r="J67" s="130">
        <v>152425847</v>
      </c>
      <c r="K67" s="130">
        <v>156705070</v>
      </c>
      <c r="L67" s="130">
        <v>160666186.47575757</v>
      </c>
      <c r="M67" s="130">
        <v>168191363</v>
      </c>
      <c r="N67" s="130">
        <v>141040981</v>
      </c>
      <c r="O67" s="130">
        <v>157872509.22758621</v>
      </c>
      <c r="P67" s="190">
        <v>168085986.0060606</v>
      </c>
      <c r="Q67" s="190">
        <v>157180466.68446472</v>
      </c>
      <c r="R67" s="208">
        <v>1850626607.4675601</v>
      </c>
      <c r="S67" s="50">
        <v>105.32889664459266</v>
      </c>
      <c r="T67" s="19"/>
      <c r="U67" s="329"/>
      <c r="V67" s="190">
        <f>V10+V29+V48</f>
        <v>155611851.94646767</v>
      </c>
      <c r="W67" s="330"/>
      <c r="X67" s="309"/>
      <c r="Y67" s="309"/>
      <c r="Z67" s="309"/>
      <c r="AA67" s="309"/>
      <c r="AB67" s="309"/>
    </row>
    <row r="68" spans="1:28" ht="38.1" customHeight="1" x14ac:dyDescent="0.7">
      <c r="A68" s="41" t="s">
        <v>66</v>
      </c>
      <c r="B68" s="42" t="s">
        <v>101</v>
      </c>
      <c r="C68" s="30" t="s">
        <v>19</v>
      </c>
      <c r="D68" s="262">
        <v>6.8733377229469204</v>
      </c>
      <c r="E68" s="273">
        <v>6.3168732727653847</v>
      </c>
      <c r="F68" s="72">
        <v>10.482090040862404</v>
      </c>
      <c r="G68" s="72">
        <v>9.0671648655596684</v>
      </c>
      <c r="H68" s="72">
        <v>6.556603247858579</v>
      </c>
      <c r="I68" s="72">
        <v>9.4664765119837035</v>
      </c>
      <c r="J68" s="72">
        <v>7.626047180648067</v>
      </c>
      <c r="K68" s="220">
        <v>5.7295135617462201</v>
      </c>
      <c r="L68" s="144">
        <v>5.1815140008769749</v>
      </c>
      <c r="M68" s="220">
        <v>20.828442518753281</v>
      </c>
      <c r="N68" s="209">
        <v>-9.9369066943779654</v>
      </c>
      <c r="O68" s="220">
        <v>7.0287999696468244</v>
      </c>
      <c r="P68" s="240">
        <v>7.6547907536712536</v>
      </c>
      <c r="Q68" s="346">
        <v>6.3915910665088171</v>
      </c>
      <c r="R68" s="278">
        <v>7.4146451017559958</v>
      </c>
      <c r="S68" s="50">
        <v>85.19454655043937</v>
      </c>
      <c r="T68" s="19"/>
      <c r="U68" s="331"/>
      <c r="V68" s="309"/>
      <c r="W68" s="308"/>
      <c r="X68" s="309"/>
      <c r="Y68" s="309"/>
      <c r="Z68" s="309"/>
      <c r="AA68" s="309"/>
      <c r="AB68" s="309"/>
    </row>
    <row r="69" spans="1:28" ht="38.1" customHeight="1" x14ac:dyDescent="0.7">
      <c r="A69" s="41" t="s">
        <v>67</v>
      </c>
      <c r="B69" s="42" t="s">
        <v>102</v>
      </c>
      <c r="C69" s="30" t="s">
        <v>19</v>
      </c>
      <c r="D69" s="155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9"/>
      <c r="S69" s="50"/>
      <c r="T69" s="19"/>
      <c r="U69" s="332"/>
      <c r="V69" s="327"/>
      <c r="W69" s="308"/>
      <c r="X69" s="309"/>
      <c r="Y69" s="309"/>
      <c r="Z69" s="309"/>
      <c r="AA69" s="309"/>
      <c r="AB69" s="309"/>
    </row>
    <row r="70" spans="1:28" ht="38.1" customHeight="1" x14ac:dyDescent="0.7">
      <c r="A70" s="196" t="s">
        <v>68</v>
      </c>
      <c r="B70" s="197" t="s">
        <v>20</v>
      </c>
      <c r="C70" s="198" t="s">
        <v>21</v>
      </c>
      <c r="D70" s="155">
        <v>333773</v>
      </c>
      <c r="E70" s="276">
        <v>359873</v>
      </c>
      <c r="F70" s="85">
        <v>335879</v>
      </c>
      <c r="G70" s="85">
        <v>336113</v>
      </c>
      <c r="H70" s="85">
        <v>336672</v>
      </c>
      <c r="I70" s="85">
        <v>337411</v>
      </c>
      <c r="J70" s="85">
        <v>338145</v>
      </c>
      <c r="K70" s="85">
        <v>339347</v>
      </c>
      <c r="L70" s="85">
        <v>340575</v>
      </c>
      <c r="M70" s="85">
        <v>341626</v>
      </c>
      <c r="N70" s="85">
        <v>343640</v>
      </c>
      <c r="O70" s="85">
        <v>347302</v>
      </c>
      <c r="P70" s="238">
        <v>350434</v>
      </c>
      <c r="Q70" s="231">
        <v>351685</v>
      </c>
      <c r="R70" s="208">
        <v>351685</v>
      </c>
      <c r="S70" s="200"/>
      <c r="T70" s="19"/>
      <c r="U70" s="333"/>
      <c r="V70" s="308"/>
      <c r="W70" s="334"/>
      <c r="X70" s="309"/>
      <c r="Y70" s="309"/>
      <c r="Z70" s="309"/>
      <c r="AA70" s="309"/>
      <c r="AB70" s="309"/>
    </row>
    <row r="71" spans="1:28" ht="38.1" customHeight="1" x14ac:dyDescent="0.7">
      <c r="A71" s="41" t="s">
        <v>69</v>
      </c>
      <c r="B71" s="42" t="s">
        <v>22</v>
      </c>
      <c r="C71" s="30" t="s">
        <v>21</v>
      </c>
      <c r="D71" s="155">
        <v>13279</v>
      </c>
      <c r="E71" s="118">
        <v>26100</v>
      </c>
      <c r="F71" s="47">
        <v>2106</v>
      </c>
      <c r="G71" s="47">
        <v>234</v>
      </c>
      <c r="H71" s="47">
        <v>559</v>
      </c>
      <c r="I71" s="47">
        <v>739</v>
      </c>
      <c r="J71" s="47">
        <v>734</v>
      </c>
      <c r="K71" s="47">
        <v>1202</v>
      </c>
      <c r="L71" s="47">
        <v>1228</v>
      </c>
      <c r="M71" s="47">
        <v>1051</v>
      </c>
      <c r="N71" s="47">
        <v>2014</v>
      </c>
      <c r="O71" s="85">
        <v>3662</v>
      </c>
      <c r="P71" s="85">
        <v>3132</v>
      </c>
      <c r="Q71" s="85">
        <v>1251</v>
      </c>
      <c r="R71" s="49">
        <v>17912</v>
      </c>
      <c r="S71" s="50">
        <v>68.628352490421449</v>
      </c>
      <c r="T71" s="19"/>
      <c r="U71" s="333"/>
      <c r="V71" s="308"/>
      <c r="W71" s="308"/>
      <c r="X71" s="309"/>
      <c r="Y71" s="309"/>
      <c r="Z71" s="309"/>
      <c r="AA71" s="309"/>
      <c r="AB71" s="309"/>
    </row>
    <row r="72" spans="1:28" ht="38.1" customHeight="1" x14ac:dyDescent="0.7">
      <c r="A72" s="41" t="s">
        <v>70</v>
      </c>
      <c r="B72" s="42" t="s">
        <v>23</v>
      </c>
      <c r="C72" s="30" t="s">
        <v>24</v>
      </c>
      <c r="D72" s="155">
        <v>748143.66</v>
      </c>
      <c r="E72" s="124"/>
      <c r="F72" s="72">
        <v>761347.86</v>
      </c>
      <c r="G72" s="72">
        <v>764067.91</v>
      </c>
      <c r="H72" s="264">
        <v>743891.35999999987</v>
      </c>
      <c r="I72" s="72">
        <v>746624.11</v>
      </c>
      <c r="J72" s="72">
        <v>750762.3600000001</v>
      </c>
      <c r="K72" s="72">
        <v>753929.31</v>
      </c>
      <c r="L72" s="72">
        <v>781810.21</v>
      </c>
      <c r="M72" s="72">
        <v>788333.30999999994</v>
      </c>
      <c r="N72" s="72">
        <v>795363.26</v>
      </c>
      <c r="O72" s="169">
        <v>810573.41</v>
      </c>
      <c r="P72" s="169">
        <v>816548.26</v>
      </c>
      <c r="Q72" s="169">
        <v>825676.86</v>
      </c>
      <c r="R72" s="54">
        <v>825676.86</v>
      </c>
      <c r="S72" s="50"/>
      <c r="T72" s="19"/>
      <c r="U72" s="333"/>
      <c r="V72" s="315"/>
      <c r="W72" s="316"/>
      <c r="X72" s="309"/>
      <c r="Y72" s="309"/>
      <c r="Z72" s="309"/>
      <c r="AA72" s="309"/>
      <c r="AB72" s="309"/>
    </row>
    <row r="73" spans="1:28" ht="38.1" customHeight="1" x14ac:dyDescent="0.7">
      <c r="A73" s="41" t="s">
        <v>71</v>
      </c>
      <c r="B73" s="42" t="s">
        <v>25</v>
      </c>
      <c r="C73" s="30" t="s">
        <v>24</v>
      </c>
      <c r="D73" s="155">
        <v>33431.606000000014</v>
      </c>
      <c r="E73" s="118">
        <v>39708</v>
      </c>
      <c r="F73" s="52">
        <v>13204.200000000026</v>
      </c>
      <c r="G73" s="52">
        <v>2720.0500000000029</v>
      </c>
      <c r="H73" s="277">
        <v>-20176.550000000061</v>
      </c>
      <c r="I73" s="52">
        <v>2732.7500000000582</v>
      </c>
      <c r="J73" s="52">
        <v>4138.2499999999709</v>
      </c>
      <c r="K73" s="52">
        <v>3166.9500000000116</v>
      </c>
      <c r="L73" s="52">
        <v>27880.899999999994</v>
      </c>
      <c r="M73" s="52">
        <v>6523.0999999999622</v>
      </c>
      <c r="N73" s="52">
        <v>7029.9500000000407</v>
      </c>
      <c r="O73" s="52">
        <v>15210.149999999994</v>
      </c>
      <c r="P73" s="167">
        <v>5974.8499999999622</v>
      </c>
      <c r="Q73" s="167">
        <v>9128.6000000000495</v>
      </c>
      <c r="R73" s="193">
        <v>77533.200000000012</v>
      </c>
      <c r="S73" s="50">
        <v>195.25838621940167</v>
      </c>
      <c r="T73" s="19"/>
      <c r="U73" s="335"/>
      <c r="V73" s="336"/>
      <c r="W73" s="308"/>
      <c r="X73" s="309"/>
      <c r="Y73" s="309"/>
      <c r="Z73" s="309"/>
      <c r="AA73" s="309"/>
      <c r="AB73" s="309"/>
    </row>
    <row r="74" spans="1:28" ht="38.1" customHeight="1" x14ac:dyDescent="0.7">
      <c r="A74" s="41" t="s">
        <v>72</v>
      </c>
      <c r="B74" s="42" t="s">
        <v>32</v>
      </c>
      <c r="C74" s="29" t="s">
        <v>33</v>
      </c>
      <c r="D74" s="262">
        <v>2.3573256552990243</v>
      </c>
      <c r="E74" s="191">
        <v>2.0106666666666668</v>
      </c>
      <c r="F74" s="166">
        <v>0.20387830000000001</v>
      </c>
      <c r="G74" s="166">
        <v>0.189221</v>
      </c>
      <c r="H74" s="166">
        <v>0.16475999999999999</v>
      </c>
      <c r="I74" s="166">
        <v>0.15365200000000001</v>
      </c>
      <c r="J74" s="166">
        <v>0.144067</v>
      </c>
      <c r="K74" s="166">
        <v>0.108464</v>
      </c>
      <c r="L74" s="166">
        <v>0.15404200000000001</v>
      </c>
      <c r="M74" s="166">
        <v>0.15359</v>
      </c>
      <c r="N74" s="166">
        <v>9.8300999999999999E-2</v>
      </c>
      <c r="O74" s="166">
        <v>0.201294</v>
      </c>
      <c r="P74" s="166">
        <v>0.22826067105360781</v>
      </c>
      <c r="Q74" s="62">
        <v>0.20981900000000001</v>
      </c>
      <c r="R74" s="279">
        <v>2.0093489710536079</v>
      </c>
      <c r="S74" s="50">
        <v>99.934464740729823</v>
      </c>
      <c r="T74" s="19"/>
      <c r="U74" s="337"/>
      <c r="V74" s="338"/>
      <c r="W74" s="308"/>
      <c r="X74" s="309"/>
      <c r="Y74" s="309"/>
      <c r="Z74" s="309"/>
      <c r="AA74" s="309"/>
      <c r="AB74" s="309"/>
    </row>
    <row r="75" spans="1:28" ht="38.1" customHeight="1" x14ac:dyDescent="0.7">
      <c r="A75" s="41" t="s">
        <v>73</v>
      </c>
      <c r="B75" s="42" t="s">
        <v>34</v>
      </c>
      <c r="C75" s="29" t="s">
        <v>35</v>
      </c>
      <c r="D75" s="262">
        <v>3.3226746600659958</v>
      </c>
      <c r="E75" s="122">
        <v>2.99</v>
      </c>
      <c r="F75" s="166">
        <v>0.31058200000000002</v>
      </c>
      <c r="G75" s="166">
        <v>0.26898699999999998</v>
      </c>
      <c r="H75" s="166">
        <v>0.29314299999999999</v>
      </c>
      <c r="I75" s="166">
        <v>0.247614</v>
      </c>
      <c r="J75" s="166">
        <v>0.221021</v>
      </c>
      <c r="K75" s="166">
        <v>0.13784399999999999</v>
      </c>
      <c r="L75" s="166">
        <v>0.20469799999999999</v>
      </c>
      <c r="M75" s="166">
        <v>0.20871400000000001</v>
      </c>
      <c r="N75" s="166">
        <v>0.13540099999999999</v>
      </c>
      <c r="O75" s="166">
        <v>0.23860500000000001</v>
      </c>
      <c r="P75" s="166">
        <v>0.27855744590992881</v>
      </c>
      <c r="Q75" s="62">
        <v>0.39892499999999997</v>
      </c>
      <c r="R75" s="76">
        <v>2.9440914459099288</v>
      </c>
      <c r="S75" s="50">
        <v>98.464596853174868</v>
      </c>
      <c r="T75" s="19"/>
      <c r="U75" s="339"/>
      <c r="V75" s="340"/>
      <c r="W75" s="327"/>
      <c r="X75" s="309"/>
      <c r="Y75" s="309"/>
      <c r="Z75" s="309"/>
      <c r="AA75" s="309"/>
      <c r="AB75" s="309"/>
    </row>
    <row r="76" spans="1:28" ht="38.1" customHeight="1" x14ac:dyDescent="0.7">
      <c r="A76" s="41" t="s">
        <v>74</v>
      </c>
      <c r="B76" s="242" t="s">
        <v>36</v>
      </c>
      <c r="C76" s="30" t="s">
        <v>37</v>
      </c>
      <c r="D76" s="155">
        <v>335</v>
      </c>
      <c r="E76" s="120">
        <v>250</v>
      </c>
      <c r="F76" s="47">
        <v>24</v>
      </c>
      <c r="G76" s="47">
        <v>45</v>
      </c>
      <c r="H76" s="47">
        <v>38</v>
      </c>
      <c r="I76" s="47">
        <v>26</v>
      </c>
      <c r="J76" s="47">
        <v>20</v>
      </c>
      <c r="K76" s="47">
        <v>11</v>
      </c>
      <c r="L76" s="47">
        <v>10</v>
      </c>
      <c r="M76" s="47">
        <v>11</v>
      </c>
      <c r="N76" s="47">
        <v>2</v>
      </c>
      <c r="O76" s="85">
        <v>18</v>
      </c>
      <c r="P76" s="85">
        <v>9</v>
      </c>
      <c r="Q76" s="231">
        <v>13</v>
      </c>
      <c r="R76" s="49">
        <v>227</v>
      </c>
      <c r="S76" s="86">
        <v>90.8</v>
      </c>
      <c r="T76" s="19"/>
      <c r="U76" s="241"/>
      <c r="V76" s="308"/>
      <c r="W76" s="341"/>
      <c r="X76" s="309"/>
      <c r="Y76" s="309"/>
      <c r="Z76" s="309"/>
      <c r="AA76" s="309"/>
      <c r="AB76" s="309"/>
    </row>
    <row r="77" spans="1:28" ht="38.1" customHeight="1" x14ac:dyDescent="0.7">
      <c r="A77" s="41" t="s">
        <v>75</v>
      </c>
      <c r="B77" s="42" t="s">
        <v>76</v>
      </c>
      <c r="C77" s="30" t="s">
        <v>37</v>
      </c>
      <c r="D77" s="155"/>
      <c r="E77" s="77">
        <v>0</v>
      </c>
      <c r="F77" s="47"/>
      <c r="G77" s="47"/>
      <c r="H77" s="47"/>
      <c r="I77" s="47"/>
      <c r="J77" s="47"/>
      <c r="K77" s="47"/>
      <c r="L77" s="47"/>
      <c r="M77" s="47"/>
      <c r="N77" s="47"/>
      <c r="O77" s="85"/>
      <c r="P77" s="85"/>
      <c r="Q77" s="239"/>
      <c r="R77" s="49"/>
      <c r="S77" s="55"/>
      <c r="T77" s="19"/>
      <c r="U77" s="241"/>
      <c r="V77" s="308"/>
      <c r="W77" s="308"/>
      <c r="X77" s="309"/>
      <c r="Y77" s="309"/>
      <c r="Z77" s="309"/>
      <c r="AA77" s="309"/>
      <c r="AB77" s="309"/>
    </row>
    <row r="78" spans="1:28" ht="38.1" customHeight="1" x14ac:dyDescent="0.7">
      <c r="A78" s="41" t="s">
        <v>77</v>
      </c>
      <c r="B78" s="42" t="s">
        <v>26</v>
      </c>
      <c r="C78" s="30" t="s">
        <v>27</v>
      </c>
      <c r="D78" s="155">
        <v>1104380738.4450002</v>
      </c>
      <c r="E78" s="260">
        <v>1274038459</v>
      </c>
      <c r="F78" s="144">
        <v>99330519.019419998</v>
      </c>
      <c r="G78" s="144">
        <v>99918625.42899999</v>
      </c>
      <c r="H78" s="144">
        <v>95658775.151999995</v>
      </c>
      <c r="I78" s="144">
        <v>107954694.89399999</v>
      </c>
      <c r="J78" s="144">
        <v>106121347.37100001</v>
      </c>
      <c r="K78" s="144">
        <v>106270955.035</v>
      </c>
      <c r="L78" s="144">
        <v>108570966.23100001</v>
      </c>
      <c r="M78" s="144">
        <v>117753111.55499999</v>
      </c>
      <c r="N78" s="220">
        <v>101285224.088</v>
      </c>
      <c r="O78" s="220">
        <v>112098497.485</v>
      </c>
      <c r="P78" s="220">
        <v>116714273.979</v>
      </c>
      <c r="Q78" s="240">
        <v>110413141.06610867</v>
      </c>
      <c r="R78" s="27">
        <v>1282090131.3045285</v>
      </c>
      <c r="S78" s="50">
        <v>100.63198031799199</v>
      </c>
      <c r="T78" s="19"/>
      <c r="U78" s="241"/>
      <c r="V78" s="325"/>
      <c r="W78" s="308"/>
      <c r="X78" s="309"/>
      <c r="Y78" s="309"/>
      <c r="Z78" s="309"/>
      <c r="AA78" s="309"/>
      <c r="AB78" s="309"/>
    </row>
    <row r="79" spans="1:28" ht="38.1" customHeight="1" x14ac:dyDescent="0.7">
      <c r="A79" s="41" t="s">
        <v>78</v>
      </c>
      <c r="B79" s="42" t="s">
        <v>28</v>
      </c>
      <c r="C79" s="30" t="s">
        <v>29</v>
      </c>
      <c r="D79" s="155">
        <v>674.3620381233219</v>
      </c>
      <c r="E79" s="273">
        <v>725.12231601857263</v>
      </c>
      <c r="F79" s="52">
        <v>678.00618511388257</v>
      </c>
      <c r="G79" s="52">
        <v>687.67075086220689</v>
      </c>
      <c r="H79" s="52">
        <v>693.03727075983272</v>
      </c>
      <c r="I79" s="52">
        <v>680.56149628522792</v>
      </c>
      <c r="J79" s="52">
        <v>696.21622224608666</v>
      </c>
      <c r="K79" s="52">
        <v>678.15900937346828</v>
      </c>
      <c r="L79" s="52">
        <v>675.75492150852756</v>
      </c>
      <c r="M79" s="52">
        <v>700.11390272757342</v>
      </c>
      <c r="N79" s="52">
        <v>718.12620253967179</v>
      </c>
      <c r="O79" s="167">
        <v>710.05710895112702</v>
      </c>
      <c r="P79" s="167">
        <v>694.37242659118351</v>
      </c>
      <c r="Q79" s="232">
        <v>702.46095710963812</v>
      </c>
      <c r="R79" s="295">
        <v>692.78704095742467</v>
      </c>
      <c r="S79" s="296">
        <v>95.540714394408482</v>
      </c>
      <c r="T79" s="19"/>
      <c r="U79" s="342"/>
      <c r="V79" s="308"/>
      <c r="W79" s="308"/>
      <c r="X79" s="309"/>
      <c r="Y79" s="309"/>
      <c r="Z79" s="309"/>
      <c r="AA79" s="309"/>
      <c r="AB79" s="309"/>
    </row>
    <row r="80" spans="1:28" ht="38.1" hidden="1" customHeight="1" x14ac:dyDescent="0.7">
      <c r="A80" s="255" t="s">
        <v>79</v>
      </c>
      <c r="B80" s="247" t="s">
        <v>104</v>
      </c>
      <c r="C80" s="248" t="s">
        <v>103</v>
      </c>
      <c r="D80" s="249"/>
      <c r="E80" s="256"/>
      <c r="F80" s="249"/>
      <c r="G80" s="249"/>
      <c r="H80" s="249"/>
      <c r="I80" s="249"/>
      <c r="J80" s="249"/>
      <c r="K80" s="249"/>
      <c r="L80" s="249"/>
      <c r="M80" s="249"/>
      <c r="N80" s="249"/>
      <c r="O80" s="251"/>
      <c r="P80" s="251"/>
      <c r="Q80" s="252"/>
      <c r="R80" s="253"/>
      <c r="S80" s="254"/>
      <c r="T80" s="19"/>
      <c r="U80" s="311"/>
      <c r="V80" s="308"/>
      <c r="W80" s="308"/>
      <c r="X80" s="309"/>
      <c r="Y80" s="309"/>
      <c r="Z80" s="309"/>
      <c r="AA80" s="309"/>
      <c r="AB80" s="309"/>
    </row>
    <row r="81" spans="1:28" ht="38.1" customHeight="1" x14ac:dyDescent="0.7">
      <c r="A81" s="41" t="s">
        <v>80</v>
      </c>
      <c r="B81" s="42" t="s">
        <v>30</v>
      </c>
      <c r="C81" s="30" t="s">
        <v>31</v>
      </c>
      <c r="D81" s="155">
        <v>186.31935303090933</v>
      </c>
      <c r="E81" s="51"/>
      <c r="F81" s="52">
        <v>192.42695947158768</v>
      </c>
      <c r="G81" s="52">
        <v>190.16646700945731</v>
      </c>
      <c r="H81" s="52">
        <v>185.5490392759649</v>
      </c>
      <c r="I81" s="52">
        <v>212.45754051526677</v>
      </c>
      <c r="J81" s="52">
        <v>203.02808867509017</v>
      </c>
      <c r="K81" s="52">
        <v>207.85114455889769</v>
      </c>
      <c r="L81" s="52">
        <v>205.50535720908221</v>
      </c>
      <c r="M81" s="52">
        <v>213.35057248817765</v>
      </c>
      <c r="N81" s="52">
        <v>177.32901190331572</v>
      </c>
      <c r="O81" s="52">
        <v>194.76645456157536</v>
      </c>
      <c r="P81" s="52">
        <v>205.8494203466438</v>
      </c>
      <c r="Q81" s="52">
        <v>190.36559494287476</v>
      </c>
      <c r="R81" s="56">
        <v>198.22047091316117</v>
      </c>
      <c r="S81" s="55"/>
      <c r="T81" s="19"/>
      <c r="U81" s="311"/>
      <c r="V81" s="308"/>
      <c r="W81" s="308"/>
      <c r="X81" s="309"/>
      <c r="Y81" s="309"/>
      <c r="Z81" s="309"/>
      <c r="AA81" s="309"/>
      <c r="AB81" s="309"/>
    </row>
    <row r="82" spans="1:28" ht="38.1" customHeight="1" x14ac:dyDescent="0.7">
      <c r="A82" s="41" t="s">
        <v>83</v>
      </c>
      <c r="B82" s="42" t="s">
        <v>81</v>
      </c>
      <c r="C82" s="30" t="s">
        <v>82</v>
      </c>
      <c r="D82" s="52">
        <v>1094.7950000000001</v>
      </c>
      <c r="E82" s="51">
        <v>1159.7950000000001</v>
      </c>
      <c r="F82" s="52">
        <v>1099.8970000000002</v>
      </c>
      <c r="G82" s="52">
        <v>1105.3980000000001</v>
      </c>
      <c r="H82" s="52">
        <v>1108.1718000000001</v>
      </c>
      <c r="I82" s="52">
        <v>1108.1718000000001</v>
      </c>
      <c r="J82" s="52">
        <v>1112.8429999999998</v>
      </c>
      <c r="K82" s="52">
        <v>1113.3029999999999</v>
      </c>
      <c r="L82" s="52">
        <v>1114.5989999999999</v>
      </c>
      <c r="M82" s="52">
        <v>1180.1120000000001</v>
      </c>
      <c r="N82" s="52">
        <v>1181.288</v>
      </c>
      <c r="O82" s="52">
        <v>0</v>
      </c>
      <c r="P82" s="52"/>
      <c r="Q82" s="53"/>
      <c r="R82" s="56"/>
      <c r="S82" s="55"/>
      <c r="T82" s="19"/>
      <c r="U82" s="311"/>
      <c r="V82" s="343"/>
      <c r="W82" s="308"/>
      <c r="X82" s="309"/>
      <c r="Y82" s="309"/>
      <c r="Z82" s="309"/>
      <c r="AA82" s="309"/>
      <c r="AB82" s="309"/>
    </row>
    <row r="83" spans="1:28" ht="38.1" customHeight="1" x14ac:dyDescent="0.7">
      <c r="A83" s="41"/>
      <c r="B83" s="242" t="s">
        <v>113</v>
      </c>
      <c r="C83" s="211" t="s">
        <v>37</v>
      </c>
      <c r="D83" s="155">
        <v>36</v>
      </c>
      <c r="E83" s="260">
        <v>28</v>
      </c>
      <c r="F83" s="47">
        <v>6</v>
      </c>
      <c r="G83" s="47">
        <v>4</v>
      </c>
      <c r="H83" s="47">
        <v>5</v>
      </c>
      <c r="I83" s="47">
        <v>1</v>
      </c>
      <c r="J83" s="47">
        <v>4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233">
        <v>0</v>
      </c>
      <c r="R83" s="49">
        <v>20</v>
      </c>
      <c r="S83" s="86">
        <v>71.428571428571431</v>
      </c>
      <c r="T83" s="19"/>
      <c r="U83" s="311"/>
      <c r="V83" s="343"/>
      <c r="W83" s="308"/>
      <c r="X83" s="309"/>
      <c r="Y83" s="309"/>
      <c r="Z83" s="309"/>
      <c r="AA83" s="309"/>
      <c r="AB83" s="309"/>
    </row>
    <row r="84" spans="1:28" ht="38.1" customHeight="1" x14ac:dyDescent="0.7">
      <c r="A84" s="81">
        <v>4.18</v>
      </c>
      <c r="B84" s="42" t="s">
        <v>109</v>
      </c>
      <c r="C84" s="30" t="s">
        <v>108</v>
      </c>
      <c r="D84" s="52">
        <v>37.034643251261457</v>
      </c>
      <c r="E84" s="51">
        <v>22.835325334880043</v>
      </c>
      <c r="F84" s="78">
        <v>2.1820224984703112</v>
      </c>
      <c r="G84" s="78">
        <v>4.0709319177346073</v>
      </c>
      <c r="H84" s="78">
        <v>3.4290711963614302</v>
      </c>
      <c r="I84" s="78">
        <v>2.3462066080367681</v>
      </c>
      <c r="J84" s="78">
        <v>1.7971987063763715</v>
      </c>
      <c r="K84" s="78">
        <v>0.98805087204471753</v>
      </c>
      <c r="L84" s="78">
        <v>0.89718365080176821</v>
      </c>
      <c r="M84" s="78">
        <v>0.93211491790609702</v>
      </c>
      <c r="N84" s="78">
        <v>0.1693067228313502</v>
      </c>
      <c r="O84" s="78" t="e">
        <v>#DIV/0!</v>
      </c>
      <c r="P84" s="78"/>
      <c r="Q84" s="79"/>
      <c r="R84" s="54" t="e">
        <v>#VALUE!</v>
      </c>
      <c r="S84" s="50" t="e">
        <v>#VALUE!</v>
      </c>
      <c r="T84" s="19"/>
      <c r="U84" s="311"/>
      <c r="V84" s="344"/>
      <c r="W84" s="308"/>
      <c r="X84" s="309"/>
      <c r="Y84" s="309"/>
      <c r="Z84" s="309"/>
      <c r="AA84" s="309"/>
      <c r="AB84" s="309"/>
    </row>
    <row r="85" spans="1:28" ht="38.1" customHeight="1" thickBot="1" x14ac:dyDescent="0.75">
      <c r="A85" s="83">
        <v>4.1900000000000004</v>
      </c>
      <c r="B85" s="45" t="s">
        <v>84</v>
      </c>
      <c r="C85" s="32" t="s">
        <v>19</v>
      </c>
      <c r="D85" s="117">
        <v>0.79549228765399183</v>
      </c>
      <c r="E85" s="80">
        <v>7.2866187368413406</v>
      </c>
      <c r="F85" s="299">
        <v>11.364581455126206</v>
      </c>
      <c r="G85" s="299">
        <v>10.166253804270912</v>
      </c>
      <c r="H85" s="299">
        <v>11.487350612446507</v>
      </c>
      <c r="I85" s="299">
        <v>14.322573938824334</v>
      </c>
      <c r="J85" s="300">
        <v>14.041031041612131</v>
      </c>
      <c r="K85" s="299">
        <v>13.122970285294183</v>
      </c>
      <c r="L85" s="299">
        <v>13.210857420392784</v>
      </c>
      <c r="M85" s="300">
        <v>14.053812678716485</v>
      </c>
      <c r="N85" s="301">
        <v>12.474208293902691</v>
      </c>
      <c r="O85" s="301">
        <v>13.859275723738552</v>
      </c>
      <c r="P85" s="301">
        <v>13.689472737341637</v>
      </c>
      <c r="Q85" s="302">
        <v>13.003811762805794</v>
      </c>
      <c r="R85" s="303">
        <v>13.003811762805794</v>
      </c>
      <c r="S85" s="304">
        <v>178.46153658428938</v>
      </c>
      <c r="T85" s="19"/>
      <c r="U85" s="305">
        <f>15*R67</f>
        <v>27759399112.013401</v>
      </c>
      <c r="V85" s="114">
        <f>+U85/100</f>
        <v>277593991.120134</v>
      </c>
      <c r="W85" s="189"/>
    </row>
    <row r="86" spans="1:28" ht="37.5" customHeight="1" thickTop="1" x14ac:dyDescent="0.7">
      <c r="A86" s="284"/>
      <c r="B86" s="201"/>
      <c r="C86" s="203"/>
      <c r="D86" s="67"/>
      <c r="E86" s="285"/>
      <c r="F86" s="286"/>
      <c r="G86" s="287"/>
      <c r="H86" s="286"/>
      <c r="I86" s="286"/>
      <c r="J86" s="288"/>
      <c r="K86" s="289"/>
      <c r="L86" s="289"/>
      <c r="M86" s="290"/>
      <c r="N86" s="287"/>
      <c r="O86" s="285"/>
      <c r="P86" s="285"/>
      <c r="Q86" s="291"/>
      <c r="R86" s="285"/>
      <c r="S86" s="285"/>
      <c r="T86" s="19"/>
      <c r="U86" s="306">
        <f>+V85+R67</f>
        <v>2128220598.5876942</v>
      </c>
      <c r="V86" s="189"/>
      <c r="W86" s="189"/>
    </row>
    <row r="87" spans="1:28" ht="38.1" customHeight="1" x14ac:dyDescent="0.7">
      <c r="A87" s="284"/>
      <c r="B87" s="201"/>
      <c r="C87" s="203"/>
      <c r="D87" s="67"/>
      <c r="E87" s="285"/>
      <c r="F87" s="286"/>
      <c r="G87" s="287"/>
      <c r="H87" s="286"/>
      <c r="I87" s="286"/>
      <c r="J87" s="288"/>
      <c r="K87" s="289"/>
      <c r="L87" s="289"/>
      <c r="M87" s="290"/>
      <c r="N87" s="287"/>
      <c r="O87" s="285"/>
      <c r="P87" s="285"/>
      <c r="Q87" s="291"/>
      <c r="R87" s="285"/>
      <c r="S87" s="285"/>
      <c r="T87" s="19"/>
      <c r="U87" s="283">
        <f>+(2052728000-R67)*100/R67</f>
        <v>10.920700681430283</v>
      </c>
      <c r="V87" s="189"/>
      <c r="W87" s="189"/>
    </row>
    <row r="88" spans="1:28" ht="38.1" customHeight="1" x14ac:dyDescent="0.7">
      <c r="A88" s="284"/>
      <c r="B88" s="201"/>
      <c r="C88" s="203"/>
      <c r="D88" s="67"/>
      <c r="E88" s="285"/>
      <c r="F88" s="286"/>
      <c r="G88" s="287"/>
      <c r="H88" s="286"/>
      <c r="I88" s="286"/>
      <c r="J88" s="288"/>
      <c r="K88" s="289"/>
      <c r="L88" s="289"/>
      <c r="M88" s="290"/>
      <c r="N88" s="287"/>
      <c r="O88" s="285"/>
      <c r="P88" s="285"/>
      <c r="Q88" s="291"/>
      <c r="R88" s="285"/>
      <c r="S88" s="285"/>
      <c r="T88" s="19"/>
      <c r="U88" s="283"/>
      <c r="V88" s="189"/>
      <c r="W88" s="189"/>
    </row>
    <row r="89" spans="1:28" ht="38.1" customHeight="1" x14ac:dyDescent="0.7">
      <c r="A89" s="284"/>
      <c r="B89" s="201"/>
      <c r="C89" s="203"/>
      <c r="D89" s="67"/>
      <c r="E89" s="285"/>
      <c r="F89" s="286"/>
      <c r="G89" s="287"/>
      <c r="H89" s="286"/>
      <c r="I89" s="286"/>
      <c r="J89" s="288"/>
      <c r="K89" s="289"/>
      <c r="L89" s="289"/>
      <c r="M89" s="290"/>
      <c r="N89" s="287"/>
      <c r="O89" s="285"/>
      <c r="P89" s="285"/>
      <c r="Q89" s="291"/>
      <c r="R89" s="285"/>
      <c r="S89" s="285"/>
      <c r="T89" s="19"/>
      <c r="U89" s="283"/>
      <c r="V89" s="189"/>
      <c r="W89" s="189"/>
    </row>
    <row r="90" spans="1:28" ht="38.1" customHeight="1" x14ac:dyDescent="0.7">
      <c r="A90" s="284"/>
      <c r="B90" s="201"/>
      <c r="C90" s="203"/>
      <c r="D90" s="67"/>
      <c r="E90" s="285"/>
      <c r="F90" s="286"/>
      <c r="G90" s="287"/>
      <c r="H90" s="286"/>
      <c r="I90" s="286"/>
      <c r="J90" s="288"/>
      <c r="K90" s="289"/>
      <c r="L90" s="289"/>
      <c r="M90" s="290"/>
      <c r="N90" s="287"/>
      <c r="O90" s="285"/>
      <c r="P90" s="285"/>
      <c r="Q90" s="291"/>
      <c r="R90" s="285"/>
      <c r="S90" s="285"/>
      <c r="T90" s="19"/>
      <c r="U90" s="283"/>
      <c r="V90" s="189"/>
      <c r="W90" s="189"/>
    </row>
    <row r="91" spans="1:28" ht="38.1" customHeight="1" x14ac:dyDescent="0.7">
      <c r="A91" s="284"/>
      <c r="B91" s="201"/>
      <c r="C91" s="203"/>
      <c r="D91" s="67"/>
      <c r="E91" s="285"/>
      <c r="F91" s="286"/>
      <c r="G91" s="287"/>
      <c r="H91" s="286"/>
      <c r="I91" s="286"/>
      <c r="J91" s="288"/>
      <c r="K91" s="289"/>
      <c r="L91" s="289"/>
      <c r="M91" s="290"/>
      <c r="N91" s="287"/>
      <c r="O91" s="285"/>
      <c r="P91" s="285"/>
      <c r="Q91" s="291"/>
      <c r="R91" s="285"/>
      <c r="S91" s="285"/>
      <c r="T91" s="19"/>
      <c r="U91" s="283"/>
      <c r="V91" s="189"/>
      <c r="W91" s="189"/>
    </row>
    <row r="92" spans="1:28" ht="38.1" customHeight="1" x14ac:dyDescent="0.7">
      <c r="A92" s="284"/>
      <c r="B92" s="201"/>
      <c r="C92" s="203"/>
      <c r="D92" s="67"/>
      <c r="E92" s="285"/>
      <c r="F92" s="286"/>
      <c r="G92" s="287"/>
      <c r="H92" s="286"/>
      <c r="I92" s="286"/>
      <c r="J92" s="288"/>
      <c r="K92" s="289"/>
      <c r="L92" s="289"/>
      <c r="M92" s="290"/>
      <c r="N92" s="287"/>
      <c r="O92" s="285"/>
      <c r="P92" s="285"/>
      <c r="Q92" s="291"/>
      <c r="R92" s="285"/>
      <c r="S92" s="285"/>
      <c r="T92" s="19"/>
      <c r="U92" s="283"/>
      <c r="V92" s="189"/>
      <c r="W92" s="189"/>
    </row>
    <row r="93" spans="1:28" ht="38.1" customHeight="1" x14ac:dyDescent="0.7">
      <c r="A93" s="284"/>
      <c r="B93" s="201"/>
      <c r="C93" s="203"/>
      <c r="D93" s="67"/>
      <c r="E93" s="285"/>
      <c r="F93" s="286"/>
      <c r="G93" s="287"/>
      <c r="H93" s="286"/>
      <c r="I93" s="286"/>
      <c r="J93" s="288"/>
      <c r="K93" s="289"/>
      <c r="L93" s="289"/>
      <c r="M93" s="290"/>
      <c r="N93" s="287"/>
      <c r="O93" s="285"/>
      <c r="P93" s="285"/>
      <c r="Q93" s="291"/>
      <c r="R93" s="285"/>
      <c r="S93" s="285"/>
      <c r="T93" s="19"/>
      <c r="U93" s="283"/>
      <c r="V93" s="189"/>
      <c r="W93" s="189"/>
    </row>
    <row r="94" spans="1:28" ht="38.1" customHeight="1" x14ac:dyDescent="0.7">
      <c r="A94" s="284"/>
      <c r="B94" s="201"/>
      <c r="C94" s="203"/>
      <c r="D94" s="67"/>
      <c r="E94" s="285"/>
      <c r="F94" s="286"/>
      <c r="G94" s="287"/>
      <c r="H94" s="286"/>
      <c r="I94" s="286"/>
      <c r="J94" s="288"/>
      <c r="K94" s="289"/>
      <c r="L94" s="289"/>
      <c r="M94" s="290"/>
      <c r="N94" s="287"/>
      <c r="O94" s="285"/>
      <c r="P94" s="285"/>
      <c r="Q94" s="291"/>
      <c r="R94" s="285"/>
      <c r="S94" s="285"/>
      <c r="T94" s="19"/>
      <c r="U94" s="283"/>
      <c r="V94" s="189"/>
      <c r="W94" s="189"/>
    </row>
    <row r="95" spans="1:28" ht="38.1" customHeight="1" x14ac:dyDescent="0.7">
      <c r="A95" s="284"/>
      <c r="B95" s="201"/>
      <c r="C95" s="203"/>
      <c r="D95" s="67"/>
      <c r="E95" s="285"/>
      <c r="F95" s="286"/>
      <c r="G95" s="287"/>
      <c r="H95" s="286"/>
      <c r="I95" s="286"/>
      <c r="J95" s="288"/>
      <c r="K95" s="289"/>
      <c r="L95" s="289"/>
      <c r="M95" s="290"/>
      <c r="N95" s="287"/>
      <c r="O95" s="285"/>
      <c r="P95" s="285"/>
      <c r="Q95" s="291"/>
      <c r="R95" s="285"/>
      <c r="S95" s="285"/>
      <c r="T95" s="19"/>
      <c r="U95" s="283"/>
      <c r="V95" s="189"/>
      <c r="W95" s="189"/>
    </row>
    <row r="96" spans="1:28" ht="38.1" customHeight="1" x14ac:dyDescent="0.7">
      <c r="A96" s="284"/>
      <c r="B96" s="201"/>
      <c r="C96" s="203"/>
      <c r="D96" s="67"/>
      <c r="E96" s="285"/>
      <c r="F96" s="286"/>
      <c r="G96" s="287"/>
      <c r="H96" s="286"/>
      <c r="I96" s="286"/>
      <c r="J96" s="288"/>
      <c r="K96" s="289"/>
      <c r="L96" s="289"/>
      <c r="M96" s="290"/>
      <c r="N96" s="287"/>
      <c r="O96" s="285"/>
      <c r="P96" s="285"/>
      <c r="Q96" s="291"/>
      <c r="R96" s="285"/>
      <c r="S96" s="285"/>
      <c r="T96" s="19"/>
      <c r="U96" s="283"/>
      <c r="V96" s="189"/>
      <c r="W96" s="189"/>
    </row>
    <row r="97" spans="1:23" ht="38.1" customHeight="1" x14ac:dyDescent="0.7">
      <c r="A97" s="284"/>
      <c r="B97" s="201"/>
      <c r="C97" s="203"/>
      <c r="D97" s="67"/>
      <c r="E97" s="285"/>
      <c r="F97" s="286"/>
      <c r="G97" s="287"/>
      <c r="H97" s="286"/>
      <c r="I97" s="286"/>
      <c r="J97" s="288"/>
      <c r="K97" s="289"/>
      <c r="L97" s="289"/>
      <c r="M97" s="290"/>
      <c r="N97" s="287"/>
      <c r="O97" s="285"/>
      <c r="P97" s="285"/>
      <c r="Q97" s="291"/>
      <c r="R97" s="285"/>
      <c r="S97" s="285"/>
      <c r="T97" s="19"/>
      <c r="U97" s="283"/>
      <c r="V97" s="189"/>
      <c r="W97" s="189"/>
    </row>
    <row r="98" spans="1:23" ht="38.1" customHeight="1" x14ac:dyDescent="0.7">
      <c r="A98" s="284"/>
      <c r="B98" s="201"/>
      <c r="C98" s="203"/>
      <c r="D98" s="67"/>
      <c r="E98" s="285"/>
      <c r="F98" s="286"/>
      <c r="G98" s="287"/>
      <c r="H98" s="286"/>
      <c r="I98" s="286"/>
      <c r="J98" s="288"/>
      <c r="K98" s="289"/>
      <c r="L98" s="289"/>
      <c r="M98" s="290"/>
      <c r="N98" s="287"/>
      <c r="O98" s="285"/>
      <c r="P98" s="285"/>
      <c r="Q98" s="291"/>
      <c r="R98" s="285"/>
      <c r="S98" s="285"/>
      <c r="T98" s="19"/>
      <c r="U98" s="283"/>
      <c r="V98" s="189"/>
      <c r="W98" s="189"/>
    </row>
    <row r="99" spans="1:23" ht="38.1" customHeight="1" x14ac:dyDescent="0.7">
      <c r="A99" s="284"/>
      <c r="B99" s="201"/>
      <c r="C99" s="203"/>
      <c r="D99" s="67"/>
      <c r="E99" s="285"/>
      <c r="F99" s="286"/>
      <c r="G99" s="287"/>
      <c r="H99" s="286"/>
      <c r="I99" s="286"/>
      <c r="J99" s="288"/>
      <c r="K99" s="289"/>
      <c r="L99" s="289"/>
      <c r="M99" s="290"/>
      <c r="N99" s="287"/>
      <c r="O99" s="285"/>
      <c r="P99" s="285"/>
      <c r="Q99" s="291"/>
      <c r="R99" s="285"/>
      <c r="S99" s="285"/>
      <c r="T99" s="19"/>
      <c r="U99" s="283"/>
      <c r="V99" s="189"/>
      <c r="W99" s="189"/>
    </row>
    <row r="100" spans="1:23" ht="38.1" customHeight="1" x14ac:dyDescent="0.7">
      <c r="A100" s="284"/>
      <c r="B100" s="201"/>
      <c r="C100" s="203"/>
      <c r="D100" s="67"/>
      <c r="E100" s="285"/>
      <c r="F100" s="286"/>
      <c r="G100" s="287"/>
      <c r="H100" s="286"/>
      <c r="I100" s="286"/>
      <c r="J100" s="288"/>
      <c r="K100" s="289"/>
      <c r="L100" s="289"/>
      <c r="M100" s="290"/>
      <c r="N100" s="287"/>
      <c r="O100" s="285"/>
      <c r="P100" s="285"/>
      <c r="Q100" s="291"/>
      <c r="R100" s="285"/>
      <c r="S100" s="285"/>
      <c r="T100" s="19"/>
      <c r="U100" s="283"/>
      <c r="V100" s="189"/>
      <c r="W100" s="189"/>
    </row>
    <row r="101" spans="1:23" ht="38.1" customHeight="1" x14ac:dyDescent="0.7">
      <c r="A101" s="284"/>
      <c r="B101" s="201"/>
      <c r="C101" s="203"/>
      <c r="D101" s="67"/>
      <c r="E101" s="285"/>
      <c r="F101" s="286"/>
      <c r="G101" s="287"/>
      <c r="H101" s="286"/>
      <c r="I101" s="286"/>
      <c r="J101" s="288"/>
      <c r="K101" s="289"/>
      <c r="L101" s="289"/>
      <c r="M101" s="290"/>
      <c r="N101" s="287"/>
      <c r="O101" s="285"/>
      <c r="P101" s="285"/>
      <c r="Q101" s="291"/>
      <c r="R101" s="285"/>
      <c r="S101" s="285"/>
      <c r="T101" s="19"/>
      <c r="U101" s="283"/>
      <c r="V101" s="189"/>
      <c r="W101" s="189"/>
    </row>
    <row r="102" spans="1:23" ht="38.1" customHeight="1" x14ac:dyDescent="0.7">
      <c r="A102" s="284"/>
      <c r="B102" s="201"/>
      <c r="C102" s="203"/>
      <c r="D102" s="67"/>
      <c r="E102" s="285"/>
      <c r="F102" s="286"/>
      <c r="G102" s="287"/>
      <c r="H102" s="286"/>
      <c r="I102" s="286"/>
      <c r="J102" s="288"/>
      <c r="K102" s="289"/>
      <c r="L102" s="289"/>
      <c r="M102" s="290"/>
      <c r="N102" s="287"/>
      <c r="O102" s="285"/>
      <c r="P102" s="285"/>
      <c r="Q102" s="291"/>
      <c r="R102" s="285"/>
      <c r="S102" s="285"/>
      <c r="T102" s="19"/>
      <c r="U102" s="283"/>
      <c r="V102" s="189"/>
      <c r="W102" s="189"/>
    </row>
    <row r="103" spans="1:23" ht="38.1" customHeight="1" x14ac:dyDescent="0.7">
      <c r="A103" s="284"/>
      <c r="B103" s="201"/>
      <c r="C103" s="203"/>
      <c r="D103" s="67"/>
      <c r="E103" s="285"/>
      <c r="F103" s="286"/>
      <c r="G103" s="287"/>
      <c r="H103" s="286"/>
      <c r="I103" s="286"/>
      <c r="J103" s="288"/>
      <c r="K103" s="289"/>
      <c r="L103" s="289"/>
      <c r="M103" s="290"/>
      <c r="N103" s="287"/>
      <c r="O103" s="285"/>
      <c r="P103" s="285"/>
      <c r="Q103" s="291"/>
      <c r="R103" s="285"/>
      <c r="S103" s="285"/>
      <c r="T103" s="19"/>
      <c r="U103" s="283"/>
      <c r="V103" s="189"/>
      <c r="W103" s="189"/>
    </row>
    <row r="104" spans="1:23" ht="38.1" customHeight="1" x14ac:dyDescent="0.7">
      <c r="A104" s="284"/>
      <c r="B104" s="201"/>
      <c r="C104" s="203"/>
      <c r="D104" s="67"/>
      <c r="E104" s="285"/>
      <c r="F104" s="286"/>
      <c r="G104" s="287"/>
      <c r="H104" s="286"/>
      <c r="I104" s="286"/>
      <c r="J104" s="288"/>
      <c r="K104" s="289"/>
      <c r="L104" s="289"/>
      <c r="M104" s="290"/>
      <c r="N104" s="287"/>
      <c r="O104" s="285"/>
      <c r="P104" s="285"/>
      <c r="Q104" s="291"/>
      <c r="R104" s="285"/>
      <c r="S104" s="285"/>
      <c r="T104" s="19"/>
      <c r="U104" s="283"/>
      <c r="V104" s="189"/>
      <c r="W104" s="189"/>
    </row>
    <row r="105" spans="1:23" ht="38.1" customHeight="1" x14ac:dyDescent="0.7">
      <c r="A105" s="284"/>
      <c r="B105" s="201"/>
      <c r="C105" s="203"/>
      <c r="D105" s="67"/>
      <c r="E105" s="285"/>
      <c r="F105" s="286"/>
      <c r="G105" s="287"/>
      <c r="H105" s="286"/>
      <c r="I105" s="286"/>
      <c r="J105" s="288"/>
      <c r="K105" s="289"/>
      <c r="L105" s="289"/>
      <c r="M105" s="290"/>
      <c r="N105" s="287"/>
      <c r="O105" s="285"/>
      <c r="P105" s="285"/>
      <c r="Q105" s="291"/>
      <c r="R105" s="285"/>
      <c r="S105" s="285"/>
      <c r="T105" s="19"/>
      <c r="U105" s="283"/>
      <c r="V105" s="189"/>
      <c r="W105" s="189"/>
    </row>
    <row r="106" spans="1:23" ht="38.1" customHeight="1" x14ac:dyDescent="0.7">
      <c r="A106" s="284"/>
      <c r="B106" s="201"/>
      <c r="C106" s="203"/>
      <c r="D106" s="67"/>
      <c r="E106" s="285"/>
      <c r="F106" s="286"/>
      <c r="G106" s="287"/>
      <c r="H106" s="286"/>
      <c r="I106" s="286"/>
      <c r="J106" s="288"/>
      <c r="K106" s="289"/>
      <c r="L106" s="289"/>
      <c r="M106" s="290"/>
      <c r="N106" s="287"/>
      <c r="O106" s="285"/>
      <c r="P106" s="285"/>
      <c r="Q106" s="291"/>
      <c r="R106" s="285"/>
      <c r="S106" s="285"/>
      <c r="T106" s="19"/>
      <c r="U106" s="283"/>
      <c r="V106" s="189"/>
      <c r="W106" s="189"/>
    </row>
    <row r="107" spans="1:23" ht="38.1" customHeight="1" x14ac:dyDescent="0.7">
      <c r="A107" s="284"/>
      <c r="B107" s="201"/>
      <c r="C107" s="203"/>
      <c r="D107" s="67"/>
      <c r="E107" s="285"/>
      <c r="F107" s="286"/>
      <c r="G107" s="287"/>
      <c r="H107" s="286"/>
      <c r="I107" s="286"/>
      <c r="J107" s="288"/>
      <c r="K107" s="289"/>
      <c r="L107" s="289"/>
      <c r="M107" s="290"/>
      <c r="N107" s="287"/>
      <c r="O107" s="285"/>
      <c r="P107" s="285"/>
      <c r="Q107" s="291"/>
      <c r="R107" s="285"/>
      <c r="S107" s="285"/>
      <c r="T107" s="19"/>
      <c r="U107" s="283"/>
      <c r="V107" s="189"/>
      <c r="W107" s="189"/>
    </row>
    <row r="108" spans="1:23" ht="38.1" customHeight="1" x14ac:dyDescent="0.7">
      <c r="A108" s="284"/>
      <c r="B108" s="201"/>
      <c r="C108" s="203"/>
      <c r="D108" s="67"/>
      <c r="E108" s="285"/>
      <c r="F108" s="286"/>
      <c r="G108" s="287"/>
      <c r="H108" s="286"/>
      <c r="I108" s="286"/>
      <c r="J108" s="288"/>
      <c r="K108" s="289"/>
      <c r="L108" s="289"/>
      <c r="M108" s="290"/>
      <c r="N108" s="287"/>
      <c r="O108" s="285"/>
      <c r="P108" s="285"/>
      <c r="Q108" s="291"/>
      <c r="R108" s="285"/>
      <c r="S108" s="285"/>
      <c r="T108" s="19"/>
      <c r="U108" s="283"/>
      <c r="V108" s="189"/>
      <c r="W108" s="189"/>
    </row>
    <row r="109" spans="1:23" ht="38.1" customHeight="1" x14ac:dyDescent="0.7">
      <c r="A109" s="284"/>
      <c r="B109" s="201"/>
      <c r="C109" s="203"/>
      <c r="D109" s="67"/>
      <c r="E109" s="285"/>
      <c r="F109" s="286"/>
      <c r="G109" s="287"/>
      <c r="H109" s="286"/>
      <c r="I109" s="286"/>
      <c r="J109" s="288"/>
      <c r="K109" s="289"/>
      <c r="L109" s="289"/>
      <c r="M109" s="290"/>
      <c r="N109" s="287"/>
      <c r="O109" s="285"/>
      <c r="P109" s="285"/>
      <c r="Q109" s="291"/>
      <c r="R109" s="285"/>
      <c r="S109" s="285"/>
      <c r="T109" s="19"/>
      <c r="U109" s="283"/>
      <c r="V109" s="189"/>
      <c r="W109" s="189"/>
    </row>
    <row r="110" spans="1:23" ht="38.1" customHeight="1" x14ac:dyDescent="0.7">
      <c r="A110" s="284"/>
      <c r="B110" s="201"/>
      <c r="C110" s="203"/>
      <c r="D110" s="67"/>
      <c r="E110" s="285"/>
      <c r="F110" s="286"/>
      <c r="G110" s="287"/>
      <c r="H110" s="286"/>
      <c r="I110" s="286"/>
      <c r="J110" s="288"/>
      <c r="K110" s="289"/>
      <c r="L110" s="289"/>
      <c r="M110" s="290"/>
      <c r="N110" s="287"/>
      <c r="O110" s="285"/>
      <c r="P110" s="285"/>
      <c r="Q110" s="291"/>
      <c r="R110" s="285"/>
      <c r="S110" s="285"/>
      <c r="T110" s="19"/>
      <c r="U110" s="283"/>
      <c r="V110" s="189"/>
      <c r="W110" s="189"/>
    </row>
    <row r="111" spans="1:23" ht="38.1" customHeight="1" x14ac:dyDescent="0.7">
      <c r="A111" s="284"/>
      <c r="B111" s="201"/>
      <c r="C111" s="203"/>
      <c r="D111" s="67"/>
      <c r="E111" s="285"/>
      <c r="F111" s="286"/>
      <c r="G111" s="287"/>
      <c r="H111" s="286"/>
      <c r="I111" s="286"/>
      <c r="J111" s="288"/>
      <c r="K111" s="289"/>
      <c r="L111" s="289"/>
      <c r="M111" s="290"/>
      <c r="N111" s="287"/>
      <c r="O111" s="285"/>
      <c r="P111" s="285"/>
      <c r="Q111" s="291"/>
      <c r="R111" s="285"/>
      <c r="S111" s="285"/>
      <c r="T111" s="19"/>
      <c r="U111" s="283"/>
      <c r="V111" s="189"/>
      <c r="W111" s="189"/>
    </row>
    <row r="112" spans="1:23" ht="38.1" customHeight="1" x14ac:dyDescent="0.7">
      <c r="A112" s="284"/>
      <c r="B112" s="201"/>
      <c r="C112" s="203"/>
      <c r="D112" s="67"/>
      <c r="E112" s="285"/>
      <c r="F112" s="286"/>
      <c r="G112" s="287"/>
      <c r="H112" s="286"/>
      <c r="I112" s="286"/>
      <c r="J112" s="288"/>
      <c r="K112" s="289"/>
      <c r="L112" s="289"/>
      <c r="M112" s="290"/>
      <c r="N112" s="287"/>
      <c r="O112" s="285"/>
      <c r="P112" s="285"/>
      <c r="Q112" s="291"/>
      <c r="R112" s="285"/>
      <c r="S112" s="285"/>
      <c r="T112" s="19"/>
      <c r="U112" s="283"/>
      <c r="V112" s="189"/>
      <c r="W112" s="189"/>
    </row>
    <row r="113" spans="1:23" ht="38.1" customHeight="1" x14ac:dyDescent="0.7">
      <c r="A113" s="284"/>
      <c r="B113" s="201"/>
      <c r="C113" s="203"/>
      <c r="D113" s="67"/>
      <c r="E113" s="285"/>
      <c r="F113" s="286"/>
      <c r="G113" s="287"/>
      <c r="H113" s="286"/>
      <c r="I113" s="286"/>
      <c r="J113" s="288"/>
      <c r="K113" s="289"/>
      <c r="L113" s="289"/>
      <c r="M113" s="290"/>
      <c r="N113" s="287"/>
      <c r="O113" s="285"/>
      <c r="P113" s="285"/>
      <c r="Q113" s="291"/>
      <c r="R113" s="285"/>
      <c r="S113" s="285"/>
      <c r="T113" s="19"/>
      <c r="U113" s="283"/>
      <c r="V113" s="189"/>
      <c r="W113" s="189"/>
    </row>
    <row r="114" spans="1:23" ht="38.1" customHeight="1" x14ac:dyDescent="0.7">
      <c r="A114" s="284"/>
      <c r="B114" s="201"/>
      <c r="C114" s="203"/>
      <c r="D114" s="67"/>
      <c r="E114" s="285"/>
      <c r="F114" s="286"/>
      <c r="G114" s="287"/>
      <c r="H114" s="286"/>
      <c r="I114" s="286"/>
      <c r="J114" s="288"/>
      <c r="K114" s="289"/>
      <c r="L114" s="289"/>
      <c r="M114" s="290"/>
      <c r="N114" s="287"/>
      <c r="O114" s="285"/>
      <c r="P114" s="285"/>
      <c r="Q114" s="291"/>
      <c r="R114" s="285"/>
      <c r="S114" s="285"/>
      <c r="T114" s="19"/>
      <c r="U114" s="283"/>
      <c r="V114" s="189"/>
      <c r="W114" s="189"/>
    </row>
    <row r="115" spans="1:23" ht="38.1" customHeight="1" thickBot="1" x14ac:dyDescent="0.75">
      <c r="A115" s="284"/>
      <c r="B115" s="201"/>
      <c r="C115" s="203"/>
      <c r="D115" s="67"/>
      <c r="E115" s="285"/>
      <c r="F115" s="286"/>
      <c r="G115" s="287"/>
      <c r="H115" s="286"/>
      <c r="I115" s="286"/>
      <c r="J115" s="288"/>
      <c r="K115" s="289"/>
      <c r="L115" s="289"/>
      <c r="M115" s="290"/>
      <c r="N115" s="287"/>
      <c r="O115" s="285"/>
      <c r="P115" s="285"/>
      <c r="Q115" s="291"/>
      <c r="R115" s="285"/>
      <c r="S115" s="285"/>
      <c r="T115" s="19"/>
      <c r="U115" s="283"/>
      <c r="V115" s="189"/>
      <c r="W115" s="189"/>
    </row>
    <row r="116" spans="1:23" ht="24" thickTop="1" x14ac:dyDescent="0.35">
      <c r="A116" s="14">
        <v>4.2</v>
      </c>
      <c r="B116" s="14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11"/>
      <c r="R116" s="13"/>
      <c r="S116" s="84" t="s">
        <v>112</v>
      </c>
      <c r="T116" s="11"/>
      <c r="U116" s="188"/>
      <c r="V116" s="189"/>
      <c r="W116" s="189"/>
    </row>
    <row r="117" spans="1:23" ht="29.25" customHeight="1" x14ac:dyDescent="0.5">
      <c r="A117" s="11"/>
      <c r="B117" s="11"/>
      <c r="C117" s="8"/>
      <c r="D117" s="259" t="e">
        <f>D82-#REF!</f>
        <v>#REF!</v>
      </c>
      <c r="E117" s="224">
        <v>670.74</v>
      </c>
      <c r="F117" s="129"/>
      <c r="G117" s="171">
        <v>324</v>
      </c>
      <c r="H117" s="165"/>
      <c r="I117" s="280"/>
      <c r="J117" s="10"/>
      <c r="K117" s="10"/>
      <c r="L117" s="171"/>
      <c r="M117" s="10"/>
      <c r="N117" s="10"/>
      <c r="O117" s="10"/>
      <c r="P117" s="108"/>
      <c r="Q117" s="10"/>
      <c r="R117" s="36" t="s">
        <v>119</v>
      </c>
      <c r="S117" s="9"/>
      <c r="U117" s="11"/>
    </row>
    <row r="118" spans="1:23" ht="35.25" x14ac:dyDescent="0.5">
      <c r="A118" s="11"/>
      <c r="B118" s="38" t="s">
        <v>95</v>
      </c>
      <c r="C118" s="8"/>
      <c r="D118" s="8"/>
      <c r="E118" s="224">
        <f>E117/E79</f>
        <v>0.92500256188891072</v>
      </c>
      <c r="F118" s="109"/>
      <c r="G118" s="109">
        <f>89+155+80</f>
        <v>324</v>
      </c>
      <c r="H118" s="9"/>
      <c r="I118" s="281"/>
      <c r="J118" s="9"/>
      <c r="K118" s="204"/>
      <c r="L118" s="9"/>
      <c r="M118" s="9"/>
      <c r="N118" s="9"/>
      <c r="O118" s="9"/>
      <c r="P118" s="109"/>
      <c r="Q118" s="9"/>
      <c r="R118" s="173"/>
      <c r="S118" s="9"/>
      <c r="U118" s="11"/>
    </row>
    <row r="119" spans="1:23" ht="35.25" x14ac:dyDescent="0.5">
      <c r="A119" s="11"/>
      <c r="B119" s="37" t="s">
        <v>100</v>
      </c>
      <c r="C119" s="8"/>
      <c r="D119" s="8"/>
      <c r="E119" s="9"/>
      <c r="F119" s="87"/>
      <c r="G119" s="109">
        <f>106+181+73</f>
        <v>360</v>
      </c>
      <c r="H119" s="192"/>
      <c r="I119" s="192"/>
      <c r="J119" s="9"/>
      <c r="K119" s="213" t="e">
        <f>#REF!</f>
        <v>#REF!</v>
      </c>
      <c r="L119" s="9"/>
      <c r="M119" s="9"/>
      <c r="N119" s="174"/>
      <c r="O119" s="9"/>
      <c r="P119" s="9"/>
      <c r="Q119" s="9"/>
      <c r="R119" s="36">
        <f>SUM(F67:K67)</f>
        <v>897589115.07369089</v>
      </c>
      <c r="S119" s="9"/>
      <c r="U119" s="11"/>
    </row>
    <row r="120" spans="1:23" ht="35.25" x14ac:dyDescent="0.5">
      <c r="A120" s="11"/>
      <c r="B120" s="37"/>
      <c r="C120" s="8"/>
      <c r="D120" s="8"/>
      <c r="E120" s="161"/>
      <c r="F120" s="161"/>
      <c r="G120" s="161"/>
      <c r="H120" s="161"/>
      <c r="I120" s="9"/>
      <c r="J120" s="9"/>
      <c r="K120" s="109" t="e">
        <f>(K67-K119)/K119*100</f>
        <v>#REF!</v>
      </c>
      <c r="L120" s="9"/>
      <c r="M120" s="9"/>
      <c r="N120" s="9"/>
      <c r="O120" s="9"/>
      <c r="P120" s="9"/>
      <c r="Q120" s="9"/>
      <c r="R120" s="36" t="e">
        <f>SUM(#REF!)</f>
        <v>#REF!</v>
      </c>
      <c r="S120" s="9"/>
      <c r="U120" s="11"/>
    </row>
    <row r="121" spans="1:23" ht="38.25" x14ac:dyDescent="0.7">
      <c r="A121" s="11"/>
      <c r="B121" s="201"/>
      <c r="C121" s="202"/>
      <c r="D121" s="154" t="s">
        <v>114</v>
      </c>
      <c r="E121" s="153">
        <f>E118*E18</f>
        <v>698.90868012140629</v>
      </c>
      <c r="F121" s="225">
        <f>E17/E78</f>
        <v>0.42818902609333254</v>
      </c>
      <c r="G121" s="150"/>
      <c r="H121" s="153"/>
      <c r="I121" s="9"/>
      <c r="J121" s="9"/>
      <c r="K121" s="9"/>
      <c r="L121" s="9"/>
      <c r="M121" s="9"/>
      <c r="N121" s="9"/>
      <c r="O121" s="9"/>
      <c r="P121" s="9"/>
      <c r="Q121" s="9"/>
      <c r="R121" s="212" t="e">
        <f>(R119-R120)/R120*100</f>
        <v>#REF!</v>
      </c>
      <c r="S121" s="9"/>
      <c r="U121" s="11"/>
    </row>
    <row r="122" spans="1:23" ht="38.25" x14ac:dyDescent="0.7">
      <c r="A122" s="11"/>
      <c r="B122" s="201"/>
      <c r="C122" s="202"/>
      <c r="D122" s="152" t="s">
        <v>115</v>
      </c>
      <c r="E122" s="158">
        <f>E118*E37</f>
        <v>658.59849366205583</v>
      </c>
      <c r="F122" s="225">
        <f>E36/E78</f>
        <v>0.48280587500445099</v>
      </c>
      <c r="G122" s="150"/>
      <c r="H122" s="153"/>
      <c r="I122" s="9"/>
      <c r="J122" s="9"/>
      <c r="K122" s="9"/>
      <c r="L122" s="9"/>
      <c r="M122" s="9"/>
      <c r="N122" s="9"/>
      <c r="O122" s="9"/>
      <c r="P122" s="9"/>
      <c r="Q122" s="110"/>
      <c r="R122" s="36"/>
      <c r="S122" s="9"/>
      <c r="U122" s="11"/>
    </row>
    <row r="123" spans="1:23" ht="38.25" x14ac:dyDescent="0.7">
      <c r="A123" s="11"/>
      <c r="B123" s="201"/>
      <c r="C123" s="202"/>
      <c r="D123" s="156" t="s">
        <v>116</v>
      </c>
      <c r="E123" s="159">
        <v>607.77412216356583</v>
      </c>
      <c r="F123" s="226">
        <f>E55/E78</f>
        <v>8.900509890221639E-2</v>
      </c>
      <c r="G123" s="159"/>
      <c r="H123" s="159"/>
      <c r="I123" s="9"/>
      <c r="J123" s="9"/>
      <c r="K123" s="9"/>
      <c r="L123" s="9"/>
      <c r="M123" s="9"/>
      <c r="N123" s="9"/>
      <c r="O123" s="9"/>
      <c r="P123" s="9"/>
      <c r="Q123" s="110"/>
      <c r="R123" s="36"/>
      <c r="S123" s="9"/>
      <c r="U123" s="11"/>
    </row>
    <row r="124" spans="1:23" ht="38.25" x14ac:dyDescent="0.7">
      <c r="A124" s="11"/>
      <c r="B124" s="201"/>
      <c r="C124" s="203"/>
      <c r="D124" s="152"/>
      <c r="E124" s="158"/>
      <c r="F124" s="87"/>
      <c r="G124" s="150"/>
      <c r="H124" s="153"/>
      <c r="I124" s="9"/>
      <c r="J124" s="9"/>
      <c r="K124" s="9"/>
      <c r="L124" s="9"/>
      <c r="M124" s="9"/>
      <c r="N124" s="9"/>
      <c r="O124" s="9"/>
      <c r="P124" s="9"/>
      <c r="Q124" s="110"/>
      <c r="R124" s="36"/>
      <c r="S124" s="9"/>
      <c r="U124" s="11"/>
    </row>
    <row r="125" spans="1:23" ht="38.25" x14ac:dyDescent="0.7">
      <c r="A125" s="11"/>
      <c r="B125" s="201"/>
      <c r="C125" s="202"/>
      <c r="D125" s="157"/>
      <c r="E125" s="163"/>
      <c r="F125" s="162"/>
      <c r="G125" s="163"/>
      <c r="H125" s="163"/>
      <c r="I125" s="9"/>
      <c r="J125" s="9"/>
      <c r="K125" s="9"/>
      <c r="L125" s="9"/>
      <c r="M125" s="9"/>
      <c r="N125" s="9"/>
      <c r="O125" s="9"/>
      <c r="P125" s="9"/>
      <c r="Q125" s="9"/>
      <c r="R125" s="36"/>
      <c r="S125" s="9"/>
      <c r="U125" s="11"/>
    </row>
    <row r="126" spans="1:23" ht="38.25" x14ac:dyDescent="0.7">
      <c r="A126" s="11"/>
      <c r="B126" s="201"/>
      <c r="C126" s="202"/>
      <c r="D126" s="157"/>
      <c r="E126" s="160"/>
      <c r="F126" s="162"/>
      <c r="G126" s="160"/>
      <c r="H126" s="160"/>
      <c r="I126" s="9"/>
      <c r="J126" s="9"/>
      <c r="K126" s="9"/>
      <c r="L126" s="9"/>
      <c r="M126" s="9"/>
      <c r="N126" s="9"/>
      <c r="O126" s="9"/>
      <c r="P126" s="9"/>
      <c r="Q126" s="9"/>
      <c r="R126" s="36"/>
      <c r="S126" s="9"/>
      <c r="U126" s="11"/>
    </row>
    <row r="127" spans="1:23" ht="38.25" x14ac:dyDescent="0.7">
      <c r="A127" s="11"/>
      <c r="B127" s="201"/>
      <c r="C127" s="203"/>
      <c r="D127" s="152"/>
      <c r="E127" s="153"/>
      <c r="F127" s="87"/>
      <c r="G127" s="150"/>
      <c r="H127" s="153"/>
      <c r="I127" s="9"/>
      <c r="J127" s="9"/>
      <c r="K127" s="9"/>
      <c r="L127" s="9"/>
      <c r="M127" s="9"/>
      <c r="N127" s="9"/>
      <c r="O127" s="9"/>
      <c r="P127" s="9"/>
      <c r="Q127" s="9"/>
      <c r="R127" s="36"/>
      <c r="S127" s="9"/>
      <c r="U127" s="11"/>
    </row>
    <row r="128" spans="1:23" ht="38.25" x14ac:dyDescent="0.7">
      <c r="A128" s="11"/>
      <c r="B128" s="201"/>
      <c r="C128" s="203"/>
      <c r="D128" s="157"/>
      <c r="E128" s="157"/>
      <c r="F128" s="157"/>
      <c r="G128" s="157"/>
      <c r="H128" s="157"/>
      <c r="I128" s="9"/>
      <c r="J128" s="9"/>
      <c r="K128" s="9"/>
      <c r="L128" s="9"/>
      <c r="M128" s="9"/>
      <c r="N128" s="9"/>
      <c r="O128" s="9"/>
      <c r="P128" s="9"/>
      <c r="Q128" s="9"/>
      <c r="R128" s="36"/>
      <c r="S128" s="9"/>
      <c r="U128" s="11"/>
    </row>
    <row r="129" spans="1:21" ht="35.25" x14ac:dyDescent="0.5">
      <c r="A129" s="11"/>
      <c r="B129" s="37"/>
      <c r="C129" s="8"/>
      <c r="D129" s="151"/>
      <c r="E129" s="9"/>
      <c r="F129" s="8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36"/>
      <c r="S129" s="9"/>
      <c r="U129" s="11"/>
    </row>
    <row r="130" spans="1:21" ht="35.25" x14ac:dyDescent="0.5">
      <c r="A130" s="11"/>
      <c r="B130" s="37"/>
      <c r="C130" s="8"/>
      <c r="D130" s="8"/>
      <c r="E130" s="9"/>
      <c r="F130" s="8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78">
        <v>340.10533299999997</v>
      </c>
      <c r="R130" s="36"/>
      <c r="S130" s="9"/>
      <c r="U130" s="11"/>
    </row>
    <row r="131" spans="1:21" ht="35.25" x14ac:dyDescent="0.5">
      <c r="A131" s="11"/>
      <c r="B131" s="37"/>
      <c r="C131" s="8"/>
      <c r="D131" s="131"/>
      <c r="E131" s="127"/>
      <c r="F131" s="8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36"/>
      <c r="S131" s="9"/>
      <c r="U131" s="11"/>
    </row>
    <row r="132" spans="1:21" ht="35.25" x14ac:dyDescent="0.5">
      <c r="A132" s="11"/>
      <c r="B132" s="37"/>
      <c r="C132" s="8"/>
      <c r="D132" s="8"/>
      <c r="E132" s="9"/>
      <c r="F132" s="8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36"/>
      <c r="S132" s="9"/>
      <c r="U132" s="11"/>
    </row>
    <row r="133" spans="1:21" ht="35.25" x14ac:dyDescent="0.5">
      <c r="A133" s="11"/>
      <c r="B133" s="11"/>
      <c r="C133" s="8"/>
      <c r="D133" s="8"/>
      <c r="E133" s="11"/>
      <c r="F133" s="11"/>
      <c r="G133" s="11"/>
      <c r="H133" s="11"/>
      <c r="I133" s="11"/>
      <c r="J133" s="11"/>
      <c r="K133" s="11"/>
      <c r="L133" s="33"/>
      <c r="M133" s="33"/>
      <c r="N133" s="33"/>
      <c r="O133" s="33"/>
      <c r="P133" s="33"/>
      <c r="Q133" s="99"/>
      <c r="R133" s="36"/>
      <c r="S133" s="11"/>
      <c r="U133" s="11"/>
    </row>
    <row r="134" spans="1:21" ht="35.25" x14ac:dyDescent="0.5">
      <c r="A134" s="11"/>
      <c r="B134" s="11"/>
      <c r="C134" s="8"/>
      <c r="D134" s="8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36"/>
      <c r="S134" s="11"/>
      <c r="U134" s="11"/>
    </row>
    <row r="135" spans="1:21" ht="35.25" x14ac:dyDescent="0.5">
      <c r="A135" s="11"/>
      <c r="B135" s="11"/>
      <c r="C135" s="8"/>
      <c r="D135" s="8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36"/>
      <c r="S135" s="11"/>
      <c r="U135" s="11"/>
    </row>
    <row r="136" spans="1:21" ht="35.25" x14ac:dyDescent="0.5">
      <c r="A136" s="11"/>
      <c r="B136" s="11"/>
      <c r="C136" s="8"/>
      <c r="D136" s="8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361" t="s">
        <v>110</v>
      </c>
      <c r="S136" s="361"/>
      <c r="U136" s="11"/>
    </row>
    <row r="137" spans="1:21" ht="35.25" x14ac:dyDescent="0.5">
      <c r="A137" s="11"/>
      <c r="B137" s="11"/>
      <c r="C137" s="8"/>
      <c r="D137" s="8"/>
      <c r="E137" s="101" t="s">
        <v>105</v>
      </c>
      <c r="F137" s="102">
        <f>15227883-129222-1017401</f>
        <v>14081260</v>
      </c>
      <c r="G137" s="102">
        <f>15413911-131581-1025411</f>
        <v>14256919</v>
      </c>
      <c r="H137" s="102">
        <f>14092912-112009-947333</f>
        <v>13033570</v>
      </c>
      <c r="I137" s="102">
        <f>15092158-126645-1032103</f>
        <v>13933410</v>
      </c>
      <c r="J137" s="102">
        <f>16755892-143433-1195668</f>
        <v>15416791</v>
      </c>
      <c r="K137" s="205">
        <f>16044547-132857-1114410</f>
        <v>14797280</v>
      </c>
      <c r="L137" s="102">
        <f>16293625-136933-1152049</f>
        <v>15004643</v>
      </c>
      <c r="M137" s="106"/>
      <c r="N137" s="172"/>
      <c r="O137" s="101"/>
      <c r="P137" s="102"/>
      <c r="Q137" s="101"/>
      <c r="R137" s="103">
        <f>SUM(F137:Q137)</f>
        <v>100523873</v>
      </c>
      <c r="S137" s="183">
        <f>R137/R153</f>
        <v>0.41353512746416526</v>
      </c>
      <c r="U137" s="183">
        <f>S137*R158</f>
        <v>166213520.25204697</v>
      </c>
    </row>
    <row r="138" spans="1:21" ht="35.25" x14ac:dyDescent="0.5">
      <c r="A138" s="11"/>
      <c r="B138" s="11"/>
      <c r="C138" s="8"/>
      <c r="D138" s="8"/>
      <c r="E138" s="101"/>
      <c r="F138" s="102">
        <f>98374-108-1780</f>
        <v>96486</v>
      </c>
      <c r="G138" s="102">
        <f>99015-109-1800</f>
        <v>97106</v>
      </c>
      <c r="H138" s="102">
        <f>99447-109-1808</f>
        <v>97530</v>
      </c>
      <c r="I138" s="102">
        <f>99792-109-1825</f>
        <v>97858</v>
      </c>
      <c r="J138" s="102">
        <f>100266-1842-109</f>
        <v>98315</v>
      </c>
      <c r="K138" s="205">
        <f>100408-109-1869</f>
        <v>98430</v>
      </c>
      <c r="L138" s="102">
        <f>100486-109-1873</f>
        <v>98504</v>
      </c>
      <c r="M138" s="106"/>
      <c r="N138" s="172"/>
      <c r="O138" s="101"/>
      <c r="P138" s="102"/>
      <c r="Q138" s="101"/>
      <c r="R138" s="103">
        <f>SUM(F138:Q138)</f>
        <v>684229</v>
      </c>
      <c r="S138" s="183">
        <f>R138/R154</f>
        <v>0.32376526546254308</v>
      </c>
      <c r="U138" s="183">
        <f>S138*R159</f>
        <v>99663.042841007322</v>
      </c>
    </row>
    <row r="139" spans="1:21" ht="35.25" x14ac:dyDescent="0.5">
      <c r="A139" s="11"/>
      <c r="B139" s="11"/>
      <c r="C139" s="8"/>
      <c r="D139" s="8"/>
      <c r="E139" s="101"/>
      <c r="F139" s="102"/>
      <c r="G139" s="102"/>
      <c r="H139" s="102"/>
      <c r="I139" s="102"/>
      <c r="J139" s="102"/>
      <c r="K139" s="205"/>
      <c r="L139" s="102"/>
      <c r="M139" s="106"/>
      <c r="N139" s="177"/>
      <c r="O139" s="101"/>
      <c r="P139" s="101"/>
      <c r="Q139" s="101"/>
      <c r="R139" s="103"/>
      <c r="S139" s="183"/>
      <c r="U139" s="187">
        <f>U137/U138/12</f>
        <v>138.97956848224388</v>
      </c>
    </row>
    <row r="140" spans="1:21" ht="35.25" x14ac:dyDescent="0.5">
      <c r="A140" s="11"/>
      <c r="B140" s="11"/>
      <c r="C140" s="8"/>
      <c r="D140" s="8"/>
      <c r="E140" s="101"/>
      <c r="F140" s="102"/>
      <c r="G140" s="102"/>
      <c r="H140" s="102"/>
      <c r="I140" s="102"/>
      <c r="J140" s="102"/>
      <c r="K140" s="205"/>
      <c r="L140" s="102"/>
      <c r="M140" s="106"/>
      <c r="N140" s="172"/>
      <c r="O140" s="101"/>
      <c r="P140" s="101"/>
      <c r="Q140" s="101"/>
      <c r="R140" s="103"/>
      <c r="S140" s="183"/>
      <c r="U140" s="183"/>
    </row>
    <row r="141" spans="1:21" ht="35.25" x14ac:dyDescent="0.5">
      <c r="A141" s="11"/>
      <c r="B141" s="11"/>
      <c r="C141" s="8"/>
      <c r="D141" s="8"/>
      <c r="E141" s="101" t="s">
        <v>106</v>
      </c>
      <c r="F141" s="102"/>
      <c r="G141" s="102"/>
      <c r="H141" s="102"/>
      <c r="I141" s="102"/>
      <c r="J141" s="102"/>
      <c r="K141" s="205"/>
      <c r="L141" s="102"/>
      <c r="M141" s="106"/>
      <c r="N141" s="172"/>
      <c r="O141" s="101"/>
      <c r="P141" s="101"/>
      <c r="Q141" s="101"/>
      <c r="R141" s="103"/>
      <c r="S141" s="183"/>
      <c r="U141" s="183"/>
    </row>
    <row r="142" spans="1:21" ht="35.25" x14ac:dyDescent="0.5">
      <c r="A142" s="11"/>
      <c r="B142" s="11"/>
      <c r="C142" s="8"/>
      <c r="D142" s="8"/>
      <c r="E142" s="101"/>
      <c r="F142" s="102">
        <f>11469893-25659-96891</f>
        <v>11347343</v>
      </c>
      <c r="G142" s="102">
        <f>11575693-23723-103735</f>
        <v>11448235</v>
      </c>
      <c r="H142" s="102">
        <f>10360970-23351-94900</f>
        <v>10242719</v>
      </c>
      <c r="I142" s="102">
        <f>11103715-24952-103158</f>
        <v>10975605</v>
      </c>
      <c r="J142" s="102">
        <f>11999747-25196-116487</f>
        <v>11858064</v>
      </c>
      <c r="K142" s="205">
        <f>11570774-24131-113117</f>
        <v>11433526</v>
      </c>
      <c r="L142" s="102">
        <f>11816983-24922-117163</f>
        <v>11674898</v>
      </c>
      <c r="M142" s="106"/>
      <c r="N142" s="172"/>
      <c r="O142" s="101"/>
      <c r="P142" s="102"/>
      <c r="Q142" s="101"/>
      <c r="R142" s="103">
        <f>SUM(F142:Q142)</f>
        <v>78980390</v>
      </c>
      <c r="S142" s="183">
        <f>R142/R153</f>
        <v>0.32490954308753589</v>
      </c>
      <c r="U142" s="183">
        <f>S142*R158</f>
        <v>130591950.55864559</v>
      </c>
    </row>
    <row r="143" spans="1:21" ht="35.25" x14ac:dyDescent="0.5">
      <c r="A143" s="11"/>
      <c r="B143" s="11"/>
      <c r="C143" s="8"/>
      <c r="D143" s="8"/>
      <c r="E143" s="101"/>
      <c r="F143" s="102">
        <f>115325-20-211</f>
        <v>115094</v>
      </c>
      <c r="G143" s="102">
        <f>115580-20-218</f>
        <v>115342</v>
      </c>
      <c r="H143" s="102">
        <f>115999-20-219</f>
        <v>115760</v>
      </c>
      <c r="I143" s="102">
        <f>116427-223-20</f>
        <v>116184</v>
      </c>
      <c r="J143" s="102">
        <f>116816-20-225</f>
        <v>116571</v>
      </c>
      <c r="K143" s="205">
        <f>117116-20-229</f>
        <v>116867</v>
      </c>
      <c r="L143" s="102">
        <f>117235-20-230</f>
        <v>116985</v>
      </c>
      <c r="M143" s="106"/>
      <c r="N143" s="172"/>
      <c r="O143" s="101"/>
      <c r="P143" s="102"/>
      <c r="Q143" s="101"/>
      <c r="R143" s="103">
        <f>SUM(F143:Q143)</f>
        <v>812803</v>
      </c>
      <c r="S143" s="183">
        <f>R143/R154</f>
        <v>0.38460424662467013</v>
      </c>
      <c r="T143" s="11"/>
      <c r="U143" s="183">
        <f>S143*R159</f>
        <v>118390.80221723908</v>
      </c>
    </row>
    <row r="144" spans="1:21" ht="35.25" x14ac:dyDescent="0.5">
      <c r="A144" s="11"/>
      <c r="B144" s="11"/>
      <c r="C144" s="8"/>
      <c r="D144" s="8"/>
      <c r="E144" s="101"/>
      <c r="F144" s="102"/>
      <c r="G144" s="102"/>
      <c r="H144" s="102"/>
      <c r="I144" s="102"/>
      <c r="J144" s="102"/>
      <c r="K144" s="205"/>
      <c r="L144" s="102"/>
      <c r="M144" s="106"/>
      <c r="N144" s="177"/>
      <c r="O144" s="101"/>
      <c r="P144" s="101"/>
      <c r="Q144" s="101"/>
      <c r="R144" s="103"/>
      <c r="S144" s="183"/>
      <c r="T144" s="11"/>
      <c r="U144" s="187">
        <f>U142/U143/12</f>
        <v>91.921520445353963</v>
      </c>
    </row>
    <row r="145" spans="1:22" ht="35.25" x14ac:dyDescent="0.5">
      <c r="A145" s="11"/>
      <c r="B145" s="11"/>
      <c r="C145" s="8"/>
      <c r="D145" s="8"/>
      <c r="E145" s="101"/>
      <c r="F145" s="102"/>
      <c r="G145" s="102"/>
      <c r="H145" s="102"/>
      <c r="I145" s="102"/>
      <c r="J145" s="102"/>
      <c r="K145" s="205"/>
      <c r="L145" s="102"/>
      <c r="M145" s="106"/>
      <c r="N145" s="172"/>
      <c r="O145" s="101"/>
      <c r="P145" s="101"/>
      <c r="Q145" s="101"/>
      <c r="R145" s="103"/>
      <c r="S145" s="183"/>
      <c r="T145" s="11"/>
      <c r="U145" s="183"/>
    </row>
    <row r="146" spans="1:22" ht="35.25" x14ac:dyDescent="0.5">
      <c r="A146" s="11"/>
      <c r="B146" s="11"/>
      <c r="C146" s="8"/>
      <c r="D146" s="8"/>
      <c r="E146" s="101" t="s">
        <v>107</v>
      </c>
      <c r="F146" s="102">
        <f>9318983-17954-107593</f>
        <v>9193436</v>
      </c>
      <c r="G146" s="102">
        <f>9123855-15120-156441</f>
        <v>8952294</v>
      </c>
      <c r="H146" s="102">
        <f>8282943-15981-105409</f>
        <v>8161553</v>
      </c>
      <c r="I146" s="102">
        <f>9299132-16826-116898</f>
        <v>9165408</v>
      </c>
      <c r="J146" s="102">
        <f>9495227-18666-121379</f>
        <v>9355182</v>
      </c>
      <c r="K146" s="205">
        <f>9602697-19934-142476</f>
        <v>9440287</v>
      </c>
      <c r="L146" s="102">
        <f>9450463-20489-118155</f>
        <v>9311819</v>
      </c>
      <c r="M146" s="106"/>
      <c r="N146" s="172"/>
      <c r="O146" s="101"/>
      <c r="P146" s="102"/>
      <c r="Q146" s="101"/>
      <c r="R146" s="103">
        <f>SUM(F146:Q146)</f>
        <v>63579979</v>
      </c>
      <c r="S146" s="183">
        <f>R146/R153</f>
        <v>0.26155532944829885</v>
      </c>
      <c r="T146" s="11"/>
      <c r="U146" s="183">
        <f>S146*R158</f>
        <v>105127785.18930744</v>
      </c>
    </row>
    <row r="147" spans="1:22" ht="35.25" x14ac:dyDescent="0.5">
      <c r="A147" s="11"/>
      <c r="B147" s="11"/>
      <c r="C147" s="8"/>
      <c r="D147" s="8"/>
      <c r="E147" s="101"/>
      <c r="F147" s="102">
        <f>87938-17-249</f>
        <v>87672</v>
      </c>
      <c r="G147" s="102">
        <f>88069-18-255</f>
        <v>87796</v>
      </c>
      <c r="H147" s="102">
        <f>88235-18-262</f>
        <v>87955</v>
      </c>
      <c r="I147" s="102">
        <f>88266-18-266</f>
        <v>87982</v>
      </c>
      <c r="J147" s="102">
        <f>88444-278-18</f>
        <v>88148</v>
      </c>
      <c r="K147" s="205">
        <f>88636-18-278</f>
        <v>88340</v>
      </c>
      <c r="L147" s="102">
        <f>88719-18-277</f>
        <v>88424</v>
      </c>
      <c r="M147" s="106"/>
      <c r="N147" s="172"/>
      <c r="O147" s="101"/>
      <c r="P147" s="102"/>
      <c r="Q147" s="101"/>
      <c r="R147" s="103">
        <f>SUM(F147:Q147)</f>
        <v>616317</v>
      </c>
      <c r="S147" s="186">
        <f>R147/R154</f>
        <v>0.29163048791278678</v>
      </c>
      <c r="T147" s="11"/>
      <c r="U147" s="183">
        <f>S147*R159</f>
        <v>89771.154941753586</v>
      </c>
    </row>
    <row r="148" spans="1:22" ht="35.25" x14ac:dyDescent="0.5">
      <c r="A148" s="11"/>
      <c r="B148" s="11"/>
      <c r="C148" s="8"/>
      <c r="D148" s="8"/>
      <c r="E148" s="101"/>
      <c r="F148" s="102"/>
      <c r="G148" s="102"/>
      <c r="H148" s="102"/>
      <c r="I148" s="102"/>
      <c r="J148" s="102"/>
      <c r="K148" s="102"/>
      <c r="L148" s="102"/>
      <c r="M148" s="106"/>
      <c r="N148" s="177"/>
      <c r="O148" s="101"/>
      <c r="P148" s="101"/>
      <c r="Q148" s="101"/>
      <c r="R148" s="103"/>
      <c r="S148" s="185"/>
      <c r="T148" s="11"/>
      <c r="U148" s="187">
        <f>U146/U147/12</f>
        <v>97.588682817546569</v>
      </c>
    </row>
    <row r="149" spans="1:22" ht="35.25" x14ac:dyDescent="0.5">
      <c r="A149" s="11"/>
      <c r="B149" s="11"/>
      <c r="C149" s="8"/>
      <c r="D149" s="8"/>
      <c r="E149" s="101"/>
      <c r="F149" s="102"/>
      <c r="G149" s="102"/>
      <c r="H149" s="102"/>
      <c r="I149" s="102"/>
      <c r="J149" s="102"/>
      <c r="K149" s="102"/>
      <c r="L149" s="102"/>
      <c r="M149" s="106"/>
      <c r="N149" s="172"/>
      <c r="O149" s="101"/>
      <c r="P149" s="101"/>
      <c r="Q149" s="101"/>
      <c r="R149" s="103"/>
      <c r="S149" s="185"/>
      <c r="T149" s="11"/>
      <c r="U149" s="183"/>
    </row>
    <row r="150" spans="1:22" ht="26.25" x14ac:dyDescent="0.4">
      <c r="A150" s="11"/>
      <c r="B150" s="11"/>
      <c r="C150" s="8"/>
      <c r="D150" s="8"/>
      <c r="E150" s="11"/>
      <c r="F150" s="11"/>
      <c r="G150" s="11"/>
      <c r="H150" s="11"/>
      <c r="I150" s="11"/>
      <c r="J150" s="11"/>
      <c r="K150" s="11"/>
      <c r="L150" s="11"/>
      <c r="M150" s="101"/>
      <c r="N150" s="11"/>
      <c r="O150" s="101"/>
      <c r="P150" s="101"/>
      <c r="Q150" s="11"/>
      <c r="R150" s="104"/>
      <c r="S150" s="183"/>
      <c r="T150" s="11"/>
      <c r="U150" s="183"/>
    </row>
    <row r="151" spans="1:22" ht="26.25" x14ac:dyDescent="0.4">
      <c r="A151" s="11"/>
      <c r="B151" s="11"/>
      <c r="C151" s="8"/>
      <c r="D151" s="8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01"/>
      <c r="P151" s="101"/>
      <c r="Q151" s="11"/>
      <c r="R151" s="104"/>
      <c r="S151" s="183"/>
      <c r="T151" s="11"/>
      <c r="U151" s="183"/>
    </row>
    <row r="152" spans="1:22" ht="26.25" x14ac:dyDescent="0.4">
      <c r="A152" s="11"/>
      <c r="B152" s="11"/>
      <c r="C152" s="8"/>
      <c r="D152" s="8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01"/>
      <c r="P152" s="101"/>
      <c r="Q152" s="11"/>
      <c r="R152" s="11"/>
      <c r="S152" s="183"/>
      <c r="T152" s="11"/>
      <c r="U152" s="183"/>
    </row>
    <row r="153" spans="1:22" ht="26.25" x14ac:dyDescent="0.4">
      <c r="A153" s="11"/>
      <c r="B153" s="11"/>
      <c r="C153" s="8"/>
      <c r="D153" s="8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01"/>
      <c r="P153" s="101"/>
      <c r="Q153" s="11"/>
      <c r="R153" s="102">
        <f>R137+R142+R146</f>
        <v>243084242</v>
      </c>
      <c r="S153" s="150"/>
      <c r="T153" s="11"/>
      <c r="U153" s="183"/>
      <c r="V153" s="176"/>
    </row>
    <row r="154" spans="1:22" ht="26.25" x14ac:dyDescent="0.4">
      <c r="A154" s="11"/>
      <c r="B154" s="11"/>
      <c r="C154" s="9"/>
      <c r="D154" s="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01"/>
      <c r="P154" s="101"/>
      <c r="Q154" s="11"/>
      <c r="R154" s="102">
        <f>R138+R143+R147</f>
        <v>2113349</v>
      </c>
      <c r="S154" s="150"/>
      <c r="T154" s="11"/>
      <c r="U154" s="183"/>
    </row>
    <row r="155" spans="1:22" ht="26.25" x14ac:dyDescent="0.4">
      <c r="A155" s="11" t="s">
        <v>3</v>
      </c>
      <c r="B155" s="11" t="s">
        <v>3</v>
      </c>
      <c r="C155" s="11" t="s">
        <v>3</v>
      </c>
      <c r="D155" s="11"/>
      <c r="E155" s="11"/>
      <c r="F155" s="11"/>
      <c r="G155" s="11"/>
      <c r="H155" s="164"/>
      <c r="I155" s="11"/>
      <c r="J155" s="11"/>
      <c r="K155" s="11"/>
      <c r="L155" s="11"/>
      <c r="M155" s="11"/>
      <c r="N155" s="102"/>
      <c r="O155" s="101"/>
      <c r="P155" s="101"/>
      <c r="Q155" s="101"/>
      <c r="R155" s="11"/>
      <c r="S155" s="183"/>
      <c r="U155" s="126"/>
    </row>
    <row r="156" spans="1:22" ht="26.25" x14ac:dyDescent="0.4">
      <c r="A156" s="11" t="s">
        <v>3</v>
      </c>
      <c r="B156" s="11" t="s">
        <v>3</v>
      </c>
      <c r="C156" s="11" t="s">
        <v>3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01"/>
      <c r="O156" s="101"/>
      <c r="P156" s="101"/>
      <c r="Q156" s="101"/>
      <c r="R156" s="11"/>
      <c r="S156" s="183"/>
      <c r="U156" s="126"/>
    </row>
    <row r="157" spans="1:22" ht="26.25" x14ac:dyDescent="0.4">
      <c r="A157" s="11" t="s">
        <v>3</v>
      </c>
      <c r="B157" s="11" t="s">
        <v>3</v>
      </c>
      <c r="C157" s="11" t="s">
        <v>3</v>
      </c>
      <c r="D157" s="11"/>
      <c r="E157" s="11"/>
      <c r="F157" s="164">
        <f>F137+F141+F146</f>
        <v>23274696</v>
      </c>
      <c r="G157" s="164"/>
      <c r="H157" s="164"/>
      <c r="I157" s="164"/>
      <c r="J157" s="164"/>
      <c r="K157" s="164"/>
      <c r="L157" s="164"/>
      <c r="M157" s="164"/>
      <c r="N157" s="164"/>
      <c r="O157" s="101"/>
      <c r="P157" s="101"/>
      <c r="Q157" s="11"/>
      <c r="R157" s="11"/>
      <c r="S157" s="183"/>
      <c r="U157" s="126"/>
    </row>
    <row r="158" spans="1:22" ht="30" customHeight="1" x14ac:dyDescent="0.4">
      <c r="A158" s="11" t="s">
        <v>3</v>
      </c>
      <c r="B158" s="11" t="s">
        <v>3</v>
      </c>
      <c r="C158" s="11" t="s">
        <v>3</v>
      </c>
      <c r="D158" s="11"/>
      <c r="E158" s="11"/>
      <c r="F158" s="175">
        <f>F138+F142+F147</f>
        <v>11531501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82">
        <v>401933256</v>
      </c>
      <c r="S158" s="183"/>
      <c r="U158" s="126">
        <f>U137+U142+U146</f>
        <v>401933256</v>
      </c>
    </row>
    <row r="159" spans="1:22" ht="30" customHeight="1" x14ac:dyDescent="0.4">
      <c r="A159" s="11" t="s">
        <v>3</v>
      </c>
      <c r="B159" s="11" t="s">
        <v>3</v>
      </c>
      <c r="C159" s="11" t="s">
        <v>3</v>
      </c>
      <c r="D159" s="11"/>
      <c r="E159" s="11"/>
      <c r="F159" s="175"/>
      <c r="G159" s="175"/>
      <c r="H159" s="175"/>
      <c r="I159" s="175"/>
      <c r="J159" s="175"/>
      <c r="K159" s="175"/>
      <c r="L159" s="175"/>
      <c r="M159" s="175"/>
      <c r="N159" s="175"/>
      <c r="O159" s="11"/>
      <c r="P159" s="11"/>
      <c r="Q159" s="11"/>
      <c r="R159" s="183">
        <v>307825</v>
      </c>
      <c r="S159" s="184">
        <f>R158/R159/12</f>
        <v>108.80999918785024</v>
      </c>
      <c r="U159" s="126">
        <f>U138+U143+U147</f>
        <v>307825</v>
      </c>
    </row>
    <row r="160" spans="1:22" ht="30" customHeight="1" x14ac:dyDescent="0.35">
      <c r="A160" s="11" t="s">
        <v>3</v>
      </c>
      <c r="B160" s="11" t="s">
        <v>3</v>
      </c>
      <c r="C160" s="11" t="s">
        <v>3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U160" s="126">
        <f>U158/U159/12</f>
        <v>108.80999918785024</v>
      </c>
    </row>
    <row r="161" spans="1:19" ht="30" customHeight="1" x14ac:dyDescent="0.25">
      <c r="A161" s="11" t="s">
        <v>3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30" customHeight="1" x14ac:dyDescent="0.3">
      <c r="A162" s="11" t="s">
        <v>3</v>
      </c>
      <c r="B162" s="9"/>
      <c r="C162" s="9"/>
      <c r="D162" s="9"/>
      <c r="E162" s="11"/>
      <c r="F162" s="11"/>
      <c r="G162" s="11"/>
      <c r="H162" s="11"/>
      <c r="I162" s="11"/>
      <c r="J162" s="11"/>
      <c r="K162" s="11"/>
      <c r="L162" s="11"/>
      <c r="M162" s="11"/>
      <c r="N162" s="175">
        <f>SUM(F159:N159)</f>
        <v>0</v>
      </c>
      <c r="O162" s="11"/>
      <c r="P162" s="11"/>
      <c r="Q162" s="11"/>
      <c r="R162" s="11"/>
      <c r="S162" s="11"/>
    </row>
    <row r="163" spans="1:19" ht="30" customHeight="1" x14ac:dyDescent="0.25">
      <c r="A163" s="11" t="s">
        <v>3</v>
      </c>
      <c r="B163" s="9"/>
      <c r="C163" s="9"/>
      <c r="D163" s="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30" customHeight="1" x14ac:dyDescent="0.2">
      <c r="A164" t="s">
        <v>3</v>
      </c>
      <c r="B164" s="2"/>
      <c r="C164" s="2"/>
      <c r="D164" s="2"/>
    </row>
    <row r="165" spans="1:19" ht="30" customHeight="1" x14ac:dyDescent="0.2">
      <c r="A165" t="s">
        <v>3</v>
      </c>
      <c r="B165" s="2"/>
      <c r="C165" s="2"/>
      <c r="D165" s="2"/>
    </row>
    <row r="166" spans="1:19" ht="30" customHeight="1" x14ac:dyDescent="0.35">
      <c r="A166" t="s">
        <v>3</v>
      </c>
      <c r="B166" s="2"/>
      <c r="C166" s="2"/>
      <c r="D166" s="2"/>
      <c r="F166" s="100">
        <f t="shared" ref="F166:N166" si="0">F157-F159</f>
        <v>23274696</v>
      </c>
      <c r="G166" s="128">
        <f t="shared" si="0"/>
        <v>0</v>
      </c>
      <c r="H166" s="128">
        <f t="shared" si="0"/>
        <v>0</v>
      </c>
      <c r="I166" s="128">
        <f t="shared" si="0"/>
        <v>0</v>
      </c>
      <c r="J166" s="128">
        <f t="shared" si="0"/>
        <v>0</v>
      </c>
      <c r="K166" s="128">
        <f t="shared" si="0"/>
        <v>0</v>
      </c>
      <c r="L166" s="128">
        <f t="shared" si="0"/>
        <v>0</v>
      </c>
      <c r="M166" s="128">
        <f t="shared" si="0"/>
        <v>0</v>
      </c>
      <c r="N166" s="128">
        <f t="shared" si="0"/>
        <v>0</v>
      </c>
    </row>
    <row r="167" spans="1:19" ht="30" customHeight="1" x14ac:dyDescent="0.2">
      <c r="A167" t="s">
        <v>3</v>
      </c>
      <c r="B167" s="2"/>
      <c r="C167" s="2"/>
      <c r="D167" s="2"/>
    </row>
    <row r="168" spans="1:19" x14ac:dyDescent="0.2">
      <c r="A168" t="s">
        <v>3</v>
      </c>
      <c r="B168" s="2"/>
      <c r="C168" s="2"/>
      <c r="D168" s="2"/>
    </row>
    <row r="169" spans="1:19" x14ac:dyDescent="0.2">
      <c r="A169" t="s">
        <v>3</v>
      </c>
      <c r="B169" s="2"/>
      <c r="C169" s="2"/>
      <c r="D169" s="2"/>
    </row>
    <row r="170" spans="1:19" x14ac:dyDescent="0.2">
      <c r="A170" t="s">
        <v>3</v>
      </c>
      <c r="C170" s="2"/>
      <c r="D170" s="2"/>
    </row>
    <row r="171" spans="1:19" x14ac:dyDescent="0.2">
      <c r="A171" t="s">
        <v>3</v>
      </c>
      <c r="C171" s="2"/>
      <c r="D171" s="2"/>
    </row>
    <row r="172" spans="1:19" ht="16.5" x14ac:dyDescent="0.25">
      <c r="A172" t="s">
        <v>3</v>
      </c>
      <c r="B172" s="17" t="s">
        <v>85</v>
      </c>
      <c r="C172" s="16"/>
      <c r="D172" s="16"/>
      <c r="E172" s="17"/>
    </row>
    <row r="173" spans="1:19" x14ac:dyDescent="0.2">
      <c r="A173" t="s">
        <v>3</v>
      </c>
    </row>
    <row r="174" spans="1:19" x14ac:dyDescent="0.2">
      <c r="A174" t="s">
        <v>3</v>
      </c>
    </row>
    <row r="175" spans="1:19" x14ac:dyDescent="0.2">
      <c r="A175" t="s">
        <v>3</v>
      </c>
    </row>
    <row r="176" spans="1:19" x14ac:dyDescent="0.2">
      <c r="A176" t="s">
        <v>3</v>
      </c>
      <c r="B176" s="1"/>
      <c r="C176" s="1"/>
      <c r="D176" s="1"/>
      <c r="E176" s="1"/>
    </row>
    <row r="177" spans="1:5" x14ac:dyDescent="0.2">
      <c r="A177" t="s">
        <v>3</v>
      </c>
      <c r="B177" s="1"/>
      <c r="C177" s="1"/>
      <c r="D177" s="1"/>
      <c r="E177" s="1"/>
    </row>
    <row r="178" spans="1:5" x14ac:dyDescent="0.2">
      <c r="A178" t="s">
        <v>3</v>
      </c>
      <c r="B178" s="1"/>
      <c r="C178" s="1"/>
      <c r="D178" s="1"/>
      <c r="E178" s="1"/>
    </row>
    <row r="179" spans="1:5" x14ac:dyDescent="0.2">
      <c r="A179" t="s">
        <v>3</v>
      </c>
      <c r="B179" s="1"/>
      <c r="C179" s="1"/>
      <c r="D179" s="1"/>
      <c r="E179" s="1"/>
    </row>
    <row r="180" spans="1:5" x14ac:dyDescent="0.2">
      <c r="A180" t="s">
        <v>3</v>
      </c>
      <c r="B180" s="1"/>
      <c r="C180" s="1"/>
      <c r="D180" s="1"/>
      <c r="E180" s="1"/>
    </row>
    <row r="181" spans="1:5" x14ac:dyDescent="0.2">
      <c r="A181" t="s">
        <v>3</v>
      </c>
      <c r="B181" s="1"/>
      <c r="C181" s="1"/>
      <c r="D181" s="1"/>
      <c r="E181" s="1"/>
    </row>
    <row r="182" spans="1:5" x14ac:dyDescent="0.2">
      <c r="A182" t="s">
        <v>3</v>
      </c>
      <c r="B182" s="1"/>
      <c r="C182" s="1"/>
      <c r="D182" s="1"/>
      <c r="E182" s="1"/>
    </row>
    <row r="183" spans="1:5" x14ac:dyDescent="0.2">
      <c r="A183" t="s">
        <v>3</v>
      </c>
      <c r="B183" s="1"/>
      <c r="C183" s="1"/>
      <c r="D183" s="1"/>
      <c r="E183" s="1"/>
    </row>
    <row r="184" spans="1:5" x14ac:dyDescent="0.2">
      <c r="A184" t="s">
        <v>3</v>
      </c>
      <c r="C184" s="1"/>
      <c r="D184" s="1"/>
      <c r="E184" s="1"/>
    </row>
    <row r="185" spans="1:5" x14ac:dyDescent="0.2">
      <c r="A185" t="s">
        <v>3</v>
      </c>
      <c r="C185" s="1"/>
      <c r="D185" s="1"/>
      <c r="E185" s="1"/>
    </row>
    <row r="186" spans="1:5" x14ac:dyDescent="0.2">
      <c r="A186" t="s">
        <v>3</v>
      </c>
      <c r="C186" s="1"/>
      <c r="D186" s="1"/>
      <c r="E186" s="1"/>
    </row>
    <row r="187" spans="1:5" x14ac:dyDescent="0.2">
      <c r="A187" t="s">
        <v>3</v>
      </c>
      <c r="E187" s="1"/>
    </row>
    <row r="188" spans="1:5" x14ac:dyDescent="0.2">
      <c r="A188" t="s">
        <v>3</v>
      </c>
      <c r="E188" s="1"/>
    </row>
    <row r="189" spans="1:5" x14ac:dyDescent="0.2">
      <c r="A189" t="s">
        <v>3</v>
      </c>
      <c r="E189" s="1"/>
    </row>
    <row r="190" spans="1:5" x14ac:dyDescent="0.2">
      <c r="A190" t="s">
        <v>3</v>
      </c>
      <c r="E190" s="1"/>
    </row>
    <row r="191" spans="1:5" x14ac:dyDescent="0.2">
      <c r="A191" t="s">
        <v>3</v>
      </c>
      <c r="E191" s="1"/>
    </row>
    <row r="192" spans="1:5" x14ac:dyDescent="0.2">
      <c r="A192" t="s">
        <v>3</v>
      </c>
    </row>
    <row r="193" spans="1:3" x14ac:dyDescent="0.2">
      <c r="A193" t="s">
        <v>3</v>
      </c>
      <c r="B193" t="s">
        <v>3</v>
      </c>
      <c r="C193" t="s">
        <v>3</v>
      </c>
    </row>
    <row r="194" spans="1:3" x14ac:dyDescent="0.2">
      <c r="A194" t="s">
        <v>3</v>
      </c>
      <c r="B194" t="s">
        <v>3</v>
      </c>
      <c r="C194" t="s">
        <v>3</v>
      </c>
    </row>
    <row r="195" spans="1:3" x14ac:dyDescent="0.2">
      <c r="A195" t="s">
        <v>3</v>
      </c>
      <c r="B195" t="s">
        <v>3</v>
      </c>
      <c r="C195" t="s">
        <v>3</v>
      </c>
    </row>
    <row r="196" spans="1:3" x14ac:dyDescent="0.2">
      <c r="A196" t="s">
        <v>3</v>
      </c>
      <c r="B196" t="s">
        <v>3</v>
      </c>
      <c r="C196" t="s">
        <v>3</v>
      </c>
    </row>
    <row r="197" spans="1:3" x14ac:dyDescent="0.2">
      <c r="A197" t="s">
        <v>3</v>
      </c>
      <c r="B197" t="s">
        <v>3</v>
      </c>
      <c r="C197" t="s">
        <v>3</v>
      </c>
    </row>
    <row r="198" spans="1:3" x14ac:dyDescent="0.2">
      <c r="A198" t="s">
        <v>3</v>
      </c>
      <c r="B198" t="s">
        <v>3</v>
      </c>
      <c r="C198" t="s">
        <v>3</v>
      </c>
    </row>
    <row r="199" spans="1:3" x14ac:dyDescent="0.2">
      <c r="A199" t="s">
        <v>3</v>
      </c>
      <c r="B199" t="s">
        <v>3</v>
      </c>
      <c r="C199" t="s">
        <v>3</v>
      </c>
    </row>
    <row r="200" spans="1:3" x14ac:dyDescent="0.2">
      <c r="A200" t="s">
        <v>3</v>
      </c>
      <c r="B200" t="s">
        <v>3</v>
      </c>
      <c r="C200" t="s">
        <v>3</v>
      </c>
    </row>
    <row r="201" spans="1:3" x14ac:dyDescent="0.2">
      <c r="A201" t="s">
        <v>3</v>
      </c>
      <c r="B201" t="s">
        <v>3</v>
      </c>
      <c r="C201" t="s">
        <v>3</v>
      </c>
    </row>
    <row r="202" spans="1:3" x14ac:dyDescent="0.2">
      <c r="A202" t="s">
        <v>3</v>
      </c>
      <c r="B202" t="s">
        <v>3</v>
      </c>
      <c r="C202" t="s">
        <v>3</v>
      </c>
    </row>
    <row r="203" spans="1:3" x14ac:dyDescent="0.2">
      <c r="A203" t="s">
        <v>3</v>
      </c>
      <c r="B203" t="s">
        <v>3</v>
      </c>
      <c r="C203" t="s">
        <v>3</v>
      </c>
    </row>
    <row r="204" spans="1:3" x14ac:dyDescent="0.2">
      <c r="A204" t="s">
        <v>3</v>
      </c>
      <c r="B204" t="s">
        <v>3</v>
      </c>
      <c r="C204" t="s">
        <v>3</v>
      </c>
    </row>
    <row r="205" spans="1:3" x14ac:dyDescent="0.2">
      <c r="A205" t="s">
        <v>3</v>
      </c>
      <c r="B205" t="s">
        <v>3</v>
      </c>
      <c r="C205" t="s">
        <v>3</v>
      </c>
    </row>
    <row r="206" spans="1:3" x14ac:dyDescent="0.2">
      <c r="A206" t="s">
        <v>3</v>
      </c>
      <c r="B206" t="s">
        <v>3</v>
      </c>
      <c r="C206" t="s">
        <v>3</v>
      </c>
    </row>
    <row r="207" spans="1:3" x14ac:dyDescent="0.2">
      <c r="A207" t="s">
        <v>3</v>
      </c>
      <c r="B207" t="s">
        <v>3</v>
      </c>
      <c r="C207" t="s">
        <v>3</v>
      </c>
    </row>
    <row r="208" spans="1:3" x14ac:dyDescent="0.2">
      <c r="A208" t="s">
        <v>3</v>
      </c>
      <c r="B208" t="s">
        <v>3</v>
      </c>
      <c r="C208" t="s">
        <v>3</v>
      </c>
    </row>
    <row r="209" spans="1:3" x14ac:dyDescent="0.2">
      <c r="A209" t="s">
        <v>3</v>
      </c>
      <c r="B209" t="s">
        <v>3</v>
      </c>
      <c r="C209" t="s">
        <v>3</v>
      </c>
    </row>
    <row r="210" spans="1:3" x14ac:dyDescent="0.2">
      <c r="A210" t="s">
        <v>3</v>
      </c>
      <c r="B210" t="s">
        <v>3</v>
      </c>
      <c r="C210" t="s">
        <v>3</v>
      </c>
    </row>
    <row r="211" spans="1:3" x14ac:dyDescent="0.2">
      <c r="A211" t="s">
        <v>3</v>
      </c>
      <c r="B211" t="s">
        <v>3</v>
      </c>
      <c r="C211" t="s">
        <v>3</v>
      </c>
    </row>
    <row r="212" spans="1:3" x14ac:dyDescent="0.2">
      <c r="A212" t="s">
        <v>3</v>
      </c>
      <c r="B212" t="s">
        <v>3</v>
      </c>
      <c r="C212" t="s">
        <v>3</v>
      </c>
    </row>
    <row r="213" spans="1:3" x14ac:dyDescent="0.2">
      <c r="A213" t="s">
        <v>3</v>
      </c>
      <c r="B213" t="s">
        <v>3</v>
      </c>
      <c r="C213" t="s">
        <v>3</v>
      </c>
    </row>
    <row r="214" spans="1:3" x14ac:dyDescent="0.2">
      <c r="A214" t="s">
        <v>3</v>
      </c>
      <c r="B214" t="s">
        <v>3</v>
      </c>
      <c r="C214" t="s">
        <v>3</v>
      </c>
    </row>
    <row r="215" spans="1:3" x14ac:dyDescent="0.2">
      <c r="A215" t="s">
        <v>3</v>
      </c>
      <c r="B215" t="s">
        <v>3</v>
      </c>
      <c r="C215" t="s">
        <v>3</v>
      </c>
    </row>
    <row r="216" spans="1:3" x14ac:dyDescent="0.2">
      <c r="A216" t="s">
        <v>3</v>
      </c>
      <c r="B216" t="s">
        <v>3</v>
      </c>
      <c r="C216" t="s">
        <v>3</v>
      </c>
    </row>
    <row r="217" spans="1:3" x14ac:dyDescent="0.2">
      <c r="A217" t="s">
        <v>3</v>
      </c>
      <c r="B217" t="s">
        <v>3</v>
      </c>
      <c r="C217" t="s">
        <v>3</v>
      </c>
    </row>
    <row r="218" spans="1:3" x14ac:dyDescent="0.2">
      <c r="A218" t="s">
        <v>3</v>
      </c>
      <c r="B218" t="s">
        <v>3</v>
      </c>
      <c r="C218" t="s">
        <v>3</v>
      </c>
    </row>
    <row r="219" spans="1:3" x14ac:dyDescent="0.2">
      <c r="A219" t="s">
        <v>3</v>
      </c>
      <c r="B219" t="s">
        <v>3</v>
      </c>
      <c r="C219" t="s">
        <v>3</v>
      </c>
    </row>
    <row r="220" spans="1:3" x14ac:dyDescent="0.2">
      <c r="A220" t="s">
        <v>3</v>
      </c>
      <c r="B220" t="s">
        <v>3</v>
      </c>
      <c r="C220" t="s">
        <v>3</v>
      </c>
    </row>
    <row r="221" spans="1:3" x14ac:dyDescent="0.2">
      <c r="A221" t="s">
        <v>3</v>
      </c>
      <c r="B221" t="s">
        <v>3</v>
      </c>
      <c r="C221" t="s">
        <v>3</v>
      </c>
    </row>
    <row r="222" spans="1:3" x14ac:dyDescent="0.2">
      <c r="A222" t="s">
        <v>3</v>
      </c>
      <c r="B222" t="s">
        <v>3</v>
      </c>
      <c r="C222" t="s">
        <v>3</v>
      </c>
    </row>
    <row r="223" spans="1:3" x14ac:dyDescent="0.2">
      <c r="A223" t="s">
        <v>3</v>
      </c>
      <c r="B223" t="s">
        <v>3</v>
      </c>
      <c r="C223" t="s">
        <v>3</v>
      </c>
    </row>
    <row r="224" spans="1:3" x14ac:dyDescent="0.2">
      <c r="A224" t="s">
        <v>3</v>
      </c>
      <c r="B224" t="s">
        <v>3</v>
      </c>
      <c r="C224" t="s">
        <v>3</v>
      </c>
    </row>
    <row r="225" spans="1:3" x14ac:dyDescent="0.2">
      <c r="A225" t="s">
        <v>3</v>
      </c>
      <c r="B225" t="s">
        <v>3</v>
      </c>
      <c r="C225" t="s">
        <v>3</v>
      </c>
    </row>
    <row r="226" spans="1:3" x14ac:dyDescent="0.2">
      <c r="A226" t="s">
        <v>3</v>
      </c>
      <c r="B226" t="s">
        <v>3</v>
      </c>
      <c r="C226" t="s">
        <v>3</v>
      </c>
    </row>
    <row r="227" spans="1:3" x14ac:dyDescent="0.2">
      <c r="A227" t="s">
        <v>3</v>
      </c>
      <c r="B227" t="s">
        <v>3</v>
      </c>
      <c r="C227" t="s">
        <v>3</v>
      </c>
    </row>
    <row r="228" spans="1:3" x14ac:dyDescent="0.2">
      <c r="A228" t="s">
        <v>3</v>
      </c>
      <c r="B228" t="s">
        <v>3</v>
      </c>
      <c r="C228" t="s">
        <v>3</v>
      </c>
    </row>
    <row r="229" spans="1:3" x14ac:dyDescent="0.2">
      <c r="A229" t="s">
        <v>3</v>
      </c>
      <c r="B229" t="s">
        <v>3</v>
      </c>
      <c r="C229" t="s">
        <v>3</v>
      </c>
    </row>
    <row r="230" spans="1:3" x14ac:dyDescent="0.2">
      <c r="A230" t="s">
        <v>3</v>
      </c>
      <c r="B230" t="s">
        <v>3</v>
      </c>
      <c r="C230" t="s">
        <v>3</v>
      </c>
    </row>
    <row r="231" spans="1:3" x14ac:dyDescent="0.2">
      <c r="A231" t="s">
        <v>3</v>
      </c>
      <c r="B231" t="s">
        <v>3</v>
      </c>
      <c r="C231" t="s">
        <v>3</v>
      </c>
    </row>
    <row r="232" spans="1:3" x14ac:dyDescent="0.2">
      <c r="A232" t="s">
        <v>3</v>
      </c>
      <c r="B232" t="s">
        <v>3</v>
      </c>
      <c r="C232" t="s">
        <v>3</v>
      </c>
    </row>
    <row r="233" spans="1:3" x14ac:dyDescent="0.2">
      <c r="A233" t="s">
        <v>3</v>
      </c>
      <c r="B233" t="s">
        <v>3</v>
      </c>
      <c r="C233" t="s">
        <v>3</v>
      </c>
    </row>
    <row r="234" spans="1:3" x14ac:dyDescent="0.2">
      <c r="A234" t="s">
        <v>3</v>
      </c>
      <c r="B234" t="s">
        <v>3</v>
      </c>
      <c r="C234" t="s">
        <v>3</v>
      </c>
    </row>
    <row r="235" spans="1:3" x14ac:dyDescent="0.2">
      <c r="A235" t="s">
        <v>3</v>
      </c>
      <c r="B235" t="s">
        <v>3</v>
      </c>
      <c r="C235" t="s">
        <v>3</v>
      </c>
    </row>
    <row r="236" spans="1:3" x14ac:dyDescent="0.2">
      <c r="A236" t="s">
        <v>3</v>
      </c>
      <c r="B236" t="s">
        <v>3</v>
      </c>
      <c r="C236" t="s">
        <v>3</v>
      </c>
    </row>
    <row r="237" spans="1:3" x14ac:dyDescent="0.2">
      <c r="A237" t="s">
        <v>3</v>
      </c>
      <c r="B237" t="s">
        <v>3</v>
      </c>
      <c r="C237" t="s">
        <v>3</v>
      </c>
    </row>
    <row r="238" spans="1:3" x14ac:dyDescent="0.2">
      <c r="A238" t="s">
        <v>3</v>
      </c>
      <c r="B238" t="s">
        <v>3</v>
      </c>
      <c r="C238" t="s">
        <v>3</v>
      </c>
    </row>
    <row r="239" spans="1:3" x14ac:dyDescent="0.2">
      <c r="A239" t="s">
        <v>3</v>
      </c>
      <c r="B239" t="s">
        <v>3</v>
      </c>
      <c r="C239" t="s">
        <v>3</v>
      </c>
    </row>
    <row r="240" spans="1:3" x14ac:dyDescent="0.2">
      <c r="A240" t="s">
        <v>3</v>
      </c>
      <c r="B240" t="s">
        <v>3</v>
      </c>
      <c r="C240" t="s">
        <v>3</v>
      </c>
    </row>
    <row r="241" spans="1:3" x14ac:dyDescent="0.2">
      <c r="A241" t="s">
        <v>3</v>
      </c>
      <c r="B241" t="s">
        <v>3</v>
      </c>
      <c r="C241" t="s">
        <v>3</v>
      </c>
    </row>
    <row r="242" spans="1:3" x14ac:dyDescent="0.2">
      <c r="A242" t="s">
        <v>3</v>
      </c>
      <c r="B242" t="s">
        <v>3</v>
      </c>
      <c r="C242" t="s">
        <v>3</v>
      </c>
    </row>
    <row r="243" spans="1:3" x14ac:dyDescent="0.2">
      <c r="A243" t="s">
        <v>3</v>
      </c>
      <c r="B243" t="s">
        <v>3</v>
      </c>
      <c r="C243" t="s">
        <v>3</v>
      </c>
    </row>
    <row r="244" spans="1:3" x14ac:dyDescent="0.2">
      <c r="A244" t="s">
        <v>3</v>
      </c>
      <c r="B244" t="s">
        <v>3</v>
      </c>
      <c r="C244" t="s">
        <v>3</v>
      </c>
    </row>
    <row r="245" spans="1:3" x14ac:dyDescent="0.2">
      <c r="A245" t="s">
        <v>3</v>
      </c>
      <c r="B245" t="s">
        <v>3</v>
      </c>
      <c r="C245" t="s">
        <v>3</v>
      </c>
    </row>
  </sheetData>
  <mergeCells count="20">
    <mergeCell ref="A6:A7"/>
    <mergeCell ref="B6:B7"/>
    <mergeCell ref="C6:C7"/>
    <mergeCell ref="F6:F7"/>
    <mergeCell ref="D6:D7"/>
    <mergeCell ref="E6:E7"/>
    <mergeCell ref="R136:S136"/>
    <mergeCell ref="K6:K7"/>
    <mergeCell ref="L6:L7"/>
    <mergeCell ref="G6:G7"/>
    <mergeCell ref="H6:H7"/>
    <mergeCell ref="I6:I7"/>
    <mergeCell ref="J6:J7"/>
    <mergeCell ref="R6:R7"/>
    <mergeCell ref="M6:M7"/>
    <mergeCell ref="N6:N7"/>
    <mergeCell ref="O6:O7"/>
    <mergeCell ref="P6:P7"/>
    <mergeCell ref="Q6:Q7"/>
    <mergeCell ref="S6:S7"/>
  </mergeCells>
  <phoneticPr fontId="0" type="noConversion"/>
  <printOptions horizontalCentered="1"/>
  <pageMargins left="0.39370078740157483" right="0" top="0.9055118110236221" bottom="0" header="0.51181102362204722" footer="0.51181102362204722"/>
  <pageSetup paperSize="9" scale="35" orientation="landscape" horizontalDpi="360" verticalDpi="360" r:id="rId1"/>
  <headerFooter alignWithMargins="0">
    <oddFooter>Page &amp;P&amp;R&amp;Z&amp;F</oddFooter>
  </headerFooter>
  <rowBreaks count="1" manualBreakCount="1">
    <brk id="64" max="19" man="1"/>
  </rowBreaks>
  <drawing r:id="rId2"/>
  <legacyDrawing r:id="rId3"/>
  <oleObjects>
    <mc:AlternateContent xmlns:mc="http://schemas.openxmlformats.org/markup-compatibility/2006">
      <mc:Choice Requires="x14">
        <oleObject progId="123Worksheet" shapeId="7169" r:id="rId4">
          <objectPr defaultSize="0" autoPict="0" r:id="rId5">
            <anchor moveWithCells="1">
              <from>
                <xdr:col>0</xdr:col>
                <xdr:colOff>409575</xdr:colOff>
                <xdr:row>0</xdr:row>
                <xdr:rowOff>114300</xdr:rowOff>
              </from>
              <to>
                <xdr:col>0</xdr:col>
                <xdr:colOff>885825</xdr:colOff>
                <xdr:row>3</xdr:row>
                <xdr:rowOff>0</xdr:rowOff>
              </to>
            </anchor>
          </objectPr>
        </oleObject>
      </mc:Choice>
      <mc:Fallback>
        <oleObject progId="123Worksheet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 Pengusahaan</vt:lpstr>
      <vt:lpstr>daus-10</vt:lpstr>
      <vt:lpstr>'Data Pengusahaan'!Print_Area</vt:lpstr>
      <vt:lpstr>'Data Pengusahaan'!Print_Titles</vt:lpstr>
      <vt:lpstr>'daus-10'!Print_Titles</vt:lpstr>
    </vt:vector>
  </TitlesOfParts>
  <Company>plnsda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</dc:creator>
  <cp:lastModifiedBy>Anwar</cp:lastModifiedBy>
  <cp:lastPrinted>2017-12-20T02:59:57Z</cp:lastPrinted>
  <dcterms:created xsi:type="dcterms:W3CDTF">2003-09-15T02:21:55Z</dcterms:created>
  <dcterms:modified xsi:type="dcterms:W3CDTF">2018-04-07T03:45:34Z</dcterms:modified>
</cp:coreProperties>
</file>