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0" windowWidth="15600" windowHeight="8685" firstSheet="1" activeTab="7"/>
  </bookViews>
  <sheets>
    <sheet name="Удельные затраты (на ед.)" sheetId="2" r:id="rId1"/>
    <sheet name="Цена на товарную продукцию" sheetId="3" r:id="rId2"/>
    <sheet name="Решение задачи" sheetId="4" r:id="rId3"/>
    <sheet name="Лист1" sheetId="6" r:id="rId4"/>
    <sheet name="Лист9" sheetId="12" r:id="rId5"/>
    <sheet name="Лист5" sheetId="8" r:id="rId6"/>
    <sheet name="Решение" sheetId="13" r:id="rId7"/>
    <sheet name="ЦФ" sheetId="14" r:id="rId8"/>
    <sheet name="Лист2" sheetId="16" r:id="rId9"/>
  </sheets>
  <externalReferences>
    <externalReference r:id="rId10"/>
    <externalReference r:id="rId11"/>
  </externalReferences>
  <definedNames>
    <definedName name="solver_adj" localSheetId="6" hidden="1">Решение!$A$18:$T$18</definedName>
    <definedName name="solver_adj" localSheetId="2" hidden="1">'Решение задачи'!$A$58:$T$58</definedName>
    <definedName name="solver_cvg" localSheetId="6" hidden="1">0.0001</definedName>
    <definedName name="solver_cvg" localSheetId="2" hidden="1">0.00000000000000001</definedName>
    <definedName name="solver_drv" localSheetId="6" hidden="1">1</definedName>
    <definedName name="solver_drv" localSheetId="2" hidden="1">1</definedName>
    <definedName name="solver_eng" localSheetId="5" hidden="1">1</definedName>
    <definedName name="solver_eng" localSheetId="6" hidden="1">2</definedName>
    <definedName name="solver_eng" localSheetId="2" hidden="1">2</definedName>
    <definedName name="solver_est" localSheetId="6" hidden="1">1</definedName>
    <definedName name="solver_est" localSheetId="2" hidden="1">1</definedName>
    <definedName name="solver_itr" localSheetId="6" hidden="1">100</definedName>
    <definedName name="solver_itr" localSheetId="2" hidden="1">10000</definedName>
    <definedName name="solver_lhs1" localSheetId="6" hidden="1">Решение!$A$18</definedName>
    <definedName name="solver_lhs1" localSheetId="2" hidden="1">'Решение задачи'!$V$62</definedName>
    <definedName name="solver_lhs10" localSheetId="6" hidden="1">Решение!$J$11</definedName>
    <definedName name="solver_lhs10" localSheetId="2" hidden="1">'Решение задачи'!$F$25</definedName>
    <definedName name="solver_lhs11" localSheetId="6" hidden="1">Решение!$J$11</definedName>
    <definedName name="solver_lhs11" localSheetId="2" hidden="1">'Решение задачи'!$G$18</definedName>
    <definedName name="solver_lhs12" localSheetId="6" hidden="1">Решение!$N$18:$Q$18</definedName>
    <definedName name="solver_lhs12" localSheetId="2" hidden="1">'Решение задачи'!$I$11</definedName>
    <definedName name="solver_lhs13" localSheetId="6" hidden="1">Решение!$O$11</definedName>
    <definedName name="solver_lhs13" localSheetId="2" hidden="1">'Решение задачи'!$B$4</definedName>
    <definedName name="solver_lhs14" localSheetId="6" hidden="1">Решение!$R$18:$T$18</definedName>
    <definedName name="solver_lhs14" localSheetId="2" hidden="1">'Решение задачи'!$A$58:$T$58</definedName>
    <definedName name="solver_lhs15" localSheetId="6" hidden="1">Решение!$F$49:$F$63</definedName>
    <definedName name="solver_lhs15" localSheetId="2" hidden="1">'Решение задачи'!$B$58:$H$58</definedName>
    <definedName name="solver_lhs16" localSheetId="6" hidden="1">Решение!$V$21</definedName>
    <definedName name="solver_lhs16" localSheetId="2" hidden="1">'Решение задачи'!$V$62</definedName>
    <definedName name="solver_lhs2" localSheetId="6" hidden="1">Решение!$A$18:$T$18</definedName>
    <definedName name="solver_lhs2" localSheetId="2" hidden="1">'Решение задачи'!$R$58:$T$58</definedName>
    <definedName name="solver_lhs3" localSheetId="6" hidden="1">Решение!$B$11</definedName>
    <definedName name="solver_lhs3" localSheetId="2" hidden="1">'Решение задачи'!$L$41:$L$55</definedName>
    <definedName name="solver_lhs4" localSheetId="6" hidden="1">Решение!$B$18:$H$18</definedName>
    <definedName name="solver_lhs4" localSheetId="2" hidden="1">'Решение задачи'!$N$58:$Q$58</definedName>
    <definedName name="solver_lhs5" localSheetId="6" hidden="1">Решение!$C$11</definedName>
    <definedName name="solver_lhs5" localSheetId="2" hidden="1">'Решение задачи'!$A$58</definedName>
    <definedName name="solver_lhs6" localSheetId="6" hidden="1">Решение!$C$11</definedName>
    <definedName name="solver_lhs6" localSheetId="2" hidden="1">'Решение задачи'!$G$18</definedName>
    <definedName name="solver_lhs7" localSheetId="6" hidden="1">Решение!$S$11</definedName>
    <definedName name="solver_lhs7" localSheetId="2" hidden="1">'Решение задачи'!$E$32</definedName>
    <definedName name="solver_lhs8" localSheetId="6" hidden="1">Решение!$V$21</definedName>
    <definedName name="solver_lhs8" localSheetId="2" hidden="1">'Решение задачи'!$I$58:$M$58</definedName>
    <definedName name="solver_lhs9" localSheetId="6" hidden="1">Решение!$I$18:$M$18</definedName>
    <definedName name="solver_lhs9" localSheetId="2" hidden="1">'Решение задачи'!$I$11</definedName>
    <definedName name="solver_lin" localSheetId="6" hidden="1">2</definedName>
    <definedName name="solver_lin" localSheetId="2" hidden="1">1</definedName>
    <definedName name="solver_mip" localSheetId="6" hidden="1">2147483647</definedName>
    <definedName name="solver_mip" localSheetId="2" hidden="1">2147483647</definedName>
    <definedName name="solver_mni" localSheetId="6" hidden="1">30</definedName>
    <definedName name="solver_mni" localSheetId="2" hidden="1">30</definedName>
    <definedName name="solver_mrt" localSheetId="6" hidden="1">0.075</definedName>
    <definedName name="solver_mrt" localSheetId="2" hidden="1">0.075</definedName>
    <definedName name="solver_msl" localSheetId="6" hidden="1">2</definedName>
    <definedName name="solver_msl" localSheetId="2" hidden="1">2</definedName>
    <definedName name="solver_neg" localSheetId="5" hidden="1">1</definedName>
    <definedName name="solver_neg" localSheetId="6" hidden="1">2</definedName>
    <definedName name="solver_neg" localSheetId="2" hidden="1">2</definedName>
    <definedName name="solver_nod" localSheetId="6" hidden="1">2147483647</definedName>
    <definedName name="solver_nod" localSheetId="2" hidden="1">2147483647</definedName>
    <definedName name="solver_num" localSheetId="5" hidden="1">0</definedName>
    <definedName name="solver_num" localSheetId="6" hidden="1">15</definedName>
    <definedName name="solver_num" localSheetId="2" hidden="1">15</definedName>
    <definedName name="solver_nwt" localSheetId="6" hidden="1">1</definedName>
    <definedName name="solver_nwt" localSheetId="2" hidden="1">1</definedName>
    <definedName name="solver_opt" localSheetId="5" hidden="1">Лист5!$A$83</definedName>
    <definedName name="solver_opt" localSheetId="6" hidden="1">Решение!$Z$21</definedName>
    <definedName name="solver_opt" localSheetId="2" hidden="1">'Решение задачи'!$I$5</definedName>
    <definedName name="solver_pre" localSheetId="6" hidden="1">0.000001</definedName>
    <definedName name="solver_pre" localSheetId="2" hidden="1">0.00000000000001</definedName>
    <definedName name="solver_rbv" localSheetId="6" hidden="1">2</definedName>
    <definedName name="solver_rbv" localSheetId="2" hidden="1">1</definedName>
    <definedName name="solver_rel1" localSheetId="6" hidden="1">1</definedName>
    <definedName name="solver_rel1" localSheetId="2" hidden="1">1</definedName>
    <definedName name="solver_rel10" localSheetId="6" hidden="1">1</definedName>
    <definedName name="solver_rel10" localSheetId="2" hidden="1">1</definedName>
    <definedName name="solver_rel11" localSheetId="6" hidden="1">1</definedName>
    <definedName name="solver_rel11" localSheetId="2" hidden="1">1</definedName>
    <definedName name="solver_rel12" localSheetId="6" hidden="1">2</definedName>
    <definedName name="solver_rel12" localSheetId="2" hidden="1">1</definedName>
    <definedName name="solver_rel13" localSheetId="6" hidden="1">1</definedName>
    <definedName name="solver_rel13" localSheetId="2" hidden="1">1</definedName>
    <definedName name="solver_rel14" localSheetId="6" hidden="1">2</definedName>
    <definedName name="solver_rel14" localSheetId="2" hidden="1">3</definedName>
    <definedName name="solver_rel15" localSheetId="6" hidden="1">1</definedName>
    <definedName name="solver_rel15" localSheetId="2" hidden="1">2</definedName>
    <definedName name="solver_rel16" localSheetId="6" hidden="1">1</definedName>
    <definedName name="solver_rel16" localSheetId="2" hidden="1">1</definedName>
    <definedName name="solver_rel2" localSheetId="6" hidden="1">3</definedName>
    <definedName name="solver_rel2" localSheetId="2" hidden="1">2</definedName>
    <definedName name="solver_rel3" localSheetId="6" hidden="1">1</definedName>
    <definedName name="solver_rel3" localSheetId="2" hidden="1">1</definedName>
    <definedName name="solver_rel4" localSheetId="6" hidden="1">2</definedName>
    <definedName name="solver_rel4" localSheetId="2" hidden="1">2</definedName>
    <definedName name="solver_rel5" localSheetId="6" hidden="1">1</definedName>
    <definedName name="solver_rel5" localSheetId="2" hidden="1">2</definedName>
    <definedName name="solver_rel6" localSheetId="6" hidden="1">1</definedName>
    <definedName name="solver_rel6" localSheetId="2" hidden="1">1</definedName>
    <definedName name="solver_rel7" localSheetId="6" hidden="1">1</definedName>
    <definedName name="solver_rel7" localSheetId="2" hidden="1">1</definedName>
    <definedName name="solver_rel8" localSheetId="6" hidden="1">1</definedName>
    <definedName name="solver_rel8" localSheetId="2" hidden="1">2</definedName>
    <definedName name="solver_rel9" localSheetId="6" hidden="1">2</definedName>
    <definedName name="solver_rel9" localSheetId="2" hidden="1">1</definedName>
    <definedName name="solver_rhs1" localSheetId="6" hidden="1">Решение!$A$20</definedName>
    <definedName name="solver_rhs1" localSheetId="2" hidden="1">'Решение задачи'!$G$32</definedName>
    <definedName name="solver_rhs10" localSheetId="6" hidden="1">Решение!$F$7</definedName>
    <definedName name="solver_rhs10" localSheetId="2" hidden="1">'Решение задачи'!$H$25</definedName>
    <definedName name="solver_rhs11" localSheetId="6" hidden="1">Решение!$J$13</definedName>
    <definedName name="solver_rhs11" localSheetId="2" hidden="1">'Решение задачи'!$I$18</definedName>
    <definedName name="solver_rhs12" localSheetId="6" hidden="1">Решение!$N$20:$Q$20</definedName>
    <definedName name="solver_rhs12" localSheetId="2" hidden="1">'Решение задачи'!$B$4</definedName>
    <definedName name="solver_rhs13" localSheetId="6" hidden="1">Решение!$O$13</definedName>
    <definedName name="solver_rhs13" localSheetId="2" hidden="1">'Решение задачи'!$E$4</definedName>
    <definedName name="solver_rhs14" localSheetId="6" hidden="1">Решение!$R$20:$T$20</definedName>
    <definedName name="solver_rhs14" localSheetId="2" hidden="1">0</definedName>
    <definedName name="solver_rhs15" localSheetId="6" hidden="1">Решение!$I$49:$I$63</definedName>
    <definedName name="solver_rhs15" localSheetId="2" hidden="1">'Решение задачи'!$B$60:$H$60</definedName>
    <definedName name="solver_rhs16" localSheetId="6" hidden="1">Решение!$S$13</definedName>
    <definedName name="solver_rhs16" localSheetId="2" hidden="1">'Решение задачи'!$G$32</definedName>
    <definedName name="solver_rhs2" localSheetId="6" hidden="1">0</definedName>
    <definedName name="solver_rhs2" localSheetId="2" hidden="1">'Решение задачи'!$R$60:$T$60</definedName>
    <definedName name="solver_rhs3" localSheetId="6" hidden="1">Решение!$B$13</definedName>
    <definedName name="solver_rhs3" localSheetId="2" hidden="1">'Решение задачи'!$G$41:$G$55</definedName>
    <definedName name="solver_rhs4" localSheetId="6" hidden="1">Решение!$B$20:$H$20</definedName>
    <definedName name="solver_rhs4" localSheetId="2" hidden="1">'Решение задачи'!$N$60:$Q$60</definedName>
    <definedName name="solver_rhs5" localSheetId="6" hidden="1">Решение!$B$11</definedName>
    <definedName name="solver_rhs5" localSheetId="2" hidden="1">'Решение задачи'!$A$60</definedName>
    <definedName name="solver_rhs6" localSheetId="6" hidden="1">Решение!$C$13</definedName>
    <definedName name="solver_rhs6" localSheetId="2" hidden="1">'Решение задачи'!$E$11</definedName>
    <definedName name="solver_rhs7" localSheetId="6" hidden="1">Решение!$S$13</definedName>
    <definedName name="solver_rhs7" localSheetId="2" hidden="1">'Решение задачи'!$G$32</definedName>
    <definedName name="solver_rhs8" localSheetId="6" hidden="1">Решение!$S$13</definedName>
    <definedName name="solver_rhs8" localSheetId="2" hidden="1">'Решение задачи'!$I$60:$M$60</definedName>
    <definedName name="solver_rhs9" localSheetId="6" hidden="1">Решение!$I$20:$M$20</definedName>
    <definedName name="solver_rhs9" localSheetId="2" hidden="1">'Решение задачи'!$K$11</definedName>
    <definedName name="solver_rlx" localSheetId="6" hidden="1">2</definedName>
    <definedName name="solver_rlx" localSheetId="2" hidden="1">1</definedName>
    <definedName name="solver_rsd" localSheetId="6" hidden="1">0</definedName>
    <definedName name="solver_rsd" localSheetId="2" hidden="1">0</definedName>
    <definedName name="solver_scl" localSheetId="6" hidden="1">2</definedName>
    <definedName name="solver_scl" localSheetId="2" hidden="1">2</definedName>
    <definedName name="solver_sho" localSheetId="6" hidden="1">2</definedName>
    <definedName name="solver_sho" localSheetId="2" hidden="1">2</definedName>
    <definedName name="solver_ssz" localSheetId="6" hidden="1">100</definedName>
    <definedName name="solver_ssz" localSheetId="2" hidden="1">100</definedName>
    <definedName name="solver_tim" localSheetId="6" hidden="1">100</definedName>
    <definedName name="solver_tim" localSheetId="2" hidden="1">10000</definedName>
    <definedName name="solver_tol" localSheetId="6" hidden="1">0.05</definedName>
    <definedName name="solver_tol" localSheetId="2" hidden="1">0.01</definedName>
    <definedName name="solver_typ" localSheetId="5" hidden="1">1</definedName>
    <definedName name="solver_typ" localSheetId="6" hidden="1">1</definedName>
    <definedName name="solver_typ" localSheetId="2" hidden="1">1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er" localSheetId="5" hidden="1">3</definedName>
    <definedName name="solver_ver" localSheetId="6" hidden="1">3</definedName>
    <definedName name="solver_ver" localSheetId="2" hidden="1">3</definedName>
    <definedName name="Налог">'[1]Результаты анализа'!$D$3</definedName>
    <definedName name="Нач_инвест">'[1]Результаты анализа'!$B$2</definedName>
    <definedName name="Норма">'[1]Результаты анализа'!$D$2</definedName>
    <definedName name="Пост_расх">'[1]Результаты анализа'!$B$3</definedName>
    <definedName name="Срок">'[1]Результаты анализа'!$D$4</definedName>
  </definedNames>
  <calcPr calcId="125725"/>
</workbook>
</file>

<file path=xl/calcChain.xml><?xml version="1.0" encoding="utf-8"?>
<calcChain xmlns="http://schemas.openxmlformats.org/spreadsheetml/2006/main">
  <c r="P66" i="16"/>
  <c r="Q66"/>
  <c r="O66"/>
  <c r="O65"/>
  <c r="P65"/>
  <c r="Q65"/>
  <c r="N65"/>
  <c r="N50"/>
  <c r="O50"/>
  <c r="P50"/>
  <c r="Q50"/>
  <c r="N51"/>
  <c r="O51"/>
  <c r="P51"/>
  <c r="Q51"/>
  <c r="N52"/>
  <c r="O52"/>
  <c r="P52"/>
  <c r="Q52"/>
  <c r="N53"/>
  <c r="O53"/>
  <c r="P53"/>
  <c r="Q53"/>
  <c r="N54"/>
  <c r="O54"/>
  <c r="P54"/>
  <c r="Q54"/>
  <c r="N55"/>
  <c r="O55"/>
  <c r="P55"/>
  <c r="Q55"/>
  <c r="N56"/>
  <c r="O56"/>
  <c r="P56"/>
  <c r="Q56"/>
  <c r="N57"/>
  <c r="O57"/>
  <c r="P57"/>
  <c r="Q57"/>
  <c r="N58"/>
  <c r="O58"/>
  <c r="P58"/>
  <c r="Q58"/>
  <c r="N59"/>
  <c r="O59"/>
  <c r="P59"/>
  <c r="Q59"/>
  <c r="N60"/>
  <c r="O60"/>
  <c r="P60"/>
  <c r="Q60"/>
  <c r="N61"/>
  <c r="O61"/>
  <c r="P61"/>
  <c r="Q61"/>
  <c r="N62"/>
  <c r="O62"/>
  <c r="P62"/>
  <c r="Q62"/>
  <c r="N63"/>
  <c r="O63"/>
  <c r="P63"/>
  <c r="Q63"/>
  <c r="O49"/>
  <c r="P49"/>
  <c r="Q49"/>
  <c r="N49"/>
  <c r="M50"/>
  <c r="M51"/>
  <c r="M52"/>
  <c r="M53"/>
  <c r="M54"/>
  <c r="M55"/>
  <c r="M56"/>
  <c r="M57"/>
  <c r="M58"/>
  <c r="M59"/>
  <c r="M60"/>
  <c r="M61"/>
  <c r="M62"/>
  <c r="M63"/>
  <c r="M49"/>
  <c r="N64"/>
  <c r="O64"/>
  <c r="Q64"/>
  <c r="M64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I50"/>
  <c r="I51"/>
  <c r="I52"/>
  <c r="I53"/>
  <c r="I54"/>
  <c r="I55"/>
  <c r="I56"/>
  <c r="I57"/>
  <c r="I58"/>
  <c r="I59"/>
  <c r="I60"/>
  <c r="I61"/>
  <c r="I62"/>
  <c r="I63"/>
  <c r="J49"/>
  <c r="K49"/>
  <c r="I49"/>
  <c r="H50"/>
  <c r="H51"/>
  <c r="H52"/>
  <c r="H53"/>
  <c r="H54"/>
  <c r="H55"/>
  <c r="H56"/>
  <c r="H57"/>
  <c r="H58"/>
  <c r="H59"/>
  <c r="H60"/>
  <c r="H61"/>
  <c r="H62"/>
  <c r="H63"/>
  <c r="H49"/>
  <c r="D63"/>
  <c r="E63"/>
  <c r="F63"/>
  <c r="G63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E49"/>
  <c r="F49"/>
  <c r="G49"/>
  <c r="D49"/>
  <c r="M42" i="4"/>
  <c r="M43"/>
  <c r="M44"/>
  <c r="M45"/>
  <c r="M46"/>
  <c r="M47"/>
  <c r="M48"/>
  <c r="M49"/>
  <c r="M50"/>
  <c r="M51"/>
  <c r="M52"/>
  <c r="M53"/>
  <c r="M54"/>
  <c r="M55"/>
  <c r="M41"/>
  <c r="L34"/>
  <c r="K38"/>
  <c r="I174" i="14"/>
  <c r="K158"/>
  <c r="L158"/>
  <c r="M158"/>
  <c r="K159"/>
  <c r="L159"/>
  <c r="M159"/>
  <c r="K160"/>
  <c r="L160"/>
  <c r="M160"/>
  <c r="K161"/>
  <c r="L161"/>
  <c r="M161"/>
  <c r="K162"/>
  <c r="L162"/>
  <c r="M162"/>
  <c r="K163"/>
  <c r="L163"/>
  <c r="M163"/>
  <c r="K164"/>
  <c r="L164"/>
  <c r="M164"/>
  <c r="K165"/>
  <c r="L165"/>
  <c r="M165"/>
  <c r="K166"/>
  <c r="L166"/>
  <c r="M166"/>
  <c r="K167"/>
  <c r="L167"/>
  <c r="M167"/>
  <c r="K168"/>
  <c r="L168"/>
  <c r="M168"/>
  <c r="K169"/>
  <c r="L169"/>
  <c r="M169"/>
  <c r="K170"/>
  <c r="L170"/>
  <c r="M170"/>
  <c r="K171"/>
  <c r="L171"/>
  <c r="M171"/>
  <c r="K172"/>
  <c r="L172"/>
  <c r="M172"/>
  <c r="J159"/>
  <c r="J160"/>
  <c r="J161"/>
  <c r="J162"/>
  <c r="J163"/>
  <c r="J164"/>
  <c r="J165"/>
  <c r="J166"/>
  <c r="J167"/>
  <c r="J168"/>
  <c r="J169"/>
  <c r="J170"/>
  <c r="J171"/>
  <c r="J172"/>
  <c r="I159"/>
  <c r="I160"/>
  <c r="I161"/>
  <c r="I162"/>
  <c r="I163"/>
  <c r="I164"/>
  <c r="I165"/>
  <c r="I166"/>
  <c r="I167"/>
  <c r="I168"/>
  <c r="I169"/>
  <c r="I170"/>
  <c r="I171"/>
  <c r="I172"/>
  <c r="I158"/>
  <c r="C175"/>
  <c r="K173"/>
  <c r="K174" s="1"/>
  <c r="K175" s="1"/>
  <c r="L173"/>
  <c r="L174" s="1"/>
  <c r="L175" s="1"/>
  <c r="M173"/>
  <c r="M174" s="1"/>
  <c r="M175" s="1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D159"/>
  <c r="D160"/>
  <c r="D161"/>
  <c r="D162"/>
  <c r="D163"/>
  <c r="D164"/>
  <c r="D165"/>
  <c r="D166"/>
  <c r="D167"/>
  <c r="D168"/>
  <c r="D169"/>
  <c r="D170"/>
  <c r="D171"/>
  <c r="D172"/>
  <c r="D158"/>
  <c r="J158" s="1"/>
  <c r="J173" s="1"/>
  <c r="J174" s="1"/>
  <c r="J175" s="1"/>
  <c r="F119"/>
  <c r="E119"/>
  <c r="D119"/>
  <c r="C119"/>
  <c r="M105"/>
  <c r="L105"/>
  <c r="K105"/>
  <c r="J105"/>
  <c r="I105"/>
  <c r="H105"/>
  <c r="G105"/>
  <c r="F105"/>
  <c r="E105"/>
  <c r="D105"/>
  <c r="M104"/>
  <c r="L104"/>
  <c r="K104"/>
  <c r="J104"/>
  <c r="I104"/>
  <c r="H104"/>
  <c r="G104"/>
  <c r="F104"/>
  <c r="E104"/>
  <c r="D104"/>
  <c r="M103"/>
  <c r="L103"/>
  <c r="K103"/>
  <c r="J103"/>
  <c r="I103"/>
  <c r="H103"/>
  <c r="G103"/>
  <c r="F103"/>
  <c r="E103"/>
  <c r="D103"/>
  <c r="M102"/>
  <c r="L102"/>
  <c r="K102"/>
  <c r="J102"/>
  <c r="I102"/>
  <c r="H102"/>
  <c r="G102"/>
  <c r="F102"/>
  <c r="E102"/>
  <c r="D102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D47"/>
  <c r="P64" i="16" l="1"/>
  <c r="A59" i="4"/>
  <c r="C5"/>
  <c r="C33"/>
  <c r="D33"/>
  <c r="B33"/>
  <c r="C26"/>
  <c r="D26"/>
  <c r="E26"/>
  <c r="B26"/>
  <c r="C19"/>
  <c r="D19"/>
  <c r="E19"/>
  <c r="F19"/>
  <c r="B19"/>
  <c r="C12"/>
  <c r="D12"/>
  <c r="E12"/>
  <c r="F12"/>
  <c r="G12"/>
  <c r="H12"/>
  <c r="B12"/>
  <c r="R62"/>
  <c r="U62"/>
  <c r="N31" i="13" l="1"/>
  <c r="R21"/>
  <c r="U21"/>
  <c r="S21"/>
  <c r="C20"/>
  <c r="O20" s="1"/>
  <c r="D20"/>
  <c r="P20" s="1"/>
  <c r="E20"/>
  <c r="J20" s="1"/>
  <c r="F20"/>
  <c r="G20"/>
  <c r="H20"/>
  <c r="B20"/>
  <c r="N20"/>
  <c r="J32"/>
  <c r="E32" s="1"/>
  <c r="F32" s="1"/>
  <c r="J53"/>
  <c r="K53" s="1"/>
  <c r="L20"/>
  <c r="K20"/>
  <c r="Z18"/>
  <c r="B9"/>
  <c r="B10" s="1"/>
  <c r="B74" i="8"/>
  <c r="G42" i="4" s="1"/>
  <c r="C74" i="8"/>
  <c r="G43" i="4" s="1"/>
  <c r="D74" i="8"/>
  <c r="G44" i="4" s="1"/>
  <c r="E74" i="8"/>
  <c r="G45" i="4" s="1"/>
  <c r="F74" i="8"/>
  <c r="G46" i="4" s="1"/>
  <c r="G74" i="8"/>
  <c r="G47" i="4" s="1"/>
  <c r="H74" i="8"/>
  <c r="G48" i="4" s="1"/>
  <c r="I74" i="8"/>
  <c r="G49" i="4" s="1"/>
  <c r="J74" i="8"/>
  <c r="G50" i="4" s="1"/>
  <c r="K74" i="8"/>
  <c r="G51" i="4" s="1"/>
  <c r="L74" i="8"/>
  <c r="G52" i="4" s="1"/>
  <c r="M74" i="8"/>
  <c r="G53" i="4" s="1"/>
  <c r="N74" i="8"/>
  <c r="G54" i="4" s="1"/>
  <c r="O74" i="8"/>
  <c r="G55" i="4" s="1"/>
  <c r="B75" i="8"/>
  <c r="J29" i="13" s="1"/>
  <c r="C75" i="8"/>
  <c r="J30" i="13" s="1"/>
  <c r="D75" i="8"/>
  <c r="J31" i="13" s="1"/>
  <c r="E75" i="8"/>
  <c r="H45" i="4" s="1"/>
  <c r="I45" s="1"/>
  <c r="F75" i="8"/>
  <c r="J33" i="13" s="1"/>
  <c r="G75" i="8"/>
  <c r="J34" i="13" s="1"/>
  <c r="H75" i="8"/>
  <c r="J35" i="13" s="1"/>
  <c r="I75" i="8"/>
  <c r="J57" i="13" s="1"/>
  <c r="K57" s="1"/>
  <c r="J75" i="8"/>
  <c r="J37" i="13" s="1"/>
  <c r="K75" i="8"/>
  <c r="J38" i="13" s="1"/>
  <c r="L75" i="8"/>
  <c r="J39" i="13" s="1"/>
  <c r="M75" i="8"/>
  <c r="H53" i="4" s="1"/>
  <c r="I53" s="1"/>
  <c r="N75" i="8"/>
  <c r="J41" i="13" s="1"/>
  <c r="O75" i="8"/>
  <c r="J42" i="13" s="1"/>
  <c r="A75" i="8"/>
  <c r="J28" i="13" s="1"/>
  <c r="B144" i="8"/>
  <c r="C144"/>
  <c r="D144"/>
  <c r="E144"/>
  <c r="F144"/>
  <c r="G144"/>
  <c r="H144"/>
  <c r="I144"/>
  <c r="J144"/>
  <c r="K144"/>
  <c r="L144"/>
  <c r="M144"/>
  <c r="N144"/>
  <c r="O144"/>
  <c r="BF144"/>
  <c r="BG144"/>
  <c r="BH144"/>
  <c r="B145"/>
  <c r="C145"/>
  <c r="D145"/>
  <c r="E145"/>
  <c r="F145"/>
  <c r="G145"/>
  <c r="H145"/>
  <c r="I145"/>
  <c r="J145"/>
  <c r="K145"/>
  <c r="L145"/>
  <c r="M145"/>
  <c r="N145"/>
  <c r="O145"/>
  <c r="BF145"/>
  <c r="BG145"/>
  <c r="BH145"/>
  <c r="A145"/>
  <c r="A144"/>
  <c r="A74"/>
  <c r="G41" i="4" s="1"/>
  <c r="S11" i="13"/>
  <c r="O11"/>
  <c r="J11"/>
  <c r="C11"/>
  <c r="C29" i="2"/>
  <c r="C11" i="4"/>
  <c r="Q24" i="2" s="1"/>
  <c r="P9" i="13" s="1"/>
  <c r="D18" i="4"/>
  <c r="U26" i="2" s="1"/>
  <c r="E25" i="4"/>
  <c r="T25" i="2" s="1"/>
  <c r="D11" i="4"/>
  <c r="R24" i="2" s="1"/>
  <c r="E11" i="4"/>
  <c r="S24" i="2" s="1"/>
  <c r="R9" i="13" s="1"/>
  <c r="B11" i="4"/>
  <c r="B4"/>
  <c r="E22" i="2" s="1"/>
  <c r="D9" i="13" s="1"/>
  <c r="F11" i="4"/>
  <c r="G11"/>
  <c r="H11"/>
  <c r="B32"/>
  <c r="C32"/>
  <c r="D32"/>
  <c r="B25"/>
  <c r="C25"/>
  <c r="D25"/>
  <c r="B18"/>
  <c r="C18"/>
  <c r="E18"/>
  <c r="F18"/>
  <c r="B32" i="6"/>
  <c r="J60" i="4"/>
  <c r="K60"/>
  <c r="L60"/>
  <c r="M60"/>
  <c r="I60"/>
  <c r="U60" i="6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D8"/>
  <c r="E8"/>
  <c r="F8"/>
  <c r="G8"/>
  <c r="H8"/>
  <c r="I8"/>
  <c r="J8"/>
  <c r="K8"/>
  <c r="L8"/>
  <c r="M8"/>
  <c r="N8"/>
  <c r="O8"/>
  <c r="P8"/>
  <c r="Q8"/>
  <c r="R8"/>
  <c r="S8"/>
  <c r="T8"/>
  <c r="U8"/>
  <c r="C8"/>
  <c r="B8"/>
  <c r="H7" i="8"/>
  <c r="H8" s="1"/>
  <c r="I7"/>
  <c r="I8" s="1"/>
  <c r="J7"/>
  <c r="J8" s="1"/>
  <c r="K7"/>
  <c r="K8" s="1"/>
  <c r="L7"/>
  <c r="L8" s="1"/>
  <c r="M7"/>
  <c r="M8" s="1"/>
  <c r="N7"/>
  <c r="N8" s="1"/>
  <c r="O7"/>
  <c r="O8" s="1"/>
  <c r="P7"/>
  <c r="P8" s="1"/>
  <c r="B7"/>
  <c r="B8" s="1"/>
  <c r="C7"/>
  <c r="D7"/>
  <c r="D8" s="1"/>
  <c r="E7"/>
  <c r="E8" s="1"/>
  <c r="F7"/>
  <c r="F8" s="1"/>
  <c r="G7"/>
  <c r="G8" s="1"/>
  <c r="C8"/>
  <c r="E10"/>
  <c r="B3" i="6"/>
  <c r="V4" s="1"/>
  <c r="C41" i="4" s="1"/>
  <c r="A60" s="1"/>
  <c r="C3" i="6"/>
  <c r="D3"/>
  <c r="E3"/>
  <c r="F3"/>
  <c r="G3"/>
  <c r="H3"/>
  <c r="I3"/>
  <c r="J3"/>
  <c r="K3"/>
  <c r="L3"/>
  <c r="M3"/>
  <c r="N3"/>
  <c r="O3"/>
  <c r="P3"/>
  <c r="Q3"/>
  <c r="R3"/>
  <c r="S3"/>
  <c r="T3"/>
  <c r="U3"/>
  <c r="B5"/>
  <c r="B9" s="1"/>
  <c r="C5"/>
  <c r="C9" s="1"/>
  <c r="C13" s="1"/>
  <c r="C17" s="1"/>
  <c r="C21" s="1"/>
  <c r="C25" s="1"/>
  <c r="C29" s="1"/>
  <c r="C33" s="1"/>
  <c r="C37" s="1"/>
  <c r="C41" s="1"/>
  <c r="C45" s="1"/>
  <c r="C49" s="1"/>
  <c r="C53" s="1"/>
  <c r="C57" s="1"/>
  <c r="D5"/>
  <c r="D9" s="1"/>
  <c r="D13" s="1"/>
  <c r="E5"/>
  <c r="E9" s="1"/>
  <c r="E13" s="1"/>
  <c r="E17" s="1"/>
  <c r="E21" s="1"/>
  <c r="E25" s="1"/>
  <c r="E29" s="1"/>
  <c r="E33" s="1"/>
  <c r="E37" s="1"/>
  <c r="E41" s="1"/>
  <c r="E45" s="1"/>
  <c r="E49" s="1"/>
  <c r="E53" s="1"/>
  <c r="E57" s="1"/>
  <c r="F5"/>
  <c r="F9" s="1"/>
  <c r="F13" s="1"/>
  <c r="F17" s="1"/>
  <c r="F21" s="1"/>
  <c r="F25" s="1"/>
  <c r="F29" s="1"/>
  <c r="F33" s="1"/>
  <c r="F37" s="1"/>
  <c r="F41" s="1"/>
  <c r="F45" s="1"/>
  <c r="F49" s="1"/>
  <c r="F53" s="1"/>
  <c r="F57" s="1"/>
  <c r="G5"/>
  <c r="G9" s="1"/>
  <c r="G13" s="1"/>
  <c r="G17" s="1"/>
  <c r="G21" s="1"/>
  <c r="G25" s="1"/>
  <c r="G29" s="1"/>
  <c r="G33" s="1"/>
  <c r="G37" s="1"/>
  <c r="G41" s="1"/>
  <c r="G45" s="1"/>
  <c r="G49" s="1"/>
  <c r="G53" s="1"/>
  <c r="G57" s="1"/>
  <c r="H5"/>
  <c r="H9" s="1"/>
  <c r="H13" s="1"/>
  <c r="H17" s="1"/>
  <c r="H21" s="1"/>
  <c r="H25" s="1"/>
  <c r="H29" s="1"/>
  <c r="H33" s="1"/>
  <c r="H37" s="1"/>
  <c r="H41" s="1"/>
  <c r="H45" s="1"/>
  <c r="H49" s="1"/>
  <c r="H53" s="1"/>
  <c r="H57" s="1"/>
  <c r="I5"/>
  <c r="I9" s="1"/>
  <c r="I13" s="1"/>
  <c r="I17" s="1"/>
  <c r="I21" s="1"/>
  <c r="I25" s="1"/>
  <c r="I29" s="1"/>
  <c r="I33" s="1"/>
  <c r="I37" s="1"/>
  <c r="I41" s="1"/>
  <c r="I45" s="1"/>
  <c r="I49" s="1"/>
  <c r="I53" s="1"/>
  <c r="I57" s="1"/>
  <c r="J5"/>
  <c r="J9" s="1"/>
  <c r="J13" s="1"/>
  <c r="J17" s="1"/>
  <c r="J21" s="1"/>
  <c r="J25" s="1"/>
  <c r="J29" s="1"/>
  <c r="J33" s="1"/>
  <c r="J37" s="1"/>
  <c r="J41" s="1"/>
  <c r="J45" s="1"/>
  <c r="J49" s="1"/>
  <c r="J53" s="1"/>
  <c r="J57" s="1"/>
  <c r="K5"/>
  <c r="K9" s="1"/>
  <c r="K13" s="1"/>
  <c r="K17" s="1"/>
  <c r="K21" s="1"/>
  <c r="K25" s="1"/>
  <c r="K29" s="1"/>
  <c r="K33" s="1"/>
  <c r="K37" s="1"/>
  <c r="K41" s="1"/>
  <c r="K45" s="1"/>
  <c r="K49" s="1"/>
  <c r="K53" s="1"/>
  <c r="K57" s="1"/>
  <c r="L5"/>
  <c r="L9" s="1"/>
  <c r="L13" s="1"/>
  <c r="L17" s="1"/>
  <c r="L21" s="1"/>
  <c r="L25" s="1"/>
  <c r="L29" s="1"/>
  <c r="L33" s="1"/>
  <c r="L37" s="1"/>
  <c r="L41" s="1"/>
  <c r="L45" s="1"/>
  <c r="L49" s="1"/>
  <c r="L53" s="1"/>
  <c r="L57" s="1"/>
  <c r="M5"/>
  <c r="M9" s="1"/>
  <c r="M13" s="1"/>
  <c r="M17" s="1"/>
  <c r="M21" s="1"/>
  <c r="M25" s="1"/>
  <c r="M29" s="1"/>
  <c r="M33" s="1"/>
  <c r="M37" s="1"/>
  <c r="M41" s="1"/>
  <c r="M45" s="1"/>
  <c r="M49" s="1"/>
  <c r="M53" s="1"/>
  <c r="M57" s="1"/>
  <c r="N5"/>
  <c r="N9" s="1"/>
  <c r="N13" s="1"/>
  <c r="N17" s="1"/>
  <c r="N21" s="1"/>
  <c r="N25" s="1"/>
  <c r="N29" s="1"/>
  <c r="N33" s="1"/>
  <c r="N37" s="1"/>
  <c r="N41" s="1"/>
  <c r="N45" s="1"/>
  <c r="N49" s="1"/>
  <c r="N53" s="1"/>
  <c r="N57" s="1"/>
  <c r="O5"/>
  <c r="O9" s="1"/>
  <c r="O13" s="1"/>
  <c r="O17" s="1"/>
  <c r="O21" s="1"/>
  <c r="O25" s="1"/>
  <c r="O29" s="1"/>
  <c r="O33" s="1"/>
  <c r="O37" s="1"/>
  <c r="O41" s="1"/>
  <c r="O45" s="1"/>
  <c r="O49" s="1"/>
  <c r="O53" s="1"/>
  <c r="O57" s="1"/>
  <c r="P5"/>
  <c r="P9" s="1"/>
  <c r="P13" s="1"/>
  <c r="P17" s="1"/>
  <c r="P21" s="1"/>
  <c r="P25" s="1"/>
  <c r="P29" s="1"/>
  <c r="P33" s="1"/>
  <c r="P37" s="1"/>
  <c r="P41" s="1"/>
  <c r="P45" s="1"/>
  <c r="P49" s="1"/>
  <c r="P53" s="1"/>
  <c r="P57" s="1"/>
  <c r="Q5"/>
  <c r="Q9" s="1"/>
  <c r="Q13" s="1"/>
  <c r="Q17" s="1"/>
  <c r="Q21" s="1"/>
  <c r="Q25" s="1"/>
  <c r="Q29" s="1"/>
  <c r="Q33" s="1"/>
  <c r="Q37" s="1"/>
  <c r="Q41" s="1"/>
  <c r="Q45" s="1"/>
  <c r="Q49" s="1"/>
  <c r="Q53" s="1"/>
  <c r="Q57" s="1"/>
  <c r="R5"/>
  <c r="R9" s="1"/>
  <c r="R13" s="1"/>
  <c r="R17" s="1"/>
  <c r="R21" s="1"/>
  <c r="R25" s="1"/>
  <c r="R29" s="1"/>
  <c r="R33" s="1"/>
  <c r="R37" s="1"/>
  <c r="R41" s="1"/>
  <c r="R45" s="1"/>
  <c r="R49" s="1"/>
  <c r="R53" s="1"/>
  <c r="R57" s="1"/>
  <c r="S5"/>
  <c r="S9" s="1"/>
  <c r="S13" s="1"/>
  <c r="S17" s="1"/>
  <c r="S21" s="1"/>
  <c r="S25" s="1"/>
  <c r="S29" s="1"/>
  <c r="S33" s="1"/>
  <c r="S37" s="1"/>
  <c r="S41" s="1"/>
  <c r="S45" s="1"/>
  <c r="S49" s="1"/>
  <c r="S53" s="1"/>
  <c r="S57" s="1"/>
  <c r="T5"/>
  <c r="T9" s="1"/>
  <c r="T13" s="1"/>
  <c r="T17" s="1"/>
  <c r="T21" s="1"/>
  <c r="T25" s="1"/>
  <c r="T29" s="1"/>
  <c r="T33" s="1"/>
  <c r="T37" s="1"/>
  <c r="T41" s="1"/>
  <c r="T45" s="1"/>
  <c r="T49" s="1"/>
  <c r="T53" s="1"/>
  <c r="T57" s="1"/>
  <c r="U5"/>
  <c r="U9" s="1"/>
  <c r="U13" s="1"/>
  <c r="U17" s="1"/>
  <c r="U21" s="1"/>
  <c r="U25" s="1"/>
  <c r="U29" s="1"/>
  <c r="U33" s="1"/>
  <c r="U37" s="1"/>
  <c r="U41" s="1"/>
  <c r="U45" s="1"/>
  <c r="U49" s="1"/>
  <c r="U53" s="1"/>
  <c r="U57" s="1"/>
  <c r="B60" i="4"/>
  <c r="C60"/>
  <c r="D60"/>
  <c r="E60"/>
  <c r="F60"/>
  <c r="G60"/>
  <c r="H60"/>
  <c r="N60"/>
  <c r="O60"/>
  <c r="P60"/>
  <c r="Q60"/>
  <c r="S62"/>
  <c r="T62"/>
  <c r="D45"/>
  <c r="E45" s="1"/>
  <c r="D53"/>
  <c r="E53" s="1"/>
  <c r="J53" s="1"/>
  <c r="K53" s="1"/>
  <c r="V21" i="13"/>
  <c r="J51" l="1"/>
  <c r="K51" s="1"/>
  <c r="K32"/>
  <c r="D53" s="1"/>
  <c r="E53" s="1"/>
  <c r="J61"/>
  <c r="K61" s="1"/>
  <c r="J40"/>
  <c r="J59"/>
  <c r="K59" s="1"/>
  <c r="J36"/>
  <c r="E36" s="1"/>
  <c r="F36" s="1"/>
  <c r="J45" i="4"/>
  <c r="K45" s="1"/>
  <c r="N23" i="2"/>
  <c r="N29" s="1"/>
  <c r="E20" i="4" s="1"/>
  <c r="V26" i="2"/>
  <c r="V25"/>
  <c r="I22"/>
  <c r="H9" i="13" s="1"/>
  <c r="C4" i="4"/>
  <c r="I11"/>
  <c r="F22" i="2"/>
  <c r="F29" s="1"/>
  <c r="D13" i="4" s="1"/>
  <c r="V28" i="2"/>
  <c r="J22"/>
  <c r="L23"/>
  <c r="K9" i="13" s="1"/>
  <c r="K23" i="2"/>
  <c r="J9" i="13" s="1"/>
  <c r="B6" i="4"/>
  <c r="C6" s="1"/>
  <c r="E33"/>
  <c r="T26" i="2"/>
  <c r="F25" i="4"/>
  <c r="P24" i="2"/>
  <c r="P29" s="1"/>
  <c r="B27" i="4" s="1"/>
  <c r="I12"/>
  <c r="G18"/>
  <c r="E29" i="2"/>
  <c r="C13" i="4" s="1"/>
  <c r="U25" i="2"/>
  <c r="H22"/>
  <c r="D22"/>
  <c r="G22"/>
  <c r="U28"/>
  <c r="Q29"/>
  <c r="C27" i="4" s="1"/>
  <c r="T28" i="2"/>
  <c r="R29"/>
  <c r="D27" i="4" s="1"/>
  <c r="Q9" i="13"/>
  <c r="V8" i="6"/>
  <c r="I50" i="13" s="1"/>
  <c r="D5" i="14" s="1"/>
  <c r="S29" i="2"/>
  <c r="E27" i="4" s="1"/>
  <c r="M23" i="2"/>
  <c r="M29" s="1"/>
  <c r="D20" i="4" s="1"/>
  <c r="O23" i="2"/>
  <c r="E32" i="4"/>
  <c r="F26"/>
  <c r="G19"/>
  <c r="B13" i="6"/>
  <c r="B17" s="1"/>
  <c r="B21" s="1"/>
  <c r="B25" s="1"/>
  <c r="V12"/>
  <c r="V62" i="4"/>
  <c r="R60" s="1"/>
  <c r="D17" i="6"/>
  <c r="A20" i="13"/>
  <c r="I28"/>
  <c r="I49"/>
  <c r="D4" i="14" s="1"/>
  <c r="E42" i="13"/>
  <c r="F42" s="1"/>
  <c r="K42"/>
  <c r="E38"/>
  <c r="F38" s="1"/>
  <c r="K38"/>
  <c r="E34"/>
  <c r="F34" s="1"/>
  <c r="K34"/>
  <c r="E30"/>
  <c r="F30" s="1"/>
  <c r="K30"/>
  <c r="F53"/>
  <c r="T20"/>
  <c r="S20"/>
  <c r="R20"/>
  <c r="E28"/>
  <c r="F28" s="1"/>
  <c r="K28"/>
  <c r="E41"/>
  <c r="F41" s="1"/>
  <c r="K41"/>
  <c r="E39"/>
  <c r="F39" s="1"/>
  <c r="K39"/>
  <c r="E37"/>
  <c r="F37" s="1"/>
  <c r="K37"/>
  <c r="K35"/>
  <c r="E35"/>
  <c r="F35" s="1"/>
  <c r="E33"/>
  <c r="F33" s="1"/>
  <c r="K33"/>
  <c r="E31"/>
  <c r="F31" s="1"/>
  <c r="K31"/>
  <c r="E29"/>
  <c r="F29" s="1"/>
  <c r="K29"/>
  <c r="H42" i="4"/>
  <c r="H44"/>
  <c r="H46"/>
  <c r="H48"/>
  <c r="H50"/>
  <c r="H52"/>
  <c r="H54"/>
  <c r="J60" i="13"/>
  <c r="K60" s="1"/>
  <c r="J58"/>
  <c r="K58" s="1"/>
  <c r="J52"/>
  <c r="K52" s="1"/>
  <c r="J50"/>
  <c r="K50" s="1"/>
  <c r="J49"/>
  <c r="K49" s="1"/>
  <c r="H41" i="4"/>
  <c r="H43"/>
  <c r="H47"/>
  <c r="H49"/>
  <c r="H51"/>
  <c r="H55"/>
  <c r="K36" i="13"/>
  <c r="D57" s="1"/>
  <c r="E57" s="1"/>
  <c r="I20"/>
  <c r="Q20"/>
  <c r="M20"/>
  <c r="J63"/>
  <c r="K63" s="1"/>
  <c r="J62"/>
  <c r="K62" s="1"/>
  <c r="J56"/>
  <c r="K56" s="1"/>
  <c r="J55"/>
  <c r="K55" s="1"/>
  <c r="J54"/>
  <c r="K54" s="1"/>
  <c r="N53" l="1"/>
  <c r="C8" i="14" s="1"/>
  <c r="E40" i="13"/>
  <c r="F40" s="1"/>
  <c r="K40"/>
  <c r="D61" s="1"/>
  <c r="E61" s="1"/>
  <c r="D50"/>
  <c r="E50" s="1"/>
  <c r="D54"/>
  <c r="E54" s="1"/>
  <c r="D58"/>
  <c r="E58" s="1"/>
  <c r="D62"/>
  <c r="E62" s="1"/>
  <c r="D52"/>
  <c r="E52" s="1"/>
  <c r="D60"/>
  <c r="E60" s="1"/>
  <c r="D49"/>
  <c r="E49" s="1"/>
  <c r="M9"/>
  <c r="T9"/>
  <c r="V29" i="2"/>
  <c r="D34" i="4" s="1"/>
  <c r="E9" i="13"/>
  <c r="U9"/>
  <c r="L29" i="2"/>
  <c r="C20" i="4" s="1"/>
  <c r="I29" i="2"/>
  <c r="G13" i="4" s="1"/>
  <c r="I2"/>
  <c r="S9" i="13"/>
  <c r="I29"/>
  <c r="T29" i="2"/>
  <c r="B34" i="4" s="1"/>
  <c r="U29" i="2"/>
  <c r="C34" i="4" s="1"/>
  <c r="O9" i="13"/>
  <c r="O10" s="1"/>
  <c r="K29" i="2"/>
  <c r="B20" i="4" s="1"/>
  <c r="I9" i="13"/>
  <c r="J29" i="2"/>
  <c r="H13" i="4" s="1"/>
  <c r="L9" i="13"/>
  <c r="F27" i="4"/>
  <c r="F9" i="13"/>
  <c r="G29" i="2"/>
  <c r="E13" i="4" s="1"/>
  <c r="H29" i="2"/>
  <c r="F13" i="4" s="1"/>
  <c r="G9" i="13"/>
  <c r="D29" i="2"/>
  <c r="B13" i="4" s="1"/>
  <c r="C9" i="13"/>
  <c r="C42" i="4"/>
  <c r="V16" i="6"/>
  <c r="C44" i="4" s="1"/>
  <c r="S60"/>
  <c r="O29" i="2"/>
  <c r="N9" i="13"/>
  <c r="T60" i="4"/>
  <c r="I51" i="13"/>
  <c r="D6" i="14" s="1"/>
  <c r="I30" i="13"/>
  <c r="C43" i="4"/>
  <c r="D49"/>
  <c r="E49" s="1"/>
  <c r="I49"/>
  <c r="I43"/>
  <c r="D43"/>
  <c r="E43" s="1"/>
  <c r="D48"/>
  <c r="E48" s="1"/>
  <c r="I48"/>
  <c r="I44"/>
  <c r="D44"/>
  <c r="E44" s="1"/>
  <c r="F50" i="13"/>
  <c r="N50" s="1"/>
  <c r="C5" i="14" s="1"/>
  <c r="E5" s="1"/>
  <c r="F5" s="1"/>
  <c r="F19" s="1"/>
  <c r="F54" i="13"/>
  <c r="N54" s="1"/>
  <c r="C9" i="14" s="1"/>
  <c r="F60" i="13"/>
  <c r="N60" s="1"/>
  <c r="C15" i="14" s="1"/>
  <c r="F49" i="13"/>
  <c r="F57"/>
  <c r="N57" s="1"/>
  <c r="C12" i="14" s="1"/>
  <c r="I51" i="4"/>
  <c r="D51"/>
  <c r="E51" s="1"/>
  <c r="I47"/>
  <c r="D47"/>
  <c r="E47" s="1"/>
  <c r="D41"/>
  <c r="E41" s="1"/>
  <c r="I41"/>
  <c r="I54"/>
  <c r="D54"/>
  <c r="E54" s="1"/>
  <c r="D50"/>
  <c r="E50" s="1"/>
  <c r="I50"/>
  <c r="D46"/>
  <c r="E46" s="1"/>
  <c r="I46"/>
  <c r="I42"/>
  <c r="D42"/>
  <c r="E42" s="1"/>
  <c r="D21" i="6"/>
  <c r="V20"/>
  <c r="B29"/>
  <c r="D56" i="13"/>
  <c r="E56" s="1"/>
  <c r="D51"/>
  <c r="E51" s="1"/>
  <c r="D55"/>
  <c r="E55" s="1"/>
  <c r="D59"/>
  <c r="E59" s="1"/>
  <c r="D63"/>
  <c r="E63" s="1"/>
  <c r="D55" i="4"/>
  <c r="E55" s="1"/>
  <c r="I55"/>
  <c r="I52"/>
  <c r="D52"/>
  <c r="E52" s="1"/>
  <c r="F61" i="13"/>
  <c r="N61" s="1"/>
  <c r="C16" i="14" s="1"/>
  <c r="F52" i="13"/>
  <c r="N52" s="1"/>
  <c r="C7" i="14" s="1"/>
  <c r="F58" i="13"/>
  <c r="N58" s="1"/>
  <c r="C13" i="14" s="1"/>
  <c r="F62" i="13"/>
  <c r="N62" s="1"/>
  <c r="C17" i="14" s="1"/>
  <c r="J46" i="4" l="1"/>
  <c r="K46" s="1"/>
  <c r="J50"/>
  <c r="K50" s="1"/>
  <c r="J52"/>
  <c r="K52" s="1"/>
  <c r="N49" i="13"/>
  <c r="C4" i="14" s="1"/>
  <c r="E4" s="1"/>
  <c r="J41" i="4"/>
  <c r="E34"/>
  <c r="S10" i="13"/>
  <c r="J10"/>
  <c r="F20" i="4"/>
  <c r="G20" s="1"/>
  <c r="I13"/>
  <c r="I52" i="13"/>
  <c r="D7" i="14" s="1"/>
  <c r="E7" s="1"/>
  <c r="F7" s="1"/>
  <c r="I31" i="13"/>
  <c r="C10"/>
  <c r="J48" i="4"/>
  <c r="K48" s="1"/>
  <c r="J49"/>
  <c r="K49" s="1"/>
  <c r="F63" i="13"/>
  <c r="N63" s="1"/>
  <c r="C18" i="14" s="1"/>
  <c r="F56" i="13"/>
  <c r="N56" s="1"/>
  <c r="C11" i="14" s="1"/>
  <c r="F59" i="13"/>
  <c r="N59" s="1"/>
  <c r="C14" i="14" s="1"/>
  <c r="F51" i="13"/>
  <c r="N51" s="1"/>
  <c r="C6" i="14" s="1"/>
  <c r="E6" s="1"/>
  <c r="F6" s="1"/>
  <c r="B33" i="6"/>
  <c r="D25"/>
  <c r="V24"/>
  <c r="J55" i="4"/>
  <c r="K55" s="1"/>
  <c r="J42"/>
  <c r="J54"/>
  <c r="K54" s="1"/>
  <c r="J47"/>
  <c r="K47" s="1"/>
  <c r="J51"/>
  <c r="K51" s="1"/>
  <c r="J44"/>
  <c r="K44" s="1"/>
  <c r="J43"/>
  <c r="K43" s="1"/>
  <c r="N55" i="13"/>
  <c r="C10" i="14" s="1"/>
  <c r="F55" i="13"/>
  <c r="I53"/>
  <c r="D8" i="14" s="1"/>
  <c r="E8" s="1"/>
  <c r="F8" s="1"/>
  <c r="I32" i="13"/>
  <c r="C45" i="4"/>
  <c r="L45" s="1"/>
  <c r="L41" l="1"/>
  <c r="K41"/>
  <c r="L42"/>
  <c r="K42"/>
  <c r="L44"/>
  <c r="Z17" i="13"/>
  <c r="Z21" s="1"/>
  <c r="C3" i="14" s="1"/>
  <c r="I3" i="4"/>
  <c r="I5" s="1"/>
  <c r="N5" s="1"/>
  <c r="C46"/>
  <c r="L46" s="1"/>
  <c r="I54" i="13"/>
  <c r="D9" i="14" s="1"/>
  <c r="E9" s="1"/>
  <c r="F9" s="1"/>
  <c r="I33" i="13"/>
  <c r="L43" i="4"/>
  <c r="D29" i="6"/>
  <c r="V28"/>
  <c r="B37"/>
  <c r="I55" i="13" l="1"/>
  <c r="D10" i="14" s="1"/>
  <c r="E10" s="1"/>
  <c r="F10" s="1"/>
  <c r="C47" i="4"/>
  <c r="L47" s="1"/>
  <c r="I34" i="13"/>
  <c r="B41" i="6"/>
  <c r="D33"/>
  <c r="V32"/>
  <c r="I56" i="13" l="1"/>
  <c r="D11" i="14" s="1"/>
  <c r="E11" s="1"/>
  <c r="F11" s="1"/>
  <c r="C48" i="4"/>
  <c r="L48" s="1"/>
  <c r="I35" i="13"/>
  <c r="D37" i="6"/>
  <c r="V36"/>
  <c r="B45"/>
  <c r="I57" i="13" l="1"/>
  <c r="D12" i="14" s="1"/>
  <c r="E12" s="1"/>
  <c r="F12" s="1"/>
  <c r="C49" i="4"/>
  <c r="L49" s="1"/>
  <c r="I36" i="13"/>
  <c r="B49" i="6"/>
  <c r="D41"/>
  <c r="V40"/>
  <c r="I58" i="13" l="1"/>
  <c r="D13" i="14" s="1"/>
  <c r="E13" s="1"/>
  <c r="F13" s="1"/>
  <c r="C50" i="4"/>
  <c r="L50" s="1"/>
  <c r="I37" i="13"/>
  <c r="D45" i="6"/>
  <c r="V44"/>
  <c r="B53"/>
  <c r="C51" i="4" l="1"/>
  <c r="L51" s="1"/>
  <c r="I38" i="13"/>
  <c r="I59"/>
  <c r="D14" i="14" s="1"/>
  <c r="E14" s="1"/>
  <c r="F14" s="1"/>
  <c r="B57" i="6"/>
  <c r="D49"/>
  <c r="V48"/>
  <c r="C52" i="4" l="1"/>
  <c r="L52" s="1"/>
  <c r="I60" i="13"/>
  <c r="D15" i="14" s="1"/>
  <c r="E15" s="1"/>
  <c r="F15" s="1"/>
  <c r="I39" i="13"/>
  <c r="D53" i="6"/>
  <c r="V52"/>
  <c r="I61" i="13" l="1"/>
  <c r="D16" i="14" s="1"/>
  <c r="E16" s="1"/>
  <c r="F16" s="1"/>
  <c r="C53" i="4"/>
  <c r="L53" s="1"/>
  <c r="I40" i="13"/>
  <c r="D57" i="6"/>
  <c r="V60" s="1"/>
  <c r="V56"/>
  <c r="C54" i="4" l="1"/>
  <c r="L54" s="1"/>
  <c r="I62" i="13"/>
  <c r="D17" i="14" s="1"/>
  <c r="E17" s="1"/>
  <c r="F17" s="1"/>
  <c r="I41" i="13"/>
  <c r="I63"/>
  <c r="D18" i="14" s="1"/>
  <c r="E18" s="1"/>
  <c r="F18" s="1"/>
  <c r="C55" i="4"/>
  <c r="L55" s="1"/>
  <c r="I42" i="13"/>
</calcChain>
</file>

<file path=xl/sharedStrings.xml><?xml version="1.0" encoding="utf-8"?>
<sst xmlns="http://schemas.openxmlformats.org/spreadsheetml/2006/main" count="1091" uniqueCount="262">
  <si>
    <t>х3</t>
  </si>
  <si>
    <t>х18</t>
  </si>
  <si>
    <t>Деэмульгатор, кг</t>
  </si>
  <si>
    <t>Сода каустическая, кг</t>
  </si>
  <si>
    <t>Пар, Гкал</t>
  </si>
  <si>
    <t>Топливо, кг</t>
  </si>
  <si>
    <t>Катализатор, кг</t>
  </si>
  <si>
    <t>Катализатор АП-64, кг</t>
  </si>
  <si>
    <t>Инертный газ, кг</t>
  </si>
  <si>
    <t>Моноэтаноламин, кг</t>
  </si>
  <si>
    <t>Диэтиленгликоль, кг</t>
  </si>
  <si>
    <t>Вода, м^3</t>
  </si>
  <si>
    <t>Электроэнергия, кВт*ч</t>
  </si>
  <si>
    <t>Сжатый воздух, м^3</t>
  </si>
  <si>
    <t>Сода кальценировання, кг</t>
  </si>
  <si>
    <t>Затраты</t>
  </si>
  <si>
    <t>Цена, руб</t>
  </si>
  <si>
    <t>Нефть, т</t>
  </si>
  <si>
    <t>Нефть обесоленная, т</t>
  </si>
  <si>
    <t>Уст-ка ЭЛОУ</t>
  </si>
  <si>
    <t>Уст-ка АВТ</t>
  </si>
  <si>
    <t>Уст-ка КК</t>
  </si>
  <si>
    <t>Уст-ка КР</t>
  </si>
  <si>
    <t>Уст-ка ГО</t>
  </si>
  <si>
    <t>тыс.руб.</t>
  </si>
  <si>
    <t>Вакуумный газойль, т</t>
  </si>
  <si>
    <t>Бензин, т</t>
  </si>
  <si>
    <t>ВСГ, т</t>
  </si>
  <si>
    <t>ЛГК, т</t>
  </si>
  <si>
    <t>Водород, т</t>
  </si>
  <si>
    <t>Д/т "л", т</t>
  </si>
  <si>
    <t>ВГ</t>
  </si>
  <si>
    <t>вакуумный газойль</t>
  </si>
  <si>
    <t>ГС</t>
  </si>
  <si>
    <t>головка стабилизации</t>
  </si>
  <si>
    <t>ВГС</t>
  </si>
  <si>
    <t>Вводородосодержащий газ</t>
  </si>
  <si>
    <t>ЛГК</t>
  </si>
  <si>
    <t>легкий каталитический газойль</t>
  </si>
  <si>
    <t>ТКГ</t>
  </si>
  <si>
    <t>тяжелый каталитический газойль</t>
  </si>
  <si>
    <t>Оптовая цена, руб/т</t>
  </si>
  <si>
    <t>Доход</t>
  </si>
  <si>
    <t>Мощность</t>
  </si>
  <si>
    <t>&lt;=</t>
  </si>
  <si>
    <t>Прибыль</t>
  </si>
  <si>
    <t>х1</t>
  </si>
  <si>
    <t>х2</t>
  </si>
  <si>
    <t>х4</t>
  </si>
  <si>
    <t>х5</t>
  </si>
  <si>
    <t>х6</t>
  </si>
  <si>
    <t>х7</t>
  </si>
  <si>
    <t>х8</t>
  </si>
  <si>
    <t>х9</t>
  </si>
  <si>
    <t>х10</t>
  </si>
  <si>
    <t>х11</t>
  </si>
  <si>
    <t>х12</t>
  </si>
  <si>
    <t>х13</t>
  </si>
  <si>
    <t>х14</t>
  </si>
  <si>
    <t>х15</t>
  </si>
  <si>
    <t>х16</t>
  </si>
  <si>
    <t>х17</t>
  </si>
  <si>
    <t>х19</t>
  </si>
  <si>
    <t>х20</t>
  </si>
  <si>
    <t>Материал</t>
  </si>
  <si>
    <t>ЭЛОУ</t>
  </si>
  <si>
    <t>АВТ</t>
  </si>
  <si>
    <t>КК</t>
  </si>
  <si>
    <t>КР</t>
  </si>
  <si>
    <t>ГО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</si>
  <si>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</si>
  <si>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</si>
  <si>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</si>
  <si>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</si>
  <si>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</si>
  <si>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</si>
  <si>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</si>
  <si>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</si>
  <si>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</si>
  <si>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</si>
  <si>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</si>
  <si>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</si>
  <si>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</si>
  <si>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</si>
  <si>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</si>
  <si>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</si>
  <si>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</si>
  <si>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</si>
  <si>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</si>
  <si>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</si>
  <si>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% коэффициент</t>
  </si>
  <si>
    <t>Норма расхода</t>
  </si>
  <si>
    <t>Сумма</t>
  </si>
  <si>
    <t>Аммиак, кг</t>
  </si>
  <si>
    <t>Сода кальцинированная, кг</t>
  </si>
  <si>
    <t>Нефть сырая</t>
  </si>
  <si>
    <t>Исходные условия эксперимента</t>
  </si>
  <si>
    <t>Минимум</t>
  </si>
  <si>
    <t>Вероятное</t>
  </si>
  <si>
    <t>Максимум</t>
  </si>
  <si>
    <t>Мат. ожид.</t>
  </si>
  <si>
    <t>Отклонение</t>
  </si>
  <si>
    <t>Экспериментов=</t>
  </si>
  <si>
    <t>Номер строки=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</si>
  <si>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</si>
  <si>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</si>
  <si>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</si>
  <si>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</si>
  <si>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</si>
  <si>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</si>
  <si>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</si>
  <si>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</si>
  <si>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</si>
  <si>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Счет</t>
  </si>
  <si>
    <t>Уровень надежности(95,0%)</t>
  </si>
  <si>
    <t>Карман</t>
  </si>
  <si>
    <t>Еще</t>
  </si>
  <si>
    <t>Частота</t>
  </si>
  <si>
    <t>Наибольший(1)</t>
  </si>
  <si>
    <t>Наименьший(1)</t>
  </si>
  <si>
    <t>Интегральный %</t>
  </si>
  <si>
    <t>б[b]</t>
  </si>
  <si>
    <t>б[а]</t>
  </si>
  <si>
    <t>б[b]^2</t>
  </si>
  <si>
    <t>б[а]^2</t>
  </si>
  <si>
    <t>M[а]</t>
  </si>
  <si>
    <t>M[b]</t>
  </si>
  <si>
    <t>W</t>
  </si>
  <si>
    <t>t(альфа)*W</t>
  </si>
  <si>
    <t>M[a]+t(альфа)*W</t>
  </si>
  <si>
    <t>Известь комовая кальценированая негашенная, кг</t>
  </si>
  <si>
    <t>Объем</t>
  </si>
  <si>
    <t>в</t>
  </si>
  <si>
    <t xml:space="preserve">Сероводород </t>
  </si>
  <si>
    <t>Газ</t>
  </si>
  <si>
    <t xml:space="preserve">Д/т "л" (S&lt;0,2) </t>
  </si>
  <si>
    <t xml:space="preserve">ВСГ </t>
  </si>
  <si>
    <t xml:space="preserve">Бензин АИ95 </t>
  </si>
  <si>
    <t xml:space="preserve">Рефлюкс </t>
  </si>
  <si>
    <t xml:space="preserve">Сухой газ </t>
  </si>
  <si>
    <t xml:space="preserve">Газ </t>
  </si>
  <si>
    <t xml:space="preserve">ТКГ </t>
  </si>
  <si>
    <t xml:space="preserve">ЛГК </t>
  </si>
  <si>
    <t xml:space="preserve">ГС </t>
  </si>
  <si>
    <t xml:space="preserve">Бензин АИ92 </t>
  </si>
  <si>
    <t>Гудрон</t>
  </si>
  <si>
    <t xml:space="preserve"> Газ </t>
  </si>
  <si>
    <t>Рефлюкс</t>
  </si>
  <si>
    <t xml:space="preserve">ВГ </t>
  </si>
  <si>
    <t xml:space="preserve">Д/т "з" </t>
  </si>
  <si>
    <t>Д/т "л" (S&gt;0.2)</t>
  </si>
  <si>
    <t xml:space="preserve">Бензин </t>
  </si>
  <si>
    <t xml:space="preserve">Нефть обесоленная </t>
  </si>
  <si>
    <t>Наименование уст-ки</t>
  </si>
  <si>
    <t>Наименование товара</t>
  </si>
  <si>
    <t>Переменная</t>
  </si>
  <si>
    <t>Произведенный объем</t>
  </si>
  <si>
    <t>Цена</t>
  </si>
  <si>
    <t>Сумма объема уст-ки</t>
  </si>
  <si>
    <t>Мощность уст-ки</t>
  </si>
  <si>
    <t>Сумма затрат</t>
  </si>
  <si>
    <t xml:space="preserve">Исходные данные для расчета затрат для нефтеперерабатывающих установок </t>
  </si>
  <si>
    <t>xij</t>
  </si>
  <si>
    <t>Продукция</t>
  </si>
  <si>
    <t>Товар на реализацию</t>
  </si>
  <si>
    <t>Бензин АИ95</t>
  </si>
  <si>
    <t>Бензин АИ92</t>
  </si>
  <si>
    <t>Д/т "л" (S&lt;0,2)</t>
  </si>
  <si>
    <t>Д/т "з"</t>
  </si>
  <si>
    <t>Головка стабилизации</t>
  </si>
  <si>
    <t>Сероводород</t>
  </si>
  <si>
    <t>Товар на дальнейшую переработку</t>
  </si>
  <si>
    <t>Нефть обеcсоленная</t>
  </si>
  <si>
    <t>Бензин</t>
  </si>
  <si>
    <t>Вакуумный газойль</t>
  </si>
  <si>
    <t>Легкий каталитический газойль</t>
  </si>
  <si>
    <t>Тяжелый каталитический газойль</t>
  </si>
  <si>
    <t>Сухой газ</t>
  </si>
  <si>
    <t>Водородосодержащий газ</t>
  </si>
  <si>
    <t>альфа</t>
  </si>
  <si>
    <t>t(альфа)</t>
  </si>
  <si>
    <t>Математическое ожидание</t>
  </si>
  <si>
    <t>Показатель</t>
  </si>
  <si>
    <t>Детерминированная</t>
  </si>
  <si>
    <t>Экспериментальная часть</t>
  </si>
  <si>
    <t>Альфа=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</si>
  <si>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</si>
  <si>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</si>
  <si>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</si>
  <si>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</si>
  <si>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</si>
  <si>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</si>
  <si>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</si>
  <si>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</si>
  <si>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</si>
  <si>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</si>
  <si>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</si>
  <si>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</si>
  <si>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Рефлюкс1</t>
  </si>
  <si>
    <t>Рефлюкс2</t>
  </si>
  <si>
    <t>X14</t>
  </si>
  <si>
    <t>X15</t>
  </si>
  <si>
    <t>X16</t>
  </si>
  <si>
    <t>X17</t>
  </si>
  <si>
    <t>X18</t>
  </si>
  <si>
    <t>X19</t>
  </si>
  <si>
    <t>X20</t>
  </si>
  <si>
    <t>X1</t>
  </si>
  <si>
    <t>Итого</t>
  </si>
  <si>
    <t>тыс.т      &lt;=</t>
  </si>
  <si>
    <t>Х</t>
  </si>
  <si>
    <t>Наименование</t>
  </si>
  <si>
    <t>%</t>
  </si>
  <si>
    <t>a=</t>
  </si>
  <si>
    <t>t(a)=</t>
  </si>
  <si>
    <r>
      <t>б[а]</t>
    </r>
    <r>
      <rPr>
        <b/>
        <vertAlign val="superscript"/>
        <sz val="12"/>
        <rFont val="Times New Roman"/>
        <family val="1"/>
        <charset val="204"/>
      </rPr>
      <t>2</t>
    </r>
  </si>
  <si>
    <r>
      <t>б[b]</t>
    </r>
    <r>
      <rPr>
        <b/>
        <vertAlign val="superscript"/>
        <sz val="12"/>
        <rFont val="Times New Roman"/>
        <family val="1"/>
        <charset val="204"/>
      </rPr>
      <t>2</t>
    </r>
  </si>
  <si>
    <r>
      <t>W</t>
    </r>
    <r>
      <rPr>
        <b/>
        <vertAlign val="subscript"/>
        <sz val="12"/>
        <rFont val="Times New Roman"/>
        <family val="1"/>
        <charset val="204"/>
      </rPr>
      <t>i</t>
    </r>
    <r>
      <rPr>
        <b/>
        <vertAlign val="superscript"/>
        <sz val="12"/>
        <rFont val="Times New Roman"/>
        <family val="1"/>
        <charset val="204"/>
      </rPr>
      <t>0</t>
    </r>
  </si>
  <si>
    <r>
      <t>W</t>
    </r>
    <r>
      <rPr>
        <b/>
        <vertAlign val="subscript"/>
        <sz val="12"/>
        <rFont val="Times New Roman"/>
        <family val="1"/>
        <charset val="204"/>
      </rPr>
      <t>i</t>
    </r>
    <r>
      <rPr>
        <b/>
        <sz val="12"/>
        <rFont val="Times New Roman"/>
        <family val="1"/>
        <charset val="204"/>
      </rPr>
      <t>=t(a)*W</t>
    </r>
    <r>
      <rPr>
        <b/>
        <vertAlign val="subscript"/>
        <sz val="12"/>
        <rFont val="Times New Roman"/>
        <family val="1"/>
        <charset val="204"/>
      </rPr>
      <t>i</t>
    </r>
    <r>
      <rPr>
        <b/>
        <vertAlign val="superscript"/>
        <sz val="12"/>
        <rFont val="Times New Roman"/>
        <family val="1"/>
        <charset val="204"/>
      </rPr>
      <t>0</t>
    </r>
  </si>
  <si>
    <r>
      <t>M[a]+W</t>
    </r>
    <r>
      <rPr>
        <b/>
        <vertAlign val="subscript"/>
        <sz val="12"/>
        <rFont val="Times New Roman"/>
        <family val="1"/>
        <charset val="204"/>
      </rPr>
      <t>i</t>
    </r>
  </si>
  <si>
    <t>3 498 888</t>
  </si>
  <si>
    <t xml:space="preserve">β </t>
  </si>
  <si>
    <t>Показатель (тыс. руб.)</t>
  </si>
  <si>
    <r>
      <t xml:space="preserve">Экспериментальная часть (при различных </t>
    </r>
    <r>
      <rPr>
        <b/>
        <sz val="12"/>
        <color rgb="FF000000"/>
        <rFont val="Symbol"/>
        <family val="1"/>
        <charset val="2"/>
      </rPr>
      <t>a )</t>
    </r>
  </si>
  <si>
    <t>тыс. тонн</t>
  </si>
  <si>
    <t>α</t>
  </si>
  <si>
    <t>Экпериментальная</t>
  </si>
  <si>
    <t>д</t>
  </si>
  <si>
    <t>относительное изменение прибыли β</t>
  </si>
  <si>
    <r>
      <rPr>
        <b/>
        <sz val="12"/>
        <color rgb="FF000000"/>
        <rFont val="Arial"/>
        <family val="2"/>
        <charset val="204"/>
      </rPr>
      <t>уровни вероятности</t>
    </r>
    <r>
      <rPr>
        <b/>
        <sz val="12"/>
        <color rgb="FF000000"/>
        <rFont val="Symbol"/>
        <family val="1"/>
        <charset val="2"/>
      </rPr>
      <t xml:space="preserve"> a</t>
    </r>
  </si>
  <si>
    <t>Д</t>
  </si>
  <si>
    <t xml:space="preserve">Экспериментальная часть </t>
  </si>
  <si>
    <t>γ</t>
  </si>
  <si>
    <t>Цена товарной продукции</t>
  </si>
  <si>
    <t>Затраты на изготовление единици продукции</t>
  </si>
  <si>
    <t>Расход</t>
  </si>
  <si>
    <t>Условие</t>
  </si>
  <si>
    <t>№ п/п</t>
  </si>
  <si>
    <t xml:space="preserve"> Доп. объем ресурса</t>
  </si>
  <si>
    <r>
      <t xml:space="preserve">Заданный уровень вероятности </t>
    </r>
    <r>
      <rPr>
        <b/>
        <sz val="12"/>
        <rFont val="Symbol"/>
        <family val="1"/>
        <charset val="2"/>
      </rPr>
      <t xml:space="preserve">a  =      </t>
    </r>
  </si>
  <si>
    <r>
      <t>Функция обратного нормального распределения</t>
    </r>
    <r>
      <rPr>
        <b/>
        <i/>
        <sz val="12"/>
        <rFont val="Times New Roman"/>
        <family val="1"/>
        <charset val="204"/>
      </rPr>
      <t xml:space="preserve"> t</t>
    </r>
    <r>
      <rPr>
        <b/>
        <sz val="12"/>
        <rFont val="Times New Roman"/>
        <family val="1"/>
        <charset val="204"/>
      </rPr>
      <t>(</t>
    </r>
    <r>
      <rPr>
        <b/>
        <sz val="12"/>
        <rFont val="Symbol"/>
        <family val="1"/>
        <charset val="2"/>
      </rPr>
      <t>a</t>
    </r>
    <r>
      <rPr>
        <b/>
        <sz val="12"/>
        <rFont val="Times New Roman"/>
        <family val="1"/>
        <charset val="204"/>
      </rPr>
      <t xml:space="preserve">) =         </t>
    </r>
  </si>
  <si>
    <t>g  (%)</t>
  </si>
  <si>
    <t>Имеющийся ресурс</t>
  </si>
  <si>
    <t>Расчет необходимого объема ресурса для реализации плана производста и дополнительного для гарантированного выполнения плана</t>
  </si>
  <si>
    <t>γ  (%)</t>
  </si>
  <si>
    <t>Известь комовая кальценированаянегашенная, кг</t>
  </si>
  <si>
    <t>Сода каустическая</t>
  </si>
  <si>
    <t>Пар</t>
  </si>
  <si>
    <t>Вода</t>
  </si>
  <si>
    <t>Электроэнергия</t>
  </si>
  <si>
    <t>Сжатый воздух</t>
  </si>
  <si>
    <t>Топливо</t>
  </si>
  <si>
    <t>Деэмульгатор</t>
  </si>
  <si>
    <t xml:space="preserve">Известь </t>
  </si>
  <si>
    <t>Катализатор</t>
  </si>
  <si>
    <t>Катализатор АП-64</t>
  </si>
  <si>
    <t>Инертный газ</t>
  </si>
  <si>
    <t>Моноэтаноламин</t>
  </si>
  <si>
    <t>Диэтиленгликоль</t>
  </si>
  <si>
    <t>Аммиак</t>
  </si>
  <si>
    <r>
      <t xml:space="preserve">Относительное изменение прибыли по сравнению с базовой задачей </t>
    </r>
    <r>
      <rPr>
        <sz val="10"/>
        <rFont val="Symbol"/>
        <family val="1"/>
        <charset val="2"/>
      </rPr>
      <t>b</t>
    </r>
  </si>
  <si>
    <t>Относительное увеличение затрат на приобретение дополнительного ресурса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</si>
</sst>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0.000"/>
    <numFmt numFmtId="166" formatCode="0.0%"/>
    <numFmt numFmtId="167" formatCode="0.0"/>
  </numFmts>
  <fonts count="34"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4"/>
      <color indexed="48"/>
      <name val="Arial Cyr"/>
      <charset val="204"/>
    </font>
    <font>
      <i/>
      <sz val="10"/>
      <name val="Arial Cyr"/>
      <charset val="204"/>
    </font>
    <font>
      <i/>
      <sz val="12"/>
      <name val="Times New Roman"/>
      <family val="1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2"/>
      <name val="Arial Cyr"/>
      <charset val="204"/>
    </font>
    <font>
      <b/>
      <vertAlign val="superscript"/>
      <sz val="12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Symbol"/>
      <family val="1"/>
      <charset val="2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b/>
      <sz val="12"/>
      <name val="Symbol"/>
      <family val="1"/>
      <charset val="2"/>
    </font>
    <font>
      <b/>
      <i/>
      <sz val="12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0"/>
      <name val="Symbol"/>
      <family val="1"/>
      <charset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4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justify"/>
    </xf>
    <xf numFmtId="0" fontId="5" fillId="0" borderId="1" xfId="0" applyFont="1" applyFill="1" applyBorder="1"/>
    <xf numFmtId="0" fontId="5" fillId="0" borderId="2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Border="1"/>
    <xf numFmtId="2" fontId="0" fillId="0" borderId="0" xfId="0" applyNumberFormat="1"/>
    <xf numFmtId="0" fontId="0" fillId="0" borderId="0" xfId="0" applyBorder="1" applyAlignment="1"/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7" fillId="0" borderId="6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12" xfId="0" applyFont="1" applyFill="1" applyBorder="1" applyAlignment="1"/>
    <xf numFmtId="4" fontId="5" fillId="0" borderId="0" xfId="0" applyNumberFormat="1" applyFont="1" applyFill="1" applyBorder="1" applyAlignment="1"/>
    <xf numFmtId="0" fontId="0" fillId="0" borderId="13" xfId="0" applyFill="1" applyBorder="1"/>
    <xf numFmtId="0" fontId="9" fillId="0" borderId="14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 wrapText="1"/>
    </xf>
    <xf numFmtId="0" fontId="9" fillId="0" borderId="15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4" fontId="5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5" fillId="0" borderId="17" xfId="0" applyFont="1" applyFill="1" applyBorder="1"/>
    <xf numFmtId="4" fontId="7" fillId="0" borderId="0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4" fontId="7" fillId="0" borderId="18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0" borderId="19" xfId="0" applyFont="1" applyFill="1" applyBorder="1"/>
    <xf numFmtId="4" fontId="0" fillId="0" borderId="0" xfId="0" applyNumberFormat="1" applyFill="1" applyBorder="1"/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justify"/>
    </xf>
    <xf numFmtId="2" fontId="11" fillId="0" borderId="4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3" xfId="0" applyFill="1" applyBorder="1" applyAlignment="1"/>
    <xf numFmtId="0" fontId="17" fillId="0" borderId="24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10" fontId="0" fillId="0" borderId="23" xfId="0" applyNumberFormat="1" applyFill="1" applyBorder="1" applyAlignment="1"/>
    <xf numFmtId="165" fontId="11" fillId="0" borderId="7" xfId="0" applyNumberFormat="1" applyFont="1" applyFill="1" applyBorder="1" applyAlignment="1">
      <alignment horizontal="center"/>
    </xf>
    <xf numFmtId="165" fontId="11" fillId="0" borderId="25" xfId="0" applyNumberFormat="1" applyFont="1" applyFill="1" applyBorder="1" applyAlignment="1">
      <alignment horizontal="center" wrapText="1"/>
    </xf>
    <xf numFmtId="10" fontId="0" fillId="0" borderId="0" xfId="0" applyNumberFormat="1"/>
    <xf numFmtId="166" fontId="0" fillId="0" borderId="0" xfId="0" applyNumberFormat="1"/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" fontId="7" fillId="0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 vertical="center" wrapText="1"/>
    </xf>
    <xf numFmtId="4" fontId="7" fillId="5" borderId="27" xfId="0" applyNumberFormat="1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4" fontId="7" fillId="6" borderId="6" xfId="0" applyNumberFormat="1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4" fontId="7" fillId="6" borderId="5" xfId="0" applyNumberFormat="1" applyFont="1" applyFill="1" applyBorder="1" applyAlignment="1">
      <alignment horizontal="center" vertical="center" wrapText="1"/>
    </xf>
    <xf numFmtId="4" fontId="7" fillId="6" borderId="3" xfId="0" applyNumberFormat="1" applyFont="1" applyFill="1" applyBorder="1" applyAlignment="1">
      <alignment horizontal="center" vertical="center" wrapText="1"/>
    </xf>
    <xf numFmtId="4" fontId="7" fillId="6" borderId="6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4" fontId="7" fillId="7" borderId="5" xfId="0" applyNumberFormat="1" applyFont="1" applyFill="1" applyBorder="1" applyAlignment="1">
      <alignment horizontal="center" vertical="center" wrapText="1"/>
    </xf>
    <xf numFmtId="4" fontId="7" fillId="7" borderId="3" xfId="0" applyNumberFormat="1" applyFont="1" applyFill="1" applyBorder="1" applyAlignment="1">
      <alignment horizontal="center" vertical="center" wrapText="1"/>
    </xf>
    <xf numFmtId="4" fontId="7" fillId="7" borderId="6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4" fontId="7" fillId="4" borderId="5" xfId="0" applyNumberFormat="1" applyFont="1" applyFill="1" applyBorder="1" applyAlignment="1">
      <alignment horizontal="center" vertical="center" wrapText="1"/>
    </xf>
    <xf numFmtId="4" fontId="7" fillId="4" borderId="3" xfId="0" applyNumberFormat="1" applyFont="1" applyFill="1" applyBorder="1" applyAlignment="1">
      <alignment horizontal="center" vertical="center" wrapText="1"/>
    </xf>
    <xf numFmtId="4" fontId="7" fillId="4" borderId="6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4" fontId="7" fillId="8" borderId="5" xfId="0" applyNumberFormat="1" applyFont="1" applyFill="1" applyBorder="1" applyAlignment="1">
      <alignment horizontal="center" vertical="center" wrapText="1"/>
    </xf>
    <xf numFmtId="4" fontId="7" fillId="8" borderId="3" xfId="0" applyNumberFormat="1" applyFont="1" applyFill="1" applyBorder="1" applyAlignment="1">
      <alignment horizontal="center" vertical="center" wrapText="1"/>
    </xf>
    <xf numFmtId="4" fontId="7" fillId="8" borderId="6" xfId="0" applyNumberFormat="1" applyFont="1" applyFill="1" applyBorder="1" applyAlignment="1">
      <alignment horizontal="center" vertical="center" wrapText="1"/>
    </xf>
    <xf numFmtId="4" fontId="7" fillId="0" borderId="25" xfId="0" applyNumberFormat="1" applyFont="1" applyBorder="1" applyAlignment="1">
      <alignment horizontal="center"/>
    </xf>
    <xf numFmtId="4" fontId="7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19" fillId="0" borderId="0" xfId="0" applyFont="1" applyBorder="1"/>
    <xf numFmtId="0" fontId="19" fillId="0" borderId="0" xfId="0" applyFont="1"/>
    <xf numFmtId="0" fontId="19" fillId="0" borderId="0" xfId="0" applyFont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6" fillId="5" borderId="3" xfId="0" applyFont="1" applyFill="1" applyBorder="1" applyAlignment="1">
      <alignment horizontal="center" wrapText="1"/>
    </xf>
    <xf numFmtId="0" fontId="6" fillId="5" borderId="2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0" fillId="0" borderId="19" xfId="0" applyFont="1" applyBorder="1" applyAlignment="1">
      <alignment horizontal="left" wrapText="1"/>
    </xf>
    <xf numFmtId="0" fontId="20" fillId="0" borderId="34" xfId="0" applyFont="1" applyBorder="1" applyAlignment="1">
      <alignment horizontal="center" wrapText="1"/>
    </xf>
    <xf numFmtId="0" fontId="20" fillId="0" borderId="35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8" xfId="0" applyFont="1" applyBorder="1" applyAlignment="1">
      <alignment horizontal="left" wrapText="1"/>
    </xf>
    <xf numFmtId="0" fontId="20" fillId="0" borderId="18" xfId="0" applyFont="1" applyBorder="1" applyAlignment="1">
      <alignment horizontal="center" wrapText="1"/>
    </xf>
    <xf numFmtId="0" fontId="20" fillId="0" borderId="36" xfId="0" applyFont="1" applyBorder="1" applyAlignment="1">
      <alignment horizontal="center" wrapText="1"/>
    </xf>
    <xf numFmtId="0" fontId="20" fillId="0" borderId="37" xfId="0" applyFont="1" applyBorder="1" applyAlignment="1">
      <alignment horizontal="left" wrapText="1"/>
    </xf>
    <xf numFmtId="0" fontId="20" fillId="0" borderId="37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Border="1"/>
    <xf numFmtId="4" fontId="0" fillId="0" borderId="0" xfId="0" applyNumberFormat="1" applyBorder="1" applyAlignment="1">
      <alignment horizontal="center"/>
    </xf>
    <xf numFmtId="0" fontId="15" fillId="0" borderId="0" xfId="0" applyFont="1" applyBorder="1"/>
    <xf numFmtId="4" fontId="14" fillId="0" borderId="0" xfId="0" applyNumberFormat="1" applyFont="1" applyBorder="1" applyAlignment="1">
      <alignment horizontal="center" vertical="center"/>
    </xf>
    <xf numFmtId="0" fontId="6" fillId="0" borderId="3" xfId="0" applyFont="1" applyBorder="1"/>
    <xf numFmtId="0" fontId="6" fillId="0" borderId="3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165" fontId="6" fillId="0" borderId="3" xfId="0" applyNumberFormat="1" applyFont="1" applyBorder="1"/>
    <xf numFmtId="165" fontId="6" fillId="0" borderId="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vertical="center"/>
    </xf>
    <xf numFmtId="165" fontId="0" fillId="0" borderId="0" xfId="0" applyNumberFormat="1"/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65" fontId="6" fillId="0" borderId="25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38" xfId="0" applyFont="1" applyBorder="1"/>
    <xf numFmtId="165" fontId="6" fillId="0" borderId="38" xfId="0" applyNumberFormat="1" applyFont="1" applyBorder="1"/>
    <xf numFmtId="165" fontId="6" fillId="0" borderId="10" xfId="0" applyNumberFormat="1" applyFont="1" applyBorder="1"/>
    <xf numFmtId="0" fontId="6" fillId="0" borderId="5" xfId="0" applyFont="1" applyBorder="1"/>
    <xf numFmtId="165" fontId="6" fillId="0" borderId="6" xfId="0" applyNumberFormat="1" applyFont="1" applyBorder="1"/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center"/>
    </xf>
    <xf numFmtId="165" fontId="6" fillId="0" borderId="25" xfId="0" applyNumberFormat="1" applyFont="1" applyBorder="1" applyAlignment="1">
      <alignment vertical="center"/>
    </xf>
    <xf numFmtId="10" fontId="0" fillId="0" borderId="0" xfId="0" applyNumberFormat="1" applyAlignment="1">
      <alignment horizontal="center" vertical="center"/>
    </xf>
    <xf numFmtId="0" fontId="7" fillId="0" borderId="0" xfId="0" applyFont="1"/>
    <xf numFmtId="0" fontId="11" fillId="0" borderId="11" xfId="0" applyFont="1" applyFill="1" applyBorder="1" applyAlignment="1">
      <alignment horizontal="justify"/>
    </xf>
    <xf numFmtId="0" fontId="7" fillId="0" borderId="11" xfId="0" applyFont="1" applyFill="1" applyBorder="1" applyAlignment="1">
      <alignment horizontal="justify" wrapText="1"/>
    </xf>
    <xf numFmtId="0" fontId="7" fillId="0" borderId="11" xfId="0" applyFont="1" applyFill="1" applyBorder="1" applyAlignment="1">
      <alignment horizontal="justify"/>
    </xf>
    <xf numFmtId="0" fontId="7" fillId="0" borderId="0" xfId="0" applyFont="1" applyFill="1"/>
    <xf numFmtId="0" fontId="0" fillId="0" borderId="0" xfId="0" applyFill="1"/>
    <xf numFmtId="4" fontId="0" fillId="0" borderId="0" xfId="0" applyNumberFormat="1" applyAlignment="1"/>
    <xf numFmtId="2" fontId="0" fillId="0" borderId="0" xfId="0" applyNumberFormat="1" applyFill="1"/>
    <xf numFmtId="0" fontId="6" fillId="0" borderId="3" xfId="0" applyFont="1" applyBorder="1" applyAlignment="1">
      <alignment horizontal="center"/>
    </xf>
    <xf numFmtId="10" fontId="7" fillId="0" borderId="3" xfId="0" applyNumberFormat="1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/>
    </xf>
    <xf numFmtId="10" fontId="7" fillId="0" borderId="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10" fontId="7" fillId="0" borderId="6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0" fontId="7" fillId="0" borderId="25" xfId="0" applyNumberFormat="1" applyFont="1" applyBorder="1" applyAlignment="1">
      <alignment horizontal="center" vertical="center"/>
    </xf>
    <xf numFmtId="10" fontId="7" fillId="0" borderId="25" xfId="0" applyNumberFormat="1" applyFont="1" applyBorder="1" applyAlignment="1">
      <alignment horizontal="center"/>
    </xf>
    <xf numFmtId="10" fontId="7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20" xfId="0" applyNumberFormat="1" applyBorder="1"/>
    <xf numFmtId="2" fontId="0" fillId="0" borderId="22" xfId="0" applyNumberFormat="1" applyBorder="1"/>
    <xf numFmtId="3" fontId="7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67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>
      <alignment horizontal="center" vertical="center"/>
    </xf>
    <xf numFmtId="3" fontId="7" fillId="3" borderId="3" xfId="0" applyNumberFormat="1" applyFont="1" applyFill="1" applyBorder="1" applyAlignment="1">
      <alignment horizontal="center" vertical="center"/>
    </xf>
    <xf numFmtId="3" fontId="7" fillId="4" borderId="3" xfId="0" applyNumberFormat="1" applyFont="1" applyFill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4" fontId="7" fillId="2" borderId="3" xfId="0" applyNumberFormat="1" applyFont="1" applyFill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/>
    </xf>
    <xf numFmtId="0" fontId="7" fillId="9" borderId="45" xfId="0" applyFont="1" applyFill="1" applyBorder="1" applyAlignment="1">
      <alignment horizontal="center" vertical="center"/>
    </xf>
    <xf numFmtId="3" fontId="7" fillId="9" borderId="45" xfId="0" applyNumberFormat="1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0" fontId="7" fillId="10" borderId="45" xfId="0" applyFont="1" applyFill="1" applyBorder="1" applyAlignment="1">
      <alignment horizontal="center" vertical="center"/>
    </xf>
    <xf numFmtId="3" fontId="7" fillId="10" borderId="45" xfId="0" applyNumberFormat="1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4" fontId="7" fillId="11" borderId="45" xfId="0" applyNumberFormat="1" applyFont="1" applyFill="1" applyBorder="1" applyAlignment="1">
      <alignment horizontal="center" vertical="center"/>
    </xf>
    <xf numFmtId="3" fontId="7" fillId="11" borderId="45" xfId="0" applyNumberFormat="1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4" fontId="6" fillId="12" borderId="61" xfId="0" applyNumberFormat="1" applyFont="1" applyFill="1" applyBorder="1" applyAlignment="1">
      <alignment horizontal="center" vertical="center"/>
    </xf>
    <xf numFmtId="2" fontId="7" fillId="12" borderId="32" xfId="0" applyNumberFormat="1" applyFont="1" applyFill="1" applyBorder="1" applyAlignment="1">
      <alignment horizontal="center" vertical="center"/>
    </xf>
    <xf numFmtId="3" fontId="7" fillId="12" borderId="32" xfId="0" applyNumberFormat="1" applyFont="1" applyFill="1" applyBorder="1" applyAlignment="1">
      <alignment horizontal="center" vertical="center"/>
    </xf>
    <xf numFmtId="4" fontId="7" fillId="12" borderId="32" xfId="0" applyNumberFormat="1" applyFont="1" applyFill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3" fontId="7" fillId="12" borderId="3" xfId="0" applyNumberFormat="1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3" fontId="7" fillId="12" borderId="25" xfId="0" applyNumberFormat="1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6" fillId="13" borderId="25" xfId="0" applyFont="1" applyFill="1" applyBorder="1" applyAlignment="1">
      <alignment horizontal="center" vertical="center" wrapText="1"/>
    </xf>
    <xf numFmtId="4" fontId="6" fillId="13" borderId="4" xfId="0" applyNumberFormat="1" applyFont="1" applyFill="1" applyBorder="1" applyAlignment="1">
      <alignment horizontal="center" vertical="center"/>
    </xf>
    <xf numFmtId="3" fontId="7" fillId="13" borderId="38" xfId="0" applyNumberFormat="1" applyFont="1" applyFill="1" applyBorder="1" applyAlignment="1">
      <alignment horizontal="center" vertical="center"/>
    </xf>
    <xf numFmtId="3" fontId="7" fillId="13" borderId="57" xfId="0" applyNumberFormat="1" applyFont="1" applyFill="1" applyBorder="1" applyAlignment="1">
      <alignment horizontal="center" vertical="center"/>
    </xf>
    <xf numFmtId="4" fontId="7" fillId="13" borderId="24" xfId="0" applyNumberFormat="1" applyFont="1" applyFill="1" applyBorder="1" applyAlignment="1">
      <alignment horizontal="center" vertical="center"/>
    </xf>
    <xf numFmtId="3" fontId="7" fillId="13" borderId="58" xfId="0" applyNumberFormat="1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3" fontId="7" fillId="13" borderId="3" xfId="0" applyNumberFormat="1" applyFont="1" applyFill="1" applyBorder="1" applyAlignment="1">
      <alignment horizontal="center" vertical="center"/>
    </xf>
    <xf numFmtId="3" fontId="7" fillId="13" borderId="52" xfId="0" applyNumberFormat="1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3" fontId="7" fillId="13" borderId="25" xfId="0" applyNumberFormat="1" applyFont="1" applyFill="1" applyBorder="1" applyAlignment="1">
      <alignment horizontal="center" vertical="center"/>
    </xf>
    <xf numFmtId="3" fontId="7" fillId="13" borderId="60" xfId="0" applyNumberFormat="1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 wrapText="1"/>
    </xf>
    <xf numFmtId="0" fontId="6" fillId="14" borderId="25" xfId="0" applyFont="1" applyFill="1" applyBorder="1" applyAlignment="1">
      <alignment horizontal="center" vertical="center" wrapText="1"/>
    </xf>
    <xf numFmtId="4" fontId="6" fillId="14" borderId="61" xfId="0" applyNumberFormat="1" applyFont="1" applyFill="1" applyBorder="1" applyAlignment="1">
      <alignment horizontal="center" vertical="center"/>
    </xf>
    <xf numFmtId="3" fontId="7" fillId="14" borderId="32" xfId="0" applyNumberFormat="1" applyFont="1" applyFill="1" applyBorder="1" applyAlignment="1">
      <alignment horizontal="center" vertical="center"/>
    </xf>
    <xf numFmtId="4" fontId="7" fillId="14" borderId="32" xfId="0" applyNumberFormat="1" applyFont="1" applyFill="1" applyBorder="1" applyAlignment="1">
      <alignment horizontal="center" vertical="center"/>
    </xf>
    <xf numFmtId="0" fontId="7" fillId="14" borderId="33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3" fontId="7" fillId="14" borderId="3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3" fontId="7" fillId="14" borderId="25" xfId="0" applyNumberFormat="1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 wrapText="1"/>
    </xf>
    <xf numFmtId="0" fontId="6" fillId="15" borderId="25" xfId="0" applyFont="1" applyFill="1" applyBorder="1" applyAlignment="1">
      <alignment horizontal="center" vertical="center" wrapText="1"/>
    </xf>
    <xf numFmtId="4" fontId="6" fillId="15" borderId="61" xfId="0" applyNumberFormat="1" applyFont="1" applyFill="1" applyBorder="1" applyAlignment="1">
      <alignment horizontal="center" vertical="center"/>
    </xf>
    <xf numFmtId="3" fontId="7" fillId="15" borderId="32" xfId="0" applyNumberFormat="1" applyFont="1" applyFill="1" applyBorder="1" applyAlignment="1">
      <alignment horizontal="center" vertical="center"/>
    </xf>
    <xf numFmtId="4" fontId="7" fillId="15" borderId="32" xfId="0" applyNumberFormat="1" applyFont="1" applyFill="1" applyBorder="1" applyAlignment="1">
      <alignment horizontal="center" vertical="center"/>
    </xf>
    <xf numFmtId="0" fontId="7" fillId="15" borderId="33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3" fontId="7" fillId="15" borderId="3" xfId="0" applyNumberFormat="1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3" fontId="7" fillId="15" borderId="25" xfId="0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 wrapText="1"/>
    </xf>
    <xf numFmtId="0" fontId="6" fillId="16" borderId="25" xfId="0" applyFont="1" applyFill="1" applyBorder="1" applyAlignment="1">
      <alignment horizontal="center" vertical="center" wrapText="1"/>
    </xf>
    <xf numFmtId="4" fontId="6" fillId="16" borderId="61" xfId="0" applyNumberFormat="1" applyFont="1" applyFill="1" applyBorder="1" applyAlignment="1">
      <alignment horizontal="center" vertical="center"/>
    </xf>
    <xf numFmtId="3" fontId="7" fillId="16" borderId="32" xfId="0" applyNumberFormat="1" applyFont="1" applyFill="1" applyBorder="1" applyAlignment="1">
      <alignment horizontal="center" vertical="center"/>
    </xf>
    <xf numFmtId="4" fontId="7" fillId="16" borderId="24" xfId="0" applyNumberFormat="1" applyFont="1" applyFill="1" applyBorder="1" applyAlignment="1">
      <alignment horizontal="center" vertical="center"/>
    </xf>
    <xf numFmtId="0" fontId="7" fillId="16" borderId="33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3" fontId="7" fillId="16" borderId="3" xfId="0" applyNumberFormat="1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3" fontId="7" fillId="16" borderId="25" xfId="0" applyNumberFormat="1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0" fillId="0" borderId="34" xfId="0" applyFont="1" applyBorder="1" applyAlignment="1"/>
    <xf numFmtId="0" fontId="24" fillId="0" borderId="0" xfId="0" applyFont="1" applyBorder="1" applyAlignment="1"/>
    <xf numFmtId="0" fontId="20" fillId="0" borderId="0" xfId="0" applyFont="1" applyBorder="1" applyAlignment="1"/>
    <xf numFmtId="0" fontId="0" fillId="0" borderId="3" xfId="0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3" fontId="20" fillId="0" borderId="3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8" fillId="0" borderId="37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3" fontId="7" fillId="0" borderId="37" xfId="0" applyNumberFormat="1" applyFont="1" applyBorder="1" applyAlignment="1">
      <alignment horizontal="center"/>
    </xf>
    <xf numFmtId="0" fontId="7" fillId="10" borderId="37" xfId="0" applyFont="1" applyFill="1" applyBorder="1" applyAlignment="1">
      <alignment horizontal="center"/>
    </xf>
    <xf numFmtId="3" fontId="7" fillId="10" borderId="37" xfId="0" applyNumberFormat="1" applyFont="1" applyFill="1" applyBorder="1" applyAlignment="1">
      <alignment horizontal="center"/>
    </xf>
    <xf numFmtId="0" fontId="7" fillId="17" borderId="37" xfId="0" applyFont="1" applyFill="1" applyBorder="1" applyAlignment="1">
      <alignment horizontal="center"/>
    </xf>
    <xf numFmtId="0" fontId="7" fillId="18" borderId="37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3" fontId="20" fillId="0" borderId="34" xfId="0" applyNumberFormat="1" applyFont="1" applyBorder="1" applyAlignment="1"/>
    <xf numFmtId="0" fontId="20" fillId="10" borderId="34" xfId="0" applyFont="1" applyFill="1" applyBorder="1" applyAlignment="1"/>
    <xf numFmtId="3" fontId="20" fillId="10" borderId="34" xfId="0" applyNumberFormat="1" applyFont="1" applyFill="1" applyBorder="1" applyAlignment="1"/>
    <xf numFmtId="0" fontId="20" fillId="17" borderId="34" xfId="0" applyFont="1" applyFill="1" applyBorder="1" applyAlignment="1"/>
    <xf numFmtId="0" fontId="20" fillId="18" borderId="34" xfId="0" applyFont="1" applyFill="1" applyBorder="1" applyAlignment="1"/>
    <xf numFmtId="0" fontId="28" fillId="0" borderId="65" xfId="0" applyFont="1" applyBorder="1" applyAlignment="1"/>
    <xf numFmtId="0" fontId="28" fillId="0" borderId="66" xfId="0" applyFont="1" applyBorder="1" applyAlignment="1"/>
    <xf numFmtId="0" fontId="27" fillId="0" borderId="47" xfId="0" applyFont="1" applyBorder="1" applyAlignment="1"/>
    <xf numFmtId="0" fontId="27" fillId="0" borderId="48" xfId="0" applyFont="1" applyBorder="1" applyAlignment="1"/>
    <xf numFmtId="0" fontId="25" fillId="0" borderId="37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3" fontId="0" fillId="0" borderId="0" xfId="0" applyNumberFormat="1"/>
    <xf numFmtId="3" fontId="20" fillId="0" borderId="37" xfId="0" applyNumberFormat="1" applyFont="1" applyBorder="1" applyAlignment="1">
      <alignment horizontal="center"/>
    </xf>
    <xf numFmtId="167" fontId="20" fillId="0" borderId="37" xfId="0" applyNumberFormat="1" applyFont="1" applyBorder="1" applyAlignment="1">
      <alignment horizontal="center"/>
    </xf>
    <xf numFmtId="3" fontId="25" fillId="0" borderId="3" xfId="0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3" fontId="25" fillId="0" borderId="3" xfId="0" applyNumberFormat="1" applyFont="1" applyFill="1" applyBorder="1" applyAlignment="1">
      <alignment horizontal="center" vertical="center"/>
    </xf>
    <xf numFmtId="3" fontId="20" fillId="0" borderId="0" xfId="0" applyNumberFormat="1" applyFont="1"/>
    <xf numFmtId="0" fontId="24" fillId="0" borderId="45" xfId="0" applyFont="1" applyBorder="1" applyAlignment="1"/>
    <xf numFmtId="0" fontId="24" fillId="0" borderId="46" xfId="0" applyFont="1" applyBorder="1" applyAlignment="1"/>
    <xf numFmtId="0" fontId="24" fillId="0" borderId="29" xfId="0" applyFont="1" applyBorder="1" applyAlignment="1"/>
    <xf numFmtId="4" fontId="25" fillId="0" borderId="3" xfId="0" applyNumberFormat="1" applyFont="1" applyFill="1" applyBorder="1" applyAlignment="1">
      <alignment horizontal="center" vertical="center"/>
    </xf>
    <xf numFmtId="166" fontId="25" fillId="0" borderId="3" xfId="0" applyNumberFormat="1" applyFont="1" applyBorder="1" applyAlignment="1">
      <alignment horizontal="center" vertical="center"/>
    </xf>
    <xf numFmtId="0" fontId="0" fillId="0" borderId="0" xfId="0" applyNumberFormat="1" applyAlignment="1">
      <alignment wrapText="1"/>
    </xf>
    <xf numFmtId="0" fontId="14" fillId="0" borderId="3" xfId="0" applyNumberFormat="1" applyFont="1" applyBorder="1" applyAlignment="1">
      <alignment wrapText="1"/>
    </xf>
    <xf numFmtId="0" fontId="15" fillId="0" borderId="3" xfId="0" applyNumberFormat="1" applyFont="1" applyBorder="1" applyAlignment="1">
      <alignment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20" fillId="0" borderId="3" xfId="0" applyNumberFormat="1" applyFont="1" applyFill="1" applyBorder="1" applyAlignment="1">
      <alignment horizontal="center" vertical="center" wrapText="1"/>
    </xf>
    <xf numFmtId="0" fontId="25" fillId="0" borderId="3" xfId="0" applyNumberFormat="1" applyFont="1" applyFill="1" applyBorder="1" applyAlignment="1">
      <alignment horizontal="center" vertical="center" wrapText="1"/>
    </xf>
    <xf numFmtId="0" fontId="25" fillId="0" borderId="0" xfId="0" applyNumberFormat="1" applyFont="1" applyBorder="1" applyAlignment="1">
      <alignment wrapText="1"/>
    </xf>
    <xf numFmtId="0" fontId="0" fillId="0" borderId="0" xfId="0" applyNumberFormat="1" applyBorder="1" applyAlignment="1">
      <alignment wrapText="1"/>
    </xf>
    <xf numFmtId="0" fontId="27" fillId="0" borderId="48" xfId="0" applyNumberFormat="1" applyFont="1" applyBorder="1" applyAlignment="1">
      <alignment wrapText="1"/>
    </xf>
    <xf numFmtId="0" fontId="24" fillId="0" borderId="37" xfId="0" applyNumberFormat="1" applyFont="1" applyBorder="1" applyAlignment="1">
      <alignment horizontal="center" wrapText="1"/>
    </xf>
    <xf numFmtId="0" fontId="24" fillId="0" borderId="34" xfId="0" applyNumberFormat="1" applyFont="1" applyBorder="1" applyAlignment="1">
      <alignment wrapText="1"/>
    </xf>
    <xf numFmtId="0" fontId="24" fillId="0" borderId="43" xfId="0" applyNumberFormat="1" applyFont="1" applyBorder="1" applyAlignment="1">
      <alignment wrapText="1"/>
    </xf>
    <xf numFmtId="0" fontId="24" fillId="0" borderId="36" xfId="0" applyNumberFormat="1" applyFont="1" applyBorder="1" applyAlignment="1">
      <alignment wrapText="1"/>
    </xf>
    <xf numFmtId="0" fontId="20" fillId="0" borderId="37" xfId="0" applyNumberFormat="1" applyFont="1" applyBorder="1" applyAlignment="1">
      <alignment horizontal="center" wrapText="1"/>
    </xf>
    <xf numFmtId="0" fontId="25" fillId="0" borderId="37" xfId="0" applyNumberFormat="1" applyFont="1" applyBorder="1" applyAlignment="1">
      <alignment horizontal="center" wrapText="1"/>
    </xf>
    <xf numFmtId="0" fontId="24" fillId="0" borderId="3" xfId="0" applyNumberFormat="1" applyFont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3" fontId="7" fillId="19" borderId="3" xfId="0" applyNumberFormat="1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3" fontId="7" fillId="20" borderId="3" xfId="0" applyNumberFormat="1" applyFont="1" applyFill="1" applyBorder="1" applyAlignment="1">
      <alignment horizontal="center" vertical="center"/>
    </xf>
    <xf numFmtId="0" fontId="6" fillId="21" borderId="15" xfId="0" applyFont="1" applyFill="1" applyBorder="1" applyAlignment="1">
      <alignment vertical="center"/>
    </xf>
    <xf numFmtId="0" fontId="6" fillId="21" borderId="6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/>
    <xf numFmtId="167" fontId="7" fillId="0" borderId="3" xfId="0" applyNumberFormat="1" applyFont="1" applyBorder="1" applyAlignment="1">
      <alignment horizontal="center" vertical="center"/>
    </xf>
    <xf numFmtId="164" fontId="6" fillId="14" borderId="37" xfId="0" applyNumberFormat="1" applyFont="1" applyFill="1" applyBorder="1" applyAlignment="1">
      <alignment horizontal="left" vertical="center"/>
    </xf>
    <xf numFmtId="165" fontId="6" fillId="14" borderId="23" xfId="0" applyNumberFormat="1" applyFont="1" applyFill="1" applyBorder="1" applyAlignment="1">
      <alignment horizontal="center" vertical="center"/>
    </xf>
    <xf numFmtId="0" fontId="6" fillId="14" borderId="23" xfId="0" applyFont="1" applyFill="1" applyBorder="1" applyAlignment="1">
      <alignment horizontal="center" vertical="center"/>
    </xf>
    <xf numFmtId="0" fontId="6" fillId="14" borderId="37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0" fontId="20" fillId="0" borderId="37" xfId="0" applyFont="1" applyBorder="1" applyAlignment="1">
      <alignment horizontal="center"/>
    </xf>
    <xf numFmtId="165" fontId="20" fillId="0" borderId="37" xfId="0" applyNumberFormat="1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4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textRotation="90" wrapText="1"/>
    </xf>
    <xf numFmtId="0" fontId="20" fillId="0" borderId="43" xfId="0" applyFont="1" applyBorder="1" applyAlignment="1">
      <alignment horizontal="center" vertical="center" textRotation="90" wrapText="1"/>
    </xf>
    <xf numFmtId="0" fontId="20" fillId="0" borderId="44" xfId="0" applyFont="1" applyBorder="1" applyAlignment="1">
      <alignment horizontal="center" vertical="center" textRotation="90" wrapText="1"/>
    </xf>
    <xf numFmtId="0" fontId="20" fillId="0" borderId="34" xfId="0" applyFont="1" applyBorder="1" applyAlignment="1">
      <alignment horizontal="center" vertical="center" textRotation="90" wrapText="1"/>
    </xf>
    <xf numFmtId="0" fontId="6" fillId="21" borderId="68" xfId="0" applyFont="1" applyFill="1" applyBorder="1" applyAlignment="1">
      <alignment horizontal="center" vertical="center"/>
    </xf>
    <xf numFmtId="0" fontId="6" fillId="21" borderId="32" xfId="0" applyFont="1" applyFill="1" applyBorder="1" applyAlignment="1">
      <alignment horizontal="center" vertical="center"/>
    </xf>
    <xf numFmtId="0" fontId="30" fillId="21" borderId="68" xfId="0" applyFont="1" applyFill="1" applyBorder="1" applyAlignment="1">
      <alignment horizontal="center" vertical="center"/>
    </xf>
    <xf numFmtId="0" fontId="30" fillId="21" borderId="32" xfId="0" applyFont="1" applyFill="1" applyBorder="1" applyAlignment="1">
      <alignment horizontal="center" vertical="center"/>
    </xf>
    <xf numFmtId="0" fontId="6" fillId="14" borderId="40" xfId="0" applyFont="1" applyFill="1" applyBorder="1" applyAlignment="1">
      <alignment horizontal="right" vertical="center"/>
    </xf>
    <xf numFmtId="0" fontId="6" fillId="14" borderId="23" xfId="0" applyFont="1" applyFill="1" applyBorder="1" applyAlignment="1">
      <alignment horizontal="right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8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7" fillId="13" borderId="22" xfId="0" applyFont="1" applyFill="1" applyBorder="1" applyAlignment="1">
      <alignment horizontal="left" vertical="center"/>
    </xf>
    <xf numFmtId="0" fontId="7" fillId="13" borderId="59" xfId="0" applyFont="1" applyFill="1" applyBorder="1" applyAlignment="1">
      <alignment horizontal="left" vertical="center"/>
    </xf>
    <xf numFmtId="0" fontId="7" fillId="13" borderId="23" xfId="0" applyFont="1" applyFill="1" applyBorder="1" applyAlignment="1">
      <alignment horizontal="left" vertical="center"/>
    </xf>
    <xf numFmtId="0" fontId="7" fillId="13" borderId="37" xfId="0" applyFont="1" applyFill="1" applyBorder="1" applyAlignment="1">
      <alignment horizontal="left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7" fillId="12" borderId="25" xfId="0" applyFont="1" applyFill="1" applyBorder="1" applyAlignment="1">
      <alignment horizontal="left" vertical="center"/>
    </xf>
    <xf numFmtId="0" fontId="7" fillId="12" borderId="8" xfId="0" applyFont="1" applyFill="1" applyBorder="1" applyAlignment="1">
      <alignment horizontal="left" vertical="center"/>
    </xf>
    <xf numFmtId="0" fontId="6" fillId="13" borderId="53" xfId="0" applyFont="1" applyFill="1" applyBorder="1" applyAlignment="1">
      <alignment horizontal="center" vertical="center" wrapText="1"/>
    </xf>
    <xf numFmtId="0" fontId="6" fillId="13" borderId="54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13" borderId="21" xfId="0" applyFont="1" applyFill="1" applyBorder="1" applyAlignment="1">
      <alignment horizontal="center" vertical="center" wrapText="1"/>
    </xf>
    <xf numFmtId="0" fontId="6" fillId="13" borderId="55" xfId="0" applyFont="1" applyFill="1" applyBorder="1" applyAlignment="1">
      <alignment horizontal="center" vertical="center" wrapText="1"/>
    </xf>
    <xf numFmtId="0" fontId="6" fillId="13" borderId="56" xfId="0" applyFont="1" applyFill="1" applyBorder="1" applyAlignment="1">
      <alignment horizontal="center" vertical="center" wrapText="1"/>
    </xf>
    <xf numFmtId="0" fontId="6" fillId="12" borderId="38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6" fillId="10" borderId="38" xfId="0" applyFont="1" applyFill="1" applyBorder="1" applyAlignment="1">
      <alignment horizontal="center" vertical="center" wrapText="1"/>
    </xf>
    <xf numFmtId="0" fontId="6" fillId="14" borderId="38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7" fillId="16" borderId="60" xfId="0" applyFont="1" applyFill="1" applyBorder="1" applyAlignment="1">
      <alignment horizontal="left" vertical="center"/>
    </xf>
    <xf numFmtId="0" fontId="7" fillId="16" borderId="51" xfId="0" applyFont="1" applyFill="1" applyBorder="1" applyAlignment="1">
      <alignment horizontal="left" vertical="center"/>
    </xf>
    <xf numFmtId="0" fontId="7" fillId="16" borderId="45" xfId="0" applyFont="1" applyFill="1" applyBorder="1" applyAlignment="1">
      <alignment horizontal="left" vertical="center"/>
    </xf>
    <xf numFmtId="0" fontId="7" fillId="16" borderId="49" xfId="0" applyFont="1" applyFill="1" applyBorder="1" applyAlignment="1">
      <alignment horizontal="left" vertical="center"/>
    </xf>
    <xf numFmtId="0" fontId="6" fillId="19" borderId="32" xfId="0" applyFont="1" applyFill="1" applyBorder="1" applyAlignment="1">
      <alignment horizontal="center" vertical="center"/>
    </xf>
    <xf numFmtId="0" fontId="6" fillId="20" borderId="32" xfId="0" applyFont="1" applyFill="1" applyBorder="1" applyAlignment="1">
      <alignment horizontal="center" vertical="center"/>
    </xf>
    <xf numFmtId="0" fontId="6" fillId="21" borderId="67" xfId="0" applyFont="1" applyFill="1" applyBorder="1" applyAlignment="1">
      <alignment horizontal="center" vertical="center"/>
    </xf>
    <xf numFmtId="0" fontId="6" fillId="21" borderId="68" xfId="0" applyFont="1" applyFill="1" applyBorder="1" applyAlignment="1">
      <alignment horizontal="center" vertical="center" wrapText="1"/>
    </xf>
    <xf numFmtId="0" fontId="6" fillId="21" borderId="32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5" borderId="38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15" borderId="25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6" borderId="38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25" xfId="0" applyFont="1" applyFill="1" applyBorder="1" applyAlignment="1">
      <alignment horizontal="center" vertical="center"/>
    </xf>
    <xf numFmtId="0" fontId="6" fillId="16" borderId="10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7" fillId="15" borderId="25" xfId="0" applyFont="1" applyFill="1" applyBorder="1" applyAlignment="1">
      <alignment horizontal="left" vertical="center"/>
    </xf>
    <xf numFmtId="0" fontId="7" fillId="15" borderId="8" xfId="0" applyFont="1" applyFill="1" applyBorder="1" applyAlignment="1">
      <alignment horizontal="left" vertical="center"/>
    </xf>
    <xf numFmtId="0" fontId="7" fillId="15" borderId="3" xfId="0" applyFont="1" applyFill="1" applyBorder="1" applyAlignment="1">
      <alignment horizontal="left" vertical="center"/>
    </xf>
    <xf numFmtId="0" fontId="7" fillId="15" borderId="6" xfId="0" applyFont="1" applyFill="1" applyBorder="1" applyAlignment="1">
      <alignment horizontal="left" vertical="center"/>
    </xf>
    <xf numFmtId="0" fontId="7" fillId="14" borderId="25" xfId="0" applyFont="1" applyFill="1" applyBorder="1" applyAlignment="1">
      <alignment horizontal="left" vertical="center"/>
    </xf>
    <xf numFmtId="0" fontId="7" fillId="14" borderId="8" xfId="0" applyFont="1" applyFill="1" applyBorder="1" applyAlignment="1">
      <alignment horizontal="left" vertical="center"/>
    </xf>
    <xf numFmtId="0" fontId="7" fillId="14" borderId="3" xfId="0" applyFont="1" applyFill="1" applyBorder="1" applyAlignment="1">
      <alignment horizontal="left" vertical="center"/>
    </xf>
    <xf numFmtId="0" fontId="7" fillId="14" borderId="6" xfId="0" applyFont="1" applyFill="1" applyBorder="1" applyAlignment="1">
      <alignment horizontal="left" vertical="center"/>
    </xf>
    <xf numFmtId="0" fontId="8" fillId="0" borderId="47" xfId="0" applyFont="1" applyFill="1" applyBorder="1" applyAlignment="1">
      <alignment horizontal="center"/>
    </xf>
    <xf numFmtId="0" fontId="8" fillId="0" borderId="48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4" fontId="7" fillId="8" borderId="1" xfId="0" applyNumberFormat="1" applyFont="1" applyFill="1" applyBorder="1" applyAlignment="1">
      <alignment horizontal="center"/>
    </xf>
    <xf numFmtId="4" fontId="7" fillId="8" borderId="46" xfId="0" applyNumberFormat="1" applyFont="1" applyFill="1" applyBorder="1" applyAlignment="1">
      <alignment horizontal="center"/>
    </xf>
    <xf numFmtId="4" fontId="7" fillId="8" borderId="49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4" fontId="7" fillId="6" borderId="1" xfId="0" applyNumberFormat="1" applyFont="1" applyFill="1" applyBorder="1" applyAlignment="1">
      <alignment horizontal="center"/>
    </xf>
    <xf numFmtId="4" fontId="7" fillId="6" borderId="46" xfId="0" applyNumberFormat="1" applyFont="1" applyFill="1" applyBorder="1" applyAlignment="1">
      <alignment horizontal="center"/>
    </xf>
    <xf numFmtId="4" fontId="7" fillId="6" borderId="49" xfId="0" applyNumberFormat="1" applyFont="1" applyFill="1" applyBorder="1" applyAlignment="1">
      <alignment horizontal="center"/>
    </xf>
    <xf numFmtId="4" fontId="7" fillId="7" borderId="1" xfId="0" applyNumberFormat="1" applyFont="1" applyFill="1" applyBorder="1" applyAlignment="1">
      <alignment horizontal="center"/>
    </xf>
    <xf numFmtId="4" fontId="7" fillId="7" borderId="46" xfId="0" applyNumberFormat="1" applyFont="1" applyFill="1" applyBorder="1" applyAlignment="1">
      <alignment horizontal="center"/>
    </xf>
    <xf numFmtId="4" fontId="7" fillId="7" borderId="49" xfId="0" applyNumberFormat="1" applyFont="1" applyFill="1" applyBorder="1" applyAlignment="1">
      <alignment horizontal="center"/>
    </xf>
    <xf numFmtId="4" fontId="7" fillId="4" borderId="1" xfId="0" applyNumberFormat="1" applyFont="1" applyFill="1" applyBorder="1" applyAlignment="1">
      <alignment horizontal="center"/>
    </xf>
    <xf numFmtId="4" fontId="7" fillId="4" borderId="46" xfId="0" applyNumberFormat="1" applyFont="1" applyFill="1" applyBorder="1" applyAlignment="1">
      <alignment horizontal="center"/>
    </xf>
    <xf numFmtId="4" fontId="7" fillId="4" borderId="4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7" fillId="4" borderId="5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46" xfId="0" applyFont="1" applyFill="1" applyBorder="1" applyAlignment="1">
      <alignment horizontal="center" vertical="center" wrapText="1"/>
    </xf>
    <xf numFmtId="0" fontId="7" fillId="7" borderId="49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7" fillId="8" borderId="5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46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4" fontId="7" fillId="6" borderId="1" xfId="0" applyNumberFormat="1" applyFont="1" applyFill="1" applyBorder="1" applyAlignment="1">
      <alignment horizontal="center" vertical="center" wrapText="1"/>
    </xf>
    <xf numFmtId="4" fontId="7" fillId="6" borderId="46" xfId="0" applyNumberFormat="1" applyFont="1" applyFill="1" applyBorder="1" applyAlignment="1">
      <alignment horizontal="center" vertical="center" wrapText="1"/>
    </xf>
    <xf numFmtId="4" fontId="7" fillId="6" borderId="49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50" xfId="0" applyFont="1" applyFill="1" applyBorder="1" applyAlignment="1">
      <alignment horizontal="center" vertical="center" wrapText="1"/>
    </xf>
    <xf numFmtId="0" fontId="7" fillId="6" borderId="5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5" fillId="0" borderId="47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19" xfId="0" applyFont="1" applyBorder="1" applyAlignment="1">
      <alignment horizontal="center" wrapText="1"/>
    </xf>
    <xf numFmtId="0" fontId="25" fillId="0" borderId="64" xfId="0" applyFont="1" applyBorder="1" applyAlignment="1">
      <alignment horizontal="center" wrapText="1"/>
    </xf>
    <xf numFmtId="0" fontId="24" fillId="0" borderId="3" xfId="0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 wrapText="1"/>
    </xf>
    <xf numFmtId="0" fontId="25" fillId="0" borderId="34" xfId="0" applyFont="1" applyBorder="1" applyAlignment="1">
      <alignment horizontal="center" textRotation="90" wrapText="1"/>
    </xf>
    <xf numFmtId="0" fontId="25" fillId="0" borderId="43" xfId="0" applyFont="1" applyBorder="1" applyAlignment="1">
      <alignment horizontal="center" textRotation="90" wrapText="1"/>
    </xf>
    <xf numFmtId="0" fontId="25" fillId="0" borderId="63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15" fillId="0" borderId="43" xfId="0" applyFont="1" applyBorder="1" applyAlignment="1">
      <alignment horizontal="center" wrapText="1"/>
    </xf>
    <xf numFmtId="0" fontId="15" fillId="0" borderId="36" xfId="0" applyFont="1" applyBorder="1" applyAlignment="1">
      <alignment horizontal="center" wrapText="1"/>
    </xf>
    <xf numFmtId="0" fontId="2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 wrapText="1"/>
    </xf>
    <xf numFmtId="0" fontId="24" fillId="0" borderId="47" xfId="0" applyFont="1" applyBorder="1" applyAlignment="1">
      <alignment horizontal="center"/>
    </xf>
    <xf numFmtId="0" fontId="24" fillId="0" borderId="48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4" fillId="0" borderId="3" xfId="0" applyNumberFormat="1" applyFont="1" applyBorder="1" applyAlignment="1">
      <alignment horizontal="center" wrapText="1"/>
    </xf>
    <xf numFmtId="0" fontId="20" fillId="0" borderId="34" xfId="0" applyFont="1" applyBorder="1" applyAlignment="1">
      <alignment horizontal="center" wrapText="1"/>
    </xf>
    <xf numFmtId="0" fontId="20" fillId="0" borderId="43" xfId="0" applyFont="1" applyBorder="1" applyAlignment="1">
      <alignment horizontal="center" wrapText="1"/>
    </xf>
    <xf numFmtId="0" fontId="20" fillId="0" borderId="36" xfId="0" applyFont="1" applyBorder="1" applyAlignment="1">
      <alignment horizontal="center" wrapText="1"/>
    </xf>
    <xf numFmtId="0" fontId="20" fillId="0" borderId="47" xfId="0" applyFont="1" applyBorder="1" applyAlignment="1">
      <alignment horizontal="center"/>
    </xf>
    <xf numFmtId="0" fontId="20" fillId="0" borderId="4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7132352941176511"/>
          <c:y val="3.583061889250815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Лист9!$D$2:$D$9</c:f>
              <c:strCache>
                <c:ptCount val="8"/>
                <c:pt idx="0">
                  <c:v>1988,287324</c:v>
                </c:pt>
                <c:pt idx="1">
                  <c:v>3156,301321</c:v>
                </c:pt>
                <c:pt idx="2">
                  <c:v>4324,315318</c:v>
                </c:pt>
                <c:pt idx="3">
                  <c:v>5492,329315</c:v>
                </c:pt>
                <c:pt idx="4">
                  <c:v>6660,343313</c:v>
                </c:pt>
                <c:pt idx="5">
                  <c:v>7828,35731</c:v>
                </c:pt>
                <c:pt idx="6">
                  <c:v>8996,371307</c:v>
                </c:pt>
                <c:pt idx="7">
                  <c:v>Еще</c:v>
                </c:pt>
              </c:strCache>
            </c:strRef>
          </c:cat>
          <c:val>
            <c:numRef>
              <c:f>Лист9!$E$2:$E$9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</c:ser>
        <c:axId val="70037504"/>
        <c:axId val="70039808"/>
      </c:barChart>
      <c:catAx>
        <c:axId val="7003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039808"/>
        <c:crosses val="autoZero"/>
        <c:auto val="1"/>
        <c:lblAlgn val="ctr"/>
        <c:lblOffset val="100"/>
      </c:catAx>
      <c:valAx>
        <c:axId val="70039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03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9705882352946"/>
          <c:y val="0.52768729641693812"/>
          <c:w val="0.11948529411764686"/>
          <c:h val="7.8175895765472361E-2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5937500000000039"/>
          <c:y val="4.6783625730994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27126381241844"/>
          <c:y val="0.3567271834291818"/>
          <c:w val="0.60677237643528803"/>
          <c:h val="0.14619966533982856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Лист9!$D$194:$D$201</c:f>
              <c:strCache>
                <c:ptCount val="8"/>
                <c:pt idx="0">
                  <c:v>902,4437118</c:v>
                </c:pt>
                <c:pt idx="1">
                  <c:v>905,0792618</c:v>
                </c:pt>
                <c:pt idx="2">
                  <c:v>907,7148118</c:v>
                </c:pt>
                <c:pt idx="3">
                  <c:v>910,3503618</c:v>
                </c:pt>
                <c:pt idx="4">
                  <c:v>912,9859117</c:v>
                </c:pt>
                <c:pt idx="5">
                  <c:v>915,6214617</c:v>
                </c:pt>
                <c:pt idx="6">
                  <c:v>918,2570117</c:v>
                </c:pt>
                <c:pt idx="7">
                  <c:v>Еще</c:v>
                </c:pt>
              </c:strCache>
            </c:strRef>
          </c:cat>
          <c:val>
            <c:numRef>
              <c:f>Лист9!$E$194:$E$201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</c:ser>
        <c:axId val="79351168"/>
        <c:axId val="79361536"/>
      </c:barChart>
      <c:catAx>
        <c:axId val="7935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40364692694663168"/>
              <c:y val="0.77778207548617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361536"/>
        <c:crosses val="autoZero"/>
        <c:auto val="1"/>
        <c:lblAlgn val="ctr"/>
        <c:lblOffset val="100"/>
        <c:tickLblSkip val="2"/>
        <c:tickMarkSkip val="1"/>
      </c:catAx>
      <c:valAx>
        <c:axId val="79361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Частота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3159122653527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351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46875"/>
          <c:y val="0.36842105263157893"/>
          <c:w val="0.97916666666666652"/>
          <c:h val="0.497076023391813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5937500000000039"/>
          <c:y val="4.6783625730994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27126381241844"/>
          <c:y val="0.3567271834291818"/>
          <c:w val="0.60677237643528803"/>
          <c:h val="0.14619966533982856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Лист9!$D$215:$D$222</c:f>
              <c:strCache>
                <c:ptCount val="8"/>
                <c:pt idx="0">
                  <c:v>15,35073436</c:v>
                </c:pt>
                <c:pt idx="1">
                  <c:v>16,47412793</c:v>
                </c:pt>
                <c:pt idx="2">
                  <c:v>17,59752149</c:v>
                </c:pt>
                <c:pt idx="3">
                  <c:v>18,72091505</c:v>
                </c:pt>
                <c:pt idx="4">
                  <c:v>19,84430862</c:v>
                </c:pt>
                <c:pt idx="5">
                  <c:v>20,96770218</c:v>
                </c:pt>
                <c:pt idx="6">
                  <c:v>22,09109575</c:v>
                </c:pt>
                <c:pt idx="7">
                  <c:v>Еще</c:v>
                </c:pt>
              </c:strCache>
            </c:strRef>
          </c:cat>
          <c:val>
            <c:numRef>
              <c:f>Лист9!$E$215:$E$222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</c:ser>
        <c:axId val="79263232"/>
        <c:axId val="79265152"/>
      </c:barChart>
      <c:catAx>
        <c:axId val="7926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40364692694663168"/>
              <c:y val="0.77778207548617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265152"/>
        <c:crosses val="autoZero"/>
        <c:auto val="1"/>
        <c:lblAlgn val="ctr"/>
        <c:lblOffset val="100"/>
        <c:tickLblSkip val="2"/>
        <c:tickMarkSkip val="1"/>
      </c:catAx>
      <c:valAx>
        <c:axId val="79265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Частота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3159122653527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263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46875"/>
          <c:y val="0.36842105263157893"/>
          <c:w val="0.97916666666666652"/>
          <c:h val="0.497076023391813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5937500000000039"/>
          <c:y val="4.6783625730994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27126381241844"/>
          <c:y val="0.3567271834291818"/>
          <c:w val="0.60677237643528803"/>
          <c:h val="0.14619966533982856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Лист9!$D$236:$D$243</c:f>
              <c:strCache>
                <c:ptCount val="8"/>
                <c:pt idx="0">
                  <c:v>2427,738905</c:v>
                </c:pt>
                <c:pt idx="1">
                  <c:v>2493,15956</c:v>
                </c:pt>
                <c:pt idx="2">
                  <c:v>2558,580216</c:v>
                </c:pt>
                <c:pt idx="3">
                  <c:v>2624,000871</c:v>
                </c:pt>
                <c:pt idx="4">
                  <c:v>2689,421527</c:v>
                </c:pt>
                <c:pt idx="5">
                  <c:v>2754,842182</c:v>
                </c:pt>
                <c:pt idx="6">
                  <c:v>2820,262838</c:v>
                </c:pt>
                <c:pt idx="7">
                  <c:v>Еще</c:v>
                </c:pt>
              </c:strCache>
            </c:strRef>
          </c:cat>
          <c:val>
            <c:numRef>
              <c:f>Лист9!$E$236:$E$243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8</c:v>
                </c:pt>
              </c:numCache>
            </c:numRef>
          </c:val>
        </c:ser>
        <c:axId val="79297920"/>
        <c:axId val="79447552"/>
      </c:barChart>
      <c:catAx>
        <c:axId val="7929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40364692694663168"/>
              <c:y val="0.77778207548617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447552"/>
        <c:crosses val="autoZero"/>
        <c:auto val="1"/>
        <c:lblAlgn val="ctr"/>
        <c:lblOffset val="100"/>
        <c:tickLblSkip val="2"/>
        <c:tickMarkSkip val="1"/>
      </c:catAx>
      <c:valAx>
        <c:axId val="79447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Частота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3159122653527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29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46875"/>
          <c:y val="0.36842105263157893"/>
          <c:w val="0.97916666666666652"/>
          <c:h val="0.497076023391813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t>Гистограмма</a:t>
            </a:r>
          </a:p>
        </c:rich>
      </c:tx>
      <c:layout>
        <c:manualLayout>
          <c:xMode val="edge"/>
          <c:yMode val="edge"/>
          <c:x val="0.35937500000000039"/>
          <c:y val="4.6783625730994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27126381241844"/>
          <c:y val="0.3567271834291818"/>
          <c:w val="0.60677237643528803"/>
          <c:h val="0.14619966533982856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Лист9!$D$257:$D$264</c:f>
              <c:strCache>
                <c:ptCount val="8"/>
                <c:pt idx="0">
                  <c:v>73,13306013</c:v>
                </c:pt>
                <c:pt idx="1">
                  <c:v>77,00236892</c:v>
                </c:pt>
                <c:pt idx="2">
                  <c:v>80,8716777</c:v>
                </c:pt>
                <c:pt idx="3">
                  <c:v>84,74098648</c:v>
                </c:pt>
                <c:pt idx="4">
                  <c:v>88,61029527</c:v>
                </c:pt>
                <c:pt idx="5">
                  <c:v>92,47960405</c:v>
                </c:pt>
                <c:pt idx="6">
                  <c:v>96,34891284</c:v>
                </c:pt>
                <c:pt idx="7">
                  <c:v>Еще</c:v>
                </c:pt>
              </c:strCache>
            </c:strRef>
          </c:cat>
          <c:val>
            <c:numRef>
              <c:f>Лист9!$E$257:$E$264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axId val="79373824"/>
        <c:axId val="79375744"/>
      </c:barChart>
      <c:catAx>
        <c:axId val="7937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t>Карман</a:t>
                </a:r>
              </a:p>
            </c:rich>
          </c:tx>
          <c:layout>
            <c:manualLayout>
              <c:xMode val="edge"/>
              <c:yMode val="edge"/>
              <c:x val="0.40364692694663168"/>
              <c:y val="0.77778207548617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375744"/>
        <c:crosses val="autoZero"/>
        <c:auto val="1"/>
        <c:lblAlgn val="ctr"/>
        <c:lblOffset val="100"/>
        <c:tickLblSkip val="2"/>
        <c:tickMarkSkip val="1"/>
      </c:catAx>
      <c:valAx>
        <c:axId val="793757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t>Частота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3159122653527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37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46875"/>
          <c:y val="0.36842105263157893"/>
          <c:w val="0.97916666666666652"/>
          <c:h val="0.497076023391813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t>Гистограмма</a:t>
            </a:r>
          </a:p>
        </c:rich>
      </c:tx>
      <c:layout>
        <c:manualLayout>
          <c:xMode val="edge"/>
          <c:yMode val="edge"/>
          <c:x val="0.35937500000000039"/>
          <c:y val="4.6783625730994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27126381241844"/>
          <c:y val="0.3567271834291818"/>
          <c:w val="0.60677237643528803"/>
          <c:h val="0.14619966533982856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Лист9!$D$278:$D$285</c:f>
              <c:strCache>
                <c:ptCount val="8"/>
                <c:pt idx="0">
                  <c:v>167,1336661</c:v>
                </c:pt>
                <c:pt idx="1">
                  <c:v>174,1399715</c:v>
                </c:pt>
                <c:pt idx="2">
                  <c:v>181,146277</c:v>
                </c:pt>
                <c:pt idx="3">
                  <c:v>188,1525824</c:v>
                </c:pt>
                <c:pt idx="4">
                  <c:v>195,1588878</c:v>
                </c:pt>
                <c:pt idx="5">
                  <c:v>202,1651932</c:v>
                </c:pt>
                <c:pt idx="6">
                  <c:v>209,1714987</c:v>
                </c:pt>
                <c:pt idx="7">
                  <c:v>Еще</c:v>
                </c:pt>
              </c:strCache>
            </c:strRef>
          </c:cat>
          <c:val>
            <c:numRef>
              <c:f>Лист9!$E$278:$E$285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axId val="79392128"/>
        <c:axId val="79414784"/>
      </c:barChart>
      <c:catAx>
        <c:axId val="7939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t>Карман</a:t>
                </a:r>
              </a:p>
            </c:rich>
          </c:tx>
          <c:layout>
            <c:manualLayout>
              <c:xMode val="edge"/>
              <c:yMode val="edge"/>
              <c:x val="0.40364692694663168"/>
              <c:y val="0.77778207548617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414784"/>
        <c:crosses val="autoZero"/>
        <c:auto val="1"/>
        <c:lblAlgn val="ctr"/>
        <c:lblOffset val="100"/>
        <c:tickLblSkip val="2"/>
        <c:tickMarkSkip val="1"/>
      </c:catAx>
      <c:valAx>
        <c:axId val="794147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t>Частота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3159122653527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392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46875"/>
          <c:y val="0.36842105263157893"/>
          <c:w val="0.97916666666666652"/>
          <c:h val="0.497076023391813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t>Гистограмма</a:t>
            </a:r>
          </a:p>
        </c:rich>
      </c:tx>
      <c:layout>
        <c:manualLayout>
          <c:xMode val="edge"/>
          <c:yMode val="edge"/>
          <c:x val="0.35937500000000039"/>
          <c:y val="4.6783625730994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27126381241844"/>
          <c:y val="0.3567271834291818"/>
          <c:w val="0.60677237643528803"/>
          <c:h val="0.14619966533982856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Лист9!$D$299:$D$306</c:f>
              <c:strCache>
                <c:ptCount val="8"/>
                <c:pt idx="0">
                  <c:v>71,86513674</c:v>
                </c:pt>
                <c:pt idx="1">
                  <c:v>74,6259274</c:v>
                </c:pt>
                <c:pt idx="2">
                  <c:v>77,38671805</c:v>
                </c:pt>
                <c:pt idx="3">
                  <c:v>80,14750871</c:v>
                </c:pt>
                <c:pt idx="4">
                  <c:v>82,90829937</c:v>
                </c:pt>
                <c:pt idx="5">
                  <c:v>85,66909002</c:v>
                </c:pt>
                <c:pt idx="6">
                  <c:v>88,42988068</c:v>
                </c:pt>
                <c:pt idx="7">
                  <c:v>Еще</c:v>
                </c:pt>
              </c:strCache>
            </c:strRef>
          </c:cat>
          <c:val>
            <c:numRef>
              <c:f>Лист9!$E$299:$E$306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</c:ser>
        <c:axId val="79521280"/>
        <c:axId val="79523200"/>
      </c:barChart>
      <c:catAx>
        <c:axId val="7952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t>Карман</a:t>
                </a:r>
              </a:p>
            </c:rich>
          </c:tx>
          <c:layout>
            <c:manualLayout>
              <c:xMode val="edge"/>
              <c:yMode val="edge"/>
              <c:x val="0.40364692694663168"/>
              <c:y val="0.77778207548617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523200"/>
        <c:crosses val="autoZero"/>
        <c:auto val="1"/>
        <c:lblAlgn val="ctr"/>
        <c:lblOffset val="100"/>
        <c:tickLblSkip val="2"/>
        <c:tickMarkSkip val="1"/>
      </c:catAx>
      <c:valAx>
        <c:axId val="79523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t>Частота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3159122653527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52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46875"/>
          <c:y val="0.36842105263157893"/>
          <c:w val="0.97916666666666652"/>
          <c:h val="0.497076023391813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Изменение</a:t>
            </a:r>
            <a:r>
              <a:rPr lang="ru-RU" baseline="0"/>
              <a:t> объемов производства продукции относительно детерминированной задачи</a:t>
            </a:r>
            <a:r>
              <a:rPr lang="ru-RU"/>
              <a:t>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ЦФ!$C$47</c:f>
              <c:strCache>
                <c:ptCount val="1"/>
                <c:pt idx="0">
                  <c:v>0,6</c:v>
                </c:pt>
              </c:strCache>
            </c:strRef>
          </c:tx>
          <c:val>
            <c:numRef>
              <c:f>ЦФ!$D$47:$W$47</c:f>
              <c:numCache>
                <c:formatCode>General</c:formatCode>
                <c:ptCount val="20"/>
                <c:pt idx="0">
                  <c:v>-4.9599748862031081</c:v>
                </c:pt>
                <c:pt idx="1">
                  <c:v>-3.4793814432989691</c:v>
                </c:pt>
                <c:pt idx="2">
                  <c:v>-31.396125584502339</c:v>
                </c:pt>
                <c:pt idx="3">
                  <c:v>-4.9783549783549788</c:v>
                </c:pt>
                <c:pt idx="4">
                  <c:v>140.1294498381877</c:v>
                </c:pt>
                <c:pt idx="5">
                  <c:v>-4.6875</c:v>
                </c:pt>
                <c:pt idx="6">
                  <c:v>-4.7244094488188972</c:v>
                </c:pt>
                <c:pt idx="7">
                  <c:v>-4.9408131755018019</c:v>
                </c:pt>
                <c:pt idx="8">
                  <c:v>138.0952380952381</c:v>
                </c:pt>
                <c:pt idx="9">
                  <c:v>136.36363636363635</c:v>
                </c:pt>
                <c:pt idx="10">
                  <c:v>138.98305084745763</c:v>
                </c:pt>
                <c:pt idx="11">
                  <c:v>138.70967741935485</c:v>
                </c:pt>
                <c:pt idx="12">
                  <c:v>150</c:v>
                </c:pt>
                <c:pt idx="13">
                  <c:v>-3.4090909090909087</c:v>
                </c:pt>
                <c:pt idx="14">
                  <c:v>-4.3478260869565215</c:v>
                </c:pt>
                <c:pt idx="15">
                  <c:v>-3.6565977742448332</c:v>
                </c:pt>
                <c:pt idx="16">
                  <c:v>-4.3478260869565215</c:v>
                </c:pt>
                <c:pt idx="17">
                  <c:v>-12.976406533575318</c:v>
                </c:pt>
                <c:pt idx="18">
                  <c:v>-16.666666666666664</c:v>
                </c:pt>
                <c:pt idx="19">
                  <c:v>-10</c:v>
                </c:pt>
              </c:numCache>
            </c:numRef>
          </c:val>
        </c:ser>
        <c:ser>
          <c:idx val="1"/>
          <c:order val="1"/>
          <c:tx>
            <c:strRef>
              <c:f>ЦФ!$C$48</c:f>
              <c:strCache>
                <c:ptCount val="1"/>
                <c:pt idx="0">
                  <c:v>0,7</c:v>
                </c:pt>
              </c:strCache>
            </c:strRef>
          </c:tx>
          <c:val>
            <c:numRef>
              <c:f>ЦФ!$D$48:$W$48</c:f>
              <c:numCache>
                <c:formatCode>General</c:formatCode>
                <c:ptCount val="20"/>
                <c:pt idx="0">
                  <c:v>-20.907235912729554</c:v>
                </c:pt>
                <c:pt idx="1">
                  <c:v>-15.592783505154639</c:v>
                </c:pt>
                <c:pt idx="2">
                  <c:v>-47.494989979959918</c:v>
                </c:pt>
                <c:pt idx="3">
                  <c:v>-20.887445887445889</c:v>
                </c:pt>
                <c:pt idx="4">
                  <c:v>144.66019417475729</c:v>
                </c:pt>
                <c:pt idx="5">
                  <c:v>-21.875</c:v>
                </c:pt>
                <c:pt idx="6">
                  <c:v>-20.472440944881889</c:v>
                </c:pt>
                <c:pt idx="7">
                  <c:v>-20.8955223880597</c:v>
                </c:pt>
                <c:pt idx="8">
                  <c:v>142.85714285714286</c:v>
                </c:pt>
                <c:pt idx="9">
                  <c:v>140.90909090909091</c:v>
                </c:pt>
                <c:pt idx="10">
                  <c:v>143.22033898305085</c:v>
                </c:pt>
                <c:pt idx="11">
                  <c:v>143.54838709677421</c:v>
                </c:pt>
                <c:pt idx="12">
                  <c:v>150</c:v>
                </c:pt>
                <c:pt idx="13">
                  <c:v>-15.909090909090908</c:v>
                </c:pt>
                <c:pt idx="14">
                  <c:v>-13.043478260869565</c:v>
                </c:pt>
                <c:pt idx="15">
                  <c:v>-15.580286168521463</c:v>
                </c:pt>
                <c:pt idx="16">
                  <c:v>-100</c:v>
                </c:pt>
                <c:pt idx="17">
                  <c:v>-28.584392014519054</c:v>
                </c:pt>
                <c:pt idx="18">
                  <c:v>-33.333333333333329</c:v>
                </c:pt>
                <c:pt idx="19">
                  <c:v>-30</c:v>
                </c:pt>
              </c:numCache>
            </c:numRef>
          </c:val>
        </c:ser>
        <c:ser>
          <c:idx val="2"/>
          <c:order val="2"/>
          <c:tx>
            <c:strRef>
              <c:f>ЦФ!$C$49</c:f>
              <c:strCache>
                <c:ptCount val="1"/>
                <c:pt idx="0">
                  <c:v>0,8</c:v>
                </c:pt>
              </c:strCache>
            </c:strRef>
          </c:tx>
          <c:val>
            <c:numRef>
              <c:f>ЦФ!$D$49:$W$49</c:f>
              <c:numCache>
                <c:formatCode>General</c:formatCode>
                <c:ptCount val="20"/>
                <c:pt idx="0">
                  <c:v>-25.035316276879609</c:v>
                </c:pt>
                <c:pt idx="1">
                  <c:v>-19.974226804123713</c:v>
                </c:pt>
                <c:pt idx="2">
                  <c:v>-81.095524382097523</c:v>
                </c:pt>
                <c:pt idx="3">
                  <c:v>-25</c:v>
                </c:pt>
                <c:pt idx="4">
                  <c:v>131.71521035598707</c:v>
                </c:pt>
                <c:pt idx="5">
                  <c:v>-25</c:v>
                </c:pt>
                <c:pt idx="6">
                  <c:v>-24.409448818897637</c:v>
                </c:pt>
                <c:pt idx="7">
                  <c:v>-25.01286670097787</c:v>
                </c:pt>
                <c:pt idx="8">
                  <c:v>129.76190476190476</c:v>
                </c:pt>
                <c:pt idx="9">
                  <c:v>127.27272727272727</c:v>
                </c:pt>
                <c:pt idx="10">
                  <c:v>130.5084745762712</c:v>
                </c:pt>
                <c:pt idx="11">
                  <c:v>130.64516129032256</c:v>
                </c:pt>
                <c:pt idx="12">
                  <c:v>133.33333333333331</c:v>
                </c:pt>
                <c:pt idx="13">
                  <c:v>-20.454545454545457</c:v>
                </c:pt>
                <c:pt idx="14">
                  <c:v>-17.391304347826086</c:v>
                </c:pt>
                <c:pt idx="15">
                  <c:v>-20.03179650238474</c:v>
                </c:pt>
                <c:pt idx="16">
                  <c:v>-17.391304347826086</c:v>
                </c:pt>
                <c:pt idx="17">
                  <c:v>-57.713248638838479</c:v>
                </c:pt>
                <c:pt idx="18">
                  <c:v>-66.666666666666657</c:v>
                </c:pt>
                <c:pt idx="19">
                  <c:v>-60</c:v>
                </c:pt>
              </c:numCache>
            </c:numRef>
          </c:val>
        </c:ser>
        <c:ser>
          <c:idx val="3"/>
          <c:order val="3"/>
          <c:tx>
            <c:strRef>
              <c:f>ЦФ!$C$50</c:f>
              <c:strCache>
                <c:ptCount val="1"/>
                <c:pt idx="0">
                  <c:v>0,9</c:v>
                </c:pt>
              </c:strCache>
            </c:strRef>
          </c:tx>
          <c:val>
            <c:numRef>
              <c:f>ЦФ!$D$50:$W$50</c:f>
              <c:numCache>
                <c:formatCode>General</c:formatCode>
                <c:ptCount val="20"/>
                <c:pt idx="0">
                  <c:v>-26.400878982891225</c:v>
                </c:pt>
                <c:pt idx="1">
                  <c:v>-21.391752577319586</c:v>
                </c:pt>
                <c:pt idx="2">
                  <c:v>-81.763527054108224</c:v>
                </c:pt>
                <c:pt idx="3">
                  <c:v>-26.406926406926406</c:v>
                </c:pt>
                <c:pt idx="4">
                  <c:v>73.786407766990294</c:v>
                </c:pt>
                <c:pt idx="5">
                  <c:v>-26.5625</c:v>
                </c:pt>
                <c:pt idx="6">
                  <c:v>-25.984251968503933</c:v>
                </c:pt>
                <c:pt idx="7">
                  <c:v>-26.402470406587753</c:v>
                </c:pt>
                <c:pt idx="8">
                  <c:v>72.61904761904762</c:v>
                </c:pt>
                <c:pt idx="9">
                  <c:v>72.727272727272734</c:v>
                </c:pt>
                <c:pt idx="10">
                  <c:v>72.881355932203391</c:v>
                </c:pt>
                <c:pt idx="11">
                  <c:v>72.58064516129032</c:v>
                </c:pt>
                <c:pt idx="12">
                  <c:v>83.333333333333343</c:v>
                </c:pt>
                <c:pt idx="13">
                  <c:v>-21.59090909090909</c:v>
                </c:pt>
                <c:pt idx="14">
                  <c:v>-21.739130434782609</c:v>
                </c:pt>
                <c:pt idx="15">
                  <c:v>-21.462639109697935</c:v>
                </c:pt>
                <c:pt idx="16">
                  <c:v>-21.739130434782609</c:v>
                </c:pt>
                <c:pt idx="17">
                  <c:v>-64.42831215970962</c:v>
                </c:pt>
                <c:pt idx="18">
                  <c:v>-66.666666666666657</c:v>
                </c:pt>
                <c:pt idx="19">
                  <c:v>-60</c:v>
                </c:pt>
              </c:numCache>
            </c:numRef>
          </c:val>
        </c:ser>
        <c:marker val="1"/>
        <c:axId val="79623296"/>
        <c:axId val="79624832"/>
      </c:lineChart>
      <c:catAx>
        <c:axId val="79623296"/>
        <c:scaling>
          <c:orientation val="minMax"/>
        </c:scaling>
        <c:axPos val="b"/>
        <c:majorTickMark val="none"/>
        <c:tickLblPos val="nextTo"/>
        <c:crossAx val="79624832"/>
        <c:crosses val="autoZero"/>
        <c:auto val="1"/>
        <c:lblAlgn val="ctr"/>
        <c:lblOffset val="100"/>
      </c:catAx>
      <c:valAx>
        <c:axId val="79624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 изменения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62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Изменение объемов производства продукции относительно детерминированной задачи 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ЦФ!$C$47</c:f>
              <c:strCache>
                <c:ptCount val="1"/>
                <c:pt idx="0">
                  <c:v>0,6</c:v>
                </c:pt>
              </c:strCache>
            </c:strRef>
          </c:tx>
          <c:val>
            <c:numRef>
              <c:f>ЦФ!$D$47:$W$47</c:f>
              <c:numCache>
                <c:formatCode>General</c:formatCode>
                <c:ptCount val="20"/>
                <c:pt idx="0">
                  <c:v>-4.9599748862031081</c:v>
                </c:pt>
                <c:pt idx="1">
                  <c:v>-3.4793814432989691</c:v>
                </c:pt>
                <c:pt idx="2">
                  <c:v>-31.396125584502339</c:v>
                </c:pt>
                <c:pt idx="3">
                  <c:v>-4.9783549783549788</c:v>
                </c:pt>
                <c:pt idx="4">
                  <c:v>140.1294498381877</c:v>
                </c:pt>
                <c:pt idx="5">
                  <c:v>-4.6875</c:v>
                </c:pt>
                <c:pt idx="6">
                  <c:v>-4.7244094488188972</c:v>
                </c:pt>
                <c:pt idx="7">
                  <c:v>-4.9408131755018019</c:v>
                </c:pt>
                <c:pt idx="8">
                  <c:v>138.0952380952381</c:v>
                </c:pt>
                <c:pt idx="9">
                  <c:v>136.36363636363635</c:v>
                </c:pt>
                <c:pt idx="10">
                  <c:v>138.98305084745763</c:v>
                </c:pt>
                <c:pt idx="11">
                  <c:v>138.70967741935485</c:v>
                </c:pt>
                <c:pt idx="12">
                  <c:v>150</c:v>
                </c:pt>
                <c:pt idx="13">
                  <c:v>-3.4090909090909087</c:v>
                </c:pt>
                <c:pt idx="14">
                  <c:v>-4.3478260869565215</c:v>
                </c:pt>
                <c:pt idx="15">
                  <c:v>-3.6565977742448332</c:v>
                </c:pt>
                <c:pt idx="16">
                  <c:v>-4.3478260869565215</c:v>
                </c:pt>
                <c:pt idx="17">
                  <c:v>-12.976406533575318</c:v>
                </c:pt>
                <c:pt idx="18">
                  <c:v>-16.666666666666664</c:v>
                </c:pt>
                <c:pt idx="19">
                  <c:v>-10</c:v>
                </c:pt>
              </c:numCache>
            </c:numRef>
          </c:val>
        </c:ser>
        <c:ser>
          <c:idx val="1"/>
          <c:order val="1"/>
          <c:tx>
            <c:strRef>
              <c:f>ЦФ!$C$48</c:f>
              <c:strCache>
                <c:ptCount val="1"/>
                <c:pt idx="0">
                  <c:v>0,7</c:v>
                </c:pt>
              </c:strCache>
            </c:strRef>
          </c:tx>
          <c:val>
            <c:numRef>
              <c:f>ЦФ!$D$48:$W$48</c:f>
              <c:numCache>
                <c:formatCode>General</c:formatCode>
                <c:ptCount val="20"/>
                <c:pt idx="0">
                  <c:v>-20.907235912729554</c:v>
                </c:pt>
                <c:pt idx="1">
                  <c:v>-15.592783505154639</c:v>
                </c:pt>
                <c:pt idx="2">
                  <c:v>-47.494989979959918</c:v>
                </c:pt>
                <c:pt idx="3">
                  <c:v>-20.887445887445889</c:v>
                </c:pt>
                <c:pt idx="4">
                  <c:v>144.66019417475729</c:v>
                </c:pt>
                <c:pt idx="5">
                  <c:v>-21.875</c:v>
                </c:pt>
                <c:pt idx="6">
                  <c:v>-20.472440944881889</c:v>
                </c:pt>
                <c:pt idx="7">
                  <c:v>-20.8955223880597</c:v>
                </c:pt>
                <c:pt idx="8">
                  <c:v>142.85714285714286</c:v>
                </c:pt>
                <c:pt idx="9">
                  <c:v>140.90909090909091</c:v>
                </c:pt>
                <c:pt idx="10">
                  <c:v>143.22033898305085</c:v>
                </c:pt>
                <c:pt idx="11">
                  <c:v>143.54838709677421</c:v>
                </c:pt>
                <c:pt idx="12">
                  <c:v>150</c:v>
                </c:pt>
                <c:pt idx="13">
                  <c:v>-15.909090909090908</c:v>
                </c:pt>
                <c:pt idx="14">
                  <c:v>-13.043478260869565</c:v>
                </c:pt>
                <c:pt idx="15">
                  <c:v>-15.580286168521463</c:v>
                </c:pt>
                <c:pt idx="16">
                  <c:v>-100</c:v>
                </c:pt>
                <c:pt idx="17">
                  <c:v>-28.584392014519054</c:v>
                </c:pt>
                <c:pt idx="18">
                  <c:v>-33.333333333333329</c:v>
                </c:pt>
                <c:pt idx="19">
                  <c:v>-30</c:v>
                </c:pt>
              </c:numCache>
            </c:numRef>
          </c:val>
        </c:ser>
        <c:ser>
          <c:idx val="2"/>
          <c:order val="2"/>
          <c:tx>
            <c:strRef>
              <c:f>ЦФ!$C$49</c:f>
              <c:strCache>
                <c:ptCount val="1"/>
                <c:pt idx="0">
                  <c:v>0,8</c:v>
                </c:pt>
              </c:strCache>
            </c:strRef>
          </c:tx>
          <c:val>
            <c:numRef>
              <c:f>ЦФ!$D$49:$W$49</c:f>
              <c:numCache>
                <c:formatCode>General</c:formatCode>
                <c:ptCount val="20"/>
                <c:pt idx="0">
                  <c:v>-25.035316276879609</c:v>
                </c:pt>
                <c:pt idx="1">
                  <c:v>-19.974226804123713</c:v>
                </c:pt>
                <c:pt idx="2">
                  <c:v>-81.095524382097523</c:v>
                </c:pt>
                <c:pt idx="3">
                  <c:v>-25</c:v>
                </c:pt>
                <c:pt idx="4">
                  <c:v>131.71521035598707</c:v>
                </c:pt>
                <c:pt idx="5">
                  <c:v>-25</c:v>
                </c:pt>
                <c:pt idx="6">
                  <c:v>-24.409448818897637</c:v>
                </c:pt>
                <c:pt idx="7">
                  <c:v>-25.01286670097787</c:v>
                </c:pt>
                <c:pt idx="8">
                  <c:v>129.76190476190476</c:v>
                </c:pt>
                <c:pt idx="9">
                  <c:v>127.27272727272727</c:v>
                </c:pt>
                <c:pt idx="10">
                  <c:v>130.5084745762712</c:v>
                </c:pt>
                <c:pt idx="11">
                  <c:v>130.64516129032256</c:v>
                </c:pt>
                <c:pt idx="12">
                  <c:v>133.33333333333331</c:v>
                </c:pt>
                <c:pt idx="13">
                  <c:v>-20.454545454545457</c:v>
                </c:pt>
                <c:pt idx="14">
                  <c:v>-17.391304347826086</c:v>
                </c:pt>
                <c:pt idx="15">
                  <c:v>-20.03179650238474</c:v>
                </c:pt>
                <c:pt idx="16">
                  <c:v>-17.391304347826086</c:v>
                </c:pt>
                <c:pt idx="17">
                  <c:v>-57.713248638838479</c:v>
                </c:pt>
                <c:pt idx="18">
                  <c:v>-66.666666666666657</c:v>
                </c:pt>
                <c:pt idx="19">
                  <c:v>-60</c:v>
                </c:pt>
              </c:numCache>
            </c:numRef>
          </c:val>
        </c:ser>
        <c:ser>
          <c:idx val="3"/>
          <c:order val="3"/>
          <c:tx>
            <c:strRef>
              <c:f>ЦФ!$C$50</c:f>
              <c:strCache>
                <c:ptCount val="1"/>
                <c:pt idx="0">
                  <c:v>0,9</c:v>
                </c:pt>
              </c:strCache>
            </c:strRef>
          </c:tx>
          <c:val>
            <c:numRef>
              <c:f>ЦФ!$D$50:$W$50</c:f>
              <c:numCache>
                <c:formatCode>General</c:formatCode>
                <c:ptCount val="20"/>
                <c:pt idx="0">
                  <c:v>-26.400878982891225</c:v>
                </c:pt>
                <c:pt idx="1">
                  <c:v>-21.391752577319586</c:v>
                </c:pt>
                <c:pt idx="2">
                  <c:v>-81.763527054108224</c:v>
                </c:pt>
                <c:pt idx="3">
                  <c:v>-26.406926406926406</c:v>
                </c:pt>
                <c:pt idx="4">
                  <c:v>73.786407766990294</c:v>
                </c:pt>
                <c:pt idx="5">
                  <c:v>-26.5625</c:v>
                </c:pt>
                <c:pt idx="6">
                  <c:v>-25.984251968503933</c:v>
                </c:pt>
                <c:pt idx="7">
                  <c:v>-26.402470406587753</c:v>
                </c:pt>
                <c:pt idx="8">
                  <c:v>72.61904761904762</c:v>
                </c:pt>
                <c:pt idx="9">
                  <c:v>72.727272727272734</c:v>
                </c:pt>
                <c:pt idx="10">
                  <c:v>72.881355932203391</c:v>
                </c:pt>
                <c:pt idx="11">
                  <c:v>72.58064516129032</c:v>
                </c:pt>
                <c:pt idx="12">
                  <c:v>83.333333333333343</c:v>
                </c:pt>
                <c:pt idx="13">
                  <c:v>-21.59090909090909</c:v>
                </c:pt>
                <c:pt idx="14">
                  <c:v>-21.739130434782609</c:v>
                </c:pt>
                <c:pt idx="15">
                  <c:v>-21.462639109697935</c:v>
                </c:pt>
                <c:pt idx="16">
                  <c:v>-21.739130434782609</c:v>
                </c:pt>
                <c:pt idx="17">
                  <c:v>-64.42831215970962</c:v>
                </c:pt>
                <c:pt idx="18">
                  <c:v>-66.666666666666657</c:v>
                </c:pt>
                <c:pt idx="19">
                  <c:v>-60</c:v>
                </c:pt>
              </c:numCache>
            </c:numRef>
          </c:val>
        </c:ser>
        <c:gapWidth val="0"/>
        <c:axId val="79877248"/>
        <c:axId val="79879168"/>
      </c:barChart>
      <c:catAx>
        <c:axId val="7987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Продукция</a:t>
                </a:r>
              </a:p>
            </c:rich>
          </c:tx>
          <c:layout/>
        </c:title>
        <c:majorTickMark val="none"/>
        <c:tickLblPos val="nextTo"/>
        <c:crossAx val="79879168"/>
        <c:crosses val="autoZero"/>
        <c:auto val="1"/>
        <c:lblAlgn val="ctr"/>
        <c:lblOffset val="100"/>
      </c:catAx>
      <c:valAx>
        <c:axId val="79879168"/>
        <c:scaling>
          <c:orientation val="minMax"/>
          <c:max val="150"/>
          <c:min val="-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 изменения</a:t>
                </a:r>
              </a:p>
            </c:rich>
          </c:tx>
          <c:layout/>
        </c:title>
        <c:numFmt formatCode="General" sourceLinked="1"/>
        <c:tickLblPos val="nextTo"/>
        <c:crossAx val="798772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Изменение объемов товарной продукции относительно детерминированной задачи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3569346157679908E-2"/>
          <c:y val="0.14895934810474287"/>
          <c:w val="0.8890255905511818"/>
          <c:h val="0.74701062076542768"/>
        </c:manualLayout>
      </c:layout>
      <c:barChart>
        <c:barDir val="col"/>
        <c:grouping val="clustered"/>
        <c:ser>
          <c:idx val="0"/>
          <c:order val="0"/>
          <c:tx>
            <c:strRef>
              <c:f>ЦФ!$C$102</c:f>
              <c:strCache>
                <c:ptCount val="1"/>
                <c:pt idx="0">
                  <c:v>0,6</c:v>
                </c:pt>
              </c:strCache>
            </c:strRef>
          </c:tx>
          <c:cat>
            <c:strRef>
              <c:f>ЦФ!$D$95:$M$95</c:f>
              <c:strCache>
                <c:ptCount val="10"/>
                <c:pt idx="0">
                  <c:v>Д/т "л" (S&gt;0.2)</c:v>
                </c:pt>
                <c:pt idx="1">
                  <c:v>Д/т "з"</c:v>
                </c:pt>
                <c:pt idx="2">
                  <c:v>Рефлюкс1</c:v>
                </c:pt>
                <c:pt idx="3">
                  <c:v>Гудрон</c:v>
                </c:pt>
                <c:pt idx="4">
                  <c:v>Бензин АИ92</c:v>
                </c:pt>
                <c:pt idx="5">
                  <c:v>Головка стабилизации</c:v>
                </c:pt>
                <c:pt idx="6">
                  <c:v>Рефлюкс2</c:v>
                </c:pt>
                <c:pt idx="7">
                  <c:v>Бензин АИ95</c:v>
                </c:pt>
                <c:pt idx="8">
                  <c:v>Д/т "л" (S&lt;0,2)</c:v>
                </c:pt>
                <c:pt idx="9">
                  <c:v>Сероводород</c:v>
                </c:pt>
              </c:strCache>
            </c:strRef>
          </c:cat>
          <c:val>
            <c:numRef>
              <c:f>ЦФ!$D$102:$M$102</c:f>
              <c:numCache>
                <c:formatCode>General</c:formatCode>
                <c:ptCount val="10"/>
                <c:pt idx="0">
                  <c:v>-31.396125584502339</c:v>
                </c:pt>
                <c:pt idx="1">
                  <c:v>-4.9783549783549788</c:v>
                </c:pt>
                <c:pt idx="2">
                  <c:v>-4.6875</c:v>
                </c:pt>
                <c:pt idx="3">
                  <c:v>-4.9408131755018019</c:v>
                </c:pt>
                <c:pt idx="4">
                  <c:v>138.0952380952381</c:v>
                </c:pt>
                <c:pt idx="5">
                  <c:v>136.36363636363635</c:v>
                </c:pt>
                <c:pt idx="6">
                  <c:v>-4.3478260869565215</c:v>
                </c:pt>
                <c:pt idx="7">
                  <c:v>-3.6565977742448332</c:v>
                </c:pt>
                <c:pt idx="8">
                  <c:v>-12.976406533575318</c:v>
                </c:pt>
                <c:pt idx="9">
                  <c:v>-10</c:v>
                </c:pt>
              </c:numCache>
            </c:numRef>
          </c:val>
        </c:ser>
        <c:ser>
          <c:idx val="1"/>
          <c:order val="1"/>
          <c:tx>
            <c:strRef>
              <c:f>ЦФ!$C$103</c:f>
              <c:strCache>
                <c:ptCount val="1"/>
                <c:pt idx="0">
                  <c:v>0,7</c:v>
                </c:pt>
              </c:strCache>
            </c:strRef>
          </c:tx>
          <c:cat>
            <c:strRef>
              <c:f>ЦФ!$D$95:$M$95</c:f>
              <c:strCache>
                <c:ptCount val="10"/>
                <c:pt idx="0">
                  <c:v>Д/т "л" (S&gt;0.2)</c:v>
                </c:pt>
                <c:pt idx="1">
                  <c:v>Д/т "з"</c:v>
                </c:pt>
                <c:pt idx="2">
                  <c:v>Рефлюкс1</c:v>
                </c:pt>
                <c:pt idx="3">
                  <c:v>Гудрон</c:v>
                </c:pt>
                <c:pt idx="4">
                  <c:v>Бензин АИ92</c:v>
                </c:pt>
                <c:pt idx="5">
                  <c:v>Головка стабилизации</c:v>
                </c:pt>
                <c:pt idx="6">
                  <c:v>Рефлюкс2</c:v>
                </c:pt>
                <c:pt idx="7">
                  <c:v>Бензин АИ95</c:v>
                </c:pt>
                <c:pt idx="8">
                  <c:v>Д/т "л" (S&lt;0,2)</c:v>
                </c:pt>
                <c:pt idx="9">
                  <c:v>Сероводород</c:v>
                </c:pt>
              </c:strCache>
            </c:strRef>
          </c:cat>
          <c:val>
            <c:numRef>
              <c:f>ЦФ!$D$103:$M$103</c:f>
              <c:numCache>
                <c:formatCode>General</c:formatCode>
                <c:ptCount val="10"/>
                <c:pt idx="0">
                  <c:v>-47.494989979959918</c:v>
                </c:pt>
                <c:pt idx="1">
                  <c:v>-20.887445887445889</c:v>
                </c:pt>
                <c:pt idx="2">
                  <c:v>-21.875</c:v>
                </c:pt>
                <c:pt idx="3">
                  <c:v>-20.8955223880597</c:v>
                </c:pt>
                <c:pt idx="4">
                  <c:v>142.85714285714286</c:v>
                </c:pt>
                <c:pt idx="5">
                  <c:v>140.90909090909091</c:v>
                </c:pt>
                <c:pt idx="6">
                  <c:v>-13.043478260869565</c:v>
                </c:pt>
                <c:pt idx="7">
                  <c:v>-15.580286168521463</c:v>
                </c:pt>
                <c:pt idx="8">
                  <c:v>-28.584392014519054</c:v>
                </c:pt>
                <c:pt idx="9">
                  <c:v>-30</c:v>
                </c:pt>
              </c:numCache>
            </c:numRef>
          </c:val>
        </c:ser>
        <c:ser>
          <c:idx val="2"/>
          <c:order val="2"/>
          <c:tx>
            <c:strRef>
              <c:f>ЦФ!$C$104</c:f>
              <c:strCache>
                <c:ptCount val="1"/>
                <c:pt idx="0">
                  <c:v>0,8</c:v>
                </c:pt>
              </c:strCache>
            </c:strRef>
          </c:tx>
          <c:cat>
            <c:strRef>
              <c:f>ЦФ!$D$95:$M$95</c:f>
              <c:strCache>
                <c:ptCount val="10"/>
                <c:pt idx="0">
                  <c:v>Д/т "л" (S&gt;0.2)</c:v>
                </c:pt>
                <c:pt idx="1">
                  <c:v>Д/т "з"</c:v>
                </c:pt>
                <c:pt idx="2">
                  <c:v>Рефлюкс1</c:v>
                </c:pt>
                <c:pt idx="3">
                  <c:v>Гудрон</c:v>
                </c:pt>
                <c:pt idx="4">
                  <c:v>Бензин АИ92</c:v>
                </c:pt>
                <c:pt idx="5">
                  <c:v>Головка стабилизации</c:v>
                </c:pt>
                <c:pt idx="6">
                  <c:v>Рефлюкс2</c:v>
                </c:pt>
                <c:pt idx="7">
                  <c:v>Бензин АИ95</c:v>
                </c:pt>
                <c:pt idx="8">
                  <c:v>Д/т "л" (S&lt;0,2)</c:v>
                </c:pt>
                <c:pt idx="9">
                  <c:v>Сероводород</c:v>
                </c:pt>
              </c:strCache>
            </c:strRef>
          </c:cat>
          <c:val>
            <c:numRef>
              <c:f>ЦФ!$D$104:$M$104</c:f>
              <c:numCache>
                <c:formatCode>General</c:formatCode>
                <c:ptCount val="10"/>
                <c:pt idx="0">
                  <c:v>-81.095524382097523</c:v>
                </c:pt>
                <c:pt idx="1">
                  <c:v>-25</c:v>
                </c:pt>
                <c:pt idx="2">
                  <c:v>-25</c:v>
                </c:pt>
                <c:pt idx="3">
                  <c:v>-25.01286670097787</c:v>
                </c:pt>
                <c:pt idx="4">
                  <c:v>129.76190476190476</c:v>
                </c:pt>
                <c:pt idx="5">
                  <c:v>127.27272727272727</c:v>
                </c:pt>
                <c:pt idx="6">
                  <c:v>-17.391304347826086</c:v>
                </c:pt>
                <c:pt idx="7">
                  <c:v>-20.03179650238474</c:v>
                </c:pt>
                <c:pt idx="8">
                  <c:v>-57.713248638838479</c:v>
                </c:pt>
                <c:pt idx="9">
                  <c:v>-60</c:v>
                </c:pt>
              </c:numCache>
            </c:numRef>
          </c:val>
        </c:ser>
        <c:ser>
          <c:idx val="3"/>
          <c:order val="3"/>
          <c:tx>
            <c:strRef>
              <c:f>ЦФ!$C$105</c:f>
              <c:strCache>
                <c:ptCount val="1"/>
                <c:pt idx="0">
                  <c:v>0,9</c:v>
                </c:pt>
              </c:strCache>
            </c:strRef>
          </c:tx>
          <c:cat>
            <c:strRef>
              <c:f>ЦФ!$D$95:$M$95</c:f>
              <c:strCache>
                <c:ptCount val="10"/>
                <c:pt idx="0">
                  <c:v>Д/т "л" (S&gt;0.2)</c:v>
                </c:pt>
                <c:pt idx="1">
                  <c:v>Д/т "з"</c:v>
                </c:pt>
                <c:pt idx="2">
                  <c:v>Рефлюкс1</c:v>
                </c:pt>
                <c:pt idx="3">
                  <c:v>Гудрон</c:v>
                </c:pt>
                <c:pt idx="4">
                  <c:v>Бензин АИ92</c:v>
                </c:pt>
                <c:pt idx="5">
                  <c:v>Головка стабилизации</c:v>
                </c:pt>
                <c:pt idx="6">
                  <c:v>Рефлюкс2</c:v>
                </c:pt>
                <c:pt idx="7">
                  <c:v>Бензин АИ95</c:v>
                </c:pt>
                <c:pt idx="8">
                  <c:v>Д/т "л" (S&lt;0,2)</c:v>
                </c:pt>
                <c:pt idx="9">
                  <c:v>Сероводород</c:v>
                </c:pt>
              </c:strCache>
            </c:strRef>
          </c:cat>
          <c:val>
            <c:numRef>
              <c:f>ЦФ!$D$105:$M$105</c:f>
              <c:numCache>
                <c:formatCode>General</c:formatCode>
                <c:ptCount val="10"/>
                <c:pt idx="0">
                  <c:v>-81.763527054108224</c:v>
                </c:pt>
                <c:pt idx="1">
                  <c:v>-26.406926406926406</c:v>
                </c:pt>
                <c:pt idx="2">
                  <c:v>-26.5625</c:v>
                </c:pt>
                <c:pt idx="3">
                  <c:v>-26.402470406587753</c:v>
                </c:pt>
                <c:pt idx="4">
                  <c:v>72.61904761904762</c:v>
                </c:pt>
                <c:pt idx="5">
                  <c:v>72.727272727272734</c:v>
                </c:pt>
                <c:pt idx="6">
                  <c:v>-21.739130434782609</c:v>
                </c:pt>
                <c:pt idx="7">
                  <c:v>-21.462639109697935</c:v>
                </c:pt>
                <c:pt idx="8">
                  <c:v>-64.42831215970962</c:v>
                </c:pt>
                <c:pt idx="9">
                  <c:v>-60</c:v>
                </c:pt>
              </c:numCache>
            </c:numRef>
          </c:val>
        </c:ser>
        <c:axId val="79911552"/>
        <c:axId val="79926016"/>
      </c:barChart>
      <c:catAx>
        <c:axId val="7991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продукция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100" b="1">
                <a:latin typeface="+mn-lt"/>
              </a:defRPr>
            </a:pPr>
            <a:endParaRPr lang="ru-RU"/>
          </a:p>
        </c:txPr>
        <c:crossAx val="79926016"/>
        <c:crosses val="autoZero"/>
        <c:auto val="1"/>
        <c:lblAlgn val="ctr"/>
        <c:lblOffset val="100"/>
      </c:catAx>
      <c:valAx>
        <c:axId val="79926016"/>
        <c:scaling>
          <c:orientation val="minMax"/>
          <c:max val="150"/>
          <c:min val="-9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% изменения</a:t>
                </a:r>
              </a:p>
            </c:rich>
          </c:tx>
          <c:layout/>
        </c:title>
        <c:numFmt formatCode="General" sourceLinked="1"/>
        <c:tickLblPos val="nextTo"/>
        <c:crossAx val="7991155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/>
          </a:pPr>
          <a:endParaRPr lang="ru-RU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Анализ прибыли и затрат на доп объем ресурсов при разных уровнях вероятности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ЦФ!$C$112</c:f>
              <c:strCache>
                <c:ptCount val="1"/>
                <c:pt idx="0">
                  <c:v>Относительное изменение прибыли по сравнению с базовой задачей b</c:v>
                </c:pt>
              </c:strCache>
            </c:strRef>
          </c:tx>
          <c:spPr>
            <a:ln w="38100"/>
          </c:spPr>
          <c:marker>
            <c:symbol val="diamond"/>
            <c:size val="13"/>
            <c:spPr>
              <a:ln w="19050"/>
            </c:spPr>
          </c:marker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Val val="1"/>
          </c:dLbls>
          <c:cat>
            <c:strRef>
              <c:f>ЦФ!$C$135:$G$135</c:f>
              <c:strCache>
                <c:ptCount val="5"/>
                <c:pt idx="0">
                  <c:v>Д</c:v>
                </c:pt>
                <c:pt idx="1">
                  <c:v>0,6</c:v>
                </c:pt>
                <c:pt idx="2">
                  <c:v>0,7</c:v>
                </c:pt>
                <c:pt idx="3">
                  <c:v>0,8</c:v>
                </c:pt>
                <c:pt idx="4">
                  <c:v>0,9</c:v>
                </c:pt>
              </c:strCache>
            </c:strRef>
          </c:cat>
          <c:val>
            <c:numRef>
              <c:f>ЦФ!$B$119:$F$119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-13.952719579885553</c:v>
                </c:pt>
                <c:pt idx="2">
                  <c:v>-29.022637848898786</c:v>
                </c:pt>
                <c:pt idx="3">
                  <c:v>-59.613663877046164</c:v>
                </c:pt>
                <c:pt idx="4">
                  <c:v>-64.433192698045971</c:v>
                </c:pt>
              </c:numCache>
            </c:numRef>
          </c:val>
          <c:smooth val="1"/>
        </c:ser>
        <c:marker val="1"/>
        <c:axId val="80039296"/>
        <c:axId val="80045184"/>
      </c:lineChart>
      <c:lineChart>
        <c:grouping val="standard"/>
        <c:ser>
          <c:idx val="1"/>
          <c:order val="1"/>
          <c:tx>
            <c:strRef>
              <c:f>Лист2!$N$47</c:f>
              <c:strCache>
                <c:ptCount val="1"/>
                <c:pt idx="0">
                  <c:v>Относительное увеличение затрат на приобретение дополнительного ресурса</c:v>
                </c:pt>
              </c:strCache>
            </c:strRef>
          </c:tx>
          <c:spPr>
            <a:ln w="38100"/>
          </c:spPr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Val val="1"/>
          </c:dLbls>
          <c:cat>
            <c:strRef>
              <c:f>ЦФ!$C$135:$G$135</c:f>
              <c:strCache>
                <c:ptCount val="5"/>
                <c:pt idx="0">
                  <c:v>Д</c:v>
                </c:pt>
                <c:pt idx="1">
                  <c:v>0,6</c:v>
                </c:pt>
                <c:pt idx="2">
                  <c:v>0,7</c:v>
                </c:pt>
                <c:pt idx="3">
                  <c:v>0,8</c:v>
                </c:pt>
                <c:pt idx="4">
                  <c:v>0,9</c:v>
                </c:pt>
              </c:strCache>
            </c:strRef>
          </c:cat>
          <c:val>
            <c:numRef>
              <c:f>Лист2!$M$65:$Q$65</c:f>
              <c:numCache>
                <c:formatCode>#,##0.00</c:formatCode>
                <c:ptCount val="5"/>
                <c:pt idx="0" formatCode="#,##0">
                  <c:v>0</c:v>
                </c:pt>
                <c:pt idx="1">
                  <c:v>1.7267785273805953</c:v>
                </c:pt>
                <c:pt idx="2">
                  <c:v>3.4038834362297021</c:v>
                </c:pt>
                <c:pt idx="3">
                  <c:v>5.3317750320377177</c:v>
                </c:pt>
                <c:pt idx="4">
                  <c:v>8.0743115271943378</c:v>
                </c:pt>
              </c:numCache>
            </c:numRef>
          </c:val>
          <c:smooth val="1"/>
        </c:ser>
        <c:marker val="1"/>
        <c:axId val="80048896"/>
        <c:axId val="80047104"/>
      </c:lineChart>
      <c:catAx>
        <c:axId val="80039296"/>
        <c:scaling>
          <c:orientation val="minMax"/>
        </c:scaling>
        <c:axPos val="b"/>
        <c:numFmt formatCode="General" sourceLinked="1"/>
        <c:majorTickMark val="none"/>
        <c:tickLblPos val="high"/>
        <c:crossAx val="80045184"/>
        <c:crosses val="autoZero"/>
        <c:auto val="1"/>
        <c:lblAlgn val="ctr"/>
        <c:lblOffset val="100"/>
      </c:catAx>
      <c:valAx>
        <c:axId val="800451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 b="1"/>
                </a:pPr>
                <a:r>
                  <a:rPr lang="ru-RU" sz="1200" b="1"/>
                  <a:t> </a:t>
                </a:r>
                <a:r>
                  <a:rPr lang="el-GR" sz="1200" b="1"/>
                  <a:t>β</a:t>
                </a:r>
                <a:r>
                  <a:rPr lang="ru-RU" sz="1200" b="1"/>
                  <a:t> (%)</a:t>
                </a:r>
              </a:p>
            </c:rich>
          </c:tx>
          <c:layout>
            <c:manualLayout>
              <c:xMode val="edge"/>
              <c:yMode val="edge"/>
              <c:x val="7.4277854195323262E-2"/>
              <c:y val="0.13286278064162843"/>
            </c:manualLayout>
          </c:layout>
        </c:title>
        <c:numFmt formatCode="General" sourceLinked="1"/>
        <c:majorTickMark val="none"/>
        <c:tickLblPos val="nextTo"/>
        <c:crossAx val="80039296"/>
        <c:crosses val="autoZero"/>
        <c:crossBetween val="between"/>
      </c:valAx>
      <c:valAx>
        <c:axId val="80047104"/>
        <c:scaling>
          <c:orientation val="minMax"/>
        </c:scaling>
        <c:axPos val="r"/>
        <c:numFmt formatCode="#,##0" sourceLinked="1"/>
        <c:tickLblPos val="nextTo"/>
        <c:crossAx val="80048896"/>
        <c:crosses val="max"/>
        <c:crossBetween val="between"/>
      </c:valAx>
      <c:catAx>
        <c:axId val="80048896"/>
        <c:scaling>
          <c:orientation val="minMax"/>
        </c:scaling>
        <c:delete val="1"/>
        <c:axPos val="b"/>
        <c:tickLblPos val="nextTo"/>
        <c:crossAx val="800471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ru-RU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7105751391465763"/>
          <c:y val="3.42679127725857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Лист9!$D$23:$D$30</c:f>
              <c:strCache>
                <c:ptCount val="8"/>
                <c:pt idx="0">
                  <c:v>303,3802169</c:v>
                </c:pt>
                <c:pt idx="1">
                  <c:v>621,034702</c:v>
                </c:pt>
                <c:pt idx="2">
                  <c:v>938,6891871</c:v>
                </c:pt>
                <c:pt idx="3">
                  <c:v>1256,343672</c:v>
                </c:pt>
                <c:pt idx="4">
                  <c:v>1573,998157</c:v>
                </c:pt>
                <c:pt idx="5">
                  <c:v>1891,652642</c:v>
                </c:pt>
                <c:pt idx="6">
                  <c:v>2209,307128</c:v>
                </c:pt>
                <c:pt idx="7">
                  <c:v>Еще</c:v>
                </c:pt>
              </c:strCache>
            </c:strRef>
          </c:cat>
          <c:val>
            <c:numRef>
              <c:f>Лист9!$E$23:$E$30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70523136"/>
        <c:axId val="70525312"/>
      </c:barChart>
      <c:catAx>
        <c:axId val="7052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525312"/>
        <c:crosses val="autoZero"/>
        <c:auto val="1"/>
        <c:lblAlgn val="ctr"/>
        <c:lblOffset val="100"/>
      </c:catAx>
      <c:valAx>
        <c:axId val="70525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52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70871985157804"/>
          <c:y val="0.52647975077881615"/>
          <c:w val="0.12059369202226343"/>
          <c:h val="7.4766355140187007E-2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Анализ изменения объемов ресурсов по сравнению с базовым вариантом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Лист2!$D$48</c:f>
              <c:strCache>
                <c:ptCount val="1"/>
                <c:pt idx="0">
                  <c:v>0,6</c:v>
                </c:pt>
              </c:strCache>
            </c:strRef>
          </c:tx>
          <c:cat>
            <c:strRef>
              <c:f>Лист2!$B$49:$B$63</c:f>
              <c:strCache>
                <c:ptCount val="15"/>
                <c:pt idx="0">
                  <c:v>Нефть сырая</c:v>
                </c:pt>
                <c:pt idx="1">
                  <c:v>Сода каустическая</c:v>
                </c:pt>
                <c:pt idx="2">
                  <c:v>Пар</c:v>
                </c:pt>
                <c:pt idx="3">
                  <c:v>Вода</c:v>
                </c:pt>
                <c:pt idx="4">
                  <c:v>Электроэнергия</c:v>
                </c:pt>
                <c:pt idx="5">
                  <c:v>Сжатый воздух</c:v>
                </c:pt>
                <c:pt idx="6">
                  <c:v>Топливо</c:v>
                </c:pt>
                <c:pt idx="7">
                  <c:v>Деэмульгатор</c:v>
                </c:pt>
                <c:pt idx="8">
                  <c:v>Известь </c:v>
                </c:pt>
                <c:pt idx="9">
                  <c:v>Катализатор</c:v>
                </c:pt>
                <c:pt idx="10">
                  <c:v>Катализатор АП-64</c:v>
                </c:pt>
                <c:pt idx="11">
                  <c:v>Инертный газ</c:v>
                </c:pt>
                <c:pt idx="12">
                  <c:v>Моноэтаноламин</c:v>
                </c:pt>
                <c:pt idx="13">
                  <c:v>Диэтиленгликоль</c:v>
                </c:pt>
                <c:pt idx="14">
                  <c:v>Аммиак</c:v>
                </c:pt>
              </c:strCache>
            </c:strRef>
          </c:cat>
          <c:val>
            <c:numRef>
              <c:f>Лист2!$D$49:$D$63</c:f>
              <c:numCache>
                <c:formatCode>0.0</c:formatCode>
                <c:ptCount val="15"/>
                <c:pt idx="0">
                  <c:v>1.7000000000000002</c:v>
                </c:pt>
                <c:pt idx="1">
                  <c:v>10.8</c:v>
                </c:pt>
                <c:pt idx="2">
                  <c:v>12.6</c:v>
                </c:pt>
                <c:pt idx="3">
                  <c:v>2.1999999999999997</c:v>
                </c:pt>
                <c:pt idx="4">
                  <c:v>0.70000000000000007</c:v>
                </c:pt>
                <c:pt idx="5">
                  <c:v>4.5</c:v>
                </c:pt>
                <c:pt idx="6">
                  <c:v>1.0999999999999999</c:v>
                </c:pt>
                <c:pt idx="7">
                  <c:v>0.70000000000000007</c:v>
                </c:pt>
                <c:pt idx="8">
                  <c:v>2.2999999999999998</c:v>
                </c:pt>
                <c:pt idx="9">
                  <c:v>7.8</c:v>
                </c:pt>
                <c:pt idx="10">
                  <c:v>8.3000000000000007</c:v>
                </c:pt>
                <c:pt idx="11">
                  <c:v>2.2999999999999998</c:v>
                </c:pt>
                <c:pt idx="12">
                  <c:v>3.4000000000000004</c:v>
                </c:pt>
                <c:pt idx="13">
                  <c:v>4.8</c:v>
                </c:pt>
                <c:pt idx="14">
                  <c:v>2.1</c:v>
                </c:pt>
              </c:numCache>
            </c:numRef>
          </c:val>
        </c:ser>
        <c:ser>
          <c:idx val="1"/>
          <c:order val="1"/>
          <c:tx>
            <c:strRef>
              <c:f>Лист2!$E$48</c:f>
              <c:strCache>
                <c:ptCount val="1"/>
                <c:pt idx="0">
                  <c:v>0,7</c:v>
                </c:pt>
              </c:strCache>
            </c:strRef>
          </c:tx>
          <c:cat>
            <c:strRef>
              <c:f>Лист2!$B$49:$B$63</c:f>
              <c:strCache>
                <c:ptCount val="15"/>
                <c:pt idx="0">
                  <c:v>Нефть сырая</c:v>
                </c:pt>
                <c:pt idx="1">
                  <c:v>Сода каустическая</c:v>
                </c:pt>
                <c:pt idx="2">
                  <c:v>Пар</c:v>
                </c:pt>
                <c:pt idx="3">
                  <c:v>Вода</c:v>
                </c:pt>
                <c:pt idx="4">
                  <c:v>Электроэнергия</c:v>
                </c:pt>
                <c:pt idx="5">
                  <c:v>Сжатый воздух</c:v>
                </c:pt>
                <c:pt idx="6">
                  <c:v>Топливо</c:v>
                </c:pt>
                <c:pt idx="7">
                  <c:v>Деэмульгатор</c:v>
                </c:pt>
                <c:pt idx="8">
                  <c:v>Известь </c:v>
                </c:pt>
                <c:pt idx="9">
                  <c:v>Катализатор</c:v>
                </c:pt>
                <c:pt idx="10">
                  <c:v>Катализатор АП-64</c:v>
                </c:pt>
                <c:pt idx="11">
                  <c:v>Инертный газ</c:v>
                </c:pt>
                <c:pt idx="12">
                  <c:v>Моноэтаноламин</c:v>
                </c:pt>
                <c:pt idx="13">
                  <c:v>Диэтиленгликоль</c:v>
                </c:pt>
                <c:pt idx="14">
                  <c:v>Аммиак</c:v>
                </c:pt>
              </c:strCache>
            </c:strRef>
          </c:cat>
          <c:val>
            <c:numRef>
              <c:f>Лист2!$E$49:$E$63</c:f>
              <c:numCache>
                <c:formatCode>0.0</c:formatCode>
                <c:ptCount val="15"/>
                <c:pt idx="0">
                  <c:v>3.4000000000000004</c:v>
                </c:pt>
                <c:pt idx="1">
                  <c:v>22.3</c:v>
                </c:pt>
                <c:pt idx="2">
                  <c:v>14.399999999999999</c:v>
                </c:pt>
                <c:pt idx="3">
                  <c:v>3.5999999999999996</c:v>
                </c:pt>
                <c:pt idx="4">
                  <c:v>1</c:v>
                </c:pt>
                <c:pt idx="5">
                  <c:v>7.1999999999999993</c:v>
                </c:pt>
                <c:pt idx="6">
                  <c:v>1.7999999999999998</c:v>
                </c:pt>
                <c:pt idx="7">
                  <c:v>1.5</c:v>
                </c:pt>
                <c:pt idx="8">
                  <c:v>4.3</c:v>
                </c:pt>
                <c:pt idx="9">
                  <c:v>0.6</c:v>
                </c:pt>
                <c:pt idx="10">
                  <c:v>7.3</c:v>
                </c:pt>
                <c:pt idx="11">
                  <c:v>4.1000000000000005</c:v>
                </c:pt>
                <c:pt idx="12">
                  <c:v>6.8000000000000007</c:v>
                </c:pt>
                <c:pt idx="13">
                  <c:v>4.3</c:v>
                </c:pt>
                <c:pt idx="14">
                  <c:v>4.1000000000000005</c:v>
                </c:pt>
              </c:numCache>
            </c:numRef>
          </c:val>
        </c:ser>
        <c:ser>
          <c:idx val="2"/>
          <c:order val="2"/>
          <c:tx>
            <c:strRef>
              <c:f>Лист2!$F$48</c:f>
              <c:strCache>
                <c:ptCount val="1"/>
                <c:pt idx="0">
                  <c:v>0,8</c:v>
                </c:pt>
              </c:strCache>
            </c:strRef>
          </c:tx>
          <c:cat>
            <c:strRef>
              <c:f>Лист2!$B$49:$B$63</c:f>
              <c:strCache>
                <c:ptCount val="15"/>
                <c:pt idx="0">
                  <c:v>Нефть сырая</c:v>
                </c:pt>
                <c:pt idx="1">
                  <c:v>Сода каустическая</c:v>
                </c:pt>
                <c:pt idx="2">
                  <c:v>Пар</c:v>
                </c:pt>
                <c:pt idx="3">
                  <c:v>Вода</c:v>
                </c:pt>
                <c:pt idx="4">
                  <c:v>Электроэнергия</c:v>
                </c:pt>
                <c:pt idx="5">
                  <c:v>Сжатый воздух</c:v>
                </c:pt>
                <c:pt idx="6">
                  <c:v>Топливо</c:v>
                </c:pt>
                <c:pt idx="7">
                  <c:v>Деэмульгатор</c:v>
                </c:pt>
                <c:pt idx="8">
                  <c:v>Известь </c:v>
                </c:pt>
                <c:pt idx="9">
                  <c:v>Катализатор</c:v>
                </c:pt>
                <c:pt idx="10">
                  <c:v>Катализатор АП-64</c:v>
                </c:pt>
                <c:pt idx="11">
                  <c:v>Инертный газ</c:v>
                </c:pt>
                <c:pt idx="12">
                  <c:v>Моноэтаноламин</c:v>
                </c:pt>
                <c:pt idx="13">
                  <c:v>Диэтиленгликоль</c:v>
                </c:pt>
                <c:pt idx="14">
                  <c:v>Аммиак</c:v>
                </c:pt>
              </c:strCache>
            </c:strRef>
          </c:cat>
          <c:val>
            <c:numRef>
              <c:f>Лист2!$F$49:$F$63</c:f>
              <c:numCache>
                <c:formatCode>0.0</c:formatCode>
                <c:ptCount val="15"/>
                <c:pt idx="0">
                  <c:v>5.3</c:v>
                </c:pt>
                <c:pt idx="1">
                  <c:v>35.699999999999996</c:v>
                </c:pt>
                <c:pt idx="2">
                  <c:v>24.2</c:v>
                </c:pt>
                <c:pt idx="3">
                  <c:v>6.2</c:v>
                </c:pt>
                <c:pt idx="4">
                  <c:v>1.9</c:v>
                </c:pt>
                <c:pt idx="5">
                  <c:v>11.799999999999999</c:v>
                </c:pt>
                <c:pt idx="6">
                  <c:v>3.1</c:v>
                </c:pt>
                <c:pt idx="7">
                  <c:v>2.4</c:v>
                </c:pt>
                <c:pt idx="8">
                  <c:v>7.0000000000000009</c:v>
                </c:pt>
                <c:pt idx="9">
                  <c:v>1.3</c:v>
                </c:pt>
                <c:pt idx="10">
                  <c:v>11.799999999999999</c:v>
                </c:pt>
                <c:pt idx="11">
                  <c:v>7.6</c:v>
                </c:pt>
                <c:pt idx="12">
                  <c:v>12.7</c:v>
                </c:pt>
                <c:pt idx="13">
                  <c:v>7.0000000000000009</c:v>
                </c:pt>
                <c:pt idx="14">
                  <c:v>6.5</c:v>
                </c:pt>
              </c:numCache>
            </c:numRef>
          </c:val>
        </c:ser>
        <c:ser>
          <c:idx val="3"/>
          <c:order val="3"/>
          <c:tx>
            <c:strRef>
              <c:f>Лист2!$G$48</c:f>
              <c:strCache>
                <c:ptCount val="1"/>
                <c:pt idx="0">
                  <c:v>0,9</c:v>
                </c:pt>
              </c:strCache>
            </c:strRef>
          </c:tx>
          <c:dLbls>
            <c:dLbl>
              <c:idx val="1"/>
              <c:layout/>
              <c:dLblPos val="inEnd"/>
              <c:showVal val="1"/>
            </c:dLbl>
            <c:txPr>
              <a:bodyPr/>
              <a:lstStyle/>
              <a:p>
                <a:pPr>
                  <a:defRPr sz="1200" b="1"/>
                </a:pPr>
                <a:endParaRPr lang="ru-RU"/>
              </a:p>
            </c:txPr>
            <c:dLblPos val="inBase"/>
            <c:showVal val="1"/>
          </c:dLbls>
          <c:cat>
            <c:strRef>
              <c:f>Лист2!$B$49:$B$63</c:f>
              <c:strCache>
                <c:ptCount val="15"/>
                <c:pt idx="0">
                  <c:v>Нефть сырая</c:v>
                </c:pt>
                <c:pt idx="1">
                  <c:v>Сода каустическая</c:v>
                </c:pt>
                <c:pt idx="2">
                  <c:v>Пар</c:v>
                </c:pt>
                <c:pt idx="3">
                  <c:v>Вода</c:v>
                </c:pt>
                <c:pt idx="4">
                  <c:v>Электроэнергия</c:v>
                </c:pt>
                <c:pt idx="5">
                  <c:v>Сжатый воздух</c:v>
                </c:pt>
                <c:pt idx="6">
                  <c:v>Топливо</c:v>
                </c:pt>
                <c:pt idx="7">
                  <c:v>Деэмульгатор</c:v>
                </c:pt>
                <c:pt idx="8">
                  <c:v>Известь </c:v>
                </c:pt>
                <c:pt idx="9">
                  <c:v>Катализатор</c:v>
                </c:pt>
                <c:pt idx="10">
                  <c:v>Катализатор АП-64</c:v>
                </c:pt>
                <c:pt idx="11">
                  <c:v>Инертный газ</c:v>
                </c:pt>
                <c:pt idx="12">
                  <c:v>Моноэтаноламин</c:v>
                </c:pt>
                <c:pt idx="13">
                  <c:v>Диэтиленгликоль</c:v>
                </c:pt>
                <c:pt idx="14">
                  <c:v>Аммиак</c:v>
                </c:pt>
              </c:strCache>
            </c:strRef>
          </c:cat>
          <c:val>
            <c:numRef>
              <c:f>Лист2!$G$49:$G$63</c:f>
              <c:numCache>
                <c:formatCode>0.0</c:formatCode>
                <c:ptCount val="15"/>
                <c:pt idx="0">
                  <c:v>7.9</c:v>
                </c:pt>
                <c:pt idx="1">
                  <c:v>63</c:v>
                </c:pt>
                <c:pt idx="2">
                  <c:v>35.099999999999994</c:v>
                </c:pt>
                <c:pt idx="3">
                  <c:v>11.1</c:v>
                </c:pt>
                <c:pt idx="4">
                  <c:v>3.4000000000000004</c:v>
                </c:pt>
                <c:pt idx="5">
                  <c:v>19.2</c:v>
                </c:pt>
                <c:pt idx="6">
                  <c:v>5.8999999999999995</c:v>
                </c:pt>
                <c:pt idx="7">
                  <c:v>3.6999999999999997</c:v>
                </c:pt>
                <c:pt idx="8">
                  <c:v>12</c:v>
                </c:pt>
                <c:pt idx="9">
                  <c:v>2</c:v>
                </c:pt>
                <c:pt idx="10">
                  <c:v>17.899999999999999</c:v>
                </c:pt>
                <c:pt idx="11">
                  <c:v>18.399999999999999</c:v>
                </c:pt>
                <c:pt idx="12">
                  <c:v>34</c:v>
                </c:pt>
                <c:pt idx="13">
                  <c:v>11</c:v>
                </c:pt>
                <c:pt idx="14">
                  <c:v>11.3</c:v>
                </c:pt>
              </c:numCache>
            </c:numRef>
          </c:val>
        </c:ser>
        <c:gapWidth val="32"/>
        <c:overlap val="100"/>
        <c:axId val="80143104"/>
        <c:axId val="80144640"/>
      </c:barChart>
      <c:catAx>
        <c:axId val="80143104"/>
        <c:scaling>
          <c:orientation val="minMax"/>
        </c:scaling>
        <c:axPos val="b"/>
        <c:majorTickMark val="none"/>
        <c:tickLblPos val="nextTo"/>
        <c:crossAx val="80144640"/>
        <c:crosses val="autoZero"/>
        <c:auto val="1"/>
        <c:lblAlgn val="ctr"/>
        <c:lblOffset val="100"/>
      </c:catAx>
      <c:valAx>
        <c:axId val="80144640"/>
        <c:scaling>
          <c:orientation val="minMax"/>
          <c:max val="13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 увеличения относительно детерминированной задачи</a:t>
                </a:r>
              </a:p>
            </c:rich>
          </c:tx>
          <c:layout/>
        </c:title>
        <c:numFmt formatCode="0.0" sourceLinked="1"/>
        <c:tickLblPos val="nextTo"/>
        <c:crossAx val="80143104"/>
        <c:crosses val="autoZero"/>
        <c:crossBetween val="between"/>
      </c:valAx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0" h="0"/>
    </a:sp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/>
              <a:t>Анализ изменения объемов ресурсов по сравнению с предыдущим вариантом</a:t>
            </a:r>
            <a:endParaRPr lang="ru-RU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Лист2!$H$48</c:f>
              <c:strCache>
                <c:ptCount val="1"/>
                <c:pt idx="0">
                  <c:v>0,6</c:v>
                </c:pt>
              </c:strCache>
            </c:strRef>
          </c:tx>
          <c:cat>
            <c:strRef>
              <c:f>Лист2!$B$49:$B$63</c:f>
              <c:strCache>
                <c:ptCount val="15"/>
                <c:pt idx="0">
                  <c:v>Нефть сырая</c:v>
                </c:pt>
                <c:pt idx="1">
                  <c:v>Сода каустическая</c:v>
                </c:pt>
                <c:pt idx="2">
                  <c:v>Пар</c:v>
                </c:pt>
                <c:pt idx="3">
                  <c:v>Вода</c:v>
                </c:pt>
                <c:pt idx="4">
                  <c:v>Электроэнергия</c:v>
                </c:pt>
                <c:pt idx="5">
                  <c:v>Сжатый воздух</c:v>
                </c:pt>
                <c:pt idx="6">
                  <c:v>Топливо</c:v>
                </c:pt>
                <c:pt idx="7">
                  <c:v>Деэмульгатор</c:v>
                </c:pt>
                <c:pt idx="8">
                  <c:v>Известь </c:v>
                </c:pt>
                <c:pt idx="9">
                  <c:v>Катализатор</c:v>
                </c:pt>
                <c:pt idx="10">
                  <c:v>Катализатор АП-64</c:v>
                </c:pt>
                <c:pt idx="11">
                  <c:v>Инертный газ</c:v>
                </c:pt>
                <c:pt idx="12">
                  <c:v>Моноэтаноламин</c:v>
                </c:pt>
                <c:pt idx="13">
                  <c:v>Диэтиленгликоль</c:v>
                </c:pt>
                <c:pt idx="14">
                  <c:v>Аммиак</c:v>
                </c:pt>
              </c:strCache>
            </c:strRef>
          </c:cat>
          <c:val>
            <c:numRef>
              <c:f>Лист2!$H$49:$H$63</c:f>
              <c:numCache>
                <c:formatCode>0.0</c:formatCode>
                <c:ptCount val="15"/>
                <c:pt idx="0">
                  <c:v>1.7000000000000002</c:v>
                </c:pt>
                <c:pt idx="1">
                  <c:v>10.8</c:v>
                </c:pt>
                <c:pt idx="2">
                  <c:v>12.6</c:v>
                </c:pt>
                <c:pt idx="3">
                  <c:v>2.1999999999999997</c:v>
                </c:pt>
                <c:pt idx="4">
                  <c:v>0.70000000000000007</c:v>
                </c:pt>
                <c:pt idx="5">
                  <c:v>4.5</c:v>
                </c:pt>
                <c:pt idx="6">
                  <c:v>1.0999999999999999</c:v>
                </c:pt>
                <c:pt idx="7">
                  <c:v>0.70000000000000007</c:v>
                </c:pt>
                <c:pt idx="8">
                  <c:v>2.2999999999999998</c:v>
                </c:pt>
                <c:pt idx="9">
                  <c:v>7.8</c:v>
                </c:pt>
                <c:pt idx="10">
                  <c:v>8.3000000000000007</c:v>
                </c:pt>
                <c:pt idx="11">
                  <c:v>2.2999999999999998</c:v>
                </c:pt>
                <c:pt idx="12">
                  <c:v>3.4000000000000004</c:v>
                </c:pt>
                <c:pt idx="13">
                  <c:v>4.8</c:v>
                </c:pt>
                <c:pt idx="14">
                  <c:v>2.1</c:v>
                </c:pt>
              </c:numCache>
            </c:numRef>
          </c:val>
        </c:ser>
        <c:ser>
          <c:idx val="1"/>
          <c:order val="1"/>
          <c:tx>
            <c:strRef>
              <c:f>Лист2!$I$48</c:f>
              <c:strCache>
                <c:ptCount val="1"/>
                <c:pt idx="0">
                  <c:v>0,7</c:v>
                </c:pt>
              </c:strCache>
            </c:strRef>
          </c:tx>
          <c:dLbls>
            <c:txPr>
              <a:bodyPr/>
              <a:lstStyle/>
              <a:p>
                <a:pPr>
                  <a:defRPr sz="1200" b="1"/>
                </a:pPr>
                <a:endParaRPr lang="ru-RU"/>
              </a:p>
            </c:txPr>
            <c:showVal val="1"/>
          </c:dLbls>
          <c:cat>
            <c:strRef>
              <c:f>Лист2!$B$49:$B$63</c:f>
              <c:strCache>
                <c:ptCount val="15"/>
                <c:pt idx="0">
                  <c:v>Нефть сырая</c:v>
                </c:pt>
                <c:pt idx="1">
                  <c:v>Сода каустическая</c:v>
                </c:pt>
                <c:pt idx="2">
                  <c:v>Пар</c:v>
                </c:pt>
                <c:pt idx="3">
                  <c:v>Вода</c:v>
                </c:pt>
                <c:pt idx="4">
                  <c:v>Электроэнергия</c:v>
                </c:pt>
                <c:pt idx="5">
                  <c:v>Сжатый воздух</c:v>
                </c:pt>
                <c:pt idx="6">
                  <c:v>Топливо</c:v>
                </c:pt>
                <c:pt idx="7">
                  <c:v>Деэмульгатор</c:v>
                </c:pt>
                <c:pt idx="8">
                  <c:v>Известь </c:v>
                </c:pt>
                <c:pt idx="9">
                  <c:v>Катализатор</c:v>
                </c:pt>
                <c:pt idx="10">
                  <c:v>Катализатор АП-64</c:v>
                </c:pt>
                <c:pt idx="11">
                  <c:v>Инертный газ</c:v>
                </c:pt>
                <c:pt idx="12">
                  <c:v>Моноэтаноламин</c:v>
                </c:pt>
                <c:pt idx="13">
                  <c:v>Диэтиленгликоль</c:v>
                </c:pt>
                <c:pt idx="14">
                  <c:v>Аммиак</c:v>
                </c:pt>
              </c:strCache>
            </c:strRef>
          </c:cat>
          <c:val>
            <c:numRef>
              <c:f>Лист2!$I$49:$I$63</c:f>
              <c:numCache>
                <c:formatCode>0.0</c:formatCode>
                <c:ptCount val="15"/>
                <c:pt idx="0">
                  <c:v>1.7000000000000002</c:v>
                </c:pt>
                <c:pt idx="1">
                  <c:v>11.5</c:v>
                </c:pt>
                <c:pt idx="2">
                  <c:v>1.7999999999999989</c:v>
                </c:pt>
                <c:pt idx="3">
                  <c:v>1.4</c:v>
                </c:pt>
                <c:pt idx="4">
                  <c:v>0.29999999999999993</c:v>
                </c:pt>
                <c:pt idx="5">
                  <c:v>2.6999999999999993</c:v>
                </c:pt>
                <c:pt idx="6">
                  <c:v>0.7</c:v>
                </c:pt>
                <c:pt idx="7">
                  <c:v>0.79999999999999993</c:v>
                </c:pt>
                <c:pt idx="8">
                  <c:v>2</c:v>
                </c:pt>
                <c:pt idx="9">
                  <c:v>-7.2</c:v>
                </c:pt>
                <c:pt idx="10">
                  <c:v>-1.0000000000000009</c:v>
                </c:pt>
                <c:pt idx="11">
                  <c:v>1.8000000000000007</c:v>
                </c:pt>
                <c:pt idx="12">
                  <c:v>3.4000000000000004</c:v>
                </c:pt>
                <c:pt idx="13">
                  <c:v>-0.5</c:v>
                </c:pt>
                <c:pt idx="14">
                  <c:v>2.0000000000000004</c:v>
                </c:pt>
              </c:numCache>
            </c:numRef>
          </c:val>
        </c:ser>
        <c:ser>
          <c:idx val="2"/>
          <c:order val="2"/>
          <c:tx>
            <c:strRef>
              <c:f>Лист2!$J$48</c:f>
              <c:strCache>
                <c:ptCount val="1"/>
                <c:pt idx="0">
                  <c:v>0,8</c:v>
                </c:pt>
              </c:strCache>
            </c:strRef>
          </c:tx>
          <c:cat>
            <c:strRef>
              <c:f>Лист2!$B$49:$B$63</c:f>
              <c:strCache>
                <c:ptCount val="15"/>
                <c:pt idx="0">
                  <c:v>Нефть сырая</c:v>
                </c:pt>
                <c:pt idx="1">
                  <c:v>Сода каустическая</c:v>
                </c:pt>
                <c:pt idx="2">
                  <c:v>Пар</c:v>
                </c:pt>
                <c:pt idx="3">
                  <c:v>Вода</c:v>
                </c:pt>
                <c:pt idx="4">
                  <c:v>Электроэнергия</c:v>
                </c:pt>
                <c:pt idx="5">
                  <c:v>Сжатый воздух</c:v>
                </c:pt>
                <c:pt idx="6">
                  <c:v>Топливо</c:v>
                </c:pt>
                <c:pt idx="7">
                  <c:v>Деэмульгатор</c:v>
                </c:pt>
                <c:pt idx="8">
                  <c:v>Известь </c:v>
                </c:pt>
                <c:pt idx="9">
                  <c:v>Катализатор</c:v>
                </c:pt>
                <c:pt idx="10">
                  <c:v>Катализатор АП-64</c:v>
                </c:pt>
                <c:pt idx="11">
                  <c:v>Инертный газ</c:v>
                </c:pt>
                <c:pt idx="12">
                  <c:v>Моноэтаноламин</c:v>
                </c:pt>
                <c:pt idx="13">
                  <c:v>Диэтиленгликоль</c:v>
                </c:pt>
                <c:pt idx="14">
                  <c:v>Аммиак</c:v>
                </c:pt>
              </c:strCache>
            </c:strRef>
          </c:cat>
          <c:val>
            <c:numRef>
              <c:f>Лист2!$J$49:$J$63</c:f>
              <c:numCache>
                <c:formatCode>0.0</c:formatCode>
                <c:ptCount val="15"/>
                <c:pt idx="0">
                  <c:v>1.8999999999999995</c:v>
                </c:pt>
                <c:pt idx="1">
                  <c:v>13.399999999999995</c:v>
                </c:pt>
                <c:pt idx="2">
                  <c:v>9.8000000000000007</c:v>
                </c:pt>
                <c:pt idx="3">
                  <c:v>2.6000000000000005</c:v>
                </c:pt>
                <c:pt idx="4">
                  <c:v>0.89999999999999991</c:v>
                </c:pt>
                <c:pt idx="5">
                  <c:v>4.5999999999999996</c:v>
                </c:pt>
                <c:pt idx="6">
                  <c:v>1.3000000000000003</c:v>
                </c:pt>
                <c:pt idx="7">
                  <c:v>0.89999999999999991</c:v>
                </c:pt>
                <c:pt idx="8">
                  <c:v>2.7000000000000011</c:v>
                </c:pt>
                <c:pt idx="9">
                  <c:v>0.70000000000000007</c:v>
                </c:pt>
                <c:pt idx="10">
                  <c:v>4.4999999999999991</c:v>
                </c:pt>
                <c:pt idx="11">
                  <c:v>3.4999999999999991</c:v>
                </c:pt>
                <c:pt idx="12">
                  <c:v>5.8999999999999986</c:v>
                </c:pt>
                <c:pt idx="13">
                  <c:v>2.7000000000000011</c:v>
                </c:pt>
                <c:pt idx="14">
                  <c:v>2.3999999999999995</c:v>
                </c:pt>
              </c:numCache>
            </c:numRef>
          </c:val>
        </c:ser>
        <c:ser>
          <c:idx val="3"/>
          <c:order val="3"/>
          <c:tx>
            <c:strRef>
              <c:f>Лист2!$K$48</c:f>
              <c:strCache>
                <c:ptCount val="1"/>
                <c:pt idx="0">
                  <c:v>0,9</c:v>
                </c:pt>
              </c:strCache>
            </c:strRef>
          </c:tx>
          <c:cat>
            <c:strRef>
              <c:f>Лист2!$B$49:$B$63</c:f>
              <c:strCache>
                <c:ptCount val="15"/>
                <c:pt idx="0">
                  <c:v>Нефть сырая</c:v>
                </c:pt>
                <c:pt idx="1">
                  <c:v>Сода каустическая</c:v>
                </c:pt>
                <c:pt idx="2">
                  <c:v>Пар</c:v>
                </c:pt>
                <c:pt idx="3">
                  <c:v>Вода</c:v>
                </c:pt>
                <c:pt idx="4">
                  <c:v>Электроэнергия</c:v>
                </c:pt>
                <c:pt idx="5">
                  <c:v>Сжатый воздух</c:v>
                </c:pt>
                <c:pt idx="6">
                  <c:v>Топливо</c:v>
                </c:pt>
                <c:pt idx="7">
                  <c:v>Деэмульгатор</c:v>
                </c:pt>
                <c:pt idx="8">
                  <c:v>Известь </c:v>
                </c:pt>
                <c:pt idx="9">
                  <c:v>Катализатор</c:v>
                </c:pt>
                <c:pt idx="10">
                  <c:v>Катализатор АП-64</c:v>
                </c:pt>
                <c:pt idx="11">
                  <c:v>Инертный газ</c:v>
                </c:pt>
                <c:pt idx="12">
                  <c:v>Моноэтаноламин</c:v>
                </c:pt>
                <c:pt idx="13">
                  <c:v>Диэтиленгликоль</c:v>
                </c:pt>
                <c:pt idx="14">
                  <c:v>Аммиак</c:v>
                </c:pt>
              </c:strCache>
            </c:strRef>
          </c:cat>
          <c:val>
            <c:numRef>
              <c:f>Лист2!$K$49:$K$63</c:f>
              <c:numCache>
                <c:formatCode>0.0</c:formatCode>
                <c:ptCount val="15"/>
                <c:pt idx="0">
                  <c:v>2.6000000000000005</c:v>
                </c:pt>
                <c:pt idx="1">
                  <c:v>27.300000000000004</c:v>
                </c:pt>
                <c:pt idx="2">
                  <c:v>10.899999999999995</c:v>
                </c:pt>
                <c:pt idx="3">
                  <c:v>4.8999999999999995</c:v>
                </c:pt>
                <c:pt idx="4">
                  <c:v>1.5000000000000004</c:v>
                </c:pt>
                <c:pt idx="5">
                  <c:v>7.4</c:v>
                </c:pt>
                <c:pt idx="6">
                  <c:v>2.7999999999999994</c:v>
                </c:pt>
                <c:pt idx="7">
                  <c:v>1.2999999999999998</c:v>
                </c:pt>
                <c:pt idx="8">
                  <c:v>4.9999999999999991</c:v>
                </c:pt>
                <c:pt idx="9">
                  <c:v>0.7</c:v>
                </c:pt>
                <c:pt idx="10">
                  <c:v>6.1</c:v>
                </c:pt>
                <c:pt idx="11">
                  <c:v>10.799999999999999</c:v>
                </c:pt>
                <c:pt idx="12">
                  <c:v>21.3</c:v>
                </c:pt>
                <c:pt idx="13">
                  <c:v>3.9999999999999991</c:v>
                </c:pt>
                <c:pt idx="14">
                  <c:v>4.8000000000000007</c:v>
                </c:pt>
              </c:numCache>
            </c:numRef>
          </c:val>
        </c:ser>
        <c:gapWidth val="35"/>
        <c:overlap val="100"/>
        <c:axId val="79993088"/>
        <c:axId val="80007168"/>
      </c:barChart>
      <c:catAx>
        <c:axId val="79993088"/>
        <c:scaling>
          <c:orientation val="minMax"/>
        </c:scaling>
        <c:axPos val="b"/>
        <c:majorTickMark val="none"/>
        <c:tickLblPos val="nextTo"/>
        <c:crossAx val="80007168"/>
        <c:crosses val="autoZero"/>
        <c:auto val="1"/>
        <c:lblAlgn val="ctr"/>
        <c:lblOffset val="100"/>
      </c:catAx>
      <c:valAx>
        <c:axId val="80007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 b="1" i="0" baseline="0"/>
                  <a:t>% изменения относительно предыдущего варианта</a:t>
                </a:r>
                <a:endParaRPr lang="ru-RU" sz="1100"/>
              </a:p>
            </c:rich>
          </c:tx>
          <c:layout/>
        </c:title>
        <c:numFmt formatCode="0.0" sourceLinked="1"/>
        <c:tickLblPos val="nextTo"/>
        <c:crossAx val="7999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yVal>
            <c:numRef>
              <c:f>Лист2!$M$65:$Q$65</c:f>
              <c:numCache>
                <c:formatCode>#,##0.00</c:formatCode>
                <c:ptCount val="5"/>
                <c:pt idx="0" formatCode="#,##0">
                  <c:v>0</c:v>
                </c:pt>
                <c:pt idx="1">
                  <c:v>1.7267785273805953</c:v>
                </c:pt>
                <c:pt idx="2">
                  <c:v>3.4038834362297021</c:v>
                </c:pt>
                <c:pt idx="3">
                  <c:v>5.3317750320377177</c:v>
                </c:pt>
                <c:pt idx="4">
                  <c:v>8.0743115271943378</c:v>
                </c:pt>
              </c:numCache>
            </c:numRef>
          </c:yVal>
        </c:ser>
        <c:axId val="80162816"/>
        <c:axId val="80164352"/>
      </c:scatterChart>
      <c:valAx>
        <c:axId val="80162816"/>
        <c:scaling>
          <c:orientation val="minMax"/>
        </c:scaling>
        <c:axPos val="b"/>
        <c:tickLblPos val="nextTo"/>
        <c:crossAx val="80164352"/>
        <c:crosses val="autoZero"/>
        <c:crossBetween val="midCat"/>
      </c:valAx>
      <c:valAx>
        <c:axId val="80164352"/>
        <c:scaling>
          <c:orientation val="minMax"/>
        </c:scaling>
        <c:axPos val="l"/>
        <c:majorGridlines/>
        <c:numFmt formatCode="#,##0" sourceLinked="1"/>
        <c:tickLblPos val="nextTo"/>
        <c:crossAx val="80162816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7318840579710222"/>
          <c:y val="3.87323943661971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Лист9!$D$44:$D$51</c:f>
              <c:strCache>
                <c:ptCount val="8"/>
                <c:pt idx="0">
                  <c:v>149,0448453</c:v>
                </c:pt>
                <c:pt idx="1">
                  <c:v>207,8596329</c:v>
                </c:pt>
                <c:pt idx="2">
                  <c:v>266,6744205</c:v>
                </c:pt>
                <c:pt idx="3">
                  <c:v>325,4892081</c:v>
                </c:pt>
                <c:pt idx="4">
                  <c:v>384,3039957</c:v>
                </c:pt>
                <c:pt idx="5">
                  <c:v>443,1187833</c:v>
                </c:pt>
                <c:pt idx="6">
                  <c:v>501,9335709</c:v>
                </c:pt>
                <c:pt idx="7">
                  <c:v>Еще</c:v>
                </c:pt>
              </c:strCache>
            </c:strRef>
          </c:cat>
          <c:val>
            <c:numRef>
              <c:f>Лист9!$E$44:$E$51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18</c:v>
                </c:pt>
                <c:pt idx="5">
                  <c:v>18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axId val="70549888"/>
        <c:axId val="70551808"/>
      </c:barChart>
      <c:catAx>
        <c:axId val="7054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551808"/>
        <c:crosses val="autoZero"/>
        <c:auto val="1"/>
        <c:lblAlgn val="ctr"/>
        <c:lblOffset val="100"/>
      </c:catAx>
      <c:valAx>
        <c:axId val="70551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54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94202898550765"/>
          <c:y val="0.52816901408450789"/>
          <c:w val="0.11775362318840599"/>
          <c:h val="8.4507042253521361E-2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6911487758945499"/>
          <c:y val="3.9062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Лист9!$D$65:$D$72</c:f>
              <c:strCache>
                <c:ptCount val="8"/>
                <c:pt idx="0">
                  <c:v>31253,07697</c:v>
                </c:pt>
                <c:pt idx="1">
                  <c:v>32427,17894</c:v>
                </c:pt>
                <c:pt idx="2">
                  <c:v>33601,28091</c:v>
                </c:pt>
                <c:pt idx="3">
                  <c:v>34775,38287</c:v>
                </c:pt>
                <c:pt idx="4">
                  <c:v>35949,48484</c:v>
                </c:pt>
                <c:pt idx="5">
                  <c:v>37123,58681</c:v>
                </c:pt>
                <c:pt idx="6">
                  <c:v>38297,68878</c:v>
                </c:pt>
                <c:pt idx="7">
                  <c:v>Еще</c:v>
                </c:pt>
              </c:strCache>
            </c:strRef>
          </c:cat>
          <c:val>
            <c:numRef>
              <c:f>Лист9!$E$65:$E$72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24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</c:ser>
        <c:axId val="78338304"/>
        <c:axId val="78356864"/>
      </c:barChart>
      <c:catAx>
        <c:axId val="7833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8356864"/>
        <c:crosses val="autoZero"/>
        <c:auto val="1"/>
        <c:lblAlgn val="ctr"/>
        <c:lblOffset val="100"/>
      </c:catAx>
      <c:valAx>
        <c:axId val="78356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833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252354048964219"/>
          <c:y val="0.53125"/>
          <c:w val="0.98493408662900184"/>
          <c:h val="0.6250000000000008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7179487179487269"/>
          <c:y val="3.80622837370242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Лист9!$D$86:$D$93</c:f>
              <c:strCache>
                <c:ptCount val="8"/>
                <c:pt idx="0">
                  <c:v>62269,10152</c:v>
                </c:pt>
                <c:pt idx="1">
                  <c:v>62721,70412</c:v>
                </c:pt>
                <c:pt idx="2">
                  <c:v>63174,30671</c:v>
                </c:pt>
                <c:pt idx="3">
                  <c:v>63626,90931</c:v>
                </c:pt>
                <c:pt idx="4">
                  <c:v>64079,5119</c:v>
                </c:pt>
                <c:pt idx="5">
                  <c:v>64532,1145</c:v>
                </c:pt>
                <c:pt idx="6">
                  <c:v>64984,7171</c:v>
                </c:pt>
                <c:pt idx="7">
                  <c:v>Еще</c:v>
                </c:pt>
              </c:strCache>
            </c:strRef>
          </c:cat>
          <c:val>
            <c:numRef>
              <c:f>Лист9!$E$86:$E$93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79053184"/>
        <c:axId val="79055104"/>
      </c:barChart>
      <c:catAx>
        <c:axId val="7905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055104"/>
        <c:crosses val="autoZero"/>
        <c:auto val="1"/>
        <c:lblAlgn val="ctr"/>
        <c:lblOffset val="100"/>
      </c:catAx>
      <c:valAx>
        <c:axId val="79055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05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446886446886462"/>
          <c:y val="0.52941176470588236"/>
          <c:w val="0.98351648351648358"/>
          <c:h val="0.61245674740484435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7676056338028258"/>
          <c:y val="3.74149659863946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Лист9!$D$107:$D$114</c:f>
              <c:strCache>
                <c:ptCount val="8"/>
                <c:pt idx="0">
                  <c:v>13052,89901</c:v>
                </c:pt>
                <c:pt idx="1">
                  <c:v>13958,2157</c:v>
                </c:pt>
                <c:pt idx="2">
                  <c:v>14863,53238</c:v>
                </c:pt>
                <c:pt idx="3">
                  <c:v>15768,84907</c:v>
                </c:pt>
                <c:pt idx="4">
                  <c:v>16674,16575</c:v>
                </c:pt>
                <c:pt idx="5">
                  <c:v>17579,48244</c:v>
                </c:pt>
                <c:pt idx="6">
                  <c:v>18484,79913</c:v>
                </c:pt>
                <c:pt idx="7">
                  <c:v>Еще</c:v>
                </c:pt>
              </c:strCache>
            </c:strRef>
          </c:cat>
          <c:val>
            <c:numRef>
              <c:f>Лист9!$E$107:$E$114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17</c:v>
                </c:pt>
                <c:pt idx="4">
                  <c:v>13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axId val="79075584"/>
        <c:axId val="79085952"/>
      </c:barChart>
      <c:catAx>
        <c:axId val="7907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085952"/>
        <c:crosses val="autoZero"/>
        <c:auto val="1"/>
        <c:lblAlgn val="ctr"/>
        <c:lblOffset val="100"/>
      </c:catAx>
      <c:valAx>
        <c:axId val="79085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07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971830985915488"/>
          <c:y val="0.52721088435374153"/>
          <c:w val="0.98415492957746387"/>
          <c:h val="0.60884353741496677"/>
        </c:manualLayout>
      </c:layout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6711281070745777"/>
          <c:y val="4.12844036697247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105176626337519"/>
          <c:y val="0.33486238532110496"/>
          <c:w val="0.65009620923478484"/>
          <c:h val="0.16513761467889887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Лист9!$D$131:$D$138</c:f>
              <c:strCache>
                <c:ptCount val="8"/>
                <c:pt idx="0">
                  <c:v>91088,23306</c:v>
                </c:pt>
                <c:pt idx="1">
                  <c:v>92244,45974</c:v>
                </c:pt>
                <c:pt idx="2">
                  <c:v>93400,68643</c:v>
                </c:pt>
                <c:pt idx="3">
                  <c:v>94556,91311</c:v>
                </c:pt>
                <c:pt idx="4">
                  <c:v>95713,13979</c:v>
                </c:pt>
                <c:pt idx="5">
                  <c:v>96869,36647</c:v>
                </c:pt>
                <c:pt idx="6">
                  <c:v>98025,59315</c:v>
                </c:pt>
                <c:pt idx="7">
                  <c:v>Еще</c:v>
                </c:pt>
              </c:strCache>
            </c:strRef>
          </c:cat>
          <c:val>
            <c:numRef>
              <c:f>Лист9!$E$131:$E$138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axId val="79103488"/>
        <c:axId val="79105408"/>
      </c:barChart>
      <c:catAx>
        <c:axId val="7910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41491435941444288"/>
              <c:y val="0.798165137614679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105408"/>
        <c:crosses val="autoZero"/>
        <c:auto val="1"/>
        <c:lblAlgn val="ctr"/>
        <c:lblOffset val="100"/>
        <c:tickLblSkip val="2"/>
        <c:tickMarkSkip val="1"/>
      </c:catAx>
      <c:valAx>
        <c:axId val="79105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Частота</a:t>
                </a:r>
              </a:p>
            </c:rich>
          </c:tx>
          <c:layout>
            <c:manualLayout>
              <c:xMode val="edge"/>
              <c:yMode val="edge"/>
              <c:x val="3.0592734225621414E-2"/>
              <c:y val="0.256880733944955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1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217973231357788"/>
          <c:y val="0.36238532110091798"/>
          <c:w val="0.98470363288718965"/>
          <c:h val="0.477064220183486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5937500000000039"/>
          <c:y val="4.6783625730994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27126381241844"/>
          <c:y val="0.3567271834291818"/>
          <c:w val="0.60677237643528803"/>
          <c:h val="0.14619966533982856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Лист9!$D$152:$D$159</c:f>
              <c:strCache>
                <c:ptCount val="8"/>
                <c:pt idx="0">
                  <c:v>194,1602678</c:v>
                </c:pt>
                <c:pt idx="1">
                  <c:v>196,9622715</c:v>
                </c:pt>
                <c:pt idx="2">
                  <c:v>199,7642753</c:v>
                </c:pt>
                <c:pt idx="3">
                  <c:v>202,566279</c:v>
                </c:pt>
                <c:pt idx="4">
                  <c:v>205,3682828</c:v>
                </c:pt>
                <c:pt idx="5">
                  <c:v>208,1702866</c:v>
                </c:pt>
                <c:pt idx="6">
                  <c:v>210,9722903</c:v>
                </c:pt>
                <c:pt idx="7">
                  <c:v>Еще</c:v>
                </c:pt>
              </c:strCache>
            </c:strRef>
          </c:cat>
          <c:val>
            <c:numRef>
              <c:f>Лист9!$E$152:$E$159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</c:ser>
        <c:axId val="79113600"/>
        <c:axId val="79132160"/>
      </c:barChart>
      <c:catAx>
        <c:axId val="7911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40364692694663168"/>
              <c:y val="0.77778207548617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132160"/>
        <c:crosses val="autoZero"/>
        <c:auto val="1"/>
        <c:lblAlgn val="ctr"/>
        <c:lblOffset val="100"/>
        <c:tickLblSkip val="2"/>
        <c:tickMarkSkip val="1"/>
      </c:catAx>
      <c:valAx>
        <c:axId val="791321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Частота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3159122653527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113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46875"/>
          <c:y val="0.36842105263157893"/>
          <c:w val="0.97916666666666652"/>
          <c:h val="0.497076023391813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5937500000000039"/>
          <c:y val="4.6783625730994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27126381241844"/>
          <c:y val="0.3567271834291818"/>
          <c:w val="0.60677237643528803"/>
          <c:h val="0.14619966533982856"/>
        </c:manualLayout>
      </c:layout>
      <c:barChart>
        <c:barDir val="col"/>
        <c:grouping val="clustered"/>
        <c:ser>
          <c:idx val="0"/>
          <c:order val="0"/>
          <c:tx>
            <c:v>Частота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Лист9!$D$173:$D$180</c:f>
              <c:strCache>
                <c:ptCount val="8"/>
                <c:pt idx="0">
                  <c:v>66,66681085</c:v>
                </c:pt>
                <c:pt idx="1">
                  <c:v>69,48764764</c:v>
                </c:pt>
                <c:pt idx="2">
                  <c:v>72,30848444</c:v>
                </c:pt>
                <c:pt idx="3">
                  <c:v>75,12932123</c:v>
                </c:pt>
                <c:pt idx="4">
                  <c:v>77,95015803</c:v>
                </c:pt>
                <c:pt idx="5">
                  <c:v>80,77099482</c:v>
                </c:pt>
                <c:pt idx="6">
                  <c:v>83,59183162</c:v>
                </c:pt>
                <c:pt idx="7">
                  <c:v>Еще</c:v>
                </c:pt>
              </c:strCache>
            </c:strRef>
          </c:cat>
          <c:val>
            <c:numRef>
              <c:f>Лист9!$E$173:$E$180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</c:ser>
        <c:axId val="79308288"/>
        <c:axId val="79310208"/>
      </c:barChart>
      <c:catAx>
        <c:axId val="7930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40364692694663168"/>
              <c:y val="0.77778207548617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310208"/>
        <c:crosses val="autoZero"/>
        <c:auto val="1"/>
        <c:lblAlgn val="ctr"/>
        <c:lblOffset val="100"/>
        <c:tickLblSkip val="2"/>
        <c:tickMarkSkip val="1"/>
      </c:catAx>
      <c:valAx>
        <c:axId val="79310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Частота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3159122653527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930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46875"/>
          <c:y val="0.36842105263157893"/>
          <c:w val="0.97916666666666652"/>
          <c:h val="0.497076023391813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366" r="0.7500000000000036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304800</xdr:colOff>
      <xdr:row>17</xdr:row>
      <xdr:rowOff>161925</xdr:rowOff>
    </xdr:to>
    <xdr:graphicFrame macro="">
      <xdr:nvGraphicFramePr>
        <xdr:cNvPr id="204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21</xdr:row>
      <xdr:rowOff>0</xdr:rowOff>
    </xdr:from>
    <xdr:to>
      <xdr:col>15</xdr:col>
      <xdr:colOff>257175</xdr:colOff>
      <xdr:row>39</xdr:row>
      <xdr:rowOff>123825</xdr:rowOff>
    </xdr:to>
    <xdr:graphicFrame macro="">
      <xdr:nvGraphicFramePr>
        <xdr:cNvPr id="205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14</xdr:col>
      <xdr:colOff>381000</xdr:colOff>
      <xdr:row>58</xdr:row>
      <xdr:rowOff>104775</xdr:rowOff>
    </xdr:to>
    <xdr:graphicFrame macro="">
      <xdr:nvGraphicFramePr>
        <xdr:cNvPr id="2051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63</xdr:row>
      <xdr:rowOff>0</xdr:rowOff>
    </xdr:from>
    <xdr:to>
      <xdr:col>14</xdr:col>
      <xdr:colOff>180975</xdr:colOff>
      <xdr:row>78</xdr:row>
      <xdr:rowOff>0</xdr:rowOff>
    </xdr:to>
    <xdr:graphicFrame macro="">
      <xdr:nvGraphicFramePr>
        <xdr:cNvPr id="205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84</xdr:row>
      <xdr:rowOff>0</xdr:rowOff>
    </xdr:from>
    <xdr:to>
      <xdr:col>14</xdr:col>
      <xdr:colOff>323850</xdr:colOff>
      <xdr:row>100</xdr:row>
      <xdr:rowOff>152400</xdr:rowOff>
    </xdr:to>
    <xdr:graphicFrame macro="">
      <xdr:nvGraphicFramePr>
        <xdr:cNvPr id="2053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14</xdr:col>
      <xdr:colOff>533400</xdr:colOff>
      <xdr:row>122</xdr:row>
      <xdr:rowOff>38100</xdr:rowOff>
    </xdr:to>
    <xdr:graphicFrame macro="">
      <xdr:nvGraphicFramePr>
        <xdr:cNvPr id="2054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129</xdr:row>
      <xdr:rowOff>0</xdr:rowOff>
    </xdr:from>
    <xdr:to>
      <xdr:col>14</xdr:col>
      <xdr:colOff>104775</xdr:colOff>
      <xdr:row>141</xdr:row>
      <xdr:rowOff>123825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150</xdr:row>
      <xdr:rowOff>0</xdr:rowOff>
    </xdr:from>
    <xdr:to>
      <xdr:col>12</xdr:col>
      <xdr:colOff>0</xdr:colOff>
      <xdr:row>160</xdr:row>
      <xdr:rowOff>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171</xdr:row>
      <xdr:rowOff>0</xdr:rowOff>
    </xdr:from>
    <xdr:to>
      <xdr:col>12</xdr:col>
      <xdr:colOff>0</xdr:colOff>
      <xdr:row>181</xdr:row>
      <xdr:rowOff>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192</xdr:row>
      <xdr:rowOff>0</xdr:rowOff>
    </xdr:from>
    <xdr:to>
      <xdr:col>12</xdr:col>
      <xdr:colOff>0</xdr:colOff>
      <xdr:row>202</xdr:row>
      <xdr:rowOff>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213</xdr:row>
      <xdr:rowOff>0</xdr:rowOff>
    </xdr:from>
    <xdr:to>
      <xdr:col>12</xdr:col>
      <xdr:colOff>0</xdr:colOff>
      <xdr:row>223</xdr:row>
      <xdr:rowOff>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234</xdr:row>
      <xdr:rowOff>0</xdr:rowOff>
    </xdr:from>
    <xdr:to>
      <xdr:col>12</xdr:col>
      <xdr:colOff>0</xdr:colOff>
      <xdr:row>244</xdr:row>
      <xdr:rowOff>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255</xdr:row>
      <xdr:rowOff>0</xdr:rowOff>
    </xdr:from>
    <xdr:to>
      <xdr:col>12</xdr:col>
      <xdr:colOff>0</xdr:colOff>
      <xdr:row>265</xdr:row>
      <xdr:rowOff>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276</xdr:row>
      <xdr:rowOff>0</xdr:rowOff>
    </xdr:from>
    <xdr:to>
      <xdr:col>12</xdr:col>
      <xdr:colOff>0</xdr:colOff>
      <xdr:row>286</xdr:row>
      <xdr:rowOff>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297</xdr:row>
      <xdr:rowOff>0</xdr:rowOff>
    </xdr:from>
    <xdr:to>
      <xdr:col>12</xdr:col>
      <xdr:colOff>0</xdr:colOff>
      <xdr:row>307</xdr:row>
      <xdr:rowOff>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54</xdr:row>
      <xdr:rowOff>127000</xdr:rowOff>
    </xdr:from>
    <xdr:to>
      <xdr:col>27</xdr:col>
      <xdr:colOff>457200</xdr:colOff>
      <xdr:row>84</xdr:row>
      <xdr:rowOff>50800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901700</xdr:colOff>
      <xdr:row>54</xdr:row>
      <xdr:rowOff>50800</xdr:rowOff>
    </xdr:from>
    <xdr:to>
      <xdr:col>15</xdr:col>
      <xdr:colOff>76200</xdr:colOff>
      <xdr:row>89</xdr:row>
      <xdr:rowOff>25400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89</xdr:row>
      <xdr:rowOff>88900</xdr:rowOff>
    </xdr:from>
    <xdr:to>
      <xdr:col>32</xdr:col>
      <xdr:colOff>571500</xdr:colOff>
      <xdr:row>112</xdr:row>
      <xdr:rowOff>127000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482600</xdr:colOff>
      <xdr:row>111</xdr:row>
      <xdr:rowOff>63500</xdr:rowOff>
    </xdr:from>
    <xdr:to>
      <xdr:col>18</xdr:col>
      <xdr:colOff>368300</xdr:colOff>
      <xdr:row>136</xdr:row>
      <xdr:rowOff>508000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23</xdr:row>
      <xdr:rowOff>244475</xdr:rowOff>
    </xdr:from>
    <xdr:to>
      <xdr:col>22</xdr:col>
      <xdr:colOff>466724</xdr:colOff>
      <xdr:row>37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26</xdr:row>
      <xdr:rowOff>63500</xdr:rowOff>
    </xdr:from>
    <xdr:to>
      <xdr:col>21</xdr:col>
      <xdr:colOff>6350</xdr:colOff>
      <xdr:row>43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165100</xdr:colOff>
      <xdr:row>51</xdr:row>
      <xdr:rowOff>152400</xdr:rowOff>
    </xdr:from>
    <xdr:to>
      <xdr:col>27</xdr:col>
      <xdr:colOff>469900</xdr:colOff>
      <xdr:row>62</xdr:row>
      <xdr:rowOff>101600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1;&#1040;&#1056;&#1040;\&#1044;&#1048;&#1055;&#1051;&#1054;&#1052;&#1067;\&#1044;&#1080;&#1087;&#1083;&#1086;&#1084;&#1099;_&#1076;&#1086;_2010\&#1043;&#1091;&#1079;&#1077;&#1083;&#1100;\&#1080;&#1084;&#1080;&#1090;&#1072;&#1094;1%20(version%20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5;&#1080;&#1075;&#1072;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езультаты анализа"/>
      <sheetName val="Лист2"/>
      <sheetName val="Имитация"/>
      <sheetName val="Лист3"/>
    </sheetNames>
    <sheetDataSet>
      <sheetData sheetId="0">
        <row r="2">
          <cell r="B2">
            <v>2575</v>
          </cell>
          <cell r="D2">
            <v>0.15</v>
          </cell>
        </row>
        <row r="3">
          <cell r="B3">
            <v>414.81</v>
          </cell>
          <cell r="D3">
            <v>0.3</v>
          </cell>
        </row>
        <row r="4">
          <cell r="D4">
            <v>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Цена МТ  средств"/>
      <sheetName val="Лист3"/>
      <sheetName val="Лист4"/>
      <sheetName val="Затраты на уст-ки"/>
      <sheetName val="Лист1"/>
      <sheetName val="Лист9"/>
      <sheetName val="Лист5"/>
      <sheetName val="Лист2"/>
    </sheetNames>
    <sheetDataSet>
      <sheetData sheetId="0" refreshError="1"/>
      <sheetData sheetId="1" refreshError="1"/>
      <sheetData sheetId="2" refreshError="1">
        <row r="12">
          <cell r="N12">
            <v>22848059.671146467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4"/>
  <sheetViews>
    <sheetView zoomScale="80" zoomScaleNormal="80" workbookViewId="0">
      <selection activeCell="B7" sqref="B7:B21"/>
    </sheetView>
  </sheetViews>
  <sheetFormatPr defaultRowHeight="12.75"/>
  <cols>
    <col min="1" max="1" width="32.42578125" customWidth="1"/>
    <col min="2" max="22" width="11.5703125" style="21" customWidth="1"/>
  </cols>
  <sheetData>
    <row r="1" spans="1:38">
      <c r="A1" s="413" t="s">
        <v>161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5"/>
      <c r="W1" s="6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3.5" thickBot="1">
      <c r="A2" s="416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8"/>
      <c r="W2" s="6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16.5" thickBot="1">
      <c r="W3" s="6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5.75">
      <c r="A4" s="419"/>
      <c r="B4" s="422" t="s">
        <v>16</v>
      </c>
      <c r="C4" s="411" t="s">
        <v>234</v>
      </c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2"/>
      <c r="W4" s="32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47.25">
      <c r="A5" s="420"/>
      <c r="B5" s="423"/>
      <c r="C5" s="156" t="s">
        <v>152</v>
      </c>
      <c r="D5" s="89" t="s">
        <v>151</v>
      </c>
      <c r="E5" s="89" t="s">
        <v>150</v>
      </c>
      <c r="F5" s="89" t="s">
        <v>149</v>
      </c>
      <c r="G5" s="89" t="s">
        <v>148</v>
      </c>
      <c r="H5" s="89" t="s">
        <v>147</v>
      </c>
      <c r="I5" s="89" t="s">
        <v>146</v>
      </c>
      <c r="J5" s="89" t="s">
        <v>145</v>
      </c>
      <c r="K5" s="102" t="s">
        <v>144</v>
      </c>
      <c r="L5" s="102" t="s">
        <v>143</v>
      </c>
      <c r="M5" s="102" t="s">
        <v>142</v>
      </c>
      <c r="N5" s="102" t="s">
        <v>141</v>
      </c>
      <c r="O5" s="102" t="s">
        <v>140</v>
      </c>
      <c r="P5" s="114" t="s">
        <v>139</v>
      </c>
      <c r="Q5" s="114" t="s">
        <v>138</v>
      </c>
      <c r="R5" s="114" t="s">
        <v>137</v>
      </c>
      <c r="S5" s="114" t="s">
        <v>136</v>
      </c>
      <c r="T5" s="126" t="s">
        <v>135</v>
      </c>
      <c r="U5" s="126" t="s">
        <v>134</v>
      </c>
      <c r="V5" s="127" t="s">
        <v>133</v>
      </c>
      <c r="W5" s="32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16.5" thickBot="1">
      <c r="A6" s="421"/>
      <c r="B6" s="424"/>
      <c r="C6" s="157" t="s">
        <v>207</v>
      </c>
      <c r="D6" s="157" t="s">
        <v>186</v>
      </c>
      <c r="E6" s="157" t="s">
        <v>187</v>
      </c>
      <c r="F6" s="157" t="s">
        <v>188</v>
      </c>
      <c r="G6" s="157" t="s">
        <v>189</v>
      </c>
      <c r="H6" s="157" t="s">
        <v>190</v>
      </c>
      <c r="I6" s="157" t="s">
        <v>191</v>
      </c>
      <c r="J6" s="157" t="s">
        <v>192</v>
      </c>
      <c r="K6" s="157" t="s">
        <v>193</v>
      </c>
      <c r="L6" s="157" t="s">
        <v>194</v>
      </c>
      <c r="M6" s="157" t="s">
        <v>195</v>
      </c>
      <c r="N6" s="157" t="s">
        <v>196</v>
      </c>
      <c r="O6" s="157" t="s">
        <v>197</v>
      </c>
      <c r="P6" s="157" t="s">
        <v>200</v>
      </c>
      <c r="Q6" s="157" t="s">
        <v>201</v>
      </c>
      <c r="R6" s="157" t="s">
        <v>202</v>
      </c>
      <c r="S6" s="157" t="s">
        <v>203</v>
      </c>
      <c r="T6" s="157" t="s">
        <v>204</v>
      </c>
      <c r="U6" s="157" t="s">
        <v>205</v>
      </c>
      <c r="V6" s="157" t="s">
        <v>206</v>
      </c>
      <c r="W6" s="32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5.75">
      <c r="A7" s="152" t="s">
        <v>17</v>
      </c>
      <c r="B7" s="153">
        <v>10500</v>
      </c>
      <c r="C7" s="153">
        <v>1</v>
      </c>
      <c r="D7" s="154">
        <v>0</v>
      </c>
      <c r="E7" s="154">
        <v>0</v>
      </c>
      <c r="F7" s="154">
        <v>0</v>
      </c>
      <c r="G7" s="154">
        <v>0</v>
      </c>
      <c r="H7" s="154">
        <v>0</v>
      </c>
      <c r="I7" s="154">
        <v>0</v>
      </c>
      <c r="J7" s="154">
        <v>0</v>
      </c>
      <c r="K7" s="154">
        <v>0</v>
      </c>
      <c r="L7" s="154">
        <v>0</v>
      </c>
      <c r="M7" s="154">
        <v>0</v>
      </c>
      <c r="N7" s="154">
        <v>0</v>
      </c>
      <c r="O7" s="154">
        <v>0</v>
      </c>
      <c r="P7" s="154">
        <v>0</v>
      </c>
      <c r="Q7" s="154">
        <v>0</v>
      </c>
      <c r="R7" s="154">
        <v>0</v>
      </c>
      <c r="S7" s="154">
        <v>0</v>
      </c>
      <c r="T7" s="154">
        <v>0</v>
      </c>
      <c r="U7" s="154">
        <v>0</v>
      </c>
      <c r="V7" s="155">
        <v>0</v>
      </c>
      <c r="W7" s="6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5.75">
      <c r="A8" s="149" t="s">
        <v>3</v>
      </c>
      <c r="B8" s="144">
        <v>17</v>
      </c>
      <c r="C8" s="38">
        <v>4.1000000000000002E-2</v>
      </c>
      <c r="D8" s="40">
        <v>0.02</v>
      </c>
      <c r="E8" s="40">
        <v>0.02</v>
      </c>
      <c r="F8" s="40">
        <v>0.02</v>
      </c>
      <c r="G8" s="40">
        <v>0.02</v>
      </c>
      <c r="H8" s="40">
        <v>0.02</v>
      </c>
      <c r="I8" s="40">
        <v>0.02</v>
      </c>
      <c r="J8" s="40">
        <v>0.02</v>
      </c>
      <c r="K8" s="41">
        <v>1.4999999999999999E-2</v>
      </c>
      <c r="L8" s="41">
        <v>1.4999999999999999E-2</v>
      </c>
      <c r="M8" s="41">
        <v>1.4999999999999999E-2</v>
      </c>
      <c r="N8" s="41">
        <v>1.4999999999999999E-2</v>
      </c>
      <c r="O8" s="41">
        <v>1.4999999999999999E-2</v>
      </c>
      <c r="P8" s="69">
        <v>4.9000000000000002E-2</v>
      </c>
      <c r="Q8" s="69">
        <v>4.9000000000000002E-2</v>
      </c>
      <c r="R8" s="69">
        <v>4.9000000000000002E-2</v>
      </c>
      <c r="S8" s="69">
        <v>4.9000000000000002E-2</v>
      </c>
      <c r="T8" s="69">
        <v>0.83</v>
      </c>
      <c r="U8" s="69">
        <v>0.83</v>
      </c>
      <c r="V8" s="65">
        <v>0.83</v>
      </c>
      <c r="W8" s="6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5.75">
      <c r="A9" s="149" t="s">
        <v>4</v>
      </c>
      <c r="B9" s="144">
        <v>11</v>
      </c>
      <c r="C9" s="38">
        <v>1.0999999999999999E-2</v>
      </c>
      <c r="D9" s="38">
        <v>5.1999999999999998E-2</v>
      </c>
      <c r="E9" s="38">
        <v>5.1999999999999998E-2</v>
      </c>
      <c r="F9" s="38">
        <v>5.1999999999999998E-2</v>
      </c>
      <c r="G9" s="38">
        <v>5.1999999999999998E-2</v>
      </c>
      <c r="H9" s="38">
        <v>5.1999999999999998E-2</v>
      </c>
      <c r="I9" s="38">
        <v>5.1999999999999998E-2</v>
      </c>
      <c r="J9" s="38">
        <v>5.1999999999999998E-2</v>
      </c>
      <c r="K9" s="70">
        <v>0.76</v>
      </c>
      <c r="L9" s="70">
        <v>0.76</v>
      </c>
      <c r="M9" s="70">
        <v>0.76</v>
      </c>
      <c r="N9" s="70">
        <v>0.76</v>
      </c>
      <c r="O9" s="70">
        <v>0.76</v>
      </c>
      <c r="P9" s="69">
        <v>3.2000000000000001E-2</v>
      </c>
      <c r="Q9" s="69">
        <v>3.2000000000000001E-2</v>
      </c>
      <c r="R9" s="69">
        <v>3.2000000000000001E-2</v>
      </c>
      <c r="S9" s="69">
        <v>3.2000000000000001E-2</v>
      </c>
      <c r="T9" s="69">
        <v>3.2000000000000001E-2</v>
      </c>
      <c r="U9" s="69">
        <v>3.2000000000000001E-2</v>
      </c>
      <c r="V9" s="65">
        <v>3.2000000000000001E-2</v>
      </c>
      <c r="W9" s="6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15.75">
      <c r="A10" s="149" t="s">
        <v>11</v>
      </c>
      <c r="B10" s="144">
        <v>40.39</v>
      </c>
      <c r="C10" s="38">
        <v>0.42899999999999999</v>
      </c>
      <c r="D10" s="38">
        <v>9.42</v>
      </c>
      <c r="E10" s="38">
        <v>9.42</v>
      </c>
      <c r="F10" s="38">
        <v>9.42</v>
      </c>
      <c r="G10" s="38">
        <v>9.42</v>
      </c>
      <c r="H10" s="38">
        <v>9.42</v>
      </c>
      <c r="I10" s="38">
        <v>9.42</v>
      </c>
      <c r="J10" s="38">
        <v>9.42</v>
      </c>
      <c r="K10" s="38">
        <v>18.7</v>
      </c>
      <c r="L10" s="38">
        <v>18.7</v>
      </c>
      <c r="M10" s="38">
        <v>18.7</v>
      </c>
      <c r="N10" s="38">
        <v>18.7</v>
      </c>
      <c r="O10" s="38">
        <v>18.7</v>
      </c>
      <c r="P10" s="69">
        <v>10.9</v>
      </c>
      <c r="Q10" s="69">
        <v>10.9</v>
      </c>
      <c r="R10" s="69">
        <v>10.9</v>
      </c>
      <c r="S10" s="69">
        <v>10.9</v>
      </c>
      <c r="T10" s="69">
        <v>5.46</v>
      </c>
      <c r="U10" s="69">
        <v>5.46</v>
      </c>
      <c r="V10" s="65">
        <v>5.46</v>
      </c>
      <c r="W10" s="6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5.75">
      <c r="A11" s="149" t="s">
        <v>12</v>
      </c>
      <c r="B11" s="144">
        <v>1.59</v>
      </c>
      <c r="C11" s="38">
        <v>0.98199999999999998</v>
      </c>
      <c r="D11" s="38">
        <v>6.41</v>
      </c>
      <c r="E11" s="38">
        <v>6.41</v>
      </c>
      <c r="F11" s="38">
        <v>6.41</v>
      </c>
      <c r="G11" s="38">
        <v>6.41</v>
      </c>
      <c r="H11" s="38">
        <v>6.41</v>
      </c>
      <c r="I11" s="38">
        <v>6.41</v>
      </c>
      <c r="J11" s="38">
        <v>6.41</v>
      </c>
      <c r="K11" s="38">
        <v>36.869999999999997</v>
      </c>
      <c r="L11" s="38">
        <v>36.869999999999997</v>
      </c>
      <c r="M11" s="38">
        <v>36.869999999999997</v>
      </c>
      <c r="N11" s="38">
        <v>36.869999999999997</v>
      </c>
      <c r="O11" s="38">
        <v>36.869999999999997</v>
      </c>
      <c r="P11" s="69">
        <v>37.799999999999997</v>
      </c>
      <c r="Q11" s="69">
        <v>37.799999999999997</v>
      </c>
      <c r="R11" s="69">
        <v>37.799999999999997</v>
      </c>
      <c r="S11" s="69">
        <v>37.799999999999997</v>
      </c>
      <c r="T11" s="69">
        <v>11.43</v>
      </c>
      <c r="U11" s="69">
        <v>11.43</v>
      </c>
      <c r="V11" s="65">
        <v>11.43</v>
      </c>
      <c r="W11" s="6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15.75">
      <c r="A12" s="149" t="s">
        <v>13</v>
      </c>
      <c r="B12" s="144">
        <v>0.57799999999999996</v>
      </c>
      <c r="C12" s="38">
        <v>0.502</v>
      </c>
      <c r="D12" s="38">
        <v>4.1500000000000004</v>
      </c>
      <c r="E12" s="38">
        <v>4.1500000000000004</v>
      </c>
      <c r="F12" s="38">
        <v>4.1500000000000004</v>
      </c>
      <c r="G12" s="38">
        <v>4.1500000000000004</v>
      </c>
      <c r="H12" s="38">
        <v>4.1500000000000004</v>
      </c>
      <c r="I12" s="38">
        <v>4.1500000000000004</v>
      </c>
      <c r="J12" s="38">
        <v>4.1500000000000004</v>
      </c>
      <c r="K12" s="38">
        <v>9.2799999999999994</v>
      </c>
      <c r="L12" s="38">
        <v>9.2799999999999994</v>
      </c>
      <c r="M12" s="38">
        <v>9.2799999999999994</v>
      </c>
      <c r="N12" s="38">
        <v>9.2799999999999994</v>
      </c>
      <c r="O12" s="38">
        <v>9.2799999999999994</v>
      </c>
      <c r="P12" s="69">
        <v>4.13</v>
      </c>
      <c r="Q12" s="69">
        <v>4.13</v>
      </c>
      <c r="R12" s="69">
        <v>4.13</v>
      </c>
      <c r="S12" s="69">
        <v>4.13</v>
      </c>
      <c r="T12" s="69">
        <v>1.54</v>
      </c>
      <c r="U12" s="69">
        <v>1.54</v>
      </c>
      <c r="V12" s="65">
        <v>1.54</v>
      </c>
      <c r="W12" s="6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15.75">
      <c r="A13" s="149" t="s">
        <v>5</v>
      </c>
      <c r="B13" s="144">
        <v>2.83</v>
      </c>
      <c r="C13" s="38">
        <v>0</v>
      </c>
      <c r="D13" s="38">
        <v>27</v>
      </c>
      <c r="E13" s="38">
        <v>27</v>
      </c>
      <c r="F13" s="38">
        <v>27</v>
      </c>
      <c r="G13" s="38">
        <v>27</v>
      </c>
      <c r="H13" s="38">
        <v>27</v>
      </c>
      <c r="I13" s="38">
        <v>27</v>
      </c>
      <c r="J13" s="38">
        <v>27</v>
      </c>
      <c r="K13" s="38">
        <v>22</v>
      </c>
      <c r="L13" s="38">
        <v>22</v>
      </c>
      <c r="M13" s="38">
        <v>22</v>
      </c>
      <c r="N13" s="38">
        <v>22</v>
      </c>
      <c r="O13" s="38">
        <v>22</v>
      </c>
      <c r="P13" s="69">
        <v>45</v>
      </c>
      <c r="Q13" s="69">
        <v>45</v>
      </c>
      <c r="R13" s="69">
        <v>45</v>
      </c>
      <c r="S13" s="69">
        <v>45</v>
      </c>
      <c r="T13" s="69">
        <v>17</v>
      </c>
      <c r="U13" s="69">
        <v>17</v>
      </c>
      <c r="V13" s="65">
        <v>17</v>
      </c>
      <c r="W13" s="6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5.75">
      <c r="A14" s="149" t="s">
        <v>2</v>
      </c>
      <c r="B14" s="144">
        <v>100</v>
      </c>
      <c r="C14" s="38">
        <v>0.03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5"/>
      <c r="W14" s="6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47.25">
      <c r="A15" s="150" t="s">
        <v>130</v>
      </c>
      <c r="B15" s="145">
        <v>2.5</v>
      </c>
      <c r="C15" s="71">
        <v>0</v>
      </c>
      <c r="D15" s="72">
        <v>5.5E-2</v>
      </c>
      <c r="E15" s="72">
        <v>5.5E-2</v>
      </c>
      <c r="F15" s="72">
        <v>5.5E-2</v>
      </c>
      <c r="G15" s="72">
        <v>5.5E-2</v>
      </c>
      <c r="H15" s="72">
        <v>5.5E-2</v>
      </c>
      <c r="I15" s="72">
        <v>5.5E-2</v>
      </c>
      <c r="J15" s="72">
        <v>5.5E-2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66">
        <v>0</v>
      </c>
      <c r="W15" s="6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15.75">
      <c r="A16" s="149" t="s">
        <v>6</v>
      </c>
      <c r="B16" s="144">
        <v>145</v>
      </c>
      <c r="C16" s="71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41">
        <v>3.5590000000000002</v>
      </c>
      <c r="L16" s="41">
        <v>3.5590000000000002</v>
      </c>
      <c r="M16" s="41">
        <v>3.5590000000000002</v>
      </c>
      <c r="N16" s="41">
        <v>3.5590000000000002</v>
      </c>
      <c r="O16" s="41">
        <v>3.5590000000000002</v>
      </c>
      <c r="P16" s="69"/>
      <c r="Q16" s="69"/>
      <c r="R16" s="69"/>
      <c r="S16" s="69"/>
      <c r="T16" s="69">
        <v>2.1000000000000001E-2</v>
      </c>
      <c r="U16" s="69">
        <v>2.1000000000000001E-2</v>
      </c>
      <c r="V16" s="65">
        <v>2.1000000000000001E-2</v>
      </c>
      <c r="W16" s="6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24" ht="15.75">
      <c r="A17" s="149" t="s">
        <v>7</v>
      </c>
      <c r="B17" s="144">
        <v>341.88</v>
      </c>
      <c r="C17" s="71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3.4000000000000002E-2</v>
      </c>
      <c r="Q17" s="69">
        <v>3.4000000000000002E-2</v>
      </c>
      <c r="R17" s="69">
        <v>3.4000000000000002E-2</v>
      </c>
      <c r="S17" s="69">
        <v>3.4000000000000002E-2</v>
      </c>
      <c r="T17" s="69">
        <v>0</v>
      </c>
      <c r="U17" s="69">
        <v>0</v>
      </c>
      <c r="V17" s="65">
        <v>0</v>
      </c>
      <c r="W17" s="68"/>
      <c r="X17" s="8"/>
    </row>
    <row r="18" spans="1:24" ht="15.75">
      <c r="A18" s="149" t="s">
        <v>8</v>
      </c>
      <c r="B18" s="144">
        <v>210</v>
      </c>
      <c r="C18" s="71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38">
        <v>1.61</v>
      </c>
      <c r="Q18" s="38">
        <v>1.61</v>
      </c>
      <c r="R18" s="38">
        <v>1.61</v>
      </c>
      <c r="S18" s="38">
        <v>1.61</v>
      </c>
      <c r="T18" s="69">
        <v>1.278</v>
      </c>
      <c r="U18" s="69">
        <v>1.278</v>
      </c>
      <c r="V18" s="65">
        <v>1.278</v>
      </c>
      <c r="W18" s="68"/>
      <c r="X18" s="8"/>
    </row>
    <row r="19" spans="1:24" ht="15.75">
      <c r="A19" s="149" t="s">
        <v>9</v>
      </c>
      <c r="B19" s="144">
        <v>80</v>
      </c>
      <c r="C19" s="71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3.2000000000000001E-2</v>
      </c>
      <c r="Q19" s="69">
        <v>3.2000000000000001E-2</v>
      </c>
      <c r="R19" s="69">
        <v>3.2000000000000001E-2</v>
      </c>
      <c r="S19" s="69">
        <v>3.2000000000000001E-2</v>
      </c>
      <c r="T19" s="69">
        <v>5.0999999999999997E-2</v>
      </c>
      <c r="U19" s="69">
        <v>5.0999999999999997E-2</v>
      </c>
      <c r="V19" s="65">
        <v>5.0999999999999997E-2</v>
      </c>
      <c r="W19" s="68"/>
      <c r="X19" s="8"/>
    </row>
    <row r="20" spans="1:24" ht="15.75">
      <c r="A20" s="149" t="s">
        <v>10</v>
      </c>
      <c r="B20" s="144">
        <v>85</v>
      </c>
      <c r="C20" s="71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0.32</v>
      </c>
      <c r="Q20" s="69">
        <v>0.32</v>
      </c>
      <c r="R20" s="69">
        <v>0.32</v>
      </c>
      <c r="S20" s="69">
        <v>0.32</v>
      </c>
      <c r="T20" s="69">
        <v>0</v>
      </c>
      <c r="U20" s="69">
        <v>0</v>
      </c>
      <c r="V20" s="65">
        <v>0</v>
      </c>
      <c r="W20" s="141"/>
      <c r="X20" s="8"/>
    </row>
    <row r="21" spans="1:24" ht="15.75">
      <c r="A21" s="149" t="s">
        <v>93</v>
      </c>
      <c r="B21" s="144">
        <v>16.5</v>
      </c>
      <c r="C21" s="71">
        <v>0</v>
      </c>
      <c r="D21" s="69">
        <v>5.8000000000000003E-2</v>
      </c>
      <c r="E21" s="69">
        <v>5.8000000000000003E-2</v>
      </c>
      <c r="F21" s="69">
        <v>5.8000000000000003E-2</v>
      </c>
      <c r="G21" s="69">
        <v>5.8000000000000003E-2</v>
      </c>
      <c r="H21" s="69">
        <v>5.8000000000000003E-2</v>
      </c>
      <c r="I21" s="69">
        <v>5.8000000000000003E-2</v>
      </c>
      <c r="J21" s="69">
        <v>5.8000000000000003E-2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5">
        <v>0</v>
      </c>
      <c r="W21" s="141"/>
      <c r="X21" s="8"/>
    </row>
    <row r="22" spans="1:24" ht="15.75">
      <c r="A22" s="148" t="s">
        <v>18</v>
      </c>
      <c r="B22" s="146">
        <v>0</v>
      </c>
      <c r="C22" s="38">
        <v>0</v>
      </c>
      <c r="D22" s="39">
        <f>'Решение задачи'!$B$4</f>
        <v>4689.3967187243043</v>
      </c>
      <c r="E22" s="39">
        <f>'Решение задачи'!$B$4</f>
        <v>4689.3967187243043</v>
      </c>
      <c r="F22" s="39">
        <f>'Решение задачи'!$B$4</f>
        <v>4689.3967187243043</v>
      </c>
      <c r="G22" s="39">
        <f>'Решение задачи'!$B$4</f>
        <v>4689.3967187243043</v>
      </c>
      <c r="H22" s="39">
        <f>'Решение задачи'!$B$4</f>
        <v>4689.3967187243043</v>
      </c>
      <c r="I22" s="39">
        <f>'Решение задачи'!$B$4</f>
        <v>4689.3967187243043</v>
      </c>
      <c r="J22" s="39">
        <f>'Решение задачи'!$B$4</f>
        <v>4689.3967187243043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43">
        <v>0</v>
      </c>
      <c r="W22" s="141"/>
      <c r="X22" s="8"/>
    </row>
    <row r="23" spans="1:24" ht="15.75">
      <c r="A23" s="148" t="s">
        <v>25</v>
      </c>
      <c r="B23" s="146">
        <v>0</v>
      </c>
      <c r="C23" s="38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0">
        <f>'Решение задачи'!$E$11</f>
        <v>703.40950780864569</v>
      </c>
      <c r="L23" s="70">
        <f>'Решение задачи'!$E$11</f>
        <v>703.40950780864569</v>
      </c>
      <c r="M23" s="70">
        <f>'Решение задачи'!$E$11</f>
        <v>703.40950780864569</v>
      </c>
      <c r="N23" s="70">
        <f>'Решение задачи'!$E$11</f>
        <v>703.40950780864569</v>
      </c>
      <c r="O23" s="70">
        <f>'Решение задачи'!$E$11</f>
        <v>703.40950780864569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43">
        <v>0</v>
      </c>
      <c r="W23" s="141"/>
      <c r="X23" s="8"/>
    </row>
    <row r="24" spans="1:24" ht="15.75">
      <c r="A24" s="148" t="s">
        <v>26</v>
      </c>
      <c r="B24" s="146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0">
        <f>'Решение задачи'!B11</f>
        <v>609.62157343416072</v>
      </c>
      <c r="Q24" s="70">
        <f>'Решение задачи'!C11</f>
        <v>914.82947320005508</v>
      </c>
      <c r="R24" s="70">
        <f>'Решение задачи'!D11</f>
        <v>679.96252421502402</v>
      </c>
      <c r="S24" s="70">
        <f>'Решение задачи'!E11</f>
        <v>703.40950780864569</v>
      </c>
      <c r="T24" s="38">
        <v>0</v>
      </c>
      <c r="U24" s="38">
        <v>0</v>
      </c>
      <c r="V24" s="43">
        <v>0</v>
      </c>
      <c r="W24" s="142"/>
    </row>
    <row r="25" spans="1:24" ht="15.75">
      <c r="A25" s="148" t="s">
        <v>27</v>
      </c>
      <c r="B25" s="146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74">
        <v>0</v>
      </c>
      <c r="Q25" s="74">
        <v>0</v>
      </c>
      <c r="R25" s="74">
        <v>0</v>
      </c>
      <c r="S25" s="74">
        <v>0</v>
      </c>
      <c r="T25" s="74">
        <f>'Решение задачи'!$E$25</f>
        <v>18.28864720302477</v>
      </c>
      <c r="U25" s="74">
        <f>'Решение задачи'!$E$25</f>
        <v>18.28864720302477</v>
      </c>
      <c r="V25" s="75">
        <f>'Решение задачи'!$E$25</f>
        <v>18.28864720302477</v>
      </c>
      <c r="W25" s="142"/>
    </row>
    <row r="26" spans="1:24" ht="15.75">
      <c r="A26" s="149" t="s">
        <v>28</v>
      </c>
      <c r="B26" s="146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9">
        <f>'Решение задачи'!$D$18</f>
        <v>267.29561296728542</v>
      </c>
      <c r="U26" s="39">
        <f>'Решение задачи'!$D$18</f>
        <v>267.29561296728542</v>
      </c>
      <c r="V26" s="18">
        <f>'Решение задачи'!$D$18</f>
        <v>267.29561296728542</v>
      </c>
      <c r="W26" s="142"/>
    </row>
    <row r="27" spans="1:24" ht="15.75">
      <c r="A27" s="149" t="s">
        <v>29</v>
      </c>
      <c r="B27" s="146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7</v>
      </c>
      <c r="U27" s="38">
        <v>7</v>
      </c>
      <c r="V27" s="43">
        <v>7</v>
      </c>
      <c r="W27" s="142"/>
    </row>
    <row r="28" spans="1:24" ht="15.75" customHeight="1" thickBot="1">
      <c r="A28" s="151" t="s">
        <v>30</v>
      </c>
      <c r="B28" s="147">
        <v>0</v>
      </c>
      <c r="C28" s="73">
        <v>0</v>
      </c>
      <c r="D28" s="73">
        <v>0</v>
      </c>
      <c r="E28" s="73">
        <v>0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137">
        <f>'Решение задачи'!$C$11</f>
        <v>914.82947320005508</v>
      </c>
      <c r="U28" s="137">
        <f>'Решение задачи'!$C$11</f>
        <v>914.82947320005508</v>
      </c>
      <c r="V28" s="138">
        <f>'Решение задачи'!$C$11</f>
        <v>914.82947320005508</v>
      </c>
      <c r="W28" s="142"/>
    </row>
    <row r="29" spans="1:24" ht="15.75">
      <c r="A29" s="158" t="s">
        <v>15</v>
      </c>
      <c r="B29" s="139"/>
      <c r="C29" s="140">
        <f t="shared" ref="C29:V29" si="0">SUMPRODUCT($B$7:$B$28,C7:C28)</f>
        <v>10522.996845999998</v>
      </c>
      <c r="D29" s="140">
        <f t="shared" si="0"/>
        <v>471.48089999999996</v>
      </c>
      <c r="E29" s="140">
        <f t="shared" si="0"/>
        <v>471.48089999999996</v>
      </c>
      <c r="F29" s="140">
        <f t="shared" si="0"/>
        <v>471.48089999999996</v>
      </c>
      <c r="G29" s="140">
        <f t="shared" si="0"/>
        <v>471.48089999999996</v>
      </c>
      <c r="H29" s="140">
        <f t="shared" si="0"/>
        <v>471.48089999999996</v>
      </c>
      <c r="I29" s="140">
        <f t="shared" si="0"/>
        <v>471.48089999999996</v>
      </c>
      <c r="J29" s="140">
        <f t="shared" si="0"/>
        <v>471.48089999999996</v>
      </c>
      <c r="K29" s="140">
        <f t="shared" si="0"/>
        <v>1406.2101400000001</v>
      </c>
      <c r="L29" s="140">
        <f t="shared" si="0"/>
        <v>1406.2101400000001</v>
      </c>
      <c r="M29" s="140">
        <f t="shared" si="0"/>
        <v>1406.2101400000001</v>
      </c>
      <c r="N29" s="140">
        <f t="shared" si="0"/>
        <v>1406.2101400000001</v>
      </c>
      <c r="O29" s="140">
        <f t="shared" si="0"/>
        <v>1406.2101400000001</v>
      </c>
      <c r="P29" s="140">
        <f t="shared" si="0"/>
        <v>1010.75906</v>
      </c>
      <c r="Q29" s="140">
        <f t="shared" si="0"/>
        <v>1010.75906</v>
      </c>
      <c r="R29" s="140">
        <f t="shared" si="0"/>
        <v>1010.75906</v>
      </c>
      <c r="S29" s="140">
        <f t="shared" si="0"/>
        <v>1010.75906</v>
      </c>
      <c r="T29" s="140">
        <f t="shared" si="0"/>
        <v>577.67022000000009</v>
      </c>
      <c r="U29" s="140">
        <f t="shared" si="0"/>
        <v>577.67022000000009</v>
      </c>
      <c r="V29" s="140">
        <f t="shared" si="0"/>
        <v>577.67022000000009</v>
      </c>
      <c r="W29" s="142"/>
    </row>
    <row r="30" spans="1:24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2"/>
    </row>
    <row r="43" ht="15.75" customHeight="1"/>
    <row r="53" spans="10:22"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</row>
    <row r="54" spans="10:22"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</row>
  </sheetData>
  <mergeCells count="4">
    <mergeCell ref="C4:V4"/>
    <mergeCell ref="A1:V2"/>
    <mergeCell ref="A4:A6"/>
    <mergeCell ref="B4:B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selection activeCell="E13" sqref="E13"/>
    </sheetView>
  </sheetViews>
  <sheetFormatPr defaultRowHeight="12.75"/>
  <cols>
    <col min="1" max="1" width="13.42578125" customWidth="1"/>
    <col min="2" max="2" width="9.42578125" customWidth="1"/>
    <col min="3" max="3" width="41.5703125" customWidth="1"/>
    <col min="4" max="4" width="16.140625" customWidth="1"/>
  </cols>
  <sheetData>
    <row r="1" spans="1:10" ht="39.75" customHeight="1" thickBot="1">
      <c r="A1" s="159"/>
      <c r="B1" s="160" t="s">
        <v>162</v>
      </c>
      <c r="C1" s="161" t="s">
        <v>163</v>
      </c>
      <c r="D1" s="161" t="s">
        <v>41</v>
      </c>
      <c r="E1" s="6"/>
      <c r="F1" s="6"/>
      <c r="G1" s="6"/>
      <c r="H1" s="6"/>
      <c r="I1" s="6"/>
      <c r="J1" s="6"/>
    </row>
    <row r="2" spans="1:10" ht="28.5" customHeight="1" thickBot="1">
      <c r="A2" s="428" t="s">
        <v>164</v>
      </c>
      <c r="B2" s="162" t="s">
        <v>60</v>
      </c>
      <c r="C2" s="163" t="s">
        <v>165</v>
      </c>
      <c r="D2" s="164">
        <v>32200</v>
      </c>
      <c r="E2" s="6"/>
      <c r="F2" s="6"/>
      <c r="G2" s="6"/>
      <c r="H2" s="6"/>
      <c r="I2" s="6"/>
      <c r="J2" s="6"/>
    </row>
    <row r="3" spans="1:10" ht="19.5" thickBot="1">
      <c r="A3" s="426"/>
      <c r="B3" s="165" t="s">
        <v>53</v>
      </c>
      <c r="C3" s="166" t="s">
        <v>166</v>
      </c>
      <c r="D3" s="167">
        <v>30900</v>
      </c>
      <c r="E3" s="6"/>
      <c r="F3" s="6"/>
      <c r="G3" s="6"/>
      <c r="H3" s="6"/>
      <c r="I3" s="6"/>
      <c r="J3" s="6"/>
    </row>
    <row r="4" spans="1:10" ht="19.5" thickBot="1">
      <c r="A4" s="426"/>
      <c r="B4" s="165" t="s">
        <v>1</v>
      </c>
      <c r="C4" s="166" t="s">
        <v>167</v>
      </c>
      <c r="D4" s="167">
        <v>31500</v>
      </c>
      <c r="E4" s="6"/>
      <c r="F4" s="6"/>
      <c r="G4" s="6"/>
      <c r="H4" s="6"/>
      <c r="I4" s="6"/>
      <c r="J4" s="6"/>
    </row>
    <row r="5" spans="1:10" ht="19.5" thickBot="1">
      <c r="A5" s="426"/>
      <c r="B5" s="165" t="s">
        <v>0</v>
      </c>
      <c r="C5" s="166" t="s">
        <v>150</v>
      </c>
      <c r="D5" s="167">
        <v>32000</v>
      </c>
      <c r="E5" s="6"/>
      <c r="F5" s="6"/>
      <c r="G5" s="6"/>
      <c r="H5" s="6"/>
      <c r="I5" s="6"/>
      <c r="J5" s="6"/>
    </row>
    <row r="6" spans="1:10" ht="19.5" thickBot="1">
      <c r="A6" s="426"/>
      <c r="B6" s="165" t="s">
        <v>48</v>
      </c>
      <c r="C6" s="166" t="s">
        <v>168</v>
      </c>
      <c r="D6" s="167">
        <v>32000</v>
      </c>
      <c r="E6" s="6"/>
      <c r="F6" s="6"/>
      <c r="G6" s="6"/>
      <c r="H6" s="6"/>
      <c r="I6" s="6"/>
      <c r="J6" s="6"/>
    </row>
    <row r="7" spans="1:10" ht="19.5" thickBot="1">
      <c r="A7" s="426"/>
      <c r="B7" s="165" t="s">
        <v>52</v>
      </c>
      <c r="C7" s="166" t="s">
        <v>145</v>
      </c>
      <c r="D7" s="167">
        <v>12500</v>
      </c>
      <c r="E7" s="6"/>
      <c r="F7" s="6"/>
      <c r="G7" s="6"/>
      <c r="H7" s="6"/>
      <c r="I7" s="6"/>
      <c r="J7" s="6"/>
    </row>
    <row r="8" spans="1:10" ht="19.5" thickBot="1">
      <c r="A8" s="426"/>
      <c r="B8" s="165" t="s">
        <v>50</v>
      </c>
      <c r="C8" s="166" t="s">
        <v>198</v>
      </c>
      <c r="D8" s="167">
        <v>22000</v>
      </c>
      <c r="E8" s="6"/>
      <c r="F8" s="6"/>
      <c r="G8" s="6"/>
      <c r="H8" s="6"/>
      <c r="I8" s="6"/>
      <c r="J8" s="6"/>
    </row>
    <row r="9" spans="1:10" ht="19.5" thickBot="1">
      <c r="A9" s="426"/>
      <c r="B9" s="165" t="s">
        <v>59</v>
      </c>
      <c r="C9" s="166" t="s">
        <v>199</v>
      </c>
      <c r="D9" s="167">
        <v>22000</v>
      </c>
      <c r="E9" s="6"/>
      <c r="F9" s="6"/>
      <c r="G9" s="6"/>
      <c r="H9" s="6"/>
      <c r="I9" s="6"/>
      <c r="J9" s="6"/>
    </row>
    <row r="10" spans="1:10" ht="19.5" thickBot="1">
      <c r="A10" s="426"/>
      <c r="B10" s="165" t="s">
        <v>54</v>
      </c>
      <c r="C10" s="166" t="s">
        <v>169</v>
      </c>
      <c r="D10" s="167">
        <v>22000</v>
      </c>
      <c r="E10" s="6"/>
      <c r="F10" s="6"/>
      <c r="G10" s="6"/>
      <c r="H10" s="6"/>
      <c r="I10" s="6"/>
      <c r="J10" s="6"/>
    </row>
    <row r="11" spans="1:10" ht="19.5" thickBot="1">
      <c r="A11" s="427"/>
      <c r="B11" s="165" t="s">
        <v>63</v>
      </c>
      <c r="C11" s="166" t="s">
        <v>170</v>
      </c>
      <c r="D11" s="167">
        <v>22000</v>
      </c>
      <c r="E11" s="6"/>
      <c r="F11" s="6"/>
      <c r="G11" s="6"/>
      <c r="H11" s="6"/>
      <c r="I11" s="6"/>
      <c r="J11" s="6"/>
    </row>
    <row r="12" spans="1:10" ht="19.5" thickBot="1">
      <c r="A12" s="425" t="s">
        <v>171</v>
      </c>
      <c r="B12" s="165" t="s">
        <v>46</v>
      </c>
      <c r="C12" s="166" t="s">
        <v>233</v>
      </c>
      <c r="D12" s="167">
        <v>0</v>
      </c>
      <c r="E12" s="6"/>
      <c r="F12" s="6"/>
      <c r="G12" s="6"/>
      <c r="H12" s="6"/>
      <c r="I12" s="6"/>
      <c r="J12" s="6"/>
    </row>
    <row r="13" spans="1:10" ht="19.5" thickBot="1">
      <c r="A13" s="426"/>
      <c r="B13" s="165" t="s">
        <v>47</v>
      </c>
      <c r="C13" s="166" t="s">
        <v>173</v>
      </c>
      <c r="D13" s="167">
        <v>0</v>
      </c>
      <c r="E13" s="6"/>
      <c r="F13" s="6"/>
      <c r="G13" s="6"/>
      <c r="H13" s="6"/>
      <c r="I13" s="6"/>
      <c r="J13" s="6"/>
    </row>
    <row r="14" spans="1:10" ht="19.5" thickBot="1">
      <c r="A14" s="426"/>
      <c r="B14" s="165" t="s">
        <v>49</v>
      </c>
      <c r="C14" s="166" t="s">
        <v>174</v>
      </c>
      <c r="D14" s="167">
        <v>0</v>
      </c>
      <c r="E14" s="6"/>
      <c r="F14" s="6"/>
      <c r="G14" s="6"/>
      <c r="H14" s="6"/>
      <c r="I14" s="6"/>
      <c r="J14" s="6"/>
    </row>
    <row r="15" spans="1:10" ht="19.5" thickBot="1">
      <c r="A15" s="426"/>
      <c r="B15" s="165" t="s">
        <v>51</v>
      </c>
      <c r="C15" s="166" t="s">
        <v>134</v>
      </c>
      <c r="D15" s="167">
        <v>0</v>
      </c>
      <c r="E15" s="6"/>
      <c r="F15" s="6"/>
      <c r="G15" s="6"/>
      <c r="H15" s="6"/>
      <c r="I15" s="6"/>
      <c r="J15" s="6"/>
    </row>
    <row r="16" spans="1:10" ht="19.5" thickBot="1">
      <c r="A16" s="426"/>
      <c r="B16" s="165" t="s">
        <v>55</v>
      </c>
      <c r="C16" s="166" t="s">
        <v>175</v>
      </c>
      <c r="D16" s="167">
        <v>0</v>
      </c>
      <c r="E16" s="6"/>
      <c r="F16" s="6"/>
      <c r="G16" s="6"/>
      <c r="H16" s="6"/>
      <c r="I16" s="6"/>
      <c r="J16" s="6"/>
    </row>
    <row r="17" spans="1:10" ht="18" customHeight="1" thickBot="1">
      <c r="A17" s="426"/>
      <c r="B17" s="165" t="s">
        <v>56</v>
      </c>
      <c r="C17" s="166" t="s">
        <v>176</v>
      </c>
      <c r="D17" s="167">
        <v>0</v>
      </c>
      <c r="E17" s="6"/>
      <c r="F17" s="6"/>
      <c r="G17" s="6"/>
      <c r="H17" s="6"/>
      <c r="I17" s="6"/>
      <c r="J17" s="6"/>
    </row>
    <row r="18" spans="1:10" ht="18" customHeight="1" thickBot="1">
      <c r="A18" s="426"/>
      <c r="B18" s="165" t="s">
        <v>57</v>
      </c>
      <c r="C18" s="166" t="s">
        <v>134</v>
      </c>
      <c r="D18" s="167">
        <v>0</v>
      </c>
      <c r="E18" s="6"/>
      <c r="F18" s="6"/>
      <c r="G18" s="6"/>
      <c r="H18" s="6"/>
      <c r="I18" s="6"/>
      <c r="J18" s="6"/>
    </row>
    <row r="19" spans="1:10" ht="18" customHeight="1" thickBot="1">
      <c r="A19" s="426"/>
      <c r="B19" s="165" t="s">
        <v>58</v>
      </c>
      <c r="C19" s="166" t="s">
        <v>177</v>
      </c>
      <c r="D19" s="167">
        <v>0</v>
      </c>
      <c r="E19" s="6"/>
      <c r="F19" s="6"/>
      <c r="G19" s="6"/>
      <c r="H19" s="6"/>
      <c r="I19" s="6"/>
      <c r="J19" s="6"/>
    </row>
    <row r="20" spans="1:10" ht="18" customHeight="1" thickBot="1">
      <c r="A20" s="426"/>
      <c r="B20" s="165" t="s">
        <v>61</v>
      </c>
      <c r="C20" s="166" t="s">
        <v>178</v>
      </c>
      <c r="D20" s="167">
        <v>0</v>
      </c>
      <c r="E20" s="6"/>
      <c r="F20" s="6"/>
      <c r="G20" s="6"/>
      <c r="H20" s="6"/>
      <c r="I20" s="6"/>
      <c r="J20" s="6"/>
    </row>
    <row r="21" spans="1:10" ht="18" customHeight="1" thickBot="1">
      <c r="A21" s="427"/>
      <c r="B21" s="165" t="s">
        <v>62</v>
      </c>
      <c r="C21" s="166" t="s">
        <v>134</v>
      </c>
      <c r="D21" s="167">
        <v>0</v>
      </c>
      <c r="E21" s="11"/>
      <c r="F21" s="11"/>
      <c r="G21" s="13"/>
      <c r="H21" s="13"/>
      <c r="I21" s="13"/>
      <c r="J21" s="6"/>
    </row>
    <row r="22" spans="1:10" ht="18" customHeight="1">
      <c r="E22" s="17"/>
      <c r="F22" s="17"/>
      <c r="G22" s="17"/>
      <c r="H22" s="17"/>
      <c r="I22" s="17"/>
      <c r="J22" s="6"/>
    </row>
    <row r="23" spans="1:10" ht="18" customHeight="1">
      <c r="E23" s="17"/>
      <c r="F23" s="17"/>
      <c r="G23" s="17"/>
      <c r="H23" s="17"/>
      <c r="I23" s="17"/>
      <c r="J23" s="6"/>
    </row>
    <row r="24" spans="1:10" ht="18" customHeight="1">
      <c r="E24" s="14"/>
      <c r="F24" s="14"/>
      <c r="G24" s="14"/>
      <c r="H24" s="14"/>
      <c r="I24" s="14"/>
      <c r="J24" s="6"/>
    </row>
    <row r="25" spans="1:10" ht="18" customHeight="1">
      <c r="E25" s="12"/>
      <c r="F25" s="12"/>
      <c r="G25" s="12"/>
      <c r="H25" s="12"/>
      <c r="I25" s="12"/>
      <c r="J25" s="6"/>
    </row>
    <row r="26" spans="1:10" ht="18" customHeight="1">
      <c r="E26" s="12"/>
      <c r="F26" s="12"/>
      <c r="G26" s="12"/>
      <c r="H26" s="12"/>
      <c r="I26" s="12"/>
      <c r="J26" s="6"/>
    </row>
    <row r="27" spans="1:10" ht="18" customHeight="1">
      <c r="E27" s="12"/>
      <c r="F27" s="12"/>
      <c r="G27" s="12"/>
      <c r="H27" s="12"/>
      <c r="I27" s="12"/>
      <c r="J27" s="6"/>
    </row>
    <row r="28" spans="1:10" ht="18" customHeight="1">
      <c r="E28" s="12"/>
      <c r="F28" s="12"/>
      <c r="G28" s="12"/>
      <c r="H28" s="12"/>
      <c r="I28" s="12"/>
      <c r="J28" s="6"/>
    </row>
    <row r="29" spans="1:10" ht="18" customHeight="1">
      <c r="E29" s="12"/>
      <c r="F29" s="12"/>
      <c r="G29" s="12"/>
      <c r="H29" s="12"/>
      <c r="I29" s="12"/>
      <c r="J29" s="6"/>
    </row>
    <row r="30" spans="1:10" ht="18" customHeight="1">
      <c r="E30" s="15"/>
      <c r="F30" s="16"/>
      <c r="G30" s="12"/>
      <c r="H30" s="12"/>
      <c r="I30" s="12"/>
      <c r="J30" s="6"/>
    </row>
    <row r="31" spans="1:10" ht="18" customHeight="1">
      <c r="E31" s="12"/>
      <c r="F31" s="12"/>
      <c r="G31" s="12"/>
      <c r="H31" s="12"/>
      <c r="I31" s="12"/>
      <c r="J31" s="6"/>
    </row>
    <row r="32" spans="1:10" ht="18" customHeight="1">
      <c r="E32" s="15"/>
      <c r="F32" s="12"/>
      <c r="G32" s="12"/>
      <c r="H32" s="12"/>
      <c r="I32" s="12"/>
      <c r="J32" s="6"/>
    </row>
    <row r="33" spans="1:10" ht="18" customHeight="1">
      <c r="E33" s="15"/>
      <c r="F33" s="12"/>
      <c r="G33" s="12"/>
      <c r="H33" s="12"/>
      <c r="I33" s="12"/>
      <c r="J33" s="6"/>
    </row>
    <row r="34" spans="1:10" ht="18" customHeight="1">
      <c r="E34" s="15"/>
      <c r="F34" s="12"/>
      <c r="G34" s="12"/>
      <c r="H34" s="12"/>
      <c r="I34" s="12"/>
      <c r="J34" s="6"/>
    </row>
    <row r="35" spans="1:10" ht="18" customHeight="1">
      <c r="E35" s="15"/>
      <c r="F35" s="12"/>
      <c r="G35" s="12"/>
      <c r="H35" s="12"/>
      <c r="I35" s="12"/>
      <c r="J35" s="6"/>
    </row>
    <row r="36" spans="1:10" ht="18" customHeight="1">
      <c r="E36" s="15"/>
      <c r="F36" s="12"/>
      <c r="G36" s="12"/>
      <c r="H36" s="12"/>
      <c r="I36" s="12"/>
      <c r="J36" s="6"/>
    </row>
    <row r="37" spans="1:10" ht="18" customHeight="1">
      <c r="E37" s="1"/>
      <c r="F37" s="3"/>
      <c r="G37" s="3"/>
      <c r="H37" s="3"/>
      <c r="I37" s="3"/>
      <c r="J37" s="6"/>
    </row>
    <row r="38" spans="1:10">
      <c r="A38" s="7"/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1"/>
      <c r="B39" s="3"/>
      <c r="C39" s="3"/>
      <c r="D39" s="3"/>
      <c r="E39" s="1"/>
      <c r="F39" s="1"/>
      <c r="G39" s="3"/>
      <c r="H39" s="3"/>
      <c r="I39" s="3"/>
      <c r="J39" s="3"/>
    </row>
    <row r="40" spans="1:10">
      <c r="A40" s="1"/>
      <c r="B40" s="3"/>
    </row>
    <row r="41" spans="1:10">
      <c r="A41" s="1"/>
      <c r="B41" s="2"/>
    </row>
    <row r="42" spans="1:10">
      <c r="A42" s="1"/>
      <c r="B42" s="3"/>
    </row>
    <row r="43" spans="1:10">
      <c r="A43" s="1"/>
      <c r="B43" s="3"/>
    </row>
    <row r="44" spans="1:10">
      <c r="A44" s="1"/>
      <c r="B44" s="3"/>
    </row>
    <row r="45" spans="1:10">
      <c r="A45" s="1"/>
      <c r="B45" s="3"/>
    </row>
    <row r="46" spans="1:10">
      <c r="A46" s="1"/>
      <c r="B46" s="3"/>
    </row>
    <row r="47" spans="1:10">
      <c r="A47" s="1"/>
      <c r="B47" s="3"/>
    </row>
    <row r="48" spans="1:10">
      <c r="A48" s="1"/>
      <c r="B48" s="3"/>
    </row>
    <row r="49" spans="1:2">
      <c r="A49" s="1"/>
      <c r="B49" s="3"/>
    </row>
    <row r="50" spans="1:2">
      <c r="A50" s="1"/>
      <c r="B50" s="3"/>
    </row>
    <row r="51" spans="1:2">
      <c r="A51" s="1"/>
      <c r="B51" s="3"/>
    </row>
    <row r="52" spans="1:2">
      <c r="A52" s="1"/>
      <c r="B52" s="1"/>
    </row>
  </sheetData>
  <mergeCells count="2">
    <mergeCell ref="A12:A21"/>
    <mergeCell ref="A2:A1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4"/>
  <sheetViews>
    <sheetView zoomScale="75" zoomScaleNormal="75" workbookViewId="0">
      <selection sqref="A1:B1"/>
    </sheetView>
  </sheetViews>
  <sheetFormatPr defaultRowHeight="12.75"/>
  <cols>
    <col min="1" max="1" width="9.85546875" customWidth="1"/>
    <col min="2" max="2" width="17.42578125" customWidth="1"/>
    <col min="3" max="3" width="13" customWidth="1"/>
    <col min="4" max="4" width="13.7109375" customWidth="1"/>
    <col min="5" max="5" width="19.5703125" customWidth="1"/>
    <col min="6" max="6" width="16.140625" customWidth="1"/>
    <col min="7" max="7" width="14.85546875" customWidth="1"/>
    <col min="8" max="8" width="15.28515625" customWidth="1"/>
    <col min="9" max="9" width="14.7109375" customWidth="1"/>
    <col min="10" max="10" width="14" customWidth="1"/>
    <col min="11" max="11" width="12.7109375" customWidth="1"/>
    <col min="12" max="12" width="10.85546875" customWidth="1"/>
    <col min="13" max="13" width="10.5703125" style="224" customWidth="1"/>
    <col min="14" max="14" width="16.7109375" customWidth="1"/>
    <col min="18" max="18" width="9.28515625" bestFit="1" customWidth="1"/>
    <col min="21" max="21" width="13.7109375" customWidth="1"/>
  </cols>
  <sheetData>
    <row r="1" spans="1:22" ht="26.25" customHeight="1">
      <c r="A1" s="435" t="s">
        <v>19</v>
      </c>
      <c r="B1" s="436"/>
      <c r="C1" s="457" t="s">
        <v>208</v>
      </c>
      <c r="D1" s="457"/>
      <c r="E1" s="444" t="s">
        <v>43</v>
      </c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</row>
    <row r="2" spans="1:22" ht="21.75" customHeight="1">
      <c r="A2" s="265" t="s">
        <v>210</v>
      </c>
      <c r="B2" s="266" t="s">
        <v>207</v>
      </c>
      <c r="C2" s="458"/>
      <c r="D2" s="458"/>
      <c r="E2" s="445"/>
      <c r="F2" s="168"/>
      <c r="G2" s="168"/>
      <c r="H2" s="259" t="s">
        <v>42</v>
      </c>
      <c r="I2" s="260">
        <f>I12+G19+F26+E33</f>
        <v>12071053.412109787</v>
      </c>
      <c r="J2" s="261" t="s">
        <v>24</v>
      </c>
      <c r="K2" s="234"/>
      <c r="L2" s="234"/>
      <c r="M2" s="168"/>
      <c r="N2" s="168"/>
      <c r="O2" s="234"/>
      <c r="P2" s="234"/>
      <c r="Q2" s="234"/>
      <c r="R2" s="234"/>
      <c r="S2" s="168"/>
      <c r="T2" s="234"/>
      <c r="U2" s="234"/>
      <c r="V2" s="234"/>
    </row>
    <row r="3" spans="1:22" ht="32.25" thickBot="1">
      <c r="A3" s="267" t="s">
        <v>211</v>
      </c>
      <c r="B3" s="268" t="s">
        <v>172</v>
      </c>
      <c r="C3" s="459"/>
      <c r="D3" s="459"/>
      <c r="E3" s="446"/>
      <c r="F3" s="168"/>
      <c r="G3" s="168"/>
      <c r="H3" s="262" t="s">
        <v>15</v>
      </c>
      <c r="I3" s="263">
        <f>C6+I13+G20+F27+E34</f>
        <v>5350228.6317378748</v>
      </c>
      <c r="J3" s="264" t="s">
        <v>24</v>
      </c>
      <c r="K3" s="234"/>
      <c r="L3" s="234"/>
      <c r="M3" s="168"/>
      <c r="N3" s="168"/>
      <c r="O3" s="234"/>
      <c r="P3" s="234"/>
      <c r="Q3" s="236"/>
      <c r="R3" s="236"/>
      <c r="S3" s="168"/>
      <c r="T3" s="234"/>
      <c r="U3" s="234"/>
      <c r="V3" s="234"/>
    </row>
    <row r="4" spans="1:22" ht="15.75">
      <c r="A4" s="269" t="s">
        <v>131</v>
      </c>
      <c r="B4" s="270">
        <f>A58</f>
        <v>4689.3967187243043</v>
      </c>
      <c r="C4" s="271">
        <f t="shared" ref="C4:C5" si="0">B4</f>
        <v>4689.3967187243043</v>
      </c>
      <c r="D4" s="272" t="s">
        <v>209</v>
      </c>
      <c r="E4" s="273">
        <v>7028</v>
      </c>
      <c r="F4" s="168"/>
      <c r="G4" s="168"/>
      <c r="H4" s="235"/>
      <c r="I4" s="168"/>
      <c r="J4" s="168"/>
      <c r="K4" s="234"/>
      <c r="L4" s="168"/>
      <c r="M4" s="168"/>
      <c r="N4" s="237">
        <v>8529210</v>
      </c>
      <c r="O4" s="234"/>
      <c r="P4" s="234"/>
      <c r="Q4" s="168"/>
      <c r="R4" s="168"/>
      <c r="S4" s="168"/>
      <c r="T4" s="234"/>
      <c r="U4" s="234"/>
      <c r="V4" s="234"/>
    </row>
    <row r="5" spans="1:22" ht="15" customHeight="1">
      <c r="A5" s="274" t="s">
        <v>157</v>
      </c>
      <c r="B5" s="275">
        <v>0</v>
      </c>
      <c r="C5" s="276">
        <f t="shared" si="0"/>
        <v>0</v>
      </c>
      <c r="D5" s="447" t="s">
        <v>24</v>
      </c>
      <c r="E5" s="448"/>
      <c r="F5" s="168"/>
      <c r="G5" s="168"/>
      <c r="H5" s="256" t="s">
        <v>45</v>
      </c>
      <c r="I5" s="257">
        <f>I2-I3</f>
        <v>6720824.7803719118</v>
      </c>
      <c r="J5" s="258" t="s">
        <v>24</v>
      </c>
      <c r="K5" s="234"/>
      <c r="L5" s="168"/>
      <c r="M5" s="168"/>
      <c r="N5" s="238">
        <f>(N4-I5)/N4*100</f>
        <v>21.202259290462873</v>
      </c>
      <c r="O5" s="234" t="s">
        <v>212</v>
      </c>
      <c r="P5" s="234"/>
      <c r="Q5" s="168"/>
      <c r="R5" s="168"/>
      <c r="S5" s="168"/>
      <c r="T5" s="234"/>
      <c r="U5" s="234"/>
      <c r="V5" s="234"/>
    </row>
    <row r="6" spans="1:22" ht="15" customHeight="1" thickBot="1">
      <c r="A6" s="277" t="s">
        <v>15</v>
      </c>
      <c r="B6" s="278">
        <f>IF(B2='Удельные затраты (на ед.)'!C6,'Удельные затраты (на ед.)'!C29,0)*B4/10</f>
        <v>4934650.6880778596</v>
      </c>
      <c r="C6" s="278">
        <f>B6</f>
        <v>4934650.6880778596</v>
      </c>
      <c r="D6" s="449" t="s">
        <v>24</v>
      </c>
      <c r="E6" s="450"/>
      <c r="F6" s="168"/>
      <c r="G6" s="168"/>
      <c r="H6" s="168"/>
      <c r="I6" s="168"/>
      <c r="J6" s="239"/>
      <c r="K6" s="234"/>
      <c r="L6" s="168"/>
      <c r="M6" s="168"/>
      <c r="N6" s="168"/>
      <c r="O6" s="234"/>
      <c r="P6" s="234"/>
      <c r="Q6" s="168"/>
      <c r="R6" s="168"/>
      <c r="S6" s="168"/>
      <c r="T6" s="234"/>
      <c r="U6" s="234"/>
      <c r="V6" s="234"/>
    </row>
    <row r="7" spans="1:22" ht="16.5" thickBot="1">
      <c r="A7" s="240"/>
      <c r="B7" s="241"/>
      <c r="C7" s="242"/>
      <c r="D7" s="234"/>
      <c r="E7" s="168"/>
      <c r="F7" s="168"/>
      <c r="G7" s="168"/>
      <c r="H7" s="168"/>
      <c r="I7" s="168"/>
      <c r="J7" s="239"/>
      <c r="K7" s="234"/>
      <c r="L7" s="168"/>
      <c r="M7" s="168"/>
      <c r="N7" s="168"/>
      <c r="O7" s="234"/>
      <c r="P7" s="234"/>
      <c r="Q7" s="168"/>
      <c r="R7" s="168"/>
      <c r="S7" s="168"/>
      <c r="T7" s="234"/>
      <c r="U7" s="234"/>
      <c r="V7" s="234"/>
    </row>
    <row r="8" spans="1:22" ht="15.75">
      <c r="A8" s="462" t="s">
        <v>20</v>
      </c>
      <c r="B8" s="463"/>
      <c r="C8" s="463"/>
      <c r="D8" s="463"/>
      <c r="E8" s="463"/>
      <c r="F8" s="463"/>
      <c r="G8" s="463"/>
      <c r="H8" s="463"/>
      <c r="I8" s="451" t="s">
        <v>208</v>
      </c>
      <c r="J8" s="452"/>
      <c r="K8" s="437" t="s">
        <v>43</v>
      </c>
      <c r="L8" s="168"/>
      <c r="M8" s="168"/>
      <c r="N8" s="168"/>
      <c r="O8" s="234"/>
      <c r="P8" s="234"/>
      <c r="Q8" s="168"/>
      <c r="R8" s="168"/>
      <c r="S8" s="168"/>
      <c r="T8" s="234"/>
      <c r="U8" s="234"/>
      <c r="V8" s="234"/>
    </row>
    <row r="9" spans="1:22" ht="15.75">
      <c r="A9" s="279" t="s">
        <v>210</v>
      </c>
      <c r="B9" s="280" t="s">
        <v>186</v>
      </c>
      <c r="C9" s="280" t="s">
        <v>187</v>
      </c>
      <c r="D9" s="280" t="s">
        <v>188</v>
      </c>
      <c r="E9" s="280" t="s">
        <v>189</v>
      </c>
      <c r="F9" s="280" t="s">
        <v>190</v>
      </c>
      <c r="G9" s="280" t="s">
        <v>191</v>
      </c>
      <c r="H9" s="280" t="s">
        <v>192</v>
      </c>
      <c r="I9" s="453"/>
      <c r="J9" s="454"/>
      <c r="K9" s="438"/>
      <c r="L9" s="168"/>
      <c r="M9" s="168"/>
      <c r="N9" s="168"/>
      <c r="O9" s="234"/>
      <c r="P9" s="234"/>
      <c r="Q9" s="234"/>
      <c r="R9" s="234"/>
      <c r="S9" s="234"/>
      <c r="T9" s="234"/>
      <c r="U9" s="234"/>
      <c r="V9" s="234"/>
    </row>
    <row r="10" spans="1:22" s="223" customFormat="1" ht="32.25" thickBot="1">
      <c r="A10" s="281" t="s">
        <v>211</v>
      </c>
      <c r="B10" s="282" t="s">
        <v>173</v>
      </c>
      <c r="C10" s="282" t="s">
        <v>150</v>
      </c>
      <c r="D10" s="282" t="s">
        <v>168</v>
      </c>
      <c r="E10" s="282" t="s">
        <v>174</v>
      </c>
      <c r="F10" s="282" t="s">
        <v>198</v>
      </c>
      <c r="G10" s="282" t="s">
        <v>134</v>
      </c>
      <c r="H10" s="282" t="s">
        <v>145</v>
      </c>
      <c r="I10" s="455"/>
      <c r="J10" s="456"/>
      <c r="K10" s="439"/>
      <c r="L10" s="234"/>
      <c r="M10" s="168"/>
      <c r="N10" s="243"/>
      <c r="O10" s="234"/>
      <c r="P10" s="234"/>
      <c r="Q10" s="234"/>
      <c r="R10" s="234"/>
      <c r="S10" s="234"/>
      <c r="T10" s="234"/>
      <c r="U10" s="234"/>
      <c r="V10" s="234"/>
    </row>
    <row r="11" spans="1:22" s="20" customFormat="1" ht="15.75">
      <c r="A11" s="283" t="s">
        <v>131</v>
      </c>
      <c r="B11" s="284">
        <f t="shared" ref="B11:H11" si="1">B58</f>
        <v>609.62157343416072</v>
      </c>
      <c r="C11" s="284">
        <f t="shared" si="1"/>
        <v>914.82947320005508</v>
      </c>
      <c r="D11" s="284">
        <f t="shared" si="1"/>
        <v>679.96252421502402</v>
      </c>
      <c r="E11" s="284">
        <f t="shared" si="1"/>
        <v>703.40950780864569</v>
      </c>
      <c r="F11" s="284">
        <f t="shared" si="1"/>
        <v>46.893967187243042</v>
      </c>
      <c r="G11" s="284">
        <f t="shared" si="1"/>
        <v>93.787934374486085</v>
      </c>
      <c r="H11" s="284">
        <f t="shared" si="1"/>
        <v>1430.2659992109127</v>
      </c>
      <c r="I11" s="285">
        <f>SUM(B11:H11)</f>
        <v>4478.7709794305274</v>
      </c>
      <c r="J11" s="286" t="s">
        <v>209</v>
      </c>
      <c r="K11" s="287">
        <v>7000</v>
      </c>
      <c r="L11" s="242"/>
      <c r="M11" s="244"/>
      <c r="N11" s="243"/>
      <c r="O11" s="242"/>
      <c r="P11" s="242"/>
      <c r="Q11" s="242"/>
      <c r="R11" s="242"/>
      <c r="S11" s="242"/>
      <c r="T11" s="242"/>
      <c r="U11" s="242"/>
      <c r="V11" s="242"/>
    </row>
    <row r="12" spans="1:22" ht="15.75">
      <c r="A12" s="288" t="s">
        <v>157</v>
      </c>
      <c r="B12" s="289">
        <f>SUMIF('Цена на товарную продукцию'!$C$2:$C$21,B10,'Цена на товарную продукцию'!$D$2:$D$21)/10</f>
        <v>0</v>
      </c>
      <c r="C12" s="289">
        <f>SUMIF('Цена на товарную продукцию'!$C$2:$C$21,C10,'Цена на товарную продукцию'!$D$2:$D$21)/10</f>
        <v>3200</v>
      </c>
      <c r="D12" s="289">
        <f>SUMIF('Цена на товарную продукцию'!$C$2:$C$21,D10,'Цена на товарную продукцию'!$D$2:$D$21)/10</f>
        <v>3200</v>
      </c>
      <c r="E12" s="289">
        <f>SUMIF('Цена на товарную продукцию'!$C$2:$C$21,E10,'Цена на товарную продукцию'!$D$2:$D$21)/10</f>
        <v>0</v>
      </c>
      <c r="F12" s="289">
        <f>SUMIF('Цена на товарную продукцию'!$C$2:$C$21,F10,'Цена на товарную продукцию'!$D$2:$D$21)/10</f>
        <v>2200</v>
      </c>
      <c r="G12" s="289">
        <f>SUMIF('Цена на товарную продукцию'!$C$2:$C$21,G10,'Цена на товарную продукцию'!$D$2:$D$21)/10</f>
        <v>0</v>
      </c>
      <c r="H12" s="289">
        <f>SUMIF('Цена на товарную продукцию'!$C$2:$C$21,H10,'Цена на товарную продукцию'!$D$2:$D$21)/10</f>
        <v>1250</v>
      </c>
      <c r="I12" s="290">
        <f>(SUMPRODUCT(B11:H11,B12:H12)-0.66*C11)</f>
        <v>6993729.8311015163</v>
      </c>
      <c r="J12" s="440" t="s">
        <v>24</v>
      </c>
      <c r="K12" s="441"/>
      <c r="L12" s="234"/>
      <c r="M12" s="168"/>
      <c r="N12" s="243"/>
      <c r="O12" s="234"/>
      <c r="P12" s="234"/>
      <c r="Q12" s="234"/>
      <c r="R12" s="234"/>
      <c r="S12" s="234"/>
      <c r="T12" s="234"/>
      <c r="U12" s="234"/>
      <c r="V12" s="234"/>
    </row>
    <row r="13" spans="1:22" ht="16.5" thickBot="1">
      <c r="A13" s="291" t="s">
        <v>15</v>
      </c>
      <c r="B13" s="292">
        <f>IF(B9='Удельные затраты (на ед.)'!D6,'Удельные затраты (на ед.)'!D29,0)*B11/10</f>
        <v>28742.492810215415</v>
      </c>
      <c r="C13" s="292">
        <f>IF(C9='Удельные затраты (на ед.)'!E6,'Удельные затраты (на ед.)'!E29,0)*C11/10</f>
        <v>43132.462337088786</v>
      </c>
      <c r="D13" s="292">
        <f>IF(D9='Удельные затраты (на ед.)'!F6,'Удельные затраты (на ед.)'!F29,0)*D11/10</f>
        <v>32058.934288317127</v>
      </c>
      <c r="E13" s="292">
        <f>IF(E9='Удельные затраты (на ед.)'!G6,'Удельные затраты (на ед.)'!G29,0)*E11/10</f>
        <v>33164.414781017731</v>
      </c>
      <c r="F13" s="292">
        <f>IF(F9='Удельные затраты (на ед.)'!H6,'Удельные затраты (на ед.)'!H29,0)*F11/10</f>
        <v>2210.9609854011815</v>
      </c>
      <c r="G13" s="292">
        <f>IF(G9='Удельные затраты (на ед.)'!I6,'Удельные затраты (на ед.)'!I29,0)*G11/10</f>
        <v>4421.9219708023629</v>
      </c>
      <c r="H13" s="292">
        <f>IF(H9='Удельные затраты (на ед.)'!J6,'Удельные затраты (на ед.)'!J29,0)*H11/10</f>
        <v>67434.310054736037</v>
      </c>
      <c r="I13" s="293">
        <f>SUM(B13:H13)</f>
        <v>211165.49722757863</v>
      </c>
      <c r="J13" s="442" t="s">
        <v>24</v>
      </c>
      <c r="K13" s="443"/>
      <c r="L13" s="234"/>
      <c r="M13" s="168"/>
      <c r="N13" s="243"/>
      <c r="O13" s="234"/>
      <c r="P13" s="234"/>
      <c r="Q13" s="234"/>
      <c r="R13" s="234"/>
      <c r="S13" s="234"/>
      <c r="T13" s="234"/>
      <c r="U13" s="234"/>
      <c r="V13" s="234"/>
    </row>
    <row r="14" spans="1:22" ht="16.5" thickBot="1">
      <c r="A14" s="168"/>
      <c r="B14" s="460"/>
      <c r="C14" s="461"/>
      <c r="D14" s="461"/>
      <c r="E14" s="461"/>
      <c r="F14" s="461"/>
      <c r="G14" s="461"/>
      <c r="H14" s="461"/>
      <c r="I14" s="242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</row>
    <row r="15" spans="1:22" ht="15.75">
      <c r="A15" s="435" t="s">
        <v>21</v>
      </c>
      <c r="B15" s="436"/>
      <c r="C15" s="436"/>
      <c r="D15" s="436"/>
      <c r="E15" s="436"/>
      <c r="F15" s="436"/>
      <c r="G15" s="464" t="s">
        <v>208</v>
      </c>
      <c r="H15" s="464"/>
      <c r="I15" s="479" t="s">
        <v>43</v>
      </c>
      <c r="J15" s="234"/>
      <c r="K15" s="234"/>
      <c r="L15" s="234"/>
      <c r="M15" s="242"/>
      <c r="N15" s="234"/>
      <c r="O15" s="234"/>
      <c r="P15" s="234"/>
      <c r="Q15" s="234"/>
      <c r="R15" s="234"/>
      <c r="S15" s="234"/>
      <c r="T15" s="234"/>
      <c r="U15" s="234"/>
      <c r="V15" s="234"/>
    </row>
    <row r="16" spans="1:22" ht="15.75">
      <c r="A16" s="294" t="s">
        <v>210</v>
      </c>
      <c r="B16" s="295" t="s">
        <v>193</v>
      </c>
      <c r="C16" s="295" t="s">
        <v>194</v>
      </c>
      <c r="D16" s="295" t="s">
        <v>195</v>
      </c>
      <c r="E16" s="295" t="s">
        <v>196</v>
      </c>
      <c r="F16" s="295" t="s">
        <v>197</v>
      </c>
      <c r="G16" s="465"/>
      <c r="H16" s="465"/>
      <c r="I16" s="480"/>
      <c r="J16" s="234"/>
      <c r="K16" s="234"/>
      <c r="L16" s="234"/>
      <c r="M16" s="242"/>
      <c r="N16" s="242"/>
      <c r="O16" s="234"/>
      <c r="P16" s="234"/>
      <c r="Q16" s="234"/>
      <c r="R16" s="234"/>
      <c r="S16" s="234"/>
      <c r="T16" s="234"/>
      <c r="U16" s="234"/>
      <c r="V16" s="234"/>
    </row>
    <row r="17" spans="1:22" ht="63.75" thickBot="1">
      <c r="A17" s="296" t="s">
        <v>211</v>
      </c>
      <c r="B17" s="297" t="s">
        <v>166</v>
      </c>
      <c r="C17" s="297" t="s">
        <v>169</v>
      </c>
      <c r="D17" s="297" t="s">
        <v>175</v>
      </c>
      <c r="E17" s="297" t="s">
        <v>176</v>
      </c>
      <c r="F17" s="297" t="s">
        <v>134</v>
      </c>
      <c r="G17" s="466"/>
      <c r="H17" s="466"/>
      <c r="I17" s="481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</row>
    <row r="18" spans="1:22" ht="15.75">
      <c r="A18" s="298" t="s">
        <v>131</v>
      </c>
      <c r="B18" s="299">
        <f>I58</f>
        <v>189.92056710833435</v>
      </c>
      <c r="C18" s="299">
        <f>J58</f>
        <v>49.238665546605212</v>
      </c>
      <c r="D18" s="299">
        <f>K58</f>
        <v>267.29561296728542</v>
      </c>
      <c r="E18" s="299">
        <f>L58</f>
        <v>140.68190156172912</v>
      </c>
      <c r="F18" s="299">
        <f>M58</f>
        <v>14.068190156172916</v>
      </c>
      <c r="G18" s="299">
        <f>SUM(B18:F18)</f>
        <v>661.204937340127</v>
      </c>
      <c r="H18" s="300" t="s">
        <v>209</v>
      </c>
      <c r="I18" s="301">
        <v>950</v>
      </c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</row>
    <row r="19" spans="1:22" ht="15.75">
      <c r="A19" s="302" t="s">
        <v>157</v>
      </c>
      <c r="B19" s="303">
        <f>SUMIF('Цена на товарную продукцию'!$C$2:$C$21,B17,'Цена на товарную продукцию'!$D$2:$D$21)/10</f>
        <v>3090</v>
      </c>
      <c r="C19" s="303">
        <f>SUMIF('Цена на товарную продукцию'!$C$2:$C$21,C17,'Цена на товарную продукцию'!$D$2:$D$21)/10</f>
        <v>2200</v>
      </c>
      <c r="D19" s="303">
        <f>SUMIF('Цена на товарную продукцию'!$C$2:$C$21,D17,'Цена на товарную продукцию'!$D$2:$D$21)/10</f>
        <v>0</v>
      </c>
      <c r="E19" s="303">
        <f>SUMIF('Цена на товарную продукцию'!$C$2:$C$21,E17,'Цена на товарную продукцию'!$D$2:$D$21)/10</f>
        <v>0</v>
      </c>
      <c r="F19" s="303">
        <f>SUMIF('Цена на товарную продукцию'!$C$2:$C$21,F17,'Цена на товарную продукцию'!$D$2:$D$21)/10</f>
        <v>0</v>
      </c>
      <c r="G19" s="303">
        <f>SUMPRODUCT(B18:F18,B19:F19)</f>
        <v>695179.61656728457</v>
      </c>
      <c r="H19" s="500" t="s">
        <v>24</v>
      </c>
      <c r="I19" s="501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</row>
    <row r="20" spans="1:22" ht="16.5" thickBot="1">
      <c r="A20" s="304" t="s">
        <v>15</v>
      </c>
      <c r="B20" s="305">
        <f>IF(B16='Удельные затраты (на ед.)'!K6,'Удельные затраты (на ед.)'!K29,0)*B18/10</f>
        <v>26706.822726229024</v>
      </c>
      <c r="C20" s="305">
        <f>IF(C16='Удельные затраты (на ед.)'!L6,'Удельные затраты (на ед.)'!L29,0)*C18/10</f>
        <v>6923.9910771704908</v>
      </c>
      <c r="D20" s="305">
        <f>IF(D16='Удельные затраты (на ед.)'!M6,'Удельные затраты (на ед.)'!M29,0)*D18/10</f>
        <v>37587.380133211227</v>
      </c>
      <c r="E20" s="305">
        <f>IF(E16='Удельные затраты (на ед.)'!N6,'Удельные затраты (на ед.)'!N29,0)*E18/10</f>
        <v>19782.831649058535</v>
      </c>
      <c r="F20" s="305">
        <f>IF(F16='Удельные затраты (на ед.)'!O6,'Удельные затраты (на ед.)'!O29,0)*F18/10</f>
        <v>1978.2831649058539</v>
      </c>
      <c r="G20" s="305">
        <f>SUM(B20:F20)</f>
        <v>92979.308750575117</v>
      </c>
      <c r="H20" s="498" t="s">
        <v>24</v>
      </c>
      <c r="I20" s="499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</row>
    <row r="21" spans="1:22" ht="16.5" thickBot="1">
      <c r="A21" s="234"/>
      <c r="B21" s="168"/>
      <c r="C21" s="239"/>
      <c r="D21" s="168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</row>
    <row r="22" spans="1:22" ht="15.75">
      <c r="A22" s="435" t="s">
        <v>22</v>
      </c>
      <c r="B22" s="436"/>
      <c r="C22" s="436"/>
      <c r="D22" s="436"/>
      <c r="E22" s="436"/>
      <c r="F22" s="482" t="s">
        <v>208</v>
      </c>
      <c r="G22" s="482"/>
      <c r="H22" s="485" t="s">
        <v>43</v>
      </c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</row>
    <row r="23" spans="1:22" ht="15.75">
      <c r="A23" s="306" t="s">
        <v>210</v>
      </c>
      <c r="B23" s="307" t="s">
        <v>200</v>
      </c>
      <c r="C23" s="307" t="s">
        <v>201</v>
      </c>
      <c r="D23" s="307" t="s">
        <v>202</v>
      </c>
      <c r="E23" s="307" t="s">
        <v>203</v>
      </c>
      <c r="F23" s="483"/>
      <c r="G23" s="483"/>
      <c r="H23" s="486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</row>
    <row r="24" spans="1:22" ht="32.25" thickBot="1">
      <c r="A24" s="308" t="s">
        <v>211</v>
      </c>
      <c r="B24" s="309" t="s">
        <v>177</v>
      </c>
      <c r="C24" s="309" t="s">
        <v>199</v>
      </c>
      <c r="D24" s="309" t="s">
        <v>165</v>
      </c>
      <c r="E24" s="309" t="s">
        <v>178</v>
      </c>
      <c r="F24" s="484"/>
      <c r="G24" s="484"/>
      <c r="H24" s="487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</row>
    <row r="25" spans="1:22" ht="15.75">
      <c r="A25" s="310" t="s">
        <v>131</v>
      </c>
      <c r="B25" s="311">
        <f>N58</f>
        <v>68.887237798059985</v>
      </c>
      <c r="C25" s="311">
        <f>O58</f>
        <v>18.288647203024802</v>
      </c>
      <c r="D25" s="311">
        <f>P58</f>
        <v>493.79347448166754</v>
      </c>
      <c r="E25" s="311">
        <f>Q58</f>
        <v>18.28864720302477</v>
      </c>
      <c r="F25" s="311">
        <f>SUM(B25:E25)</f>
        <v>599.2580066857771</v>
      </c>
      <c r="G25" s="312" t="s">
        <v>209</v>
      </c>
      <c r="H25" s="313">
        <v>910</v>
      </c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</row>
    <row r="26" spans="1:22" ht="15.75">
      <c r="A26" s="314" t="s">
        <v>157</v>
      </c>
      <c r="B26" s="315">
        <f>SUMIF('Цена на товарную продукцию'!$C$2:$C$21,B24,'Цена на товарную продукцию'!$D$2:$D$21)/10</f>
        <v>0</v>
      </c>
      <c r="C26" s="315">
        <f>SUMIF('Цена на товарную продукцию'!$C$2:$C$21,C24,'Цена на товарную продукцию'!$D$2:$D$21)/10</f>
        <v>2200</v>
      </c>
      <c r="D26" s="315">
        <f>SUMIF('Цена на товарную продукцию'!$C$2:$C$21,D24,'Цена на товарную продукцию'!$D$2:$D$21)/10</f>
        <v>3220</v>
      </c>
      <c r="E26" s="315">
        <f>SUMIF('Цена на товарную продукцию'!$C$2:$C$21,E24,'Цена на товарную продукцию'!$D$2:$D$21)/10</f>
        <v>0</v>
      </c>
      <c r="F26" s="315">
        <f>SUMPRODUCT(B25:E25,B26:E26)</f>
        <v>1630250.011677624</v>
      </c>
      <c r="G26" s="496" t="s">
        <v>24</v>
      </c>
      <c r="H26" s="497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</row>
    <row r="27" spans="1:22" ht="16.5" thickBot="1">
      <c r="A27" s="316" t="s">
        <v>15</v>
      </c>
      <c r="B27" s="317">
        <f>IF(B23='Удельные затраты (на ед.)'!P6,'Удельные затраты (на ед.)'!P29,0)*B25/10</f>
        <v>6962.8399722763588</v>
      </c>
      <c r="C27" s="317">
        <f>IF(C23='Удельные затраты (на ед.)'!Q6,'Удельные затраты (на ед.)'!Q29,0)*C25/10</f>
        <v>1848.5415855600979</v>
      </c>
      <c r="D27" s="317">
        <f>IF(D23='Удельные затраты (на ед.)'!R6,'Удельные затраты (на ед.)'!R29,0)*D25/10</f>
        <v>49910.622810122426</v>
      </c>
      <c r="E27" s="317">
        <f>IF(E23='Удельные затраты (на ед.)'!S6,'Удельные затраты (на ед.)'!S29,0)*E25/10</f>
        <v>1848.5415855600945</v>
      </c>
      <c r="F27" s="317">
        <f>SUM(B27:E27)</f>
        <v>60570.54595351898</v>
      </c>
      <c r="G27" s="494" t="s">
        <v>24</v>
      </c>
      <c r="H27" s="495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</row>
    <row r="28" spans="1:22" ht="16.5" thickBot="1">
      <c r="A28" s="234"/>
      <c r="B28" s="234"/>
      <c r="C28" s="234"/>
      <c r="D28" s="234"/>
      <c r="E28" s="234"/>
      <c r="F28" s="234"/>
      <c r="G28" s="234"/>
      <c r="H28" s="234"/>
      <c r="I28" s="234"/>
      <c r="J28" s="239"/>
      <c r="K28" s="239"/>
      <c r="L28" s="239"/>
      <c r="M28" s="234"/>
      <c r="N28" s="234"/>
      <c r="O28" s="234"/>
      <c r="P28" s="234"/>
      <c r="Q28" s="234"/>
      <c r="R28" s="234"/>
      <c r="S28" s="234"/>
      <c r="T28" s="234"/>
      <c r="U28" s="234"/>
      <c r="V28" s="234"/>
    </row>
    <row r="29" spans="1:22" ht="15.75">
      <c r="A29" s="435" t="s">
        <v>23</v>
      </c>
      <c r="B29" s="436"/>
      <c r="C29" s="436"/>
      <c r="D29" s="436"/>
      <c r="E29" s="488" t="s">
        <v>208</v>
      </c>
      <c r="F29" s="488"/>
      <c r="G29" s="491" t="s">
        <v>43</v>
      </c>
      <c r="H29" s="234"/>
      <c r="I29" s="234"/>
      <c r="J29" s="239"/>
      <c r="K29" s="239"/>
      <c r="L29" s="239"/>
      <c r="M29" s="234"/>
      <c r="N29" s="234"/>
      <c r="O29" s="234"/>
      <c r="P29" s="234"/>
      <c r="Q29" s="234"/>
      <c r="R29" s="234"/>
      <c r="S29" s="234"/>
      <c r="T29" s="234"/>
      <c r="U29" s="234"/>
      <c r="V29" s="234"/>
    </row>
    <row r="30" spans="1:22" ht="15.75">
      <c r="A30" s="318" t="s">
        <v>210</v>
      </c>
      <c r="B30" s="319" t="s">
        <v>204</v>
      </c>
      <c r="C30" s="319" t="s">
        <v>205</v>
      </c>
      <c r="D30" s="319" t="s">
        <v>206</v>
      </c>
      <c r="E30" s="489"/>
      <c r="F30" s="489"/>
      <c r="G30" s="492"/>
      <c r="H30" s="234"/>
      <c r="I30" s="234"/>
      <c r="J30" s="407"/>
      <c r="K30" s="407"/>
      <c r="L30" s="408"/>
      <c r="M30" s="407"/>
      <c r="N30" s="407"/>
      <c r="O30" s="234"/>
      <c r="P30" s="234"/>
      <c r="Q30" s="234"/>
      <c r="R30" s="234"/>
      <c r="S30" s="234"/>
      <c r="T30" s="234"/>
      <c r="U30" s="234"/>
      <c r="V30" s="234"/>
    </row>
    <row r="31" spans="1:22" ht="32.25" thickBot="1">
      <c r="A31" s="320" t="s">
        <v>211</v>
      </c>
      <c r="B31" s="321" t="s">
        <v>167</v>
      </c>
      <c r="C31" s="321" t="s">
        <v>134</v>
      </c>
      <c r="D31" s="321" t="s">
        <v>170</v>
      </c>
      <c r="E31" s="490"/>
      <c r="F31" s="490"/>
      <c r="G31" s="493"/>
      <c r="H31" s="234"/>
      <c r="I31" s="234"/>
      <c r="J31" s="407"/>
      <c r="K31" s="407"/>
      <c r="L31" s="407"/>
      <c r="M31" s="407"/>
      <c r="N31" s="407"/>
      <c r="O31" s="234"/>
      <c r="P31" s="234"/>
      <c r="Q31" s="234"/>
      <c r="R31" s="234"/>
      <c r="S31" s="234"/>
      <c r="T31" s="234"/>
      <c r="U31" s="234"/>
      <c r="V31" s="234"/>
    </row>
    <row r="32" spans="1:22" ht="15.75">
      <c r="A32" s="322" t="s">
        <v>131</v>
      </c>
      <c r="B32" s="323">
        <f>R58</f>
        <v>868.02679138292547</v>
      </c>
      <c r="C32" s="323">
        <f>S58</f>
        <v>4.4468585624121557</v>
      </c>
      <c r="D32" s="323">
        <f>T58</f>
        <v>8.0043454123395037</v>
      </c>
      <c r="E32" s="323">
        <f>SUM(B32:D32)</f>
        <v>880.47799535767706</v>
      </c>
      <c r="F32" s="324" t="s">
        <v>209</v>
      </c>
      <c r="G32" s="325">
        <v>1450</v>
      </c>
      <c r="H32" s="234"/>
      <c r="I32" s="234"/>
      <c r="J32" s="407"/>
      <c r="K32" s="407"/>
      <c r="L32" s="407"/>
      <c r="M32" s="407"/>
      <c r="N32" s="407"/>
      <c r="O32" s="234"/>
      <c r="P32" s="234"/>
      <c r="Q32" s="234"/>
      <c r="R32" s="234"/>
      <c r="S32" s="234"/>
      <c r="T32" s="234"/>
      <c r="U32" s="234"/>
      <c r="V32" s="234"/>
    </row>
    <row r="33" spans="1:22" ht="15.75">
      <c r="A33" s="326" t="s">
        <v>157</v>
      </c>
      <c r="B33" s="327">
        <f>SUMIF('Цена на товарную продукцию'!$C$2:$C$21,B31,'Цена на товарную продукцию'!$D$2:$D$21)/10</f>
        <v>3150</v>
      </c>
      <c r="C33" s="327">
        <f>SUMIF('Цена на товарную продукцию'!$C$2:$C$21,C31,'Цена на товарную продукцию'!$D$2:$D$21)/10</f>
        <v>0</v>
      </c>
      <c r="D33" s="327">
        <f>SUMIF('Цена на товарную продукцию'!$C$2:$C$21,D31,'Цена на товарную продукцию'!$D$2:$D$21)/10</f>
        <v>2200</v>
      </c>
      <c r="E33" s="327">
        <f>SUMPRODUCT(B32:D32,B33:D33)</f>
        <v>2751893.9527633619</v>
      </c>
      <c r="F33" s="469" t="s">
        <v>24</v>
      </c>
      <c r="G33" s="470"/>
      <c r="H33" s="234"/>
      <c r="I33" s="234"/>
      <c r="J33" s="407"/>
      <c r="K33" s="407" t="s">
        <v>213</v>
      </c>
      <c r="L33" s="407">
        <v>0.7</v>
      </c>
      <c r="M33" s="407"/>
      <c r="N33" s="407"/>
      <c r="O33" s="234"/>
      <c r="P33" s="234"/>
      <c r="Q33" s="234"/>
      <c r="R33" s="234"/>
      <c r="S33" s="234"/>
      <c r="T33" s="234"/>
      <c r="U33" s="234"/>
      <c r="V33" s="234"/>
    </row>
    <row r="34" spans="1:22" ht="16.5" thickBot="1">
      <c r="A34" s="328" t="s">
        <v>15</v>
      </c>
      <c r="B34" s="329">
        <f>IF(B30='Удельные затраты (на ед.)'!T6,'Удельные затраты (на ед.)'!T29,0)*B32/10</f>
        <v>50143.322754406872</v>
      </c>
      <c r="C34" s="329">
        <f>IF(C30='Удельные затраты (на ед.)'!U6,'Удельные затраты (на ед.)'!U29,0)*C32/10</f>
        <v>256.8817764057514</v>
      </c>
      <c r="D34" s="329">
        <f>IF(D30='Удельные затраты (на ед.)'!V6,'Удельные затраты (на ед.)'!V29,0)*D32/10</f>
        <v>462.38719753021525</v>
      </c>
      <c r="E34" s="329">
        <f>SUM(B34:D34)</f>
        <v>50862.591728342843</v>
      </c>
      <c r="F34" s="467" t="s">
        <v>24</v>
      </c>
      <c r="G34" s="468"/>
      <c r="H34" s="234"/>
      <c r="I34" s="234"/>
      <c r="J34" s="407"/>
      <c r="K34" s="407" t="s">
        <v>214</v>
      </c>
      <c r="L34" s="408">
        <f>IF(L33=0,0,NORMSINV(L33))</f>
        <v>0.52440051270804044</v>
      </c>
      <c r="M34" s="407"/>
      <c r="N34" s="407"/>
      <c r="O34" s="234"/>
      <c r="P34" s="234"/>
      <c r="Q34" s="234"/>
      <c r="R34" s="234"/>
      <c r="S34" s="234"/>
      <c r="T34" s="234"/>
      <c r="U34" s="234"/>
      <c r="V34" s="234"/>
    </row>
    <row r="35" spans="1:22" ht="15.75">
      <c r="A35" s="390"/>
      <c r="B35" s="391"/>
      <c r="C35" s="391"/>
      <c r="D35" s="391"/>
      <c r="E35" s="391"/>
      <c r="F35" s="392"/>
      <c r="G35" s="392"/>
      <c r="H35" s="234"/>
      <c r="I35" s="234"/>
      <c r="J35" s="234"/>
      <c r="K35" s="239"/>
      <c r="L35" s="389"/>
      <c r="M35" s="234"/>
      <c r="N35" s="234"/>
      <c r="O35" s="234"/>
      <c r="P35" s="234"/>
      <c r="Q35" s="234"/>
      <c r="R35" s="234"/>
      <c r="S35" s="234"/>
      <c r="T35" s="234"/>
      <c r="U35" s="234"/>
      <c r="V35" s="234"/>
    </row>
    <row r="36" spans="1:22" ht="16.5" thickBot="1">
      <c r="A36" s="390"/>
      <c r="B36" s="391"/>
      <c r="C36" s="391"/>
      <c r="D36" s="391"/>
      <c r="E36" s="391"/>
      <c r="F36" s="392"/>
      <c r="G36" s="392"/>
      <c r="H36" s="234"/>
      <c r="I36" s="234"/>
      <c r="J36" s="234"/>
      <c r="K36" s="239"/>
      <c r="L36" s="389"/>
      <c r="M36" s="234"/>
      <c r="N36" s="234"/>
      <c r="O36" s="234"/>
      <c r="P36" s="234"/>
      <c r="Q36" s="234"/>
      <c r="R36" s="234"/>
      <c r="S36" s="234"/>
      <c r="T36" s="234"/>
      <c r="U36" s="234"/>
      <c r="V36" s="234"/>
    </row>
    <row r="37" spans="1:22" ht="16.5" thickBot="1">
      <c r="A37" s="476" t="s">
        <v>243</v>
      </c>
      <c r="B37" s="477"/>
      <c r="C37" s="477"/>
      <c r="D37" s="477"/>
      <c r="E37" s="477"/>
      <c r="F37" s="477"/>
      <c r="G37" s="477"/>
      <c r="H37" s="477"/>
      <c r="I37" s="477"/>
      <c r="J37" s="477"/>
      <c r="K37" s="477"/>
      <c r="L37" s="477"/>
      <c r="M37" s="478"/>
      <c r="N37" s="234"/>
      <c r="O37" s="234"/>
      <c r="P37" s="234"/>
      <c r="Q37" s="234"/>
      <c r="R37" s="234"/>
      <c r="S37" s="234"/>
      <c r="T37" s="234"/>
      <c r="U37" s="234"/>
      <c r="V37" s="234"/>
    </row>
    <row r="38" spans="1:22" s="401" customFormat="1" ht="16.5" thickBot="1">
      <c r="A38" s="433" t="s">
        <v>239</v>
      </c>
      <c r="B38" s="434"/>
      <c r="C38" s="434"/>
      <c r="D38" s="434"/>
      <c r="E38" s="403">
        <v>0.72499999999999998</v>
      </c>
      <c r="F38" s="400"/>
      <c r="G38" s="433" t="s">
        <v>240</v>
      </c>
      <c r="H38" s="434"/>
      <c r="I38" s="434"/>
      <c r="J38" s="434"/>
      <c r="K38" s="404">
        <f>IF(E38=0,0,NORMSINV(E38))</f>
        <v>0.5977601260424783</v>
      </c>
      <c r="L38" s="405"/>
      <c r="M38" s="406"/>
      <c r="N38" s="400"/>
      <c r="O38" s="400"/>
      <c r="P38" s="400"/>
      <c r="Q38" s="400"/>
      <c r="R38" s="400"/>
      <c r="S38" s="400"/>
      <c r="T38" s="400"/>
      <c r="U38" s="400"/>
      <c r="V38" s="400"/>
    </row>
    <row r="39" spans="1:22" ht="52.5" customHeight="1" thickBot="1">
      <c r="A39" s="429" t="s">
        <v>237</v>
      </c>
      <c r="B39" s="474" t="s">
        <v>211</v>
      </c>
      <c r="C39" s="472" t="s">
        <v>235</v>
      </c>
      <c r="D39" s="472"/>
      <c r="E39" s="472"/>
      <c r="F39" s="473" t="s">
        <v>236</v>
      </c>
      <c r="G39" s="471" t="s">
        <v>242</v>
      </c>
      <c r="H39" s="471"/>
      <c r="I39" s="471"/>
      <c r="J39" s="429" t="s">
        <v>217</v>
      </c>
      <c r="K39" s="399" t="s">
        <v>238</v>
      </c>
      <c r="L39" s="429" t="s">
        <v>219</v>
      </c>
      <c r="M39" s="431" t="s">
        <v>241</v>
      </c>
      <c r="N39" s="234"/>
      <c r="O39" s="234"/>
      <c r="P39" s="234"/>
      <c r="Q39" s="234"/>
      <c r="R39" s="234"/>
      <c r="S39" s="234"/>
      <c r="T39" s="234"/>
      <c r="U39" s="234"/>
      <c r="V39" s="234"/>
    </row>
    <row r="40" spans="1:22" s="225" customFormat="1" ht="23.25" customHeight="1">
      <c r="A40" s="430"/>
      <c r="B40" s="475"/>
      <c r="C40" s="396" t="s">
        <v>125</v>
      </c>
      <c r="D40" s="396" t="s">
        <v>122</v>
      </c>
      <c r="E40" s="396" t="s">
        <v>215</v>
      </c>
      <c r="F40" s="430"/>
      <c r="G40" s="394" t="s">
        <v>126</v>
      </c>
      <c r="H40" s="394" t="s">
        <v>121</v>
      </c>
      <c r="I40" s="394" t="s">
        <v>216</v>
      </c>
      <c r="J40" s="430"/>
      <c r="K40" s="398" t="s">
        <v>218</v>
      </c>
      <c r="L40" s="430"/>
      <c r="M40" s="432"/>
      <c r="N40" s="234"/>
      <c r="O40" s="234"/>
      <c r="P40" s="236"/>
      <c r="Q40" s="234"/>
      <c r="R40" s="234"/>
      <c r="S40" s="234"/>
      <c r="T40" s="234"/>
      <c r="U40" s="234"/>
      <c r="V40" s="234"/>
    </row>
    <row r="41" spans="1:22" ht="15.75">
      <c r="A41" s="176">
        <v>0</v>
      </c>
      <c r="B41" s="393" t="s">
        <v>95</v>
      </c>
      <c r="C41" s="397">
        <f>Лист1!V4</f>
        <v>4731.9845799437981</v>
      </c>
      <c r="D41" s="397">
        <f t="shared" ref="D41:D55" si="2">H41-H41/16</f>
        <v>293.05935018300585</v>
      </c>
      <c r="E41" s="397">
        <f>D41*D41</f>
        <v>85883.782729685656</v>
      </c>
      <c r="F41" s="71" t="s">
        <v>44</v>
      </c>
      <c r="G41" s="395">
        <f>Лист5!A74</f>
        <v>6996.1770108143337</v>
      </c>
      <c r="H41" s="395">
        <f>Лист5!A75</f>
        <v>312.59664019520625</v>
      </c>
      <c r="I41" s="395">
        <f>H41*H41</f>
        <v>97716.659461331234</v>
      </c>
      <c r="J41" s="230">
        <f t="shared" ref="J41:J55" si="3">POWER(I41+E41,1/2)</f>
        <v>428.48622170498891</v>
      </c>
      <c r="K41" s="230">
        <f t="shared" ref="K41:K46" si="4">J41*$L$34</f>
        <v>224.69839435042726</v>
      </c>
      <c r="L41" s="230">
        <f t="shared" ref="L41:L55" si="5">C41+K41</f>
        <v>4956.6829742942255</v>
      </c>
      <c r="M41" s="402">
        <f>K41/L41*100</f>
        <v>4.5332411920579148</v>
      </c>
      <c r="N41" s="234"/>
      <c r="O41" s="234"/>
      <c r="P41" s="234"/>
      <c r="Q41" s="234"/>
      <c r="R41" s="234"/>
      <c r="S41" s="234"/>
      <c r="T41" s="234"/>
      <c r="U41" s="234"/>
      <c r="V41" s="234"/>
    </row>
    <row r="42" spans="1:22" ht="47.25">
      <c r="A42" s="176">
        <v>1</v>
      </c>
      <c r="B42" s="393" t="s">
        <v>3</v>
      </c>
      <c r="C42" s="397">
        <f>Лист1!V8</f>
        <v>1009.5783186683773</v>
      </c>
      <c r="D42" s="397">
        <f t="shared" si="2"/>
        <v>377.3324157394286</v>
      </c>
      <c r="E42" s="397">
        <f>D42*D42</f>
        <v>142379.75196775299</v>
      </c>
      <c r="F42" s="71" t="s">
        <v>44</v>
      </c>
      <c r="G42" s="395">
        <f>Лист5!B74</f>
        <v>1298.8916877858476</v>
      </c>
      <c r="H42" s="395">
        <f>Лист5!B75</f>
        <v>402.4879101220572</v>
      </c>
      <c r="I42" s="395">
        <f>H42*H42</f>
        <v>161996.5177944212</v>
      </c>
      <c r="J42" s="230">
        <f t="shared" si="3"/>
        <v>551.70306303497557</v>
      </c>
      <c r="K42" s="230">
        <f t="shared" si="4"/>
        <v>289.31336911813753</v>
      </c>
      <c r="L42" s="230">
        <f t="shared" si="5"/>
        <v>1298.8916877865149</v>
      </c>
      <c r="M42" s="402">
        <f t="shared" ref="M42:M55" si="6">K42/L42*100</f>
        <v>22.27386408262926</v>
      </c>
      <c r="N42" s="234"/>
      <c r="O42" s="234"/>
      <c r="P42" s="234"/>
      <c r="Q42" s="234"/>
      <c r="R42" s="234"/>
      <c r="S42" s="234"/>
      <c r="T42" s="234"/>
      <c r="U42" s="234"/>
      <c r="V42" s="234"/>
    </row>
    <row r="43" spans="1:22" ht="15.75">
      <c r="A43" s="176">
        <v>2</v>
      </c>
      <c r="B43" s="393" t="s">
        <v>4</v>
      </c>
      <c r="C43" s="397">
        <f>Лист1!V12</f>
        <v>307.27107803841153</v>
      </c>
      <c r="D43" s="397">
        <f t="shared" si="2"/>
        <v>70.556865243710007</v>
      </c>
      <c r="E43" s="397">
        <f>D43*D43</f>
        <v>4978.2712330190534</v>
      </c>
      <c r="F43" s="71" t="s">
        <v>44</v>
      </c>
      <c r="G43" s="395">
        <f>Лист5!C74</f>
        <v>376.27992044933006</v>
      </c>
      <c r="H43" s="395">
        <f>Лист5!C75</f>
        <v>75.260656259957344</v>
      </c>
      <c r="I43" s="395">
        <f>H43*H43</f>
        <v>5664.1663806794568</v>
      </c>
      <c r="J43" s="230">
        <f t="shared" si="3"/>
        <v>103.16219081474816</v>
      </c>
      <c r="K43" s="230">
        <f t="shared" si="4"/>
        <v>54.098305755338636</v>
      </c>
      <c r="L43" s="230">
        <f t="shared" si="5"/>
        <v>361.36938379375016</v>
      </c>
      <c r="M43" s="402">
        <f t="shared" si="6"/>
        <v>14.970362233623804</v>
      </c>
      <c r="N43" s="234"/>
      <c r="O43" s="234"/>
      <c r="P43" s="234"/>
      <c r="Q43" s="234"/>
      <c r="R43" s="234"/>
      <c r="S43" s="234"/>
      <c r="T43" s="234"/>
      <c r="U43" s="234"/>
      <c r="V43" s="234"/>
    </row>
    <row r="44" spans="1:22" ht="15.75">
      <c r="A44" s="176">
        <v>3</v>
      </c>
      <c r="B44" s="393" t="s">
        <v>11</v>
      </c>
      <c r="C44" s="397">
        <f>Лист1!V16</f>
        <v>25519.824914343269</v>
      </c>
      <c r="D44" s="397">
        <f t="shared" si="2"/>
        <v>1395.0397414466202</v>
      </c>
      <c r="E44" s="397">
        <f>D44*D44</f>
        <v>1946135.8802154528</v>
      </c>
      <c r="F44" s="71" t="s">
        <v>44</v>
      </c>
      <c r="G44" s="395">
        <f>Лист5!D74</f>
        <v>34820.739816376161</v>
      </c>
      <c r="H44" s="395">
        <f>Лист5!D75</f>
        <v>1488.0423908763948</v>
      </c>
      <c r="I44" s="395">
        <f>H44*H44</f>
        <v>2214270.1570451376</v>
      </c>
      <c r="J44" s="230">
        <f t="shared" si="3"/>
        <v>2039.7073410812127</v>
      </c>
      <c r="K44" s="230">
        <f t="shared" si="4"/>
        <v>1069.623575437342</v>
      </c>
      <c r="L44" s="230">
        <f t="shared" si="5"/>
        <v>26589.448489780611</v>
      </c>
      <c r="M44" s="402">
        <f t="shared" si="6"/>
        <v>4.0227369734593825</v>
      </c>
      <c r="N44" s="234"/>
      <c r="O44" s="234"/>
      <c r="P44" s="234"/>
      <c r="Q44" s="234"/>
      <c r="R44" s="234"/>
      <c r="S44" s="234"/>
      <c r="T44" s="234"/>
      <c r="U44" s="234"/>
      <c r="V44" s="234"/>
    </row>
    <row r="45" spans="1:22" ht="31.5">
      <c r="A45" s="176">
        <v>4</v>
      </c>
      <c r="B45" s="393" t="s">
        <v>12</v>
      </c>
      <c r="C45" s="397">
        <f>Лист1!V20</f>
        <v>46001.594254605567</v>
      </c>
      <c r="D45" s="397">
        <f t="shared" si="2"/>
        <v>692.37664474182463</v>
      </c>
      <c r="E45" s="397">
        <f t="shared" ref="E45:E55" si="7">D45*D45</f>
        <v>479385.41818394687</v>
      </c>
      <c r="F45" s="71" t="s">
        <v>44</v>
      </c>
      <c r="G45" s="395">
        <f>Лист5!E74</f>
        <v>63685.044434014009</v>
      </c>
      <c r="H45" s="395">
        <f>Лист5!E75</f>
        <v>738.53508772461294</v>
      </c>
      <c r="I45" s="395">
        <f t="shared" ref="I45:I55" si="8">H45*H45</f>
        <v>545434.07580040174</v>
      </c>
      <c r="J45" s="230">
        <f t="shared" si="3"/>
        <v>1012.3336870737576</v>
      </c>
      <c r="K45" s="230">
        <f t="shared" si="4"/>
        <v>530.86830453309949</v>
      </c>
      <c r="L45" s="230">
        <f t="shared" si="5"/>
        <v>46532.462559138665</v>
      </c>
      <c r="M45" s="402">
        <f t="shared" si="6"/>
        <v>1.1408558140640259</v>
      </c>
      <c r="N45" s="234"/>
      <c r="O45" s="234"/>
      <c r="P45" s="234"/>
      <c r="Q45" s="234"/>
      <c r="R45" s="234"/>
      <c r="S45" s="234"/>
      <c r="T45" s="234"/>
      <c r="U45" s="234"/>
      <c r="V45" s="234"/>
    </row>
    <row r="46" spans="1:22" ht="31.5">
      <c r="A46" s="176">
        <v>5</v>
      </c>
      <c r="B46" s="393" t="s">
        <v>13</v>
      </c>
      <c r="C46" s="397">
        <f>Лист1!V24</f>
        <v>11977.957906762602</v>
      </c>
      <c r="D46" s="397">
        <f t="shared" si="2"/>
        <v>1411.5770694005828</v>
      </c>
      <c r="E46" s="397">
        <f t="shared" si="7"/>
        <v>1992549.8228575378</v>
      </c>
      <c r="F46" s="71" t="s">
        <v>44</v>
      </c>
      <c r="G46" s="395">
        <f>Лист5!F74</f>
        <v>15922.309678545209</v>
      </c>
      <c r="H46" s="395">
        <f>Лист5!F75</f>
        <v>1505.6822073606215</v>
      </c>
      <c r="I46" s="395">
        <f t="shared" si="8"/>
        <v>2267078.9095623535</v>
      </c>
      <c r="J46" s="230">
        <f t="shared" si="3"/>
        <v>2063.8868022301735</v>
      </c>
      <c r="K46" s="230">
        <f t="shared" si="4"/>
        <v>1082.303297260861</v>
      </c>
      <c r="L46" s="230">
        <f t="shared" si="5"/>
        <v>13060.261204023464</v>
      </c>
      <c r="M46" s="402">
        <f t="shared" si="6"/>
        <v>8.2869957985789497</v>
      </c>
      <c r="N46" s="234"/>
      <c r="O46" s="234"/>
      <c r="P46" s="234"/>
      <c r="Q46" s="234"/>
      <c r="R46" s="234"/>
      <c r="S46" s="234"/>
      <c r="T46" s="234"/>
      <c r="U46" s="234"/>
      <c r="V46" s="234"/>
    </row>
    <row r="47" spans="1:22" ht="15.75">
      <c r="A47" s="176">
        <v>6</v>
      </c>
      <c r="B47" s="393" t="s">
        <v>5</v>
      </c>
      <c r="C47" s="397">
        <f>Лист1!V28</f>
        <v>67764.431829265886</v>
      </c>
      <c r="D47" s="397">
        <f t="shared" si="2"/>
        <v>1801.706107164583</v>
      </c>
      <c r="E47" s="397">
        <f t="shared" si="7"/>
        <v>3246144.896594156</v>
      </c>
      <c r="F47" s="71" t="s">
        <v>44</v>
      </c>
      <c r="G47" s="395">
        <f>Лист5!G74</f>
        <v>95076.517010559473</v>
      </c>
      <c r="H47" s="395">
        <f>Лист5!G75</f>
        <v>1921.8198476422219</v>
      </c>
      <c r="I47" s="395">
        <f t="shared" si="8"/>
        <v>3693391.526791573</v>
      </c>
      <c r="J47" s="230">
        <f t="shared" si="3"/>
        <v>2634.2999873563622</v>
      </c>
      <c r="K47" s="230">
        <f t="shared" ref="K47:K55" si="9">J47*$L$34</f>
        <v>1381.4282639964608</v>
      </c>
      <c r="L47" s="230">
        <f t="shared" si="5"/>
        <v>69145.860093262352</v>
      </c>
      <c r="M47" s="402">
        <f t="shared" si="6"/>
        <v>1.9978466709839489</v>
      </c>
      <c r="N47" s="234"/>
      <c r="O47" s="234"/>
      <c r="P47" s="234"/>
      <c r="Q47" s="234"/>
      <c r="R47" s="234"/>
      <c r="S47" s="234"/>
      <c r="T47" s="234"/>
      <c r="U47" s="234"/>
      <c r="V47" s="234"/>
    </row>
    <row r="48" spans="1:22" ht="31.5">
      <c r="A48" s="176">
        <v>7</v>
      </c>
      <c r="B48" s="393" t="s">
        <v>2</v>
      </c>
      <c r="C48" s="397">
        <f>Лист1!V32</f>
        <v>144.78981308733162</v>
      </c>
      <c r="D48" s="397">
        <f t="shared" si="2"/>
        <v>4.000872880475062</v>
      </c>
      <c r="E48" s="397">
        <f t="shared" si="7"/>
        <v>16.006983805720818</v>
      </c>
      <c r="F48" s="71" t="s">
        <v>44</v>
      </c>
      <c r="G48" s="395">
        <f>Лист5!H74</f>
        <v>204.20648788752928</v>
      </c>
      <c r="H48" s="395">
        <f>Лист5!H75</f>
        <v>4.2675977391733992</v>
      </c>
      <c r="I48" s="395">
        <f t="shared" si="8"/>
        <v>18.212390463397909</v>
      </c>
      <c r="J48" s="230">
        <f t="shared" si="3"/>
        <v>5.8497328374139217</v>
      </c>
      <c r="K48" s="230">
        <f t="shared" si="9"/>
        <v>3.0676028991449207</v>
      </c>
      <c r="L48" s="230">
        <f t="shared" si="5"/>
        <v>147.85741598647655</v>
      </c>
      <c r="M48" s="402">
        <f t="shared" si="6"/>
        <v>2.0747034422848918</v>
      </c>
      <c r="N48" s="234"/>
      <c r="O48" s="234"/>
      <c r="P48" s="234"/>
      <c r="Q48" s="234"/>
      <c r="R48" s="234"/>
      <c r="S48" s="234"/>
      <c r="T48" s="234"/>
      <c r="U48" s="234"/>
      <c r="V48" s="234"/>
    </row>
    <row r="49" spans="1:22" ht="47.25">
      <c r="A49" s="176">
        <v>8</v>
      </c>
      <c r="B49" s="393" t="s">
        <v>94</v>
      </c>
      <c r="C49" s="397">
        <f>Лист1!V36</f>
        <v>56.880088421363084</v>
      </c>
      <c r="D49" s="397">
        <f t="shared" si="2"/>
        <v>4.2955969389424968</v>
      </c>
      <c r="E49" s="397">
        <f t="shared" si="7"/>
        <v>18.452153061852147</v>
      </c>
      <c r="F49" s="71" t="s">
        <v>44</v>
      </c>
      <c r="G49" s="395">
        <f>Лист5!I74</f>
        <v>76.128109339433038</v>
      </c>
      <c r="H49" s="395">
        <f>Лист5!I75</f>
        <v>4.5819700682053295</v>
      </c>
      <c r="I49" s="395">
        <f t="shared" si="8"/>
        <v>20.994449705929551</v>
      </c>
      <c r="J49" s="230">
        <f t="shared" si="3"/>
        <v>6.2806530526515871</v>
      </c>
      <c r="K49" s="230">
        <f t="shared" si="9"/>
        <v>3.2935776809518118</v>
      </c>
      <c r="L49" s="230">
        <f t="shared" si="5"/>
        <v>60.173666102314897</v>
      </c>
      <c r="M49" s="402">
        <f t="shared" si="6"/>
        <v>5.4734535790982939</v>
      </c>
      <c r="N49" s="234"/>
      <c r="O49" s="234"/>
      <c r="P49" s="234"/>
      <c r="Q49" s="234"/>
      <c r="R49" s="234"/>
      <c r="S49" s="234"/>
      <c r="T49" s="234"/>
      <c r="U49" s="234"/>
      <c r="V49" s="234"/>
    </row>
    <row r="50" spans="1:22" ht="31.5">
      <c r="A50" s="176">
        <v>9</v>
      </c>
      <c r="B50" s="393" t="s">
        <v>6</v>
      </c>
      <c r="C50" s="397">
        <f>Лист1!V40</f>
        <v>738.99452592477269</v>
      </c>
      <c r="D50" s="397">
        <f t="shared" si="2"/>
        <v>4.8336541050588036</v>
      </c>
      <c r="E50" s="397">
        <f t="shared" si="7"/>
        <v>23.364212007351824</v>
      </c>
      <c r="F50" s="71" t="s">
        <v>44</v>
      </c>
      <c r="G50" s="395">
        <f>Лист5!J74</f>
        <v>912.36949302284484</v>
      </c>
      <c r="H50" s="395">
        <f>Лист5!J75</f>
        <v>5.1558977120627238</v>
      </c>
      <c r="I50" s="395">
        <f t="shared" si="8"/>
        <v>26.583281217253631</v>
      </c>
      <c r="J50" s="230">
        <f t="shared" si="3"/>
        <v>7.067354046926293</v>
      </c>
      <c r="K50" s="230">
        <f t="shared" si="9"/>
        <v>3.7061240856973927</v>
      </c>
      <c r="L50" s="230">
        <f t="shared" si="5"/>
        <v>742.7006500104701</v>
      </c>
      <c r="M50" s="402">
        <f t="shared" si="6"/>
        <v>0.49900644164578906</v>
      </c>
      <c r="N50" s="234"/>
      <c r="O50" s="234"/>
      <c r="P50" s="234"/>
      <c r="Q50" s="234"/>
      <c r="R50" s="234"/>
      <c r="S50" s="234"/>
      <c r="T50" s="234"/>
      <c r="U50" s="234"/>
      <c r="V50" s="234"/>
    </row>
    <row r="51" spans="1:22" ht="31.5">
      <c r="A51" s="176">
        <v>10</v>
      </c>
      <c r="B51" s="393" t="s">
        <v>7</v>
      </c>
      <c r="C51" s="397">
        <f>Лист1!V44</f>
        <v>15.079722471113952</v>
      </c>
      <c r="D51" s="397">
        <f t="shared" si="2"/>
        <v>1.8388846562884753</v>
      </c>
      <c r="E51" s="397">
        <f t="shared" si="7"/>
        <v>3.381496779133184</v>
      </c>
      <c r="F51" s="71" t="s">
        <v>44</v>
      </c>
      <c r="G51" s="395">
        <f>Лист5!K74</f>
        <v>19.200711231930956</v>
      </c>
      <c r="H51" s="395">
        <f>Лист5!K75</f>
        <v>1.961476966707707</v>
      </c>
      <c r="I51" s="395">
        <f t="shared" si="8"/>
        <v>3.8473918909248672</v>
      </c>
      <c r="J51" s="230">
        <f t="shared" si="3"/>
        <v>2.6886592699816112</v>
      </c>
      <c r="K51" s="230">
        <f t="shared" si="9"/>
        <v>1.4099342996755826</v>
      </c>
      <c r="L51" s="230">
        <f t="shared" si="5"/>
        <v>16.489656770789534</v>
      </c>
      <c r="M51" s="402">
        <f t="shared" si="6"/>
        <v>8.550416295948617</v>
      </c>
      <c r="N51" s="234"/>
      <c r="O51" s="234"/>
      <c r="P51" s="234"/>
      <c r="Q51" s="234"/>
      <c r="R51" s="234"/>
      <c r="S51" s="234"/>
      <c r="T51" s="234"/>
      <c r="U51" s="234"/>
      <c r="V51" s="234"/>
    </row>
    <row r="52" spans="1:22" ht="31.5">
      <c r="A52" s="176">
        <v>11</v>
      </c>
      <c r="B52" s="393" t="s">
        <v>8</v>
      </c>
      <c r="C52" s="397">
        <f>Лист1!V48</f>
        <v>1874.2499548399398</v>
      </c>
      <c r="D52" s="397">
        <f t="shared" si="2"/>
        <v>105.29273685641645</v>
      </c>
      <c r="E52" s="397">
        <f t="shared" si="7"/>
        <v>11086.56043471456</v>
      </c>
      <c r="F52" s="71" t="s">
        <v>44</v>
      </c>
      <c r="G52" s="395">
        <f>Лист5!L74</f>
        <v>2692.647610649025</v>
      </c>
      <c r="H52" s="395">
        <f>Лист5!L75</f>
        <v>112.31225264684421</v>
      </c>
      <c r="I52" s="395">
        <f t="shared" si="8"/>
        <v>12614.042094608565</v>
      </c>
      <c r="J52" s="230">
        <f t="shared" si="3"/>
        <v>153.95000009523588</v>
      </c>
      <c r="K52" s="230">
        <f t="shared" si="9"/>
        <v>80.731458981344574</v>
      </c>
      <c r="L52" s="230">
        <f t="shared" si="5"/>
        <v>1954.9814138212844</v>
      </c>
      <c r="M52" s="402">
        <f t="shared" si="6"/>
        <v>4.1295256522947525</v>
      </c>
      <c r="N52" s="234"/>
      <c r="O52" s="234"/>
      <c r="P52" s="234"/>
      <c r="Q52" s="234"/>
      <c r="R52" s="234"/>
      <c r="S52" s="234"/>
      <c r="T52" s="234"/>
      <c r="U52" s="234"/>
      <c r="V52" s="234"/>
    </row>
    <row r="53" spans="1:22" ht="31.5">
      <c r="A53" s="176">
        <v>12</v>
      </c>
      <c r="B53" s="393" t="s">
        <v>9</v>
      </c>
      <c r="C53" s="397">
        <f>Лист1!V52</f>
        <v>60.490972562090697</v>
      </c>
      <c r="D53" s="397">
        <f t="shared" si="2"/>
        <v>5.4879788103768723</v>
      </c>
      <c r="E53" s="397">
        <f t="shared" si="7"/>
        <v>30.11791142314555</v>
      </c>
      <c r="F53" s="71" t="s">
        <v>44</v>
      </c>
      <c r="G53" s="395">
        <f>Лист5!M74</f>
        <v>85.535360681572158</v>
      </c>
      <c r="H53" s="395">
        <f>Лист5!M75</f>
        <v>5.8538440644019971</v>
      </c>
      <c r="I53" s="395">
        <f t="shared" si="8"/>
        <v>34.267490330334496</v>
      </c>
      <c r="J53" s="230">
        <f t="shared" si="3"/>
        <v>8.0240514550618407</v>
      </c>
      <c r="K53" s="230">
        <f t="shared" si="9"/>
        <v>4.2078166970301272</v>
      </c>
      <c r="L53" s="230">
        <f t="shared" si="5"/>
        <v>64.698789259120829</v>
      </c>
      <c r="M53" s="402">
        <f t="shared" si="6"/>
        <v>6.5037023802372556</v>
      </c>
      <c r="N53" s="234"/>
      <c r="O53" s="234"/>
      <c r="P53" s="234"/>
      <c r="Q53" s="234"/>
      <c r="R53" s="234"/>
      <c r="S53" s="234"/>
      <c r="T53" s="234"/>
      <c r="U53" s="234"/>
      <c r="V53" s="234"/>
    </row>
    <row r="54" spans="1:22" ht="31.5">
      <c r="A54" s="176">
        <v>13</v>
      </c>
      <c r="B54" s="393" t="s">
        <v>10</v>
      </c>
      <c r="C54" s="397">
        <f>Лист1!V56</f>
        <v>141.92679972813133</v>
      </c>
      <c r="D54" s="397">
        <f t="shared" si="2"/>
        <v>9.7611195531722696</v>
      </c>
      <c r="E54" s="397">
        <f t="shared" si="7"/>
        <v>95.279454931322007</v>
      </c>
      <c r="F54" s="71" t="s">
        <v>44</v>
      </c>
      <c r="G54" s="395">
        <f>Лист5!N74</f>
        <v>190.10988761308303</v>
      </c>
      <c r="H54" s="395">
        <f>Лист5!N75</f>
        <v>10.411860856717087</v>
      </c>
      <c r="I54" s="395">
        <f t="shared" si="8"/>
        <v>108.40684649963748</v>
      </c>
      <c r="J54" s="230">
        <f t="shared" si="3"/>
        <v>14.271870985647238</v>
      </c>
      <c r="K54" s="230">
        <f t="shared" si="9"/>
        <v>7.4841764621764186</v>
      </c>
      <c r="L54" s="230">
        <f t="shared" si="5"/>
        <v>149.41097619030774</v>
      </c>
      <c r="M54" s="402">
        <f t="shared" si="6"/>
        <v>5.0091209180265803</v>
      </c>
      <c r="N54" s="234"/>
      <c r="O54" s="234"/>
      <c r="P54" s="234"/>
      <c r="Q54" s="234"/>
      <c r="R54" s="234"/>
      <c r="S54" s="234"/>
      <c r="T54" s="234"/>
      <c r="U54" s="234"/>
      <c r="V54" s="234"/>
    </row>
    <row r="55" spans="1:22" ht="15.75">
      <c r="A55" s="176">
        <v>14</v>
      </c>
      <c r="B55" s="393" t="s">
        <v>93</v>
      </c>
      <c r="C55" s="397">
        <f>Лист1!V60</f>
        <v>59.982638698891989</v>
      </c>
      <c r="D55" s="397">
        <f t="shared" si="2"/>
        <v>4.2451941069789196</v>
      </c>
      <c r="E55" s="397">
        <f t="shared" si="7"/>
        <v>18.021673005928548</v>
      </c>
      <c r="F55" s="71" t="s">
        <v>44</v>
      </c>
      <c r="G55" s="395">
        <f>Лист5!O74</f>
        <v>82.032926739853181</v>
      </c>
      <c r="H55" s="395">
        <f>Лист5!O75</f>
        <v>4.5282070474441811</v>
      </c>
      <c r="I55" s="395">
        <f t="shared" si="8"/>
        <v>20.50465906452315</v>
      </c>
      <c r="J55" s="230">
        <f t="shared" si="3"/>
        <v>6.2069583590073893</v>
      </c>
      <c r="K55" s="230">
        <f t="shared" si="9"/>
        <v>3.2549321458209324</v>
      </c>
      <c r="L55" s="230">
        <f t="shared" si="5"/>
        <v>63.23757084471292</v>
      </c>
      <c r="M55" s="402">
        <f t="shared" si="6"/>
        <v>5.1471492379329211</v>
      </c>
      <c r="N55" s="234"/>
      <c r="O55" s="234"/>
      <c r="P55" s="234"/>
      <c r="Q55" s="234"/>
      <c r="R55" s="234"/>
      <c r="S55" s="234"/>
      <c r="T55" s="234"/>
      <c r="U55" s="234"/>
      <c r="V55" s="234"/>
    </row>
    <row r="56" spans="1:22" ht="15.75">
      <c r="A56" s="234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</row>
    <row r="57" spans="1:22" s="224" customFormat="1" ht="15.75">
      <c r="A57" s="245" t="s">
        <v>46</v>
      </c>
      <c r="B57" s="246" t="s">
        <v>47</v>
      </c>
      <c r="C57" s="246" t="s">
        <v>0</v>
      </c>
      <c r="D57" s="246" t="s">
        <v>48</v>
      </c>
      <c r="E57" s="246" t="s">
        <v>49</v>
      </c>
      <c r="F57" s="246" t="s">
        <v>50</v>
      </c>
      <c r="G57" s="246" t="s">
        <v>51</v>
      </c>
      <c r="H57" s="246" t="s">
        <v>52</v>
      </c>
      <c r="I57" s="247" t="s">
        <v>53</v>
      </c>
      <c r="J57" s="247" t="s">
        <v>54</v>
      </c>
      <c r="K57" s="247" t="s">
        <v>55</v>
      </c>
      <c r="L57" s="247" t="s">
        <v>56</v>
      </c>
      <c r="M57" s="247" t="s">
        <v>57</v>
      </c>
      <c r="N57" s="248" t="s">
        <v>58</v>
      </c>
      <c r="O57" s="248" t="s">
        <v>59</v>
      </c>
      <c r="P57" s="248" t="s">
        <v>60</v>
      </c>
      <c r="Q57" s="248" t="s">
        <v>61</v>
      </c>
      <c r="R57" s="245" t="s">
        <v>1</v>
      </c>
      <c r="S57" s="176" t="s">
        <v>62</v>
      </c>
      <c r="T57" s="245" t="s">
        <v>63</v>
      </c>
      <c r="U57" s="234"/>
      <c r="V57" s="234"/>
    </row>
    <row r="58" spans="1:22" s="226" customFormat="1" ht="24.75" customHeight="1">
      <c r="A58" s="230">
        <v>4689.3967187243043</v>
      </c>
      <c r="B58" s="249">
        <v>609.62157343416072</v>
      </c>
      <c r="C58" s="249">
        <v>914.82947320005508</v>
      </c>
      <c r="D58" s="249">
        <v>679.96252421502402</v>
      </c>
      <c r="E58" s="249">
        <v>703.40950780864569</v>
      </c>
      <c r="F58" s="249">
        <v>46.893967187243042</v>
      </c>
      <c r="G58" s="249">
        <v>93.787934374486085</v>
      </c>
      <c r="H58" s="249">
        <v>1430.2659992109127</v>
      </c>
      <c r="I58" s="250">
        <v>189.92056710833435</v>
      </c>
      <c r="J58" s="250">
        <v>49.238665546605212</v>
      </c>
      <c r="K58" s="250">
        <v>267.29561296728542</v>
      </c>
      <c r="L58" s="250">
        <v>140.68190156172912</v>
      </c>
      <c r="M58" s="250">
        <v>14.068190156172916</v>
      </c>
      <c r="N58" s="251">
        <v>68.887237798059985</v>
      </c>
      <c r="O58" s="251">
        <v>18.288647203024802</v>
      </c>
      <c r="P58" s="251">
        <v>493.79347448166754</v>
      </c>
      <c r="Q58" s="251">
        <v>18.28864720302477</v>
      </c>
      <c r="R58" s="230">
        <v>868.02679138292547</v>
      </c>
      <c r="S58" s="230">
        <v>4.4468585624121557</v>
      </c>
      <c r="T58" s="230">
        <v>8.0043454123395037</v>
      </c>
      <c r="U58" s="236"/>
      <c r="V58" s="236"/>
    </row>
    <row r="59" spans="1:22" s="224" customFormat="1" ht="15.75">
      <c r="A59" s="71">
        <f>Лист1!B4</f>
        <v>0.99099999999999999</v>
      </c>
      <c r="B59" s="231">
        <v>0.13</v>
      </c>
      <c r="C59" s="231">
        <v>0.23499999999999999</v>
      </c>
      <c r="D59" s="231">
        <v>0.14499999999999999</v>
      </c>
      <c r="E59" s="231">
        <v>0.15</v>
      </c>
      <c r="F59" s="231">
        <v>0.01</v>
      </c>
      <c r="G59" s="231">
        <v>0.02</v>
      </c>
      <c r="H59" s="231">
        <v>0.30499999999999999</v>
      </c>
      <c r="I59" s="232">
        <v>0.27</v>
      </c>
      <c r="J59" s="232">
        <v>7.0000000000000007E-2</v>
      </c>
      <c r="K59" s="232">
        <v>0.38</v>
      </c>
      <c r="L59" s="232">
        <v>0.2</v>
      </c>
      <c r="M59" s="232">
        <v>0.02</v>
      </c>
      <c r="N59" s="233">
        <v>0.113</v>
      </c>
      <c r="O59" s="233">
        <v>0.03</v>
      </c>
      <c r="P59" s="233">
        <v>0.81</v>
      </c>
      <c r="Q59" s="233">
        <v>0.03</v>
      </c>
      <c r="R59" s="71">
        <v>0.97599999999999998</v>
      </c>
      <c r="S59" s="71">
        <v>5.0000000000000001E-3</v>
      </c>
      <c r="T59" s="71">
        <v>8.9999999999999993E-3</v>
      </c>
      <c r="U59" s="234"/>
      <c r="V59" s="234"/>
    </row>
    <row r="60" spans="1:22" s="227" customFormat="1" ht="15.75">
      <c r="A60" s="252">
        <f>C41*A59-(L30*1000)</f>
        <v>4689.3967187243043</v>
      </c>
      <c r="B60" s="253">
        <f>B59*$A$58</f>
        <v>609.62157343415959</v>
      </c>
      <c r="C60" s="253">
        <f t="shared" ref="C60:H60" si="10">C59*$A$58</f>
        <v>1102.0082289002114</v>
      </c>
      <c r="D60" s="253">
        <f t="shared" si="10"/>
        <v>679.96252421502402</v>
      </c>
      <c r="E60" s="253">
        <f t="shared" si="10"/>
        <v>703.40950780864557</v>
      </c>
      <c r="F60" s="253">
        <f t="shared" si="10"/>
        <v>46.893967187243042</v>
      </c>
      <c r="G60" s="253">
        <f t="shared" si="10"/>
        <v>93.787934374486085</v>
      </c>
      <c r="H60" s="253">
        <f t="shared" si="10"/>
        <v>1430.2659992109127</v>
      </c>
      <c r="I60" s="254">
        <f>I59*$E$58</f>
        <v>189.92056710833435</v>
      </c>
      <c r="J60" s="254">
        <f>J59*$E$58</f>
        <v>49.238665546605205</v>
      </c>
      <c r="K60" s="254">
        <f>K59*$E$58</f>
        <v>267.29561296728536</v>
      </c>
      <c r="L60" s="254">
        <f>L59*$E$58</f>
        <v>140.68190156172915</v>
      </c>
      <c r="M60" s="254">
        <f>M59*$E$58</f>
        <v>14.068190156172914</v>
      </c>
      <c r="N60" s="255">
        <f>N59*$B$58</f>
        <v>68.88723779806017</v>
      </c>
      <c r="O60" s="255">
        <f>O59*$B$58</f>
        <v>18.288647203024819</v>
      </c>
      <c r="P60" s="255">
        <f>P59*$B$58</f>
        <v>493.79347448167022</v>
      </c>
      <c r="Q60" s="255">
        <f>Q59*$B$58</f>
        <v>18.288647203024819</v>
      </c>
      <c r="R60" s="252">
        <f>R59*$V$62</f>
        <v>868.02679138277017</v>
      </c>
      <c r="S60" s="252">
        <f>S59*$V$62</f>
        <v>4.4468585624117329</v>
      </c>
      <c r="T60" s="252">
        <f>T59*$V$62</f>
        <v>8.0043454123411184</v>
      </c>
      <c r="U60" s="242"/>
      <c r="V60" s="242"/>
    </row>
    <row r="61" spans="1:22" ht="15.75">
      <c r="A61" s="234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 t="s">
        <v>64</v>
      </c>
      <c r="S61" s="234"/>
      <c r="T61" s="234"/>
      <c r="U61" s="234"/>
      <c r="V61" s="234"/>
    </row>
    <row r="62" spans="1:22" ht="15.75">
      <c r="A62" s="234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>
        <f>C58*0.66</f>
        <v>603.78745231203641</v>
      </c>
      <c r="S62" s="236">
        <f>K58</f>
        <v>267.29561296728542</v>
      </c>
      <c r="T62" s="236">
        <f>Q58</f>
        <v>18.28864720302477</v>
      </c>
      <c r="U62" s="234">
        <f>'Удельные затраты (на ед.)'!T27</f>
        <v>7</v>
      </c>
      <c r="V62" s="234">
        <f>SUM(R62:T62)</f>
        <v>889.37171248234654</v>
      </c>
    </row>
    <row r="63" spans="1:22" ht="15.75">
      <c r="A63" s="234"/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</row>
    <row r="64" spans="1:22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N64" s="224"/>
      <c r="O64" s="224"/>
      <c r="P64" s="224"/>
      <c r="Q64" s="224"/>
      <c r="R64" s="224"/>
      <c r="S64" s="224"/>
      <c r="T64" s="224"/>
      <c r="U64" s="224"/>
      <c r="V64" s="224"/>
    </row>
  </sheetData>
  <scenarios current="0">
    <scenario name="В1" count="20" user="Lara" comment="Автор: Lara , 5/22/2013">
      <inputCells r="A58" val="6541.24505728099" numFmtId="2"/>
      <inputCells r="B58" val="776.219046120068" numFmtId="2"/>
      <inputCells r="C58" val="1537.1925884612" numFmtId="2"/>
      <inputCells r="D58" val="948.480533305743" numFmtId="2"/>
      <inputCells r="E58" val="189.863828100992" numFmtId="2"/>
      <inputCells r="F58" val="65.4124505728099" numFmtId="2"/>
      <inputCells r="G58" val="130.82490114562" numFmtId="2"/>
      <inputCells r="H58" val="1995.0797424707" numFmtId="2"/>
      <inputCells r="I58" val="51.2632335872678" numFmtId="2"/>
      <inputCells r="J58" val="13.2904679670156" numFmtId="2"/>
      <inputCells r="K58" val="72.1482546783769" numFmtId="2"/>
      <inputCells r="L58" val="37.9727656199744" numFmtId="2"/>
      <inputCells r="M58" val="3.79727656200538" numFmtId="2"/>
      <inputCells r="N58" val="87.712752211569" numFmtId="2"/>
      <inputCells r="O58" val="23.2865713836024" numFmtId="2"/>
      <inputCells r="P58" val="628.737427357266" numFmtId="2"/>
      <inputCells r="Q58" val="23.2865713835813" numFmtId="2"/>
      <inputCells r="R58" val="1093.34436779363" numFmtId="2"/>
      <inputCells r="S58" val="5.60114942517084" numFmtId="2"/>
      <inputCells r="T58" val="10.0820689653323" numFmtId="2"/>
    </scenario>
  </scenarios>
  <mergeCells count="37">
    <mergeCell ref="I15:I17"/>
    <mergeCell ref="F22:G24"/>
    <mergeCell ref="H22:H24"/>
    <mergeCell ref="E29:F31"/>
    <mergeCell ref="G29:G31"/>
    <mergeCell ref="G27:H27"/>
    <mergeCell ref="G26:H26"/>
    <mergeCell ref="H20:I20"/>
    <mergeCell ref="H19:I19"/>
    <mergeCell ref="F34:G34"/>
    <mergeCell ref="F33:G33"/>
    <mergeCell ref="G39:I39"/>
    <mergeCell ref="C39:E39"/>
    <mergeCell ref="F39:F40"/>
    <mergeCell ref="A37:M37"/>
    <mergeCell ref="B14:H14"/>
    <mergeCell ref="A8:H8"/>
    <mergeCell ref="A15:F15"/>
    <mergeCell ref="A22:E22"/>
    <mergeCell ref="A29:D29"/>
    <mergeCell ref="G15:H17"/>
    <mergeCell ref="A1:B1"/>
    <mergeCell ref="K8:K10"/>
    <mergeCell ref="J12:K12"/>
    <mergeCell ref="J13:K13"/>
    <mergeCell ref="E1:E3"/>
    <mergeCell ref="D5:E5"/>
    <mergeCell ref="D6:E6"/>
    <mergeCell ref="I8:J10"/>
    <mergeCell ref="C1:D3"/>
    <mergeCell ref="J39:J40"/>
    <mergeCell ref="L39:L40"/>
    <mergeCell ref="M39:M40"/>
    <mergeCell ref="A38:D38"/>
    <mergeCell ref="G38:J38"/>
    <mergeCell ref="B39:B40"/>
    <mergeCell ref="A39:A40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7"/>
  <sheetViews>
    <sheetView zoomScale="75" zoomScaleNormal="75" workbookViewId="0">
      <selection activeCell="B3" sqref="B3"/>
    </sheetView>
  </sheetViews>
  <sheetFormatPr defaultRowHeight="12.75"/>
  <cols>
    <col min="1" max="1" width="26.42578125" customWidth="1"/>
    <col min="3" max="3" width="13.28515625" bestFit="1" customWidth="1"/>
    <col min="22" max="22" width="11.140625" style="20" customWidth="1"/>
    <col min="23" max="23" width="9.140625" style="21"/>
  </cols>
  <sheetData>
    <row r="1" spans="1:23" ht="13.5" thickBot="1">
      <c r="A1" s="6"/>
      <c r="B1" s="23" t="s">
        <v>65</v>
      </c>
      <c r="C1" s="502" t="s">
        <v>66</v>
      </c>
      <c r="D1" s="503"/>
      <c r="E1" s="503"/>
      <c r="F1" s="503"/>
      <c r="G1" s="503"/>
      <c r="H1" s="503"/>
      <c r="I1" s="504"/>
      <c r="J1" s="505" t="s">
        <v>67</v>
      </c>
      <c r="K1" s="506"/>
      <c r="L1" s="506"/>
      <c r="M1" s="506"/>
      <c r="N1" s="507"/>
      <c r="O1" s="505" t="s">
        <v>68</v>
      </c>
      <c r="P1" s="506"/>
      <c r="Q1" s="506"/>
      <c r="R1" s="507"/>
      <c r="S1" s="505" t="s">
        <v>69</v>
      </c>
      <c r="T1" s="506"/>
      <c r="U1" s="507"/>
      <c r="V1" s="24"/>
      <c r="W1" s="53"/>
    </row>
    <row r="2" spans="1:23" ht="16.5" thickBot="1">
      <c r="A2" s="25"/>
      <c r="B2" s="26" t="s">
        <v>70</v>
      </c>
      <c r="C2" s="27" t="s">
        <v>71</v>
      </c>
      <c r="D2" s="28" t="s">
        <v>72</v>
      </c>
      <c r="E2" s="29" t="s">
        <v>73</v>
      </c>
      <c r="F2" s="29" t="s">
        <v>74</v>
      </c>
      <c r="G2" s="29" t="s">
        <v>75</v>
      </c>
      <c r="H2" s="29" t="s">
        <v>76</v>
      </c>
      <c r="I2" s="29" t="s">
        <v>77</v>
      </c>
      <c r="J2" s="29" t="s">
        <v>78</v>
      </c>
      <c r="K2" s="29" t="s">
        <v>79</v>
      </c>
      <c r="L2" s="29" t="s">
        <v>80</v>
      </c>
      <c r="M2" s="29" t="s">
        <v>81</v>
      </c>
      <c r="N2" s="29" t="s">
        <v>82</v>
      </c>
      <c r="O2" s="29" t="s">
        <v>83</v>
      </c>
      <c r="P2" s="29" t="s">
        <v>84</v>
      </c>
      <c r="Q2" s="29" t="s">
        <v>85</v>
      </c>
      <c r="R2" s="29" t="s">
        <v>86</v>
      </c>
      <c r="S2" s="29" t="s">
        <v>87</v>
      </c>
      <c r="T2" s="29" t="s">
        <v>88</v>
      </c>
      <c r="U2" s="30" t="s">
        <v>89</v>
      </c>
      <c r="V2" s="31"/>
      <c r="W2" s="32"/>
    </row>
    <row r="3" spans="1:23" ht="16.5" thickBot="1">
      <c r="A3" s="6" t="s">
        <v>95</v>
      </c>
      <c r="B3" s="51">
        <f>'Решение задачи'!A58</f>
        <v>4689.3967187243043</v>
      </c>
      <c r="C3" s="51">
        <f>'Решение задачи'!B56</f>
        <v>0</v>
      </c>
      <c r="D3" s="51">
        <f>'Решение задачи'!C56</f>
        <v>0</v>
      </c>
      <c r="E3" s="51">
        <f>'Решение задачи'!D56</f>
        <v>0</v>
      </c>
      <c r="F3" s="51">
        <f>'Решение задачи'!E56</f>
        <v>0</v>
      </c>
      <c r="G3" s="51">
        <f>'Решение задачи'!F56</f>
        <v>0</v>
      </c>
      <c r="H3" s="51">
        <f>'Решение задачи'!G56</f>
        <v>0</v>
      </c>
      <c r="I3" s="51">
        <f>'Решение задачи'!H56</f>
        <v>0</v>
      </c>
      <c r="J3" s="51">
        <f>'Решение задачи'!I56</f>
        <v>0</v>
      </c>
      <c r="K3" s="51">
        <f>'Решение задачи'!J56</f>
        <v>0</v>
      </c>
      <c r="L3" s="51">
        <f>'Решение задачи'!K56</f>
        <v>0</v>
      </c>
      <c r="M3" s="51">
        <f>'Решение задачи'!L56</f>
        <v>0</v>
      </c>
      <c r="N3" s="51">
        <f>'Решение задачи'!M56</f>
        <v>0</v>
      </c>
      <c r="O3" s="51">
        <f>'Решение задачи'!N56</f>
        <v>0</v>
      </c>
      <c r="P3" s="51">
        <f>'Решение задачи'!O56</f>
        <v>0</v>
      </c>
      <c r="Q3" s="51">
        <f>'Решение задачи'!P56</f>
        <v>0</v>
      </c>
      <c r="R3" s="51">
        <f>'Решение задачи'!Q56</f>
        <v>0</v>
      </c>
      <c r="S3" s="51">
        <f>'Решение задачи'!R56</f>
        <v>0</v>
      </c>
      <c r="T3" s="51">
        <f>'Решение задачи'!S56</f>
        <v>0</v>
      </c>
      <c r="U3" s="51">
        <f>'Решение задачи'!T56</f>
        <v>0</v>
      </c>
      <c r="V3" s="31"/>
      <c r="W3" s="32"/>
    </row>
    <row r="4" spans="1:23" ht="16.5" thickBot="1">
      <c r="A4" s="6"/>
      <c r="B4" s="26">
        <v>0.99099999999999999</v>
      </c>
      <c r="C4" s="27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0"/>
      <c r="V4" s="31">
        <f>B3/B4</f>
        <v>4731.9845799437981</v>
      </c>
      <c r="W4" s="32"/>
    </row>
    <row r="5" spans="1:23" ht="15.75">
      <c r="A5" s="33" t="s">
        <v>3</v>
      </c>
      <c r="B5" s="51">
        <f>'Решение задачи'!A58</f>
        <v>4689.3967187243043</v>
      </c>
      <c r="C5" s="51">
        <f>'Решение задачи'!B58</f>
        <v>609.62157343416072</v>
      </c>
      <c r="D5" s="51">
        <f>'Решение задачи'!C58</f>
        <v>914.82947320005508</v>
      </c>
      <c r="E5" s="51">
        <f>'Решение задачи'!D58</f>
        <v>679.96252421502402</v>
      </c>
      <c r="F5" s="51">
        <f>'Решение задачи'!E58</f>
        <v>703.40950780864569</v>
      </c>
      <c r="G5" s="51">
        <f>'Решение задачи'!F58</f>
        <v>46.893967187243042</v>
      </c>
      <c r="H5" s="51">
        <f>'Решение задачи'!G58</f>
        <v>93.787934374486085</v>
      </c>
      <c r="I5" s="51">
        <f>'Решение задачи'!H58</f>
        <v>1430.2659992109127</v>
      </c>
      <c r="J5" s="51">
        <f>'Решение задачи'!I58</f>
        <v>189.92056710833435</v>
      </c>
      <c r="K5" s="51">
        <f>'Решение задачи'!J58</f>
        <v>49.238665546605212</v>
      </c>
      <c r="L5" s="51">
        <f>'Решение задачи'!K58</f>
        <v>267.29561296728542</v>
      </c>
      <c r="M5" s="51">
        <f>'Решение задачи'!L58</f>
        <v>140.68190156172912</v>
      </c>
      <c r="N5" s="51">
        <f>'Решение задачи'!M58</f>
        <v>14.068190156172916</v>
      </c>
      <c r="O5" s="51">
        <f>'Решение задачи'!N58</f>
        <v>68.887237798059985</v>
      </c>
      <c r="P5" s="51">
        <f>'Решение задачи'!O58</f>
        <v>18.288647203024802</v>
      </c>
      <c r="Q5" s="51">
        <f>'Решение задачи'!P58</f>
        <v>493.79347448166754</v>
      </c>
      <c r="R5" s="51">
        <f>'Решение задачи'!Q58</f>
        <v>18.28864720302477</v>
      </c>
      <c r="S5" s="51">
        <f>'Решение задачи'!R58</f>
        <v>868.02679138292547</v>
      </c>
      <c r="T5" s="51">
        <f>'Решение задачи'!S58</f>
        <v>4.4468585624121557</v>
      </c>
      <c r="U5" s="51">
        <f>'Решение задачи'!T58</f>
        <v>8.0043454123395037</v>
      </c>
      <c r="V5" s="34"/>
      <c r="W5" s="32"/>
    </row>
    <row r="6" spans="1:23" ht="15.75">
      <c r="A6" s="4" t="s">
        <v>90</v>
      </c>
      <c r="B6" s="35">
        <v>0.996</v>
      </c>
      <c r="C6" s="36">
        <v>0.13</v>
      </c>
      <c r="D6" s="37">
        <v>0.25600000000000001</v>
      </c>
      <c r="E6" s="38">
        <v>0.14499999999999999</v>
      </c>
      <c r="F6" s="38">
        <v>0.15</v>
      </c>
      <c r="G6" s="38">
        <v>0.01</v>
      </c>
      <c r="H6" s="39">
        <v>0.02</v>
      </c>
      <c r="I6" s="38">
        <v>0.30499999999999999</v>
      </c>
      <c r="J6" s="38">
        <v>0.27</v>
      </c>
      <c r="K6" s="40">
        <v>7.0000000000000007E-2</v>
      </c>
      <c r="L6" s="39">
        <v>0.38</v>
      </c>
      <c r="M6" s="38">
        <v>0.2</v>
      </c>
      <c r="N6" s="38">
        <v>0.02</v>
      </c>
      <c r="O6" s="41">
        <v>0.113</v>
      </c>
      <c r="P6" s="39">
        <v>0.03</v>
      </c>
      <c r="Q6" s="38">
        <v>0.81</v>
      </c>
      <c r="R6" s="38">
        <v>0.3</v>
      </c>
      <c r="S6" s="38">
        <v>0.97599999999999998</v>
      </c>
      <c r="T6" s="42">
        <v>5.0000000000000001E-3</v>
      </c>
      <c r="U6" s="43">
        <v>8.9999999999999993E-3</v>
      </c>
      <c r="V6" s="34"/>
      <c r="W6" s="32"/>
    </row>
    <row r="7" spans="1:23" ht="16.5" thickBot="1">
      <c r="A7" s="4" t="s">
        <v>91</v>
      </c>
      <c r="B7" s="35">
        <v>4.1000000000000002E-2</v>
      </c>
      <c r="C7" s="36">
        <v>0.02</v>
      </c>
      <c r="D7" s="37">
        <v>0.02</v>
      </c>
      <c r="E7" s="38">
        <v>0.02</v>
      </c>
      <c r="F7" s="38">
        <v>0.02</v>
      </c>
      <c r="G7" s="38">
        <v>0.02</v>
      </c>
      <c r="H7" s="39">
        <v>0.02</v>
      </c>
      <c r="I7" s="38">
        <v>0.02</v>
      </c>
      <c r="J7" s="38">
        <v>1.4999999999999999E-2</v>
      </c>
      <c r="K7" s="38">
        <v>1.4999999999999999E-2</v>
      </c>
      <c r="L7" s="38">
        <v>1.4999999999999999E-2</v>
      </c>
      <c r="M7" s="38">
        <v>1.4999999999999999E-2</v>
      </c>
      <c r="N7" s="38">
        <v>1.4999999999999999E-2</v>
      </c>
      <c r="O7" s="41">
        <v>4.9000000000000002E-2</v>
      </c>
      <c r="P7" s="41">
        <v>4.9000000000000002E-2</v>
      </c>
      <c r="Q7" s="41">
        <v>4.9000000000000002E-2</v>
      </c>
      <c r="R7" s="41">
        <v>4.9000000000000002E-2</v>
      </c>
      <c r="S7" s="38">
        <v>0.83</v>
      </c>
      <c r="T7" s="38">
        <v>0.83</v>
      </c>
      <c r="U7" s="43">
        <v>0.83</v>
      </c>
      <c r="V7" s="34"/>
      <c r="W7" s="32"/>
    </row>
    <row r="8" spans="1:23" ht="16.5" thickBot="1">
      <c r="A8" s="5" t="s">
        <v>92</v>
      </c>
      <c r="B8" s="61">
        <f>B7+B7/10</f>
        <v>4.5100000000000001E-2</v>
      </c>
      <c r="C8" s="62">
        <f>C7+C7/14</f>
        <v>2.1428571428571429E-2</v>
      </c>
      <c r="D8" s="61">
        <f>D7+D7/10</f>
        <v>2.1999999999999999E-2</v>
      </c>
      <c r="E8" s="62">
        <f>E7+E7/14</f>
        <v>2.1428571428571429E-2</v>
      </c>
      <c r="F8" s="61">
        <f>F7+F7/10</f>
        <v>2.1999999999999999E-2</v>
      </c>
      <c r="G8" s="62">
        <f>G7+G7/14</f>
        <v>2.1428571428571429E-2</v>
      </c>
      <c r="H8" s="61">
        <f>H7+H7/10</f>
        <v>2.1999999999999999E-2</v>
      </c>
      <c r="I8" s="62">
        <f>I7+I7/14</f>
        <v>2.1428571428571429E-2</v>
      </c>
      <c r="J8" s="61">
        <f>J7+J7/10</f>
        <v>1.6500000000000001E-2</v>
      </c>
      <c r="K8" s="62">
        <f>K7+K7/14</f>
        <v>1.607142857142857E-2</v>
      </c>
      <c r="L8" s="61">
        <f>L7+L7/10</f>
        <v>1.6500000000000001E-2</v>
      </c>
      <c r="M8" s="62">
        <f>M7+M7/14</f>
        <v>1.607142857142857E-2</v>
      </c>
      <c r="N8" s="61">
        <f>N7+N7/10</f>
        <v>1.6500000000000001E-2</v>
      </c>
      <c r="O8" s="62">
        <f>O7+O7/14</f>
        <v>5.2500000000000005E-2</v>
      </c>
      <c r="P8" s="61">
        <f>P7+P7/10</f>
        <v>5.3900000000000003E-2</v>
      </c>
      <c r="Q8" s="62">
        <f>Q7+Q7/14</f>
        <v>5.2500000000000005E-2</v>
      </c>
      <c r="R8" s="61">
        <f>R7+R7/10</f>
        <v>5.3900000000000003E-2</v>
      </c>
      <c r="S8" s="62">
        <f>S7+S7/14</f>
        <v>0.88928571428571423</v>
      </c>
      <c r="T8" s="61">
        <f>T7+T7/10</f>
        <v>0.91299999999999992</v>
      </c>
      <c r="U8" s="62">
        <f>U7+U7/14</f>
        <v>0.88928571428571423</v>
      </c>
      <c r="V8" s="44">
        <f>SUMPRODUCT(B8:U8,B6:U6,B5:U5)</f>
        <v>1009.5783186683773</v>
      </c>
      <c r="W8" s="32">
        <v>1</v>
      </c>
    </row>
    <row r="9" spans="1:23" ht="15.75">
      <c r="A9" s="33" t="s">
        <v>4</v>
      </c>
      <c r="B9" s="51">
        <f>B5</f>
        <v>4689.3967187243043</v>
      </c>
      <c r="C9" s="51">
        <f t="shared" ref="C9:U9" si="0">C5</f>
        <v>609.62157343416072</v>
      </c>
      <c r="D9" s="51">
        <f t="shared" si="0"/>
        <v>914.82947320005508</v>
      </c>
      <c r="E9" s="51">
        <f t="shared" si="0"/>
        <v>679.96252421502402</v>
      </c>
      <c r="F9" s="51">
        <f t="shared" si="0"/>
        <v>703.40950780864569</v>
      </c>
      <c r="G9" s="51">
        <f t="shared" si="0"/>
        <v>46.893967187243042</v>
      </c>
      <c r="H9" s="51">
        <f t="shared" si="0"/>
        <v>93.787934374486085</v>
      </c>
      <c r="I9" s="51">
        <f t="shared" si="0"/>
        <v>1430.2659992109127</v>
      </c>
      <c r="J9" s="51">
        <f t="shared" si="0"/>
        <v>189.92056710833435</v>
      </c>
      <c r="K9" s="51">
        <f t="shared" si="0"/>
        <v>49.238665546605212</v>
      </c>
      <c r="L9" s="51">
        <f t="shared" si="0"/>
        <v>267.29561296728542</v>
      </c>
      <c r="M9" s="51">
        <f t="shared" si="0"/>
        <v>140.68190156172912</v>
      </c>
      <c r="N9" s="51">
        <f t="shared" si="0"/>
        <v>14.068190156172916</v>
      </c>
      <c r="O9" s="51">
        <f t="shared" si="0"/>
        <v>68.887237798059985</v>
      </c>
      <c r="P9" s="51">
        <f t="shared" si="0"/>
        <v>18.288647203024802</v>
      </c>
      <c r="Q9" s="51">
        <f t="shared" si="0"/>
        <v>493.79347448166754</v>
      </c>
      <c r="R9" s="51">
        <f t="shared" si="0"/>
        <v>18.28864720302477</v>
      </c>
      <c r="S9" s="51">
        <f t="shared" si="0"/>
        <v>868.02679138292547</v>
      </c>
      <c r="T9" s="51">
        <f t="shared" si="0"/>
        <v>4.4468585624121557</v>
      </c>
      <c r="U9" s="51">
        <f t="shared" si="0"/>
        <v>8.0043454123395037</v>
      </c>
      <c r="V9" s="34"/>
      <c r="W9" s="32"/>
    </row>
    <row r="10" spans="1:23" ht="15.75">
      <c r="A10" s="4" t="s">
        <v>90</v>
      </c>
      <c r="B10" s="35">
        <v>0.996</v>
      </c>
      <c r="C10" s="36">
        <v>0.13</v>
      </c>
      <c r="D10" s="37">
        <v>0.25600000000000001</v>
      </c>
      <c r="E10" s="38">
        <v>0.14499999999999999</v>
      </c>
      <c r="F10" s="38">
        <v>0.15</v>
      </c>
      <c r="G10" s="38">
        <v>0.01</v>
      </c>
      <c r="H10" s="39">
        <v>0.02</v>
      </c>
      <c r="I10" s="38">
        <v>0.30499999999999999</v>
      </c>
      <c r="J10" s="38">
        <v>0.27</v>
      </c>
      <c r="K10" s="40">
        <v>7.0000000000000007E-2</v>
      </c>
      <c r="L10" s="39">
        <v>0.38</v>
      </c>
      <c r="M10" s="38">
        <v>0.2</v>
      </c>
      <c r="N10" s="38">
        <v>0.02</v>
      </c>
      <c r="O10" s="41">
        <v>0.113</v>
      </c>
      <c r="P10" s="39">
        <v>0.03</v>
      </c>
      <c r="Q10" s="38">
        <v>0.81</v>
      </c>
      <c r="R10" s="38">
        <v>0.3</v>
      </c>
      <c r="S10" s="38">
        <v>0.97599999999999998</v>
      </c>
      <c r="T10" s="42">
        <v>5.0000000000000001E-3</v>
      </c>
      <c r="U10" s="43">
        <v>8.9999999999999993E-3</v>
      </c>
      <c r="V10" s="34"/>
      <c r="W10" s="32"/>
    </row>
    <row r="11" spans="1:23" ht="16.5" thickBot="1">
      <c r="A11" s="4" t="s">
        <v>91</v>
      </c>
      <c r="B11" s="35">
        <v>1.0999999999999999E-2</v>
      </c>
      <c r="C11" s="37">
        <v>5.1999999999999998E-2</v>
      </c>
      <c r="D11" s="37">
        <v>5.1999999999999998E-2</v>
      </c>
      <c r="E11" s="37">
        <v>5.1999999999999998E-2</v>
      </c>
      <c r="F11" s="37">
        <v>5.1999999999999998E-2</v>
      </c>
      <c r="G11" s="37">
        <v>5.1999999999999998E-2</v>
      </c>
      <c r="H11" s="37">
        <v>5.1999999999999998E-2</v>
      </c>
      <c r="I11" s="37">
        <v>5.1999999999999998E-2</v>
      </c>
      <c r="J11" s="37">
        <v>0.76</v>
      </c>
      <c r="K11" s="37">
        <v>0.76</v>
      </c>
      <c r="L11" s="37">
        <v>0.76</v>
      </c>
      <c r="M11" s="37">
        <v>0.76</v>
      </c>
      <c r="N11" s="37">
        <v>0.76</v>
      </c>
      <c r="O11" s="38">
        <v>3.2000000000000001E-2</v>
      </c>
      <c r="P11" s="38">
        <v>3.2000000000000001E-2</v>
      </c>
      <c r="Q11" s="38">
        <v>3.2000000000000001E-2</v>
      </c>
      <c r="R11" s="38">
        <v>3.2000000000000001E-2</v>
      </c>
      <c r="S11" s="38">
        <v>3.2000000000000001E-2</v>
      </c>
      <c r="T11" s="38">
        <v>3.2000000000000001E-2</v>
      </c>
      <c r="U11" s="43">
        <v>3.2000000000000001E-2</v>
      </c>
      <c r="V11" s="34"/>
      <c r="W11" s="32"/>
    </row>
    <row r="12" spans="1:23" ht="16.5" thickBot="1">
      <c r="A12" s="5" t="s">
        <v>92</v>
      </c>
      <c r="B12" s="61">
        <f>B11+B11/10</f>
        <v>1.21E-2</v>
      </c>
      <c r="C12" s="62">
        <f>C11+C11/14</f>
        <v>5.5714285714285709E-2</v>
      </c>
      <c r="D12" s="61">
        <f>D11+D11/10</f>
        <v>5.7200000000000001E-2</v>
      </c>
      <c r="E12" s="62">
        <f>E11+E11/14</f>
        <v>5.5714285714285709E-2</v>
      </c>
      <c r="F12" s="61">
        <f>F11+F11/10</f>
        <v>5.7200000000000001E-2</v>
      </c>
      <c r="G12" s="62">
        <f>G11+G11/14</f>
        <v>5.5714285714285709E-2</v>
      </c>
      <c r="H12" s="61">
        <f>H11+H11/10</f>
        <v>5.7200000000000001E-2</v>
      </c>
      <c r="I12" s="62">
        <f>I11+I11/14</f>
        <v>5.5714285714285709E-2</v>
      </c>
      <c r="J12" s="61">
        <f>J11+J11/10</f>
        <v>0.83599999999999997</v>
      </c>
      <c r="K12" s="62">
        <f>K11+K11/14</f>
        <v>0.81428571428571428</v>
      </c>
      <c r="L12" s="61">
        <f>L11+L11/10</f>
        <v>0.83599999999999997</v>
      </c>
      <c r="M12" s="62">
        <f>M11+M11/14</f>
        <v>0.81428571428571428</v>
      </c>
      <c r="N12" s="61">
        <f>N11+N11/10</f>
        <v>0.83599999999999997</v>
      </c>
      <c r="O12" s="62">
        <f>O11+O11/14</f>
        <v>3.4285714285714287E-2</v>
      </c>
      <c r="P12" s="61">
        <f>P11+P11/10</f>
        <v>3.5200000000000002E-2</v>
      </c>
      <c r="Q12" s="62">
        <f>Q11+Q11/14</f>
        <v>3.4285714285714287E-2</v>
      </c>
      <c r="R12" s="61">
        <f>R11+R11/10</f>
        <v>3.5200000000000002E-2</v>
      </c>
      <c r="S12" s="62">
        <f>S11+S11/14</f>
        <v>3.4285714285714287E-2</v>
      </c>
      <c r="T12" s="61">
        <f>T11+T11/10</f>
        <v>3.5200000000000002E-2</v>
      </c>
      <c r="U12" s="62">
        <f>U11+U11/14</f>
        <v>3.4285714285714287E-2</v>
      </c>
      <c r="V12" s="44">
        <f>SUMPRODUCT(B12:U12,B10:U10,B9:U9)</f>
        <v>307.27107803841153</v>
      </c>
      <c r="W12" s="32">
        <v>2</v>
      </c>
    </row>
    <row r="13" spans="1:23" ht="15.75">
      <c r="A13" s="33" t="s">
        <v>11</v>
      </c>
      <c r="B13" s="51">
        <f>B9</f>
        <v>4689.3967187243043</v>
      </c>
      <c r="C13" s="51">
        <f t="shared" ref="C13:U13" si="1">C9</f>
        <v>609.62157343416072</v>
      </c>
      <c r="D13" s="51">
        <f t="shared" si="1"/>
        <v>914.82947320005508</v>
      </c>
      <c r="E13" s="51">
        <f t="shared" si="1"/>
        <v>679.96252421502402</v>
      </c>
      <c r="F13" s="51">
        <f t="shared" si="1"/>
        <v>703.40950780864569</v>
      </c>
      <c r="G13" s="51">
        <f t="shared" si="1"/>
        <v>46.893967187243042</v>
      </c>
      <c r="H13" s="51">
        <f t="shared" si="1"/>
        <v>93.787934374486085</v>
      </c>
      <c r="I13" s="51">
        <f t="shared" si="1"/>
        <v>1430.2659992109127</v>
      </c>
      <c r="J13" s="51">
        <f t="shared" si="1"/>
        <v>189.92056710833435</v>
      </c>
      <c r="K13" s="51">
        <f t="shared" si="1"/>
        <v>49.238665546605212</v>
      </c>
      <c r="L13" s="51">
        <f t="shared" si="1"/>
        <v>267.29561296728542</v>
      </c>
      <c r="M13" s="51">
        <f t="shared" si="1"/>
        <v>140.68190156172912</v>
      </c>
      <c r="N13" s="51">
        <f t="shared" si="1"/>
        <v>14.068190156172916</v>
      </c>
      <c r="O13" s="51">
        <f t="shared" si="1"/>
        <v>68.887237798059985</v>
      </c>
      <c r="P13" s="51">
        <f t="shared" si="1"/>
        <v>18.288647203024802</v>
      </c>
      <c r="Q13" s="51">
        <f t="shared" si="1"/>
        <v>493.79347448166754</v>
      </c>
      <c r="R13" s="51">
        <f t="shared" si="1"/>
        <v>18.28864720302477</v>
      </c>
      <c r="S13" s="51">
        <f t="shared" si="1"/>
        <v>868.02679138292547</v>
      </c>
      <c r="T13" s="51">
        <f t="shared" si="1"/>
        <v>4.4468585624121557</v>
      </c>
      <c r="U13" s="51">
        <f t="shared" si="1"/>
        <v>8.0043454123395037</v>
      </c>
      <c r="V13" s="34"/>
      <c r="W13" s="32"/>
    </row>
    <row r="14" spans="1:23" ht="15.75">
      <c r="A14" s="4" t="s">
        <v>90</v>
      </c>
      <c r="B14" s="35">
        <v>0.996</v>
      </c>
      <c r="C14" s="36">
        <v>0.13</v>
      </c>
      <c r="D14" s="37">
        <v>0.25600000000000001</v>
      </c>
      <c r="E14" s="38">
        <v>0.14499999999999999</v>
      </c>
      <c r="F14" s="38">
        <v>0.15</v>
      </c>
      <c r="G14" s="38">
        <v>0.01</v>
      </c>
      <c r="H14" s="39">
        <v>0.02</v>
      </c>
      <c r="I14" s="38">
        <v>0.30499999999999999</v>
      </c>
      <c r="J14" s="38">
        <v>0.27</v>
      </c>
      <c r="K14" s="40">
        <v>7.0000000000000007E-2</v>
      </c>
      <c r="L14" s="39">
        <v>0.38</v>
      </c>
      <c r="M14" s="38">
        <v>0.2</v>
      </c>
      <c r="N14" s="38">
        <v>0.02</v>
      </c>
      <c r="O14" s="41">
        <v>0.113</v>
      </c>
      <c r="P14" s="39">
        <v>0.03</v>
      </c>
      <c r="Q14" s="38">
        <v>0.81</v>
      </c>
      <c r="R14" s="38">
        <v>0.3</v>
      </c>
      <c r="S14" s="38">
        <v>0.97599999999999998</v>
      </c>
      <c r="T14" s="42">
        <v>5.0000000000000001E-3</v>
      </c>
      <c r="U14" s="43">
        <v>8.9999999999999993E-3</v>
      </c>
      <c r="V14" s="34"/>
      <c r="W14" s="32"/>
    </row>
    <row r="15" spans="1:23" ht="16.5" thickBot="1">
      <c r="A15" s="4" t="s">
        <v>91</v>
      </c>
      <c r="B15" s="35">
        <v>0.42899999999999999</v>
      </c>
      <c r="C15" s="37">
        <v>9.42</v>
      </c>
      <c r="D15" s="37">
        <v>9.42</v>
      </c>
      <c r="E15" s="37">
        <v>9.42</v>
      </c>
      <c r="F15" s="37">
        <v>9.42</v>
      </c>
      <c r="G15" s="37">
        <v>9.42</v>
      </c>
      <c r="H15" s="37">
        <v>9.42</v>
      </c>
      <c r="I15" s="37">
        <v>9.42</v>
      </c>
      <c r="J15" s="38">
        <v>18.7</v>
      </c>
      <c r="K15" s="38">
        <v>18.7</v>
      </c>
      <c r="L15" s="38">
        <v>18.7</v>
      </c>
      <c r="M15" s="38">
        <v>18.7</v>
      </c>
      <c r="N15" s="38">
        <v>18.7</v>
      </c>
      <c r="O15" s="38">
        <v>10.9</v>
      </c>
      <c r="P15" s="38">
        <v>10.9</v>
      </c>
      <c r="Q15" s="38">
        <v>10.9</v>
      </c>
      <c r="R15" s="38">
        <v>10.9</v>
      </c>
      <c r="S15" s="38">
        <v>5.46</v>
      </c>
      <c r="T15" s="38">
        <v>5.46</v>
      </c>
      <c r="U15" s="43">
        <v>5.46</v>
      </c>
      <c r="V15" s="34"/>
      <c r="W15" s="32"/>
    </row>
    <row r="16" spans="1:23" ht="16.5" thickBot="1">
      <c r="A16" s="5" t="s">
        <v>92</v>
      </c>
      <c r="B16" s="61">
        <f>B15+B15/10</f>
        <v>0.47189999999999999</v>
      </c>
      <c r="C16" s="62">
        <f>C15+C15/14</f>
        <v>10.092857142857143</v>
      </c>
      <c r="D16" s="61">
        <f>D15+D15/10</f>
        <v>10.362</v>
      </c>
      <c r="E16" s="62">
        <f>E15+E15/14</f>
        <v>10.092857142857143</v>
      </c>
      <c r="F16" s="61">
        <f>F15+F15/10</f>
        <v>10.362</v>
      </c>
      <c r="G16" s="62">
        <f>G15+G15/14</f>
        <v>10.092857142857143</v>
      </c>
      <c r="H16" s="61">
        <f>H15+H15/10</f>
        <v>10.362</v>
      </c>
      <c r="I16" s="62">
        <f>I15+I15/14</f>
        <v>10.092857142857143</v>
      </c>
      <c r="J16" s="61">
        <f>J15+J15/10</f>
        <v>20.57</v>
      </c>
      <c r="K16" s="62">
        <f>K15+K15/14</f>
        <v>20.035714285714285</v>
      </c>
      <c r="L16" s="61">
        <f>L15+L15/10</f>
        <v>20.57</v>
      </c>
      <c r="M16" s="62">
        <f>M15+M15/14</f>
        <v>20.035714285714285</v>
      </c>
      <c r="N16" s="61">
        <f>N15+N15/10</f>
        <v>20.57</v>
      </c>
      <c r="O16" s="62">
        <f>O15+O15/14</f>
        <v>11.678571428571429</v>
      </c>
      <c r="P16" s="61">
        <f>P15+P15/10</f>
        <v>11.99</v>
      </c>
      <c r="Q16" s="62">
        <f>Q15+Q15/14</f>
        <v>11.678571428571429</v>
      </c>
      <c r="R16" s="61">
        <f>R15+R15/10</f>
        <v>11.99</v>
      </c>
      <c r="S16" s="62">
        <f>S15+S15/14</f>
        <v>5.85</v>
      </c>
      <c r="T16" s="61">
        <f>T15+T15/10</f>
        <v>6.0060000000000002</v>
      </c>
      <c r="U16" s="62">
        <f>U15+U15/14</f>
        <v>5.85</v>
      </c>
      <c r="V16" s="44">
        <f>SUMPRODUCT(B16:U16,B14:U14,B13:U13)</f>
        <v>25519.824914343269</v>
      </c>
      <c r="W16" s="32">
        <v>3</v>
      </c>
    </row>
    <row r="17" spans="1:24" ht="15.75">
      <c r="A17" s="33" t="s">
        <v>12</v>
      </c>
      <c r="B17" s="51">
        <f>B13</f>
        <v>4689.3967187243043</v>
      </c>
      <c r="C17" s="51">
        <f t="shared" ref="C17:U17" si="2">C13</f>
        <v>609.62157343416072</v>
      </c>
      <c r="D17" s="51">
        <f t="shared" si="2"/>
        <v>914.82947320005508</v>
      </c>
      <c r="E17" s="51">
        <f t="shared" si="2"/>
        <v>679.96252421502402</v>
      </c>
      <c r="F17" s="51">
        <f t="shared" si="2"/>
        <v>703.40950780864569</v>
      </c>
      <c r="G17" s="51">
        <f t="shared" si="2"/>
        <v>46.893967187243042</v>
      </c>
      <c r="H17" s="51">
        <f t="shared" si="2"/>
        <v>93.787934374486085</v>
      </c>
      <c r="I17" s="51">
        <f t="shared" si="2"/>
        <v>1430.2659992109127</v>
      </c>
      <c r="J17" s="51">
        <f t="shared" si="2"/>
        <v>189.92056710833435</v>
      </c>
      <c r="K17" s="51">
        <f t="shared" si="2"/>
        <v>49.238665546605212</v>
      </c>
      <c r="L17" s="51">
        <f t="shared" si="2"/>
        <v>267.29561296728542</v>
      </c>
      <c r="M17" s="51">
        <f t="shared" si="2"/>
        <v>140.68190156172912</v>
      </c>
      <c r="N17" s="51">
        <f t="shared" si="2"/>
        <v>14.068190156172916</v>
      </c>
      <c r="O17" s="51">
        <f t="shared" si="2"/>
        <v>68.887237798059985</v>
      </c>
      <c r="P17" s="51">
        <f t="shared" si="2"/>
        <v>18.288647203024802</v>
      </c>
      <c r="Q17" s="51">
        <f t="shared" si="2"/>
        <v>493.79347448166754</v>
      </c>
      <c r="R17" s="51">
        <f t="shared" si="2"/>
        <v>18.28864720302477</v>
      </c>
      <c r="S17" s="51">
        <f t="shared" si="2"/>
        <v>868.02679138292547</v>
      </c>
      <c r="T17" s="51">
        <f t="shared" si="2"/>
        <v>4.4468585624121557</v>
      </c>
      <c r="U17" s="51">
        <f t="shared" si="2"/>
        <v>8.0043454123395037</v>
      </c>
      <c r="V17" s="34"/>
      <c r="W17" s="32"/>
      <c r="X17" s="9"/>
    </row>
    <row r="18" spans="1:24" ht="15.75">
      <c r="A18" s="4" t="s">
        <v>90</v>
      </c>
      <c r="B18" s="35">
        <v>0.996</v>
      </c>
      <c r="C18" s="36">
        <v>0.13</v>
      </c>
      <c r="D18" s="37">
        <v>0.25600000000000001</v>
      </c>
      <c r="E18" s="38">
        <v>0.14499999999999999</v>
      </c>
      <c r="F18" s="38">
        <v>0.15</v>
      </c>
      <c r="G18" s="38">
        <v>0.01</v>
      </c>
      <c r="H18" s="39">
        <v>0.02</v>
      </c>
      <c r="I18" s="38">
        <v>0.30499999999999999</v>
      </c>
      <c r="J18" s="38">
        <v>0.27</v>
      </c>
      <c r="K18" s="40">
        <v>7.0000000000000007E-2</v>
      </c>
      <c r="L18" s="39">
        <v>0.38</v>
      </c>
      <c r="M18" s="38">
        <v>0.2</v>
      </c>
      <c r="N18" s="38">
        <v>0.02</v>
      </c>
      <c r="O18" s="41">
        <v>0.113</v>
      </c>
      <c r="P18" s="39">
        <v>0.03</v>
      </c>
      <c r="Q18" s="38">
        <v>0.81</v>
      </c>
      <c r="R18" s="38">
        <v>0.3</v>
      </c>
      <c r="S18" s="38">
        <v>0.97599999999999998</v>
      </c>
      <c r="T18" s="42">
        <v>5.0000000000000001E-3</v>
      </c>
      <c r="U18" s="43">
        <v>8.9999999999999993E-3</v>
      </c>
      <c r="V18" s="34"/>
      <c r="W18" s="32"/>
      <c r="X18" s="9"/>
    </row>
    <row r="19" spans="1:24" ht="16.5" thickBot="1">
      <c r="A19" s="4" t="s">
        <v>91</v>
      </c>
      <c r="B19" s="35">
        <v>0.98199999999999998</v>
      </c>
      <c r="C19" s="37">
        <v>6.41</v>
      </c>
      <c r="D19" s="37">
        <v>6.41</v>
      </c>
      <c r="E19" s="37">
        <v>6.41</v>
      </c>
      <c r="F19" s="37">
        <v>6.41</v>
      </c>
      <c r="G19" s="37">
        <v>6.41</v>
      </c>
      <c r="H19" s="37">
        <v>6.41</v>
      </c>
      <c r="I19" s="37">
        <v>6.41</v>
      </c>
      <c r="J19" s="38">
        <v>36.869999999999997</v>
      </c>
      <c r="K19" s="38">
        <v>36.869999999999997</v>
      </c>
      <c r="L19" s="38">
        <v>36.869999999999997</v>
      </c>
      <c r="M19" s="38">
        <v>36.869999999999997</v>
      </c>
      <c r="N19" s="38">
        <v>36.869999999999997</v>
      </c>
      <c r="O19" s="38">
        <v>37.799999999999997</v>
      </c>
      <c r="P19" s="38">
        <v>37.799999999999997</v>
      </c>
      <c r="Q19" s="38">
        <v>37.799999999999997</v>
      </c>
      <c r="R19" s="38">
        <v>37.799999999999997</v>
      </c>
      <c r="S19" s="38">
        <v>11.13</v>
      </c>
      <c r="T19" s="38">
        <v>11.13</v>
      </c>
      <c r="U19" s="43">
        <v>11.13</v>
      </c>
      <c r="V19" s="34"/>
      <c r="W19" s="32"/>
      <c r="X19" s="9"/>
    </row>
    <row r="20" spans="1:24" ht="16.5" thickBot="1">
      <c r="A20" s="5" t="s">
        <v>92</v>
      </c>
      <c r="B20" s="61">
        <f>B19+B19/10</f>
        <v>1.0802</v>
      </c>
      <c r="C20" s="62">
        <f>C19+C19/14</f>
        <v>6.8678571428571429</v>
      </c>
      <c r="D20" s="61">
        <f>D19+D19/10</f>
        <v>7.0510000000000002</v>
      </c>
      <c r="E20" s="62">
        <f>E19+E19/14</f>
        <v>6.8678571428571429</v>
      </c>
      <c r="F20" s="61">
        <f>F19+F19/10</f>
        <v>7.0510000000000002</v>
      </c>
      <c r="G20" s="62">
        <f>G19+G19/14</f>
        <v>6.8678571428571429</v>
      </c>
      <c r="H20" s="61">
        <f>H19+H19/10</f>
        <v>7.0510000000000002</v>
      </c>
      <c r="I20" s="62">
        <f>I19+I19/14</f>
        <v>6.8678571428571429</v>
      </c>
      <c r="J20" s="61">
        <f>J19+J19/10</f>
        <v>40.556999999999995</v>
      </c>
      <c r="K20" s="62">
        <f>K19+K19/14</f>
        <v>39.503571428571426</v>
      </c>
      <c r="L20" s="61">
        <f>L19+L19/10</f>
        <v>40.556999999999995</v>
      </c>
      <c r="M20" s="62">
        <f>M19+M19/14</f>
        <v>39.503571428571426</v>
      </c>
      <c r="N20" s="61">
        <f>N19+N19/10</f>
        <v>40.556999999999995</v>
      </c>
      <c r="O20" s="62">
        <f>O19+O19/14</f>
        <v>40.5</v>
      </c>
      <c r="P20" s="61">
        <f>P19+P19/10</f>
        <v>41.58</v>
      </c>
      <c r="Q20" s="62">
        <f>Q19+Q19/14</f>
        <v>40.5</v>
      </c>
      <c r="R20" s="61">
        <f>R19+R19/10</f>
        <v>41.58</v>
      </c>
      <c r="S20" s="62">
        <f>S19+S19/14</f>
        <v>11.925000000000001</v>
      </c>
      <c r="T20" s="61">
        <f>T19+T19/10</f>
        <v>12.243</v>
      </c>
      <c r="U20" s="62">
        <f>U19+U19/14</f>
        <v>11.925000000000001</v>
      </c>
      <c r="V20" s="44">
        <f>SUMPRODUCT(B20:U20,B18:U18,B17:U17)</f>
        <v>46001.594254605567</v>
      </c>
      <c r="W20" s="32">
        <v>4</v>
      </c>
      <c r="X20" s="9"/>
    </row>
    <row r="21" spans="1:24" ht="15.75">
      <c r="A21" s="33" t="s">
        <v>13</v>
      </c>
      <c r="B21" s="51">
        <f>B17</f>
        <v>4689.3967187243043</v>
      </c>
      <c r="C21" s="51">
        <f t="shared" ref="C21:U21" si="3">C17</f>
        <v>609.62157343416072</v>
      </c>
      <c r="D21" s="51">
        <f t="shared" si="3"/>
        <v>914.82947320005508</v>
      </c>
      <c r="E21" s="51">
        <f t="shared" si="3"/>
        <v>679.96252421502402</v>
      </c>
      <c r="F21" s="51">
        <f t="shared" si="3"/>
        <v>703.40950780864569</v>
      </c>
      <c r="G21" s="51">
        <f t="shared" si="3"/>
        <v>46.893967187243042</v>
      </c>
      <c r="H21" s="51">
        <f t="shared" si="3"/>
        <v>93.787934374486085</v>
      </c>
      <c r="I21" s="51">
        <f t="shared" si="3"/>
        <v>1430.2659992109127</v>
      </c>
      <c r="J21" s="51">
        <f t="shared" si="3"/>
        <v>189.92056710833435</v>
      </c>
      <c r="K21" s="51">
        <f t="shared" si="3"/>
        <v>49.238665546605212</v>
      </c>
      <c r="L21" s="51">
        <f t="shared" si="3"/>
        <v>267.29561296728542</v>
      </c>
      <c r="M21" s="51">
        <f t="shared" si="3"/>
        <v>140.68190156172912</v>
      </c>
      <c r="N21" s="51">
        <f t="shared" si="3"/>
        <v>14.068190156172916</v>
      </c>
      <c r="O21" s="51">
        <f t="shared" si="3"/>
        <v>68.887237798059985</v>
      </c>
      <c r="P21" s="51">
        <f t="shared" si="3"/>
        <v>18.288647203024802</v>
      </c>
      <c r="Q21" s="51">
        <f t="shared" si="3"/>
        <v>493.79347448166754</v>
      </c>
      <c r="R21" s="51">
        <f t="shared" si="3"/>
        <v>18.28864720302477</v>
      </c>
      <c r="S21" s="51">
        <f t="shared" si="3"/>
        <v>868.02679138292547</v>
      </c>
      <c r="T21" s="51">
        <f t="shared" si="3"/>
        <v>4.4468585624121557</v>
      </c>
      <c r="U21" s="51">
        <f t="shared" si="3"/>
        <v>8.0043454123395037</v>
      </c>
      <c r="V21" s="34"/>
      <c r="W21" s="32"/>
      <c r="X21" s="9"/>
    </row>
    <row r="22" spans="1:24" ht="15.75">
      <c r="A22" s="4" t="s">
        <v>90</v>
      </c>
      <c r="B22" s="35">
        <v>0.996</v>
      </c>
      <c r="C22" s="36">
        <v>0.13</v>
      </c>
      <c r="D22" s="37">
        <v>0.25600000000000001</v>
      </c>
      <c r="E22" s="38">
        <v>0.14499999999999999</v>
      </c>
      <c r="F22" s="38">
        <v>0.15</v>
      </c>
      <c r="G22" s="38">
        <v>0.01</v>
      </c>
      <c r="H22" s="39">
        <v>0.02</v>
      </c>
      <c r="I22" s="38">
        <v>0.30499999999999999</v>
      </c>
      <c r="J22" s="38">
        <v>0.27</v>
      </c>
      <c r="K22" s="40">
        <v>7.0000000000000007E-2</v>
      </c>
      <c r="L22" s="39">
        <v>0.38</v>
      </c>
      <c r="M22" s="38">
        <v>0.2</v>
      </c>
      <c r="N22" s="38">
        <v>0.02</v>
      </c>
      <c r="O22" s="41">
        <v>0.113</v>
      </c>
      <c r="P22" s="39">
        <v>0.03</v>
      </c>
      <c r="Q22" s="38">
        <v>0.81</v>
      </c>
      <c r="R22" s="38">
        <v>0.3</v>
      </c>
      <c r="S22" s="38">
        <v>0.97599999999999998</v>
      </c>
      <c r="T22" s="42">
        <v>5.0000000000000001E-3</v>
      </c>
      <c r="U22" s="43">
        <v>8.9999999999999993E-3</v>
      </c>
      <c r="V22" s="34"/>
      <c r="W22" s="32"/>
      <c r="X22" s="9"/>
    </row>
    <row r="23" spans="1:24" ht="16.5" thickBot="1">
      <c r="A23" s="4" t="s">
        <v>91</v>
      </c>
      <c r="B23" s="35">
        <v>0.502</v>
      </c>
      <c r="C23" s="37">
        <v>4.1500000000000004</v>
      </c>
      <c r="D23" s="37">
        <v>4.1500000000000004</v>
      </c>
      <c r="E23" s="37">
        <v>4.1500000000000004</v>
      </c>
      <c r="F23" s="37">
        <v>4.1500000000000004</v>
      </c>
      <c r="G23" s="37">
        <v>4.1500000000000004</v>
      </c>
      <c r="H23" s="37">
        <v>4.1500000000000004</v>
      </c>
      <c r="I23" s="37">
        <v>4.1500000000000004</v>
      </c>
      <c r="J23" s="38">
        <v>9.2799999999999994</v>
      </c>
      <c r="K23" s="38">
        <v>9.2799999999999994</v>
      </c>
      <c r="L23" s="38">
        <v>9.2799999999999994</v>
      </c>
      <c r="M23" s="38">
        <v>9.2799999999999994</v>
      </c>
      <c r="N23" s="38">
        <v>9.2799999999999994</v>
      </c>
      <c r="O23" s="38">
        <v>4.13</v>
      </c>
      <c r="P23" s="38">
        <v>4.13</v>
      </c>
      <c r="Q23" s="38">
        <v>4.13</v>
      </c>
      <c r="R23" s="38">
        <v>4.13</v>
      </c>
      <c r="S23" s="38">
        <v>1.54</v>
      </c>
      <c r="T23" s="38">
        <v>1.54</v>
      </c>
      <c r="U23" s="43">
        <v>1.54</v>
      </c>
      <c r="V23" s="34"/>
      <c r="W23" s="32"/>
      <c r="X23" s="9"/>
    </row>
    <row r="24" spans="1:24" ht="16.5" thickBot="1">
      <c r="A24" s="5" t="s">
        <v>92</v>
      </c>
      <c r="B24" s="61">
        <f>B23+B23/10</f>
        <v>0.55220000000000002</v>
      </c>
      <c r="C24" s="62">
        <f>C23+C23/14</f>
        <v>4.4464285714285721</v>
      </c>
      <c r="D24" s="61">
        <f>D23+D23/10</f>
        <v>4.5650000000000004</v>
      </c>
      <c r="E24" s="62">
        <f>E23+E23/14</f>
        <v>4.4464285714285721</v>
      </c>
      <c r="F24" s="61">
        <f>F23+F23/10</f>
        <v>4.5650000000000004</v>
      </c>
      <c r="G24" s="62">
        <f>G23+G23/14</f>
        <v>4.4464285714285721</v>
      </c>
      <c r="H24" s="61">
        <f>H23+H23/10</f>
        <v>4.5650000000000004</v>
      </c>
      <c r="I24" s="62">
        <f>I23+I23/14</f>
        <v>4.4464285714285721</v>
      </c>
      <c r="J24" s="61">
        <f>J23+J23/10</f>
        <v>10.207999999999998</v>
      </c>
      <c r="K24" s="62">
        <f>K23+K23/14</f>
        <v>9.9428571428571431</v>
      </c>
      <c r="L24" s="61">
        <f>L23+L23/10</f>
        <v>10.207999999999998</v>
      </c>
      <c r="M24" s="62">
        <f>M23+M23/14</f>
        <v>9.9428571428571431</v>
      </c>
      <c r="N24" s="61">
        <f>N23+N23/10</f>
        <v>10.207999999999998</v>
      </c>
      <c r="O24" s="62">
        <f>O23+O23/14</f>
        <v>4.4249999999999998</v>
      </c>
      <c r="P24" s="61">
        <f>P23+P23/10</f>
        <v>4.5430000000000001</v>
      </c>
      <c r="Q24" s="62">
        <f>Q23+Q23/14</f>
        <v>4.4249999999999998</v>
      </c>
      <c r="R24" s="61">
        <f>R23+R23/10</f>
        <v>4.5430000000000001</v>
      </c>
      <c r="S24" s="62">
        <f>S23+S23/14</f>
        <v>1.6500000000000001</v>
      </c>
      <c r="T24" s="61">
        <f>T23+T23/10</f>
        <v>1.694</v>
      </c>
      <c r="U24" s="62">
        <f>U23+U23/14</f>
        <v>1.6500000000000001</v>
      </c>
      <c r="V24" s="44">
        <f>SUMPRODUCT(B24:U24,B22:U22,B21:U21)</f>
        <v>11977.957906762602</v>
      </c>
      <c r="W24" s="32">
        <v>5</v>
      </c>
      <c r="X24" s="9"/>
    </row>
    <row r="25" spans="1:24" ht="15.75">
      <c r="A25" s="33" t="s">
        <v>5</v>
      </c>
      <c r="B25" s="51">
        <f>B21</f>
        <v>4689.3967187243043</v>
      </c>
      <c r="C25" s="51">
        <f t="shared" ref="C25:U25" si="4">C21</f>
        <v>609.62157343416072</v>
      </c>
      <c r="D25" s="51">
        <f t="shared" si="4"/>
        <v>914.82947320005508</v>
      </c>
      <c r="E25" s="51">
        <f t="shared" si="4"/>
        <v>679.96252421502402</v>
      </c>
      <c r="F25" s="51">
        <f t="shared" si="4"/>
        <v>703.40950780864569</v>
      </c>
      <c r="G25" s="51">
        <f t="shared" si="4"/>
        <v>46.893967187243042</v>
      </c>
      <c r="H25" s="51">
        <f t="shared" si="4"/>
        <v>93.787934374486085</v>
      </c>
      <c r="I25" s="51">
        <f t="shared" si="4"/>
        <v>1430.2659992109127</v>
      </c>
      <c r="J25" s="51">
        <f t="shared" si="4"/>
        <v>189.92056710833435</v>
      </c>
      <c r="K25" s="51">
        <f t="shared" si="4"/>
        <v>49.238665546605212</v>
      </c>
      <c r="L25" s="51">
        <f t="shared" si="4"/>
        <v>267.29561296728542</v>
      </c>
      <c r="M25" s="51">
        <f t="shared" si="4"/>
        <v>140.68190156172912</v>
      </c>
      <c r="N25" s="51">
        <f t="shared" si="4"/>
        <v>14.068190156172916</v>
      </c>
      <c r="O25" s="51">
        <f t="shared" si="4"/>
        <v>68.887237798059985</v>
      </c>
      <c r="P25" s="51">
        <f t="shared" si="4"/>
        <v>18.288647203024802</v>
      </c>
      <c r="Q25" s="51">
        <f t="shared" si="4"/>
        <v>493.79347448166754</v>
      </c>
      <c r="R25" s="51">
        <f t="shared" si="4"/>
        <v>18.28864720302477</v>
      </c>
      <c r="S25" s="51">
        <f t="shared" si="4"/>
        <v>868.02679138292547</v>
      </c>
      <c r="T25" s="51">
        <f t="shared" si="4"/>
        <v>4.4468585624121557</v>
      </c>
      <c r="U25" s="51">
        <f t="shared" si="4"/>
        <v>8.0043454123395037</v>
      </c>
      <c r="V25" s="34"/>
      <c r="W25" s="32"/>
      <c r="X25" s="9"/>
    </row>
    <row r="26" spans="1:24" ht="15.75">
      <c r="A26" s="4" t="s">
        <v>90</v>
      </c>
      <c r="B26" s="35">
        <v>0.996</v>
      </c>
      <c r="C26" s="36">
        <v>0.13</v>
      </c>
      <c r="D26" s="37">
        <v>0.25600000000000001</v>
      </c>
      <c r="E26" s="38">
        <v>0.14499999999999999</v>
      </c>
      <c r="F26" s="38">
        <v>0.15</v>
      </c>
      <c r="G26" s="38">
        <v>0.01</v>
      </c>
      <c r="H26" s="39">
        <v>0.02</v>
      </c>
      <c r="I26" s="38">
        <v>0.30499999999999999</v>
      </c>
      <c r="J26" s="38">
        <v>0.27</v>
      </c>
      <c r="K26" s="40">
        <v>7.0000000000000007E-2</v>
      </c>
      <c r="L26" s="39">
        <v>0.38</v>
      </c>
      <c r="M26" s="38">
        <v>0.2</v>
      </c>
      <c r="N26" s="38">
        <v>0.02</v>
      </c>
      <c r="O26" s="41">
        <v>0.113</v>
      </c>
      <c r="P26" s="39">
        <v>0.03</v>
      </c>
      <c r="Q26" s="38">
        <v>0.81</v>
      </c>
      <c r="R26" s="38">
        <v>0.3</v>
      </c>
      <c r="S26" s="38">
        <v>0.97599999999999998</v>
      </c>
      <c r="T26" s="42">
        <v>5.0000000000000001E-3</v>
      </c>
      <c r="U26" s="43">
        <v>8.9999999999999993E-3</v>
      </c>
      <c r="V26" s="34"/>
      <c r="W26" s="32"/>
      <c r="X26" s="9"/>
    </row>
    <row r="27" spans="1:24" ht="16.5" thickBot="1">
      <c r="A27" s="4" t="s">
        <v>91</v>
      </c>
      <c r="B27" s="35">
        <v>0</v>
      </c>
      <c r="C27" s="37">
        <v>27</v>
      </c>
      <c r="D27" s="37">
        <v>27</v>
      </c>
      <c r="E27" s="37">
        <v>27</v>
      </c>
      <c r="F27" s="37">
        <v>27</v>
      </c>
      <c r="G27" s="37">
        <v>27</v>
      </c>
      <c r="H27" s="37">
        <v>27</v>
      </c>
      <c r="I27" s="37">
        <v>27</v>
      </c>
      <c r="J27" s="38">
        <v>22</v>
      </c>
      <c r="K27" s="38">
        <v>22</v>
      </c>
      <c r="L27" s="38">
        <v>22</v>
      </c>
      <c r="M27" s="38">
        <v>22</v>
      </c>
      <c r="N27" s="38">
        <v>22</v>
      </c>
      <c r="O27" s="39">
        <v>45</v>
      </c>
      <c r="P27" s="39">
        <v>45</v>
      </c>
      <c r="Q27" s="39">
        <v>45</v>
      </c>
      <c r="R27" s="39">
        <v>45</v>
      </c>
      <c r="S27" s="39">
        <v>17</v>
      </c>
      <c r="T27" s="39">
        <v>17</v>
      </c>
      <c r="U27" s="18">
        <v>17</v>
      </c>
      <c r="V27" s="34"/>
      <c r="W27" s="32"/>
      <c r="X27" s="9"/>
    </row>
    <row r="28" spans="1:24" ht="16.5" thickBot="1">
      <c r="A28" s="5" t="s">
        <v>92</v>
      </c>
      <c r="B28" s="61">
        <f>B27+B27/10</f>
        <v>0</v>
      </c>
      <c r="C28" s="62">
        <f>C27+C27/14</f>
        <v>28.928571428571427</v>
      </c>
      <c r="D28" s="61">
        <f>D27+D27/10</f>
        <v>29.7</v>
      </c>
      <c r="E28" s="62">
        <f>E27+E27/14</f>
        <v>28.928571428571427</v>
      </c>
      <c r="F28" s="61">
        <f>F27+F27/10</f>
        <v>29.7</v>
      </c>
      <c r="G28" s="62">
        <f>G27+G27/14</f>
        <v>28.928571428571427</v>
      </c>
      <c r="H28" s="61">
        <f>H27+H27/10</f>
        <v>29.7</v>
      </c>
      <c r="I28" s="62">
        <f>I27+I27/14</f>
        <v>28.928571428571427</v>
      </c>
      <c r="J28" s="61">
        <f>J27+J27/10</f>
        <v>24.2</v>
      </c>
      <c r="K28" s="62">
        <f>K27+K27/14</f>
        <v>23.571428571428573</v>
      </c>
      <c r="L28" s="61">
        <f>L27+L27/10</f>
        <v>24.2</v>
      </c>
      <c r="M28" s="62">
        <f>M27+M27/14</f>
        <v>23.571428571428573</v>
      </c>
      <c r="N28" s="61">
        <f>N27+N27/10</f>
        <v>24.2</v>
      </c>
      <c r="O28" s="62">
        <f>O27+O27/14</f>
        <v>48.214285714285715</v>
      </c>
      <c r="P28" s="61">
        <f>P27+P27/10</f>
        <v>49.5</v>
      </c>
      <c r="Q28" s="62">
        <f>Q27+Q27/14</f>
        <v>48.214285714285715</v>
      </c>
      <c r="R28" s="61">
        <f>R27+R27/10</f>
        <v>49.5</v>
      </c>
      <c r="S28" s="62">
        <f>S27+S27/14</f>
        <v>18.214285714285715</v>
      </c>
      <c r="T28" s="61">
        <f>T27+T27/10</f>
        <v>18.7</v>
      </c>
      <c r="U28" s="62">
        <f>U27+U27/14</f>
        <v>18.214285714285715</v>
      </c>
      <c r="V28" s="44">
        <f>SUMPRODUCT(B28:U28,B26:U26,B25:U25)</f>
        <v>67764.431829265886</v>
      </c>
      <c r="W28" s="32">
        <v>6</v>
      </c>
      <c r="X28" s="9"/>
    </row>
    <row r="29" spans="1:24" ht="15.75">
      <c r="A29" s="33" t="s">
        <v>2</v>
      </c>
      <c r="B29" s="51">
        <f>B25</f>
        <v>4689.3967187243043</v>
      </c>
      <c r="C29" s="51">
        <f t="shared" ref="C29:U29" si="5">C25</f>
        <v>609.62157343416072</v>
      </c>
      <c r="D29" s="51">
        <f t="shared" si="5"/>
        <v>914.82947320005508</v>
      </c>
      <c r="E29" s="51">
        <f t="shared" si="5"/>
        <v>679.96252421502402</v>
      </c>
      <c r="F29" s="51">
        <f t="shared" si="5"/>
        <v>703.40950780864569</v>
      </c>
      <c r="G29" s="51">
        <f t="shared" si="5"/>
        <v>46.893967187243042</v>
      </c>
      <c r="H29" s="51">
        <f t="shared" si="5"/>
        <v>93.787934374486085</v>
      </c>
      <c r="I29" s="51">
        <f t="shared" si="5"/>
        <v>1430.2659992109127</v>
      </c>
      <c r="J29" s="51">
        <f t="shared" si="5"/>
        <v>189.92056710833435</v>
      </c>
      <c r="K29" s="51">
        <f t="shared" si="5"/>
        <v>49.238665546605212</v>
      </c>
      <c r="L29" s="51">
        <f t="shared" si="5"/>
        <v>267.29561296728542</v>
      </c>
      <c r="M29" s="51">
        <f t="shared" si="5"/>
        <v>140.68190156172912</v>
      </c>
      <c r="N29" s="51">
        <f t="shared" si="5"/>
        <v>14.068190156172916</v>
      </c>
      <c r="O29" s="51">
        <f t="shared" si="5"/>
        <v>68.887237798059985</v>
      </c>
      <c r="P29" s="51">
        <f t="shared" si="5"/>
        <v>18.288647203024802</v>
      </c>
      <c r="Q29" s="51">
        <f t="shared" si="5"/>
        <v>493.79347448166754</v>
      </c>
      <c r="R29" s="51">
        <f t="shared" si="5"/>
        <v>18.28864720302477</v>
      </c>
      <c r="S29" s="51">
        <f t="shared" si="5"/>
        <v>868.02679138292547</v>
      </c>
      <c r="T29" s="51">
        <f t="shared" si="5"/>
        <v>4.4468585624121557</v>
      </c>
      <c r="U29" s="51">
        <f t="shared" si="5"/>
        <v>8.0043454123395037</v>
      </c>
      <c r="V29" s="34"/>
      <c r="W29" s="32"/>
      <c r="X29" s="9"/>
    </row>
    <row r="30" spans="1:24" ht="15.75">
      <c r="A30" s="4" t="s">
        <v>90</v>
      </c>
      <c r="B30" s="35">
        <v>0.996</v>
      </c>
      <c r="C30" s="36">
        <v>0.13</v>
      </c>
      <c r="D30" s="37">
        <v>0.25600000000000001</v>
      </c>
      <c r="E30" s="38">
        <v>0.14499999999999999</v>
      </c>
      <c r="F30" s="38">
        <v>0.15</v>
      </c>
      <c r="G30" s="38">
        <v>0.01</v>
      </c>
      <c r="H30" s="39">
        <v>0.02</v>
      </c>
      <c r="I30" s="38">
        <v>0.30499999999999999</v>
      </c>
      <c r="J30" s="38">
        <v>0.27</v>
      </c>
      <c r="K30" s="40">
        <v>7.0000000000000007E-2</v>
      </c>
      <c r="L30" s="39">
        <v>0.38</v>
      </c>
      <c r="M30" s="38">
        <v>0.2</v>
      </c>
      <c r="N30" s="38">
        <v>0.02</v>
      </c>
      <c r="O30" s="41">
        <v>0.113</v>
      </c>
      <c r="P30" s="39">
        <v>0.03</v>
      </c>
      <c r="Q30" s="38">
        <v>0.81</v>
      </c>
      <c r="R30" s="38">
        <v>0.3</v>
      </c>
      <c r="S30" s="38">
        <v>0.97599999999999998</v>
      </c>
      <c r="T30" s="42">
        <v>5.0000000000000001E-3</v>
      </c>
      <c r="U30" s="43">
        <v>8.9999999999999993E-3</v>
      </c>
      <c r="V30" s="34"/>
      <c r="W30" s="45"/>
    </row>
    <row r="31" spans="1:24" ht="16.5" thickBot="1">
      <c r="A31" s="4" t="s">
        <v>91</v>
      </c>
      <c r="B31" s="35">
        <v>0.03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46">
        <v>0</v>
      </c>
      <c r="V31" s="34"/>
      <c r="W31" s="17"/>
    </row>
    <row r="32" spans="1:24" ht="16.5" thickBot="1">
      <c r="A32" s="5" t="s">
        <v>92</v>
      </c>
      <c r="B32" s="61">
        <f>B31+B31/30</f>
        <v>3.1E-2</v>
      </c>
      <c r="C32" s="62">
        <f>C31+C31/14</f>
        <v>0</v>
      </c>
      <c r="D32" s="61">
        <f>D31+D31/10</f>
        <v>0</v>
      </c>
      <c r="E32" s="62">
        <f>E31+E31/14</f>
        <v>0</v>
      </c>
      <c r="F32" s="61">
        <f>F31+F31/10</f>
        <v>0</v>
      </c>
      <c r="G32" s="62">
        <f>G31+G31/14</f>
        <v>0</v>
      </c>
      <c r="H32" s="61">
        <f>H31+H31/10</f>
        <v>0</v>
      </c>
      <c r="I32" s="62">
        <f>I31+I31/14</f>
        <v>0</v>
      </c>
      <c r="J32" s="61">
        <f>J31+J31/10</f>
        <v>0</v>
      </c>
      <c r="K32" s="62">
        <f>K31+K31/14</f>
        <v>0</v>
      </c>
      <c r="L32" s="61">
        <f>L31+L31/10</f>
        <v>0</v>
      </c>
      <c r="M32" s="62">
        <f>M31+M31/14</f>
        <v>0</v>
      </c>
      <c r="N32" s="61">
        <f>N31+N31/10</f>
        <v>0</v>
      </c>
      <c r="O32" s="62">
        <f>O31+O31/14</f>
        <v>0</v>
      </c>
      <c r="P32" s="61">
        <f>P31+P31/10</f>
        <v>0</v>
      </c>
      <c r="Q32" s="62">
        <f>Q31+Q31/14</f>
        <v>0</v>
      </c>
      <c r="R32" s="61">
        <f>R31+R31/10</f>
        <v>0</v>
      </c>
      <c r="S32" s="62">
        <f>S31+S31/14</f>
        <v>0</v>
      </c>
      <c r="T32" s="61">
        <f>T31+T31/10</f>
        <v>0</v>
      </c>
      <c r="U32" s="62">
        <f>U31+U31/14</f>
        <v>0</v>
      </c>
      <c r="V32" s="44">
        <f>SUMPRODUCT(B32:U32,B30:U30,B29:U29)</f>
        <v>144.78981308733162</v>
      </c>
      <c r="W32" s="17">
        <v>7</v>
      </c>
    </row>
    <row r="33" spans="1:23" ht="15.75">
      <c r="A33" s="33" t="s">
        <v>14</v>
      </c>
      <c r="B33" s="51">
        <f>B29</f>
        <v>4689.3967187243043</v>
      </c>
      <c r="C33" s="51">
        <f t="shared" ref="C33:U33" si="6">C29</f>
        <v>609.62157343416072</v>
      </c>
      <c r="D33" s="51">
        <f t="shared" si="6"/>
        <v>914.82947320005508</v>
      </c>
      <c r="E33" s="51">
        <f t="shared" si="6"/>
        <v>679.96252421502402</v>
      </c>
      <c r="F33" s="51">
        <f t="shared" si="6"/>
        <v>703.40950780864569</v>
      </c>
      <c r="G33" s="51">
        <f t="shared" si="6"/>
        <v>46.893967187243042</v>
      </c>
      <c r="H33" s="51">
        <f t="shared" si="6"/>
        <v>93.787934374486085</v>
      </c>
      <c r="I33" s="51">
        <f t="shared" si="6"/>
        <v>1430.2659992109127</v>
      </c>
      <c r="J33" s="51">
        <f t="shared" si="6"/>
        <v>189.92056710833435</v>
      </c>
      <c r="K33" s="51">
        <f t="shared" si="6"/>
        <v>49.238665546605212</v>
      </c>
      <c r="L33" s="51">
        <f t="shared" si="6"/>
        <v>267.29561296728542</v>
      </c>
      <c r="M33" s="51">
        <f t="shared" si="6"/>
        <v>140.68190156172912</v>
      </c>
      <c r="N33" s="51">
        <f t="shared" si="6"/>
        <v>14.068190156172916</v>
      </c>
      <c r="O33" s="51">
        <f t="shared" si="6"/>
        <v>68.887237798059985</v>
      </c>
      <c r="P33" s="51">
        <f t="shared" si="6"/>
        <v>18.288647203024802</v>
      </c>
      <c r="Q33" s="51">
        <f t="shared" si="6"/>
        <v>493.79347448166754</v>
      </c>
      <c r="R33" s="51">
        <f t="shared" si="6"/>
        <v>18.28864720302477</v>
      </c>
      <c r="S33" s="51">
        <f t="shared" si="6"/>
        <v>868.02679138292547</v>
      </c>
      <c r="T33" s="51">
        <f t="shared" si="6"/>
        <v>4.4468585624121557</v>
      </c>
      <c r="U33" s="51">
        <f t="shared" si="6"/>
        <v>8.0043454123395037</v>
      </c>
      <c r="V33" s="34"/>
      <c r="W33" s="17"/>
    </row>
    <row r="34" spans="1:23" ht="15.75">
      <c r="A34" s="4" t="s">
        <v>90</v>
      </c>
      <c r="B34" s="35">
        <v>0.996</v>
      </c>
      <c r="C34" s="36">
        <v>0.13</v>
      </c>
      <c r="D34" s="37">
        <v>0.25600000000000001</v>
      </c>
      <c r="E34" s="38">
        <v>0.14499999999999999</v>
      </c>
      <c r="F34" s="38">
        <v>0.15</v>
      </c>
      <c r="G34" s="38">
        <v>0.01</v>
      </c>
      <c r="H34" s="39">
        <v>0.02</v>
      </c>
      <c r="I34" s="38">
        <v>0.30499999999999999</v>
      </c>
      <c r="J34" s="38">
        <v>0.27</v>
      </c>
      <c r="K34" s="40">
        <v>7.0000000000000007E-2</v>
      </c>
      <c r="L34" s="39">
        <v>0.38</v>
      </c>
      <c r="M34" s="38">
        <v>0.2</v>
      </c>
      <c r="N34" s="38">
        <v>0.02</v>
      </c>
      <c r="O34" s="41">
        <v>0.113</v>
      </c>
      <c r="P34" s="39">
        <v>0.03</v>
      </c>
      <c r="Q34" s="38">
        <v>0.81</v>
      </c>
      <c r="R34" s="38">
        <v>0.3</v>
      </c>
      <c r="S34" s="38">
        <v>0.97599999999999998</v>
      </c>
      <c r="T34" s="42">
        <v>5.0000000000000001E-3</v>
      </c>
      <c r="U34" s="43">
        <v>8.9999999999999993E-3</v>
      </c>
      <c r="V34" s="34"/>
      <c r="W34" s="17"/>
    </row>
    <row r="35" spans="1:23" ht="16.5" thickBot="1">
      <c r="A35" s="4" t="s">
        <v>91</v>
      </c>
      <c r="B35" s="35">
        <v>0</v>
      </c>
      <c r="C35" s="37">
        <v>5.5E-2</v>
      </c>
      <c r="D35" s="37">
        <v>5.5E-2</v>
      </c>
      <c r="E35" s="37">
        <v>5.5E-2</v>
      </c>
      <c r="F35" s="37">
        <v>5.5E-2</v>
      </c>
      <c r="G35" s="37">
        <v>5.5E-2</v>
      </c>
      <c r="H35" s="37">
        <v>5.5E-2</v>
      </c>
      <c r="I35" s="37">
        <v>5.5E-2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43">
        <v>0</v>
      </c>
      <c r="V35" s="34"/>
      <c r="W35" s="17"/>
    </row>
    <row r="36" spans="1:23" ht="16.5" thickBot="1">
      <c r="A36" s="5" t="s">
        <v>92</v>
      </c>
      <c r="B36" s="61">
        <f>B35+B35/10</f>
        <v>0</v>
      </c>
      <c r="C36" s="62">
        <f>C35+C35/14</f>
        <v>5.8928571428571427E-2</v>
      </c>
      <c r="D36" s="61">
        <f>D35+D35/10</f>
        <v>6.0499999999999998E-2</v>
      </c>
      <c r="E36" s="62">
        <f>E35+E35/14</f>
        <v>5.8928571428571427E-2</v>
      </c>
      <c r="F36" s="61">
        <f>F35+F35/10</f>
        <v>6.0499999999999998E-2</v>
      </c>
      <c r="G36" s="62">
        <f>G35+G35/14</f>
        <v>5.8928571428571427E-2</v>
      </c>
      <c r="H36" s="61">
        <f>H35+H35/10</f>
        <v>6.0499999999999998E-2</v>
      </c>
      <c r="I36" s="62">
        <f>I35+I35/14</f>
        <v>5.8928571428571427E-2</v>
      </c>
      <c r="J36" s="61">
        <f>J35+J35/10</f>
        <v>0</v>
      </c>
      <c r="K36" s="62">
        <f>K35+K35/14</f>
        <v>0</v>
      </c>
      <c r="L36" s="61">
        <f>L35+L35/10</f>
        <v>0</v>
      </c>
      <c r="M36" s="62">
        <f>M35+M35/14</f>
        <v>0</v>
      </c>
      <c r="N36" s="61">
        <f>N35+N35/10</f>
        <v>0</v>
      </c>
      <c r="O36" s="62">
        <f>O35+O35/14</f>
        <v>0</v>
      </c>
      <c r="P36" s="61">
        <f>P35+P35/10</f>
        <v>0</v>
      </c>
      <c r="Q36" s="62">
        <f>Q35+Q35/14</f>
        <v>0</v>
      </c>
      <c r="R36" s="61">
        <f>R35+R35/10</f>
        <v>0</v>
      </c>
      <c r="S36" s="62">
        <f>S35+S35/14</f>
        <v>0</v>
      </c>
      <c r="T36" s="61">
        <f>T35+T35/10</f>
        <v>0</v>
      </c>
      <c r="U36" s="62">
        <f>U35+U35/14</f>
        <v>0</v>
      </c>
      <c r="V36" s="44">
        <f>SUMPRODUCT(B36:U36,B34:U34,B33:U33)</f>
        <v>56.880088421363084</v>
      </c>
      <c r="W36" s="32">
        <v>8</v>
      </c>
    </row>
    <row r="37" spans="1:23" ht="15.75">
      <c r="A37" s="33" t="s">
        <v>6</v>
      </c>
      <c r="B37" s="51">
        <f>B33</f>
        <v>4689.3967187243043</v>
      </c>
      <c r="C37" s="51">
        <f t="shared" ref="C37:U37" si="7">C33</f>
        <v>609.62157343416072</v>
      </c>
      <c r="D37" s="51">
        <f t="shared" si="7"/>
        <v>914.82947320005508</v>
      </c>
      <c r="E37" s="51">
        <f t="shared" si="7"/>
        <v>679.96252421502402</v>
      </c>
      <c r="F37" s="51">
        <f t="shared" si="7"/>
        <v>703.40950780864569</v>
      </c>
      <c r="G37" s="51">
        <f t="shared" si="7"/>
        <v>46.893967187243042</v>
      </c>
      <c r="H37" s="51">
        <f t="shared" si="7"/>
        <v>93.787934374486085</v>
      </c>
      <c r="I37" s="51">
        <f t="shared" si="7"/>
        <v>1430.2659992109127</v>
      </c>
      <c r="J37" s="51">
        <f t="shared" si="7"/>
        <v>189.92056710833435</v>
      </c>
      <c r="K37" s="51">
        <f t="shared" si="7"/>
        <v>49.238665546605212</v>
      </c>
      <c r="L37" s="51">
        <f t="shared" si="7"/>
        <v>267.29561296728542</v>
      </c>
      <c r="M37" s="51">
        <f t="shared" si="7"/>
        <v>140.68190156172912</v>
      </c>
      <c r="N37" s="51">
        <f t="shared" si="7"/>
        <v>14.068190156172916</v>
      </c>
      <c r="O37" s="51">
        <f t="shared" si="7"/>
        <v>68.887237798059985</v>
      </c>
      <c r="P37" s="51">
        <f t="shared" si="7"/>
        <v>18.288647203024802</v>
      </c>
      <c r="Q37" s="51">
        <f t="shared" si="7"/>
        <v>493.79347448166754</v>
      </c>
      <c r="R37" s="51">
        <f t="shared" si="7"/>
        <v>18.28864720302477</v>
      </c>
      <c r="S37" s="51">
        <f t="shared" si="7"/>
        <v>868.02679138292547</v>
      </c>
      <c r="T37" s="51">
        <f t="shared" si="7"/>
        <v>4.4468585624121557</v>
      </c>
      <c r="U37" s="51">
        <f t="shared" si="7"/>
        <v>8.0043454123395037</v>
      </c>
      <c r="V37" s="34"/>
      <c r="W37" s="17"/>
    </row>
    <row r="38" spans="1:23" ht="15.75">
      <c r="A38" s="4" t="s">
        <v>90</v>
      </c>
      <c r="B38" s="35">
        <v>0.996</v>
      </c>
      <c r="C38" s="36">
        <v>0.13</v>
      </c>
      <c r="D38" s="37">
        <v>0.25600000000000001</v>
      </c>
      <c r="E38" s="38">
        <v>0.14499999999999999</v>
      </c>
      <c r="F38" s="38">
        <v>0.15</v>
      </c>
      <c r="G38" s="38">
        <v>0.01</v>
      </c>
      <c r="H38" s="39">
        <v>0.02</v>
      </c>
      <c r="I38" s="38">
        <v>0.30499999999999999</v>
      </c>
      <c r="J38" s="38">
        <v>0.27</v>
      </c>
      <c r="K38" s="40">
        <v>7.0000000000000007E-2</v>
      </c>
      <c r="L38" s="39">
        <v>0.38</v>
      </c>
      <c r="M38" s="38">
        <v>0.2</v>
      </c>
      <c r="N38" s="38">
        <v>0.02</v>
      </c>
      <c r="O38" s="41">
        <v>0.113</v>
      </c>
      <c r="P38" s="39">
        <v>0.03</v>
      </c>
      <c r="Q38" s="38">
        <v>0.81</v>
      </c>
      <c r="R38" s="38">
        <v>0.3</v>
      </c>
      <c r="S38" s="38">
        <v>0.97599999999999998</v>
      </c>
      <c r="T38" s="42">
        <v>5.0000000000000001E-3</v>
      </c>
      <c r="U38" s="43">
        <v>8.9999999999999993E-3</v>
      </c>
      <c r="V38" s="34"/>
      <c r="W38" s="17"/>
    </row>
    <row r="39" spans="1:23" ht="16.5" thickBot="1">
      <c r="A39" s="4" t="s">
        <v>91</v>
      </c>
      <c r="B39" s="35">
        <v>0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8">
        <v>3.5590000000000002</v>
      </c>
      <c r="K39" s="38">
        <v>3.5590000000000002</v>
      </c>
      <c r="L39" s="38">
        <v>3.5590000000000002</v>
      </c>
      <c r="M39" s="38">
        <v>3.5590000000000002</v>
      </c>
      <c r="N39" s="38">
        <v>3.5590000000000002</v>
      </c>
      <c r="O39" s="38">
        <v>0</v>
      </c>
      <c r="P39" s="38">
        <v>0</v>
      </c>
      <c r="Q39" s="38">
        <v>0</v>
      </c>
      <c r="R39" s="38">
        <v>0</v>
      </c>
      <c r="S39" s="38">
        <v>2.1000000000000001E-2</v>
      </c>
      <c r="T39" s="38">
        <v>2.1000000000000001E-2</v>
      </c>
      <c r="U39" s="43">
        <v>2.1000000000000001E-2</v>
      </c>
      <c r="V39" s="34"/>
      <c r="W39" s="17"/>
    </row>
    <row r="40" spans="1:23" ht="16.5" thickBot="1">
      <c r="A40" s="5" t="s">
        <v>92</v>
      </c>
      <c r="B40" s="61">
        <f>B39+B39/10</f>
        <v>0</v>
      </c>
      <c r="C40" s="62">
        <f>C39+C39/14</f>
        <v>0</v>
      </c>
      <c r="D40" s="61">
        <f>D39+D39/10</f>
        <v>0</v>
      </c>
      <c r="E40" s="62">
        <f>E39+E39/14</f>
        <v>0</v>
      </c>
      <c r="F40" s="61">
        <f>F39+F39/10</f>
        <v>0</v>
      </c>
      <c r="G40" s="62">
        <f>G39+G39/14</f>
        <v>0</v>
      </c>
      <c r="H40" s="61">
        <f>H39+H39/10</f>
        <v>0</v>
      </c>
      <c r="I40" s="62">
        <f>I39+I39/14</f>
        <v>0</v>
      </c>
      <c r="J40" s="61">
        <f>J39+J39/10</f>
        <v>3.9149000000000003</v>
      </c>
      <c r="K40" s="62">
        <f>K39+K39/14</f>
        <v>3.8132142857142859</v>
      </c>
      <c r="L40" s="61">
        <f>L39+L39/10</f>
        <v>3.9149000000000003</v>
      </c>
      <c r="M40" s="62">
        <f>M39+M39/14</f>
        <v>3.8132142857142859</v>
      </c>
      <c r="N40" s="61">
        <f>N39+N39/10</f>
        <v>3.9149000000000003</v>
      </c>
      <c r="O40" s="62">
        <f>O39+O39/14</f>
        <v>0</v>
      </c>
      <c r="P40" s="61">
        <f>P39+P39/10</f>
        <v>0</v>
      </c>
      <c r="Q40" s="62">
        <f>Q39+Q39/14</f>
        <v>0</v>
      </c>
      <c r="R40" s="61">
        <f>R39+R39/10</f>
        <v>0</v>
      </c>
      <c r="S40" s="62">
        <f>S39+S39/14</f>
        <v>2.2500000000000003E-2</v>
      </c>
      <c r="T40" s="61">
        <f>T39+T39/10</f>
        <v>2.3100000000000002E-2</v>
      </c>
      <c r="U40" s="62">
        <f>U39+U39/14</f>
        <v>2.2500000000000003E-2</v>
      </c>
      <c r="V40" s="44">
        <f>SUMPRODUCT(B40:U40,B38:U38,B37:U37)</f>
        <v>738.99452592477269</v>
      </c>
      <c r="W40" s="17">
        <v>9</v>
      </c>
    </row>
    <row r="41" spans="1:23" ht="15.75">
      <c r="A41" s="33" t="s">
        <v>7</v>
      </c>
      <c r="B41" s="51">
        <f>B37</f>
        <v>4689.3967187243043</v>
      </c>
      <c r="C41" s="51">
        <f t="shared" ref="C41:U41" si="8">C37</f>
        <v>609.62157343416072</v>
      </c>
      <c r="D41" s="51">
        <f t="shared" si="8"/>
        <v>914.82947320005508</v>
      </c>
      <c r="E41" s="51">
        <f t="shared" si="8"/>
        <v>679.96252421502402</v>
      </c>
      <c r="F41" s="51">
        <f t="shared" si="8"/>
        <v>703.40950780864569</v>
      </c>
      <c r="G41" s="51">
        <f t="shared" si="8"/>
        <v>46.893967187243042</v>
      </c>
      <c r="H41" s="51">
        <f t="shared" si="8"/>
        <v>93.787934374486085</v>
      </c>
      <c r="I41" s="51">
        <f t="shared" si="8"/>
        <v>1430.2659992109127</v>
      </c>
      <c r="J41" s="51">
        <f t="shared" si="8"/>
        <v>189.92056710833435</v>
      </c>
      <c r="K41" s="51">
        <f t="shared" si="8"/>
        <v>49.238665546605212</v>
      </c>
      <c r="L41" s="51">
        <f t="shared" si="8"/>
        <v>267.29561296728542</v>
      </c>
      <c r="M41" s="51">
        <f t="shared" si="8"/>
        <v>140.68190156172912</v>
      </c>
      <c r="N41" s="51">
        <f t="shared" si="8"/>
        <v>14.068190156172916</v>
      </c>
      <c r="O41" s="51">
        <f t="shared" si="8"/>
        <v>68.887237798059985</v>
      </c>
      <c r="P41" s="51">
        <f t="shared" si="8"/>
        <v>18.288647203024802</v>
      </c>
      <c r="Q41" s="51">
        <f t="shared" si="8"/>
        <v>493.79347448166754</v>
      </c>
      <c r="R41" s="51">
        <f t="shared" si="8"/>
        <v>18.28864720302477</v>
      </c>
      <c r="S41" s="51">
        <f t="shared" si="8"/>
        <v>868.02679138292547</v>
      </c>
      <c r="T41" s="51">
        <f t="shared" si="8"/>
        <v>4.4468585624121557</v>
      </c>
      <c r="U41" s="51">
        <f t="shared" si="8"/>
        <v>8.0043454123395037</v>
      </c>
      <c r="V41" s="34"/>
      <c r="W41" s="17"/>
    </row>
    <row r="42" spans="1:23" ht="15.75">
      <c r="A42" s="4" t="s">
        <v>90</v>
      </c>
      <c r="B42" s="35">
        <v>0.996</v>
      </c>
      <c r="C42" s="36">
        <v>0.13</v>
      </c>
      <c r="D42" s="37">
        <v>0.25600000000000001</v>
      </c>
      <c r="E42" s="38">
        <v>0.14499999999999999</v>
      </c>
      <c r="F42" s="38">
        <v>0.15</v>
      </c>
      <c r="G42" s="38">
        <v>0.01</v>
      </c>
      <c r="H42" s="39">
        <v>0.02</v>
      </c>
      <c r="I42" s="38">
        <v>0.30499999999999999</v>
      </c>
      <c r="J42" s="38">
        <v>0.27</v>
      </c>
      <c r="K42" s="40">
        <v>7.0000000000000007E-2</v>
      </c>
      <c r="L42" s="39">
        <v>0.38</v>
      </c>
      <c r="M42" s="38">
        <v>0.2</v>
      </c>
      <c r="N42" s="38">
        <v>0.02</v>
      </c>
      <c r="O42" s="41">
        <v>0.113</v>
      </c>
      <c r="P42" s="39">
        <v>0.03</v>
      </c>
      <c r="Q42" s="38">
        <v>0.81</v>
      </c>
      <c r="R42" s="38">
        <v>0.3</v>
      </c>
      <c r="S42" s="38">
        <v>0.97599999999999998</v>
      </c>
      <c r="T42" s="42">
        <v>5.0000000000000001E-3</v>
      </c>
      <c r="U42" s="43">
        <v>8.9999999999999993E-3</v>
      </c>
      <c r="V42" s="34"/>
      <c r="W42" s="17"/>
    </row>
    <row r="43" spans="1:23" ht="16.5" thickBot="1">
      <c r="A43" s="4" t="s">
        <v>91</v>
      </c>
      <c r="B43" s="35">
        <v>0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3.4000000000000002E-2</v>
      </c>
      <c r="P43" s="38">
        <v>3.4000000000000002E-2</v>
      </c>
      <c r="Q43" s="38">
        <v>3.4000000000000002E-2</v>
      </c>
      <c r="R43" s="38">
        <v>3.4000000000000002E-2</v>
      </c>
      <c r="S43" s="38">
        <v>0</v>
      </c>
      <c r="T43" s="38">
        <v>0</v>
      </c>
      <c r="U43" s="43">
        <v>0</v>
      </c>
      <c r="V43" s="34"/>
      <c r="W43" s="17"/>
    </row>
    <row r="44" spans="1:23" ht="16.5" thickBot="1">
      <c r="A44" s="5" t="s">
        <v>92</v>
      </c>
      <c r="B44" s="61">
        <f>B43+B43/10</f>
        <v>0</v>
      </c>
      <c r="C44" s="62">
        <f>C43+C43/14</f>
        <v>0</v>
      </c>
      <c r="D44" s="61">
        <f>D43+D43/10</f>
        <v>0</v>
      </c>
      <c r="E44" s="62">
        <f>E43+E43/14</f>
        <v>0</v>
      </c>
      <c r="F44" s="61">
        <f>F43+F43/10</f>
        <v>0</v>
      </c>
      <c r="G44" s="62">
        <f>G43+G43/14</f>
        <v>0</v>
      </c>
      <c r="H44" s="61">
        <f>H43+H43/10</f>
        <v>0</v>
      </c>
      <c r="I44" s="62">
        <f>I43+I43/14</f>
        <v>0</v>
      </c>
      <c r="J44" s="61">
        <f>J43+J43/10</f>
        <v>0</v>
      </c>
      <c r="K44" s="62">
        <f>K43+K43/14</f>
        <v>0</v>
      </c>
      <c r="L44" s="61">
        <f>L43+L43/10</f>
        <v>0</v>
      </c>
      <c r="M44" s="62">
        <f>M43+M43/14</f>
        <v>0</v>
      </c>
      <c r="N44" s="61">
        <f>N43+N43/10</f>
        <v>0</v>
      </c>
      <c r="O44" s="62">
        <f>O43+O43/14</f>
        <v>3.6428571428571428E-2</v>
      </c>
      <c r="P44" s="61">
        <f>P43+P43/10</f>
        <v>3.7400000000000003E-2</v>
      </c>
      <c r="Q44" s="62">
        <f>Q43+Q43/14</f>
        <v>3.6428571428571428E-2</v>
      </c>
      <c r="R44" s="61">
        <f>R43+R43/10</f>
        <v>3.7400000000000003E-2</v>
      </c>
      <c r="S44" s="62">
        <f>S43+S43/14</f>
        <v>0</v>
      </c>
      <c r="T44" s="61">
        <f>T43+T43/10</f>
        <v>0</v>
      </c>
      <c r="U44" s="62">
        <f>U43+U43/14</f>
        <v>0</v>
      </c>
      <c r="V44" s="44">
        <f>SUMPRODUCT(B44:U44,B42:U42,B41:U41)</f>
        <v>15.079722471113952</v>
      </c>
      <c r="W44" s="17">
        <v>10</v>
      </c>
    </row>
    <row r="45" spans="1:23" ht="15.75">
      <c r="A45" s="33" t="s">
        <v>8</v>
      </c>
      <c r="B45" s="51">
        <f>B41</f>
        <v>4689.3967187243043</v>
      </c>
      <c r="C45" s="51">
        <f t="shared" ref="C45:U45" si="9">C41</f>
        <v>609.62157343416072</v>
      </c>
      <c r="D45" s="51">
        <f t="shared" si="9"/>
        <v>914.82947320005508</v>
      </c>
      <c r="E45" s="51">
        <f t="shared" si="9"/>
        <v>679.96252421502402</v>
      </c>
      <c r="F45" s="51">
        <f t="shared" si="9"/>
        <v>703.40950780864569</v>
      </c>
      <c r="G45" s="51">
        <f t="shared" si="9"/>
        <v>46.893967187243042</v>
      </c>
      <c r="H45" s="51">
        <f t="shared" si="9"/>
        <v>93.787934374486085</v>
      </c>
      <c r="I45" s="51">
        <f t="shared" si="9"/>
        <v>1430.2659992109127</v>
      </c>
      <c r="J45" s="51">
        <f t="shared" si="9"/>
        <v>189.92056710833435</v>
      </c>
      <c r="K45" s="51">
        <f t="shared" si="9"/>
        <v>49.238665546605212</v>
      </c>
      <c r="L45" s="51">
        <f t="shared" si="9"/>
        <v>267.29561296728542</v>
      </c>
      <c r="M45" s="51">
        <f t="shared" si="9"/>
        <v>140.68190156172912</v>
      </c>
      <c r="N45" s="51">
        <f t="shared" si="9"/>
        <v>14.068190156172916</v>
      </c>
      <c r="O45" s="51">
        <f t="shared" si="9"/>
        <v>68.887237798059985</v>
      </c>
      <c r="P45" s="51">
        <f t="shared" si="9"/>
        <v>18.288647203024802</v>
      </c>
      <c r="Q45" s="51">
        <f t="shared" si="9"/>
        <v>493.79347448166754</v>
      </c>
      <c r="R45" s="51">
        <f t="shared" si="9"/>
        <v>18.28864720302477</v>
      </c>
      <c r="S45" s="51">
        <f t="shared" si="9"/>
        <v>868.02679138292547</v>
      </c>
      <c r="T45" s="51">
        <f t="shared" si="9"/>
        <v>4.4468585624121557</v>
      </c>
      <c r="U45" s="51">
        <f t="shared" si="9"/>
        <v>8.0043454123395037</v>
      </c>
      <c r="V45" s="34"/>
      <c r="W45" s="17"/>
    </row>
    <row r="46" spans="1:23" ht="15.75">
      <c r="A46" s="4" t="s">
        <v>90</v>
      </c>
      <c r="B46" s="35">
        <v>0.996</v>
      </c>
      <c r="C46" s="36">
        <v>0.13</v>
      </c>
      <c r="D46" s="37">
        <v>0.25600000000000001</v>
      </c>
      <c r="E46" s="38">
        <v>0.14499999999999999</v>
      </c>
      <c r="F46" s="38">
        <v>0.15</v>
      </c>
      <c r="G46" s="38">
        <v>0.01</v>
      </c>
      <c r="H46" s="39">
        <v>0.02</v>
      </c>
      <c r="I46" s="38">
        <v>0.30499999999999999</v>
      </c>
      <c r="J46" s="38">
        <v>0.27</v>
      </c>
      <c r="K46" s="40">
        <v>7.0000000000000007E-2</v>
      </c>
      <c r="L46" s="39">
        <v>0.38</v>
      </c>
      <c r="M46" s="38">
        <v>0.2</v>
      </c>
      <c r="N46" s="38">
        <v>0.02</v>
      </c>
      <c r="O46" s="41">
        <v>0.113</v>
      </c>
      <c r="P46" s="39">
        <v>0.03</v>
      </c>
      <c r="Q46" s="38">
        <v>0.81</v>
      </c>
      <c r="R46" s="38">
        <v>0.3</v>
      </c>
      <c r="S46" s="38">
        <v>0.97599999999999998</v>
      </c>
      <c r="T46" s="42">
        <v>5.0000000000000001E-3</v>
      </c>
      <c r="U46" s="43">
        <v>8.9999999999999993E-3</v>
      </c>
      <c r="V46" s="34"/>
      <c r="W46" s="17"/>
    </row>
    <row r="47" spans="1:23" ht="16.5" thickBot="1">
      <c r="A47" s="4" t="s">
        <v>91</v>
      </c>
      <c r="B47" s="35">
        <v>0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1.61</v>
      </c>
      <c r="P47" s="37">
        <v>1.61</v>
      </c>
      <c r="Q47" s="37">
        <v>1.61</v>
      </c>
      <c r="R47" s="37">
        <v>1.61</v>
      </c>
      <c r="S47" s="38">
        <v>1.278</v>
      </c>
      <c r="T47" s="38">
        <v>1.278</v>
      </c>
      <c r="U47" s="43">
        <v>1.278</v>
      </c>
      <c r="V47" s="34"/>
      <c r="W47" s="17"/>
    </row>
    <row r="48" spans="1:23" ht="16.5" thickBot="1">
      <c r="A48" s="5" t="s">
        <v>92</v>
      </c>
      <c r="B48" s="61">
        <f>B47+B47/10</f>
        <v>0</v>
      </c>
      <c r="C48" s="62">
        <f>C47+C47/14</f>
        <v>0</v>
      </c>
      <c r="D48" s="61">
        <f>D47+D47/10</f>
        <v>0</v>
      </c>
      <c r="E48" s="62">
        <f>E47+E47/14</f>
        <v>0</v>
      </c>
      <c r="F48" s="61">
        <f>F47+F47/10</f>
        <v>0</v>
      </c>
      <c r="G48" s="62">
        <f>G47+G47/14</f>
        <v>0</v>
      </c>
      <c r="H48" s="61">
        <f>H47+H47/10</f>
        <v>0</v>
      </c>
      <c r="I48" s="62">
        <f>I47+I47/14</f>
        <v>0</v>
      </c>
      <c r="J48" s="61">
        <f>J47+J47/10</f>
        <v>0</v>
      </c>
      <c r="K48" s="62">
        <f>K47+K47/14</f>
        <v>0</v>
      </c>
      <c r="L48" s="61">
        <f>L47+L47/10</f>
        <v>0</v>
      </c>
      <c r="M48" s="62">
        <f>M47+M47/14</f>
        <v>0</v>
      </c>
      <c r="N48" s="61">
        <f>N47+N47/10</f>
        <v>0</v>
      </c>
      <c r="O48" s="62">
        <f>O47+O47/14</f>
        <v>1.7250000000000001</v>
      </c>
      <c r="P48" s="61">
        <f>P47+P47/10</f>
        <v>1.7710000000000001</v>
      </c>
      <c r="Q48" s="62">
        <f>Q47+Q47/14</f>
        <v>1.7250000000000001</v>
      </c>
      <c r="R48" s="61">
        <f>R47+R47/10</f>
        <v>1.7710000000000001</v>
      </c>
      <c r="S48" s="62">
        <f>S47+S47/14</f>
        <v>1.3692857142857142</v>
      </c>
      <c r="T48" s="61">
        <f>T47+T47/10</f>
        <v>1.4057999999999999</v>
      </c>
      <c r="U48" s="62">
        <f>U47+U47/14</f>
        <v>1.3692857142857142</v>
      </c>
      <c r="V48" s="44">
        <f>SUMPRODUCT(B48:U48,B46:U46,B45:U45)</f>
        <v>1874.2499548399398</v>
      </c>
      <c r="W48" s="17">
        <v>11</v>
      </c>
    </row>
    <row r="49" spans="1:23" ht="15.75">
      <c r="A49" s="33" t="s">
        <v>9</v>
      </c>
      <c r="B49" s="51">
        <f>B45</f>
        <v>4689.3967187243043</v>
      </c>
      <c r="C49" s="51">
        <f t="shared" ref="C49:U49" si="10">C45</f>
        <v>609.62157343416072</v>
      </c>
      <c r="D49" s="51">
        <f t="shared" si="10"/>
        <v>914.82947320005508</v>
      </c>
      <c r="E49" s="51">
        <f t="shared" si="10"/>
        <v>679.96252421502402</v>
      </c>
      <c r="F49" s="51">
        <f t="shared" si="10"/>
        <v>703.40950780864569</v>
      </c>
      <c r="G49" s="51">
        <f t="shared" si="10"/>
        <v>46.893967187243042</v>
      </c>
      <c r="H49" s="51">
        <f t="shared" si="10"/>
        <v>93.787934374486085</v>
      </c>
      <c r="I49" s="51">
        <f t="shared" si="10"/>
        <v>1430.2659992109127</v>
      </c>
      <c r="J49" s="51">
        <f t="shared" si="10"/>
        <v>189.92056710833435</v>
      </c>
      <c r="K49" s="51">
        <f t="shared" si="10"/>
        <v>49.238665546605212</v>
      </c>
      <c r="L49" s="51">
        <f t="shared" si="10"/>
        <v>267.29561296728542</v>
      </c>
      <c r="M49" s="51">
        <f t="shared" si="10"/>
        <v>140.68190156172912</v>
      </c>
      <c r="N49" s="51">
        <f t="shared" si="10"/>
        <v>14.068190156172916</v>
      </c>
      <c r="O49" s="51">
        <f t="shared" si="10"/>
        <v>68.887237798059985</v>
      </c>
      <c r="P49" s="51">
        <f t="shared" si="10"/>
        <v>18.288647203024802</v>
      </c>
      <c r="Q49" s="51">
        <f t="shared" si="10"/>
        <v>493.79347448166754</v>
      </c>
      <c r="R49" s="51">
        <f t="shared" si="10"/>
        <v>18.28864720302477</v>
      </c>
      <c r="S49" s="51">
        <f t="shared" si="10"/>
        <v>868.02679138292547</v>
      </c>
      <c r="T49" s="51">
        <f t="shared" si="10"/>
        <v>4.4468585624121557</v>
      </c>
      <c r="U49" s="51">
        <f t="shared" si="10"/>
        <v>8.0043454123395037</v>
      </c>
      <c r="V49" s="34"/>
      <c r="W49" s="17"/>
    </row>
    <row r="50" spans="1:23" ht="15.75">
      <c r="A50" s="4" t="s">
        <v>90</v>
      </c>
      <c r="B50" s="35">
        <v>0.996</v>
      </c>
      <c r="C50" s="36">
        <v>0.13</v>
      </c>
      <c r="D50" s="37">
        <v>0.25600000000000001</v>
      </c>
      <c r="E50" s="38">
        <v>0.14499999999999999</v>
      </c>
      <c r="F50" s="38">
        <v>0.15</v>
      </c>
      <c r="G50" s="38">
        <v>0.01</v>
      </c>
      <c r="H50" s="39">
        <v>0.02</v>
      </c>
      <c r="I50" s="38">
        <v>0.30499999999999999</v>
      </c>
      <c r="J50" s="38">
        <v>0.27</v>
      </c>
      <c r="K50" s="40">
        <v>7.0000000000000007E-2</v>
      </c>
      <c r="L50" s="39">
        <v>0.38</v>
      </c>
      <c r="M50" s="38">
        <v>0.2</v>
      </c>
      <c r="N50" s="38">
        <v>0.02</v>
      </c>
      <c r="O50" s="41">
        <v>0.113</v>
      </c>
      <c r="P50" s="39">
        <v>0.03</v>
      </c>
      <c r="Q50" s="38">
        <v>0.81</v>
      </c>
      <c r="R50" s="38">
        <v>0.3</v>
      </c>
      <c r="S50" s="38">
        <v>0.97599999999999998</v>
      </c>
      <c r="T50" s="42">
        <v>5.0000000000000001E-3</v>
      </c>
      <c r="U50" s="43">
        <v>8.9999999999999993E-3</v>
      </c>
      <c r="V50" s="34"/>
      <c r="W50" s="17"/>
    </row>
    <row r="51" spans="1:23" ht="16.5" thickBot="1">
      <c r="A51" s="4" t="s">
        <v>91</v>
      </c>
      <c r="B51" s="35">
        <v>0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3.2000000000000001E-2</v>
      </c>
      <c r="P51" s="38">
        <v>3.2000000000000001E-2</v>
      </c>
      <c r="Q51" s="38">
        <v>3.2000000000000001E-2</v>
      </c>
      <c r="R51" s="38">
        <v>3.2000000000000001E-2</v>
      </c>
      <c r="S51" s="38">
        <v>5.0999999999999997E-2</v>
      </c>
      <c r="T51" s="38">
        <v>5.0999999999999997E-2</v>
      </c>
      <c r="U51" s="43">
        <v>5.0999999999999997E-2</v>
      </c>
      <c r="V51" s="34"/>
      <c r="W51" s="17"/>
    </row>
    <row r="52" spans="1:23" ht="16.5" thickBot="1">
      <c r="A52" s="5" t="s">
        <v>92</v>
      </c>
      <c r="B52" s="61">
        <f>B51+B51/10</f>
        <v>0</v>
      </c>
      <c r="C52" s="62">
        <f>C51+C51/14</f>
        <v>0</v>
      </c>
      <c r="D52" s="61">
        <f>D51+D51/10</f>
        <v>0</v>
      </c>
      <c r="E52" s="62">
        <f>E51+E51/14</f>
        <v>0</v>
      </c>
      <c r="F52" s="61">
        <f>F51+F51/10</f>
        <v>0</v>
      </c>
      <c r="G52" s="62">
        <f>G51+G51/14</f>
        <v>0</v>
      </c>
      <c r="H52" s="61">
        <f>H51+H51/10</f>
        <v>0</v>
      </c>
      <c r="I52" s="62">
        <f>I51+I51/14</f>
        <v>0</v>
      </c>
      <c r="J52" s="61">
        <f>J51+J51/10</f>
        <v>0</v>
      </c>
      <c r="K52" s="62">
        <f>K51+K51/14</f>
        <v>0</v>
      </c>
      <c r="L52" s="61">
        <f>L51+L51/10</f>
        <v>0</v>
      </c>
      <c r="M52" s="62">
        <f>M51+M51/14</f>
        <v>0</v>
      </c>
      <c r="N52" s="61">
        <f>N51+N51/10</f>
        <v>0</v>
      </c>
      <c r="O52" s="62">
        <f>O51+O51/14</f>
        <v>3.4285714285714287E-2</v>
      </c>
      <c r="P52" s="61">
        <f>P51+P51/10</f>
        <v>3.5200000000000002E-2</v>
      </c>
      <c r="Q52" s="62">
        <f>Q51+Q51/14</f>
        <v>3.4285714285714287E-2</v>
      </c>
      <c r="R52" s="61">
        <f>R51+R51/10</f>
        <v>3.5200000000000002E-2</v>
      </c>
      <c r="S52" s="62">
        <f>S51+S51/14</f>
        <v>5.4642857142857139E-2</v>
      </c>
      <c r="T52" s="61">
        <f>T51+T51/10</f>
        <v>5.6099999999999997E-2</v>
      </c>
      <c r="U52" s="62">
        <f>U51+U51/14</f>
        <v>5.4642857142857139E-2</v>
      </c>
      <c r="V52" s="44">
        <f>SUMPRODUCT(B52:U52,B50:U50,B49:U49)</f>
        <v>60.490972562090697</v>
      </c>
      <c r="W52" s="17">
        <v>12</v>
      </c>
    </row>
    <row r="53" spans="1:23" ht="15.75">
      <c r="A53" s="33" t="s">
        <v>10</v>
      </c>
      <c r="B53" s="51">
        <f>B49</f>
        <v>4689.3967187243043</v>
      </c>
      <c r="C53" s="51">
        <f t="shared" ref="C53:U53" si="11">C49</f>
        <v>609.62157343416072</v>
      </c>
      <c r="D53" s="51">
        <f t="shared" si="11"/>
        <v>914.82947320005508</v>
      </c>
      <c r="E53" s="51">
        <f t="shared" si="11"/>
        <v>679.96252421502402</v>
      </c>
      <c r="F53" s="51">
        <f t="shared" si="11"/>
        <v>703.40950780864569</v>
      </c>
      <c r="G53" s="51">
        <f t="shared" si="11"/>
        <v>46.893967187243042</v>
      </c>
      <c r="H53" s="51">
        <f t="shared" si="11"/>
        <v>93.787934374486085</v>
      </c>
      <c r="I53" s="51">
        <f t="shared" si="11"/>
        <v>1430.2659992109127</v>
      </c>
      <c r="J53" s="51">
        <f t="shared" si="11"/>
        <v>189.92056710833435</v>
      </c>
      <c r="K53" s="51">
        <f t="shared" si="11"/>
        <v>49.238665546605212</v>
      </c>
      <c r="L53" s="51">
        <f t="shared" si="11"/>
        <v>267.29561296728542</v>
      </c>
      <c r="M53" s="51">
        <f t="shared" si="11"/>
        <v>140.68190156172912</v>
      </c>
      <c r="N53" s="51">
        <f t="shared" si="11"/>
        <v>14.068190156172916</v>
      </c>
      <c r="O53" s="51">
        <f t="shared" si="11"/>
        <v>68.887237798059985</v>
      </c>
      <c r="P53" s="51">
        <f t="shared" si="11"/>
        <v>18.288647203024802</v>
      </c>
      <c r="Q53" s="51">
        <f t="shared" si="11"/>
        <v>493.79347448166754</v>
      </c>
      <c r="R53" s="51">
        <f t="shared" si="11"/>
        <v>18.28864720302477</v>
      </c>
      <c r="S53" s="51">
        <f t="shared" si="11"/>
        <v>868.02679138292547</v>
      </c>
      <c r="T53" s="51">
        <f t="shared" si="11"/>
        <v>4.4468585624121557</v>
      </c>
      <c r="U53" s="51">
        <f t="shared" si="11"/>
        <v>8.0043454123395037</v>
      </c>
      <c r="V53" s="34"/>
      <c r="W53" s="17"/>
    </row>
    <row r="54" spans="1:23" ht="15.75">
      <c r="A54" s="4" t="s">
        <v>90</v>
      </c>
      <c r="B54" s="35">
        <v>0.996</v>
      </c>
      <c r="C54" s="36">
        <v>0.13</v>
      </c>
      <c r="D54" s="37">
        <v>0.25600000000000001</v>
      </c>
      <c r="E54" s="38">
        <v>0.14499999999999999</v>
      </c>
      <c r="F54" s="38">
        <v>0.15</v>
      </c>
      <c r="G54" s="38">
        <v>0.01</v>
      </c>
      <c r="H54" s="39">
        <v>0.02</v>
      </c>
      <c r="I54" s="38">
        <v>0.30499999999999999</v>
      </c>
      <c r="J54" s="38">
        <v>0.27</v>
      </c>
      <c r="K54" s="40">
        <v>7.0000000000000007E-2</v>
      </c>
      <c r="L54" s="39">
        <v>0.38</v>
      </c>
      <c r="M54" s="38">
        <v>0.2</v>
      </c>
      <c r="N54" s="38">
        <v>0.02</v>
      </c>
      <c r="O54" s="41">
        <v>0.113</v>
      </c>
      <c r="P54" s="39">
        <v>0.03</v>
      </c>
      <c r="Q54" s="38">
        <v>0.81</v>
      </c>
      <c r="R54" s="38">
        <v>0.3</v>
      </c>
      <c r="S54" s="38">
        <v>0.97599999999999998</v>
      </c>
      <c r="T54" s="42">
        <v>5.0000000000000001E-3</v>
      </c>
      <c r="U54" s="43">
        <v>8.9999999999999993E-3</v>
      </c>
      <c r="V54" s="34"/>
      <c r="W54" s="17"/>
    </row>
    <row r="55" spans="1:23" ht="16.5" thickBot="1">
      <c r="A55" s="4" t="s">
        <v>91</v>
      </c>
      <c r="B55" s="35">
        <v>0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0.32</v>
      </c>
      <c r="P55" s="38">
        <v>0.32</v>
      </c>
      <c r="Q55" s="38">
        <v>0.32</v>
      </c>
      <c r="R55" s="38">
        <v>0.32</v>
      </c>
      <c r="S55" s="38">
        <v>0</v>
      </c>
      <c r="T55" s="38">
        <v>0</v>
      </c>
      <c r="U55" s="43">
        <v>0</v>
      </c>
      <c r="V55" s="34"/>
      <c r="W55" s="17"/>
    </row>
    <row r="56" spans="1:23" ht="16.5" thickBot="1">
      <c r="A56" s="5" t="s">
        <v>92</v>
      </c>
      <c r="B56" s="61">
        <f>B55+B55/10</f>
        <v>0</v>
      </c>
      <c r="C56" s="62">
        <f>C55+C55/14</f>
        <v>0</v>
      </c>
      <c r="D56" s="61">
        <f>D55+D55/10</f>
        <v>0</v>
      </c>
      <c r="E56" s="62">
        <f>E55+E55/14</f>
        <v>0</v>
      </c>
      <c r="F56" s="61">
        <f>F55+F55/10</f>
        <v>0</v>
      </c>
      <c r="G56" s="62">
        <f>G55+G55/14</f>
        <v>0</v>
      </c>
      <c r="H56" s="61">
        <f>H55+H55/10</f>
        <v>0</v>
      </c>
      <c r="I56" s="62">
        <f>I55+I55/14</f>
        <v>0</v>
      </c>
      <c r="J56" s="61">
        <f>J55+J55/10</f>
        <v>0</v>
      </c>
      <c r="K56" s="62">
        <f>K55+K55/14</f>
        <v>0</v>
      </c>
      <c r="L56" s="61">
        <f>L55+L55/10</f>
        <v>0</v>
      </c>
      <c r="M56" s="62">
        <f>M55+M55/14</f>
        <v>0</v>
      </c>
      <c r="N56" s="61">
        <f>N55+N55/10</f>
        <v>0</v>
      </c>
      <c r="O56" s="62">
        <f>O55+O55/14</f>
        <v>0.34285714285714286</v>
      </c>
      <c r="P56" s="61">
        <f>P55+P55/10</f>
        <v>0.35199999999999998</v>
      </c>
      <c r="Q56" s="62">
        <f>Q55+Q55/14</f>
        <v>0.34285714285714286</v>
      </c>
      <c r="R56" s="61">
        <f>R55+R55/10</f>
        <v>0.35199999999999998</v>
      </c>
      <c r="S56" s="62">
        <f>S55+S55/14</f>
        <v>0</v>
      </c>
      <c r="T56" s="61">
        <f>T55+T55/10</f>
        <v>0</v>
      </c>
      <c r="U56" s="62">
        <f>U55+U55/14</f>
        <v>0</v>
      </c>
      <c r="V56" s="44">
        <f>SUMPRODUCT(B56:U56,B54:U54,B53:U53)</f>
        <v>141.92679972813133</v>
      </c>
      <c r="W56" s="17">
        <v>13</v>
      </c>
    </row>
    <row r="57" spans="1:23" ht="15.75">
      <c r="A57" s="47" t="s">
        <v>93</v>
      </c>
      <c r="B57" s="51">
        <f>B53</f>
        <v>4689.3967187243043</v>
      </c>
      <c r="C57" s="51">
        <f t="shared" ref="C57:U57" si="12">C53</f>
        <v>609.62157343416072</v>
      </c>
      <c r="D57" s="51">
        <f t="shared" si="12"/>
        <v>914.82947320005508</v>
      </c>
      <c r="E57" s="51">
        <f t="shared" si="12"/>
        <v>679.96252421502402</v>
      </c>
      <c r="F57" s="51">
        <f t="shared" si="12"/>
        <v>703.40950780864569</v>
      </c>
      <c r="G57" s="51">
        <f t="shared" si="12"/>
        <v>46.893967187243042</v>
      </c>
      <c r="H57" s="51">
        <f t="shared" si="12"/>
        <v>93.787934374486085</v>
      </c>
      <c r="I57" s="51">
        <f t="shared" si="12"/>
        <v>1430.2659992109127</v>
      </c>
      <c r="J57" s="51">
        <f t="shared" si="12"/>
        <v>189.92056710833435</v>
      </c>
      <c r="K57" s="51">
        <f t="shared" si="12"/>
        <v>49.238665546605212</v>
      </c>
      <c r="L57" s="51">
        <f t="shared" si="12"/>
        <v>267.29561296728542</v>
      </c>
      <c r="M57" s="51">
        <f t="shared" si="12"/>
        <v>140.68190156172912</v>
      </c>
      <c r="N57" s="51">
        <f t="shared" si="12"/>
        <v>14.068190156172916</v>
      </c>
      <c r="O57" s="51">
        <f t="shared" si="12"/>
        <v>68.887237798059985</v>
      </c>
      <c r="P57" s="51">
        <f t="shared" si="12"/>
        <v>18.288647203024802</v>
      </c>
      <c r="Q57" s="51">
        <f t="shared" si="12"/>
        <v>493.79347448166754</v>
      </c>
      <c r="R57" s="51">
        <f t="shared" si="12"/>
        <v>18.28864720302477</v>
      </c>
      <c r="S57" s="51">
        <f t="shared" si="12"/>
        <v>868.02679138292547</v>
      </c>
      <c r="T57" s="51">
        <f t="shared" si="12"/>
        <v>4.4468585624121557</v>
      </c>
      <c r="U57" s="51">
        <f t="shared" si="12"/>
        <v>8.0043454123395037</v>
      </c>
      <c r="V57" s="48"/>
      <c r="W57" s="17"/>
    </row>
    <row r="58" spans="1:23" ht="15.75">
      <c r="A58" s="4" t="s">
        <v>90</v>
      </c>
      <c r="B58" s="35">
        <v>0.996</v>
      </c>
      <c r="C58" s="36">
        <v>0.13</v>
      </c>
      <c r="D58" s="37">
        <v>0.25600000000000001</v>
      </c>
      <c r="E58" s="38">
        <v>0.14499999999999999</v>
      </c>
      <c r="F58" s="38">
        <v>0.15</v>
      </c>
      <c r="G58" s="38">
        <v>0.01</v>
      </c>
      <c r="H58" s="39">
        <v>0.02</v>
      </c>
      <c r="I58" s="38">
        <v>0.30499999999999999</v>
      </c>
      <c r="J58" s="38">
        <v>0.27</v>
      </c>
      <c r="K58" s="40">
        <v>7.0000000000000007E-2</v>
      </c>
      <c r="L58" s="39">
        <v>0.38</v>
      </c>
      <c r="M58" s="38">
        <v>0.2</v>
      </c>
      <c r="N58" s="38">
        <v>0.02</v>
      </c>
      <c r="O58" s="41">
        <v>0.113</v>
      </c>
      <c r="P58" s="39">
        <v>0.03</v>
      </c>
      <c r="Q58" s="38">
        <v>0.81</v>
      </c>
      <c r="R58" s="38">
        <v>0.3</v>
      </c>
      <c r="S58" s="38">
        <v>0.97599999999999998</v>
      </c>
      <c r="T58" s="42">
        <v>5.0000000000000001E-3</v>
      </c>
      <c r="U58" s="43">
        <v>8.9999999999999993E-3</v>
      </c>
      <c r="V58" s="48"/>
      <c r="W58" s="17"/>
    </row>
    <row r="59" spans="1:23" ht="16.5" thickBot="1">
      <c r="A59" s="4" t="s">
        <v>91</v>
      </c>
      <c r="B59" s="35">
        <v>0</v>
      </c>
      <c r="C59" s="37">
        <v>5.8000000000000003E-2</v>
      </c>
      <c r="D59" s="37">
        <v>5.8000000000000003E-2</v>
      </c>
      <c r="E59" s="37">
        <v>5.8000000000000003E-2</v>
      </c>
      <c r="F59" s="37">
        <v>5.8000000000000003E-2</v>
      </c>
      <c r="G59" s="37">
        <v>5.8000000000000003E-2</v>
      </c>
      <c r="H59" s="37">
        <v>5.8000000000000003E-2</v>
      </c>
      <c r="I59" s="37">
        <v>5.8000000000000003E-2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46">
        <v>0</v>
      </c>
      <c r="V59" s="48"/>
      <c r="W59" s="17"/>
    </row>
    <row r="60" spans="1:23" ht="16.5" thickBot="1">
      <c r="A60" s="5" t="s">
        <v>92</v>
      </c>
      <c r="B60" s="61">
        <f>B59+B59/10</f>
        <v>0</v>
      </c>
      <c r="C60" s="62">
        <f>C59+C59/14</f>
        <v>6.2142857142857146E-2</v>
      </c>
      <c r="D60" s="61">
        <f>D59+D59/10</f>
        <v>6.3800000000000009E-2</v>
      </c>
      <c r="E60" s="62">
        <f>E59+E59/14</f>
        <v>6.2142857142857146E-2</v>
      </c>
      <c r="F60" s="61">
        <f>F59+F59/10</f>
        <v>6.3800000000000009E-2</v>
      </c>
      <c r="G60" s="62">
        <f>G59+G59/14</f>
        <v>6.2142857142857146E-2</v>
      </c>
      <c r="H60" s="61">
        <f>H59+H59/10</f>
        <v>6.3800000000000009E-2</v>
      </c>
      <c r="I60" s="62">
        <f>I59+I59/14</f>
        <v>6.2142857142857146E-2</v>
      </c>
      <c r="J60" s="61">
        <f>J59+J59/10</f>
        <v>0</v>
      </c>
      <c r="K60" s="62">
        <f>K59+K59/14</f>
        <v>0</v>
      </c>
      <c r="L60" s="61">
        <f>L59+L59/10</f>
        <v>0</v>
      </c>
      <c r="M60" s="62">
        <f>M59+M59/14</f>
        <v>0</v>
      </c>
      <c r="N60" s="61">
        <f>N59+N59/10</f>
        <v>0</v>
      </c>
      <c r="O60" s="62">
        <f>O59+O59/14</f>
        <v>0</v>
      </c>
      <c r="P60" s="61">
        <f>P59+P59/10</f>
        <v>0</v>
      </c>
      <c r="Q60" s="62">
        <f>Q59+Q59/14</f>
        <v>0</v>
      </c>
      <c r="R60" s="61">
        <f>R59+R59/10</f>
        <v>0</v>
      </c>
      <c r="S60" s="62">
        <f>S59+S59/14</f>
        <v>0</v>
      </c>
      <c r="T60" s="61">
        <f>T59+T59/10</f>
        <v>0</v>
      </c>
      <c r="U60" s="62">
        <f>U59+U59/14</f>
        <v>0</v>
      </c>
      <c r="V60" s="44">
        <f>SUMPRODUCT(B60:U60,B58:U58,B57:U57)</f>
        <v>59.982638698891989</v>
      </c>
      <c r="W60" s="49">
        <v>14</v>
      </c>
    </row>
    <row r="61" spans="1:23">
      <c r="A61" s="6"/>
      <c r="B61" s="50"/>
      <c r="C61" s="50"/>
      <c r="D61" s="5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48"/>
      <c r="W61" s="17"/>
    </row>
    <row r="62" spans="1:2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48"/>
      <c r="W62" s="17"/>
    </row>
    <row r="63" spans="1:2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48"/>
      <c r="W63" s="17"/>
    </row>
    <row r="64" spans="1:2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48"/>
      <c r="W64" s="17"/>
    </row>
    <row r="65" spans="1:2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48"/>
      <c r="W65" s="17"/>
    </row>
    <row r="66" spans="1:2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48"/>
      <c r="W66" s="17"/>
    </row>
    <row r="67" spans="1:2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48"/>
      <c r="W67" s="17"/>
    </row>
    <row r="68" spans="1:2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48"/>
      <c r="W68" s="17"/>
    </row>
    <row r="69" spans="1:2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48"/>
      <c r="W69" s="17"/>
    </row>
    <row r="70" spans="1:2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48"/>
      <c r="W70" s="17"/>
    </row>
    <row r="71" spans="1:2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48"/>
      <c r="W71" s="17"/>
    </row>
    <row r="72" spans="1:2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48"/>
      <c r="W72" s="17"/>
    </row>
    <row r="73" spans="1:2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48"/>
      <c r="W73" s="17"/>
    </row>
    <row r="74" spans="1:2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48"/>
      <c r="W74" s="17"/>
    </row>
    <row r="75" spans="1:2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48"/>
      <c r="W75" s="17"/>
    </row>
    <row r="76" spans="1:2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48"/>
      <c r="W76" s="17"/>
    </row>
    <row r="77" spans="1:2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48"/>
      <c r="W77" s="17"/>
    </row>
    <row r="78" spans="1:2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48"/>
      <c r="W78" s="17"/>
    </row>
    <row r="79" spans="1:2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48"/>
      <c r="W79" s="17"/>
    </row>
    <row r="80" spans="1:2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48"/>
      <c r="W80" s="17"/>
    </row>
    <row r="81" spans="1:2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48"/>
      <c r="W81" s="17"/>
    </row>
    <row r="82" spans="1:2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48"/>
      <c r="W82" s="17"/>
    </row>
    <row r="83" spans="1:2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48"/>
      <c r="W83" s="17"/>
    </row>
    <row r="84" spans="1:2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48"/>
      <c r="W84" s="17"/>
    </row>
    <row r="85" spans="1:2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48"/>
      <c r="W85" s="17"/>
    </row>
    <row r="86" spans="1:2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48"/>
      <c r="W86" s="17"/>
    </row>
    <row r="87" spans="1:2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48"/>
      <c r="W87" s="17"/>
    </row>
    <row r="88" spans="1:2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48"/>
      <c r="W88" s="17"/>
    </row>
    <row r="89" spans="1:2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48"/>
      <c r="W89" s="17"/>
    </row>
    <row r="90" spans="1:2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48"/>
      <c r="W90" s="17"/>
    </row>
    <row r="91" spans="1:2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48"/>
      <c r="W91" s="17"/>
    </row>
    <row r="92" spans="1:2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48"/>
      <c r="W92" s="17"/>
    </row>
    <row r="93" spans="1:2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48"/>
      <c r="W93" s="17"/>
    </row>
    <row r="94" spans="1:2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48"/>
      <c r="W94" s="17"/>
    </row>
    <row r="95" spans="1:2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48"/>
      <c r="W95" s="17"/>
    </row>
    <row r="96" spans="1:2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48"/>
      <c r="W96" s="17"/>
    </row>
    <row r="97" spans="1:2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48"/>
      <c r="W97" s="17"/>
    </row>
    <row r="98" spans="1:2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48"/>
      <c r="W98" s="17"/>
    </row>
    <row r="99" spans="1:2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48"/>
      <c r="W99" s="17"/>
    </row>
    <row r="100" spans="1:2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48"/>
      <c r="W100" s="17"/>
    </row>
    <row r="101" spans="1:2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8"/>
      <c r="W101" s="17"/>
    </row>
    <row r="102" spans="1:2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48"/>
      <c r="W102" s="17"/>
    </row>
    <row r="103" spans="1:2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48"/>
      <c r="W103" s="17"/>
    </row>
    <row r="104" spans="1:2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48"/>
      <c r="W104" s="17"/>
    </row>
    <row r="105" spans="1:2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48"/>
      <c r="W105" s="17"/>
    </row>
    <row r="106" spans="1:2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48"/>
      <c r="W106" s="17"/>
    </row>
    <row r="107" spans="1:2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48"/>
      <c r="W107" s="17"/>
    </row>
    <row r="108" spans="1:2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48"/>
      <c r="W108" s="17"/>
    </row>
    <row r="109" spans="1:2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48"/>
      <c r="W109" s="17"/>
    </row>
    <row r="110" spans="1:2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48"/>
      <c r="W110" s="17"/>
    </row>
    <row r="111" spans="1:2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48"/>
      <c r="W111" s="17"/>
    </row>
    <row r="112" spans="1:2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48"/>
      <c r="W112" s="17"/>
    </row>
    <row r="113" spans="1:2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48"/>
      <c r="W113" s="17"/>
    </row>
    <row r="114" spans="1:2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48"/>
      <c r="W114" s="17"/>
    </row>
    <row r="115" spans="1:2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48"/>
      <c r="W115" s="17"/>
    </row>
    <row r="116" spans="1:2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48"/>
      <c r="W116" s="17"/>
    </row>
    <row r="117" spans="1:2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48"/>
      <c r="W117" s="17"/>
    </row>
    <row r="118" spans="1:2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48"/>
      <c r="W118" s="17"/>
    </row>
    <row r="119" spans="1:2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48"/>
      <c r="W119" s="17"/>
    </row>
    <row r="120" spans="1:2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48"/>
      <c r="W120" s="17"/>
    </row>
    <row r="121" spans="1:23">
      <c r="A121" s="6"/>
    </row>
    <row r="122" spans="1:23">
      <c r="A122" s="6"/>
    </row>
    <row r="123" spans="1:23">
      <c r="A123" s="6"/>
    </row>
    <row r="124" spans="1:23">
      <c r="A124" s="6"/>
    </row>
    <row r="125" spans="1:23">
      <c r="A125" s="6"/>
    </row>
    <row r="126" spans="1:23">
      <c r="A126" s="6"/>
    </row>
    <row r="127" spans="1:23">
      <c r="A127" s="6"/>
    </row>
    <row r="128" spans="1:23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</sheetData>
  <mergeCells count="4">
    <mergeCell ref="C1:I1"/>
    <mergeCell ref="J1:N1"/>
    <mergeCell ref="O1:R1"/>
    <mergeCell ref="S1:U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2"/>
  <sheetViews>
    <sheetView topLeftCell="A10" workbookViewId="0">
      <selection activeCell="D298" sqref="D298:E306"/>
    </sheetView>
  </sheetViews>
  <sheetFormatPr defaultRowHeight="12.75"/>
  <cols>
    <col min="1" max="1" width="24.5703125" customWidth="1"/>
    <col min="2" max="2" width="22.7109375" customWidth="1"/>
  </cols>
  <sheetData>
    <row r="1" spans="1:6">
      <c r="A1" s="58" t="s">
        <v>95</v>
      </c>
      <c r="B1" s="58"/>
      <c r="D1" s="57" t="s">
        <v>115</v>
      </c>
      <c r="E1" s="57" t="s">
        <v>117</v>
      </c>
      <c r="F1" s="57" t="s">
        <v>120</v>
      </c>
    </row>
    <row r="2" spans="1:6">
      <c r="A2" s="52"/>
      <c r="B2" s="52"/>
      <c r="D2" s="52">
        <v>1988.2873235968873</v>
      </c>
      <c r="E2" s="52">
        <v>1</v>
      </c>
      <c r="F2" s="59">
        <v>0.02</v>
      </c>
    </row>
    <row r="3" spans="1:6">
      <c r="A3" s="52" t="s">
        <v>104</v>
      </c>
      <c r="B3" s="52">
        <v>6541.2450572809885</v>
      </c>
      <c r="D3" s="52">
        <v>3156.3013208896987</v>
      </c>
      <c r="E3" s="52">
        <v>0</v>
      </c>
      <c r="F3" s="59">
        <v>0.02</v>
      </c>
    </row>
    <row r="4" spans="1:6">
      <c r="A4" s="52" t="s">
        <v>105</v>
      </c>
      <c r="B4" s="52">
        <v>244.46556863980868</v>
      </c>
      <c r="D4" s="52">
        <v>4324.3153181825101</v>
      </c>
      <c r="E4" s="52">
        <v>7</v>
      </c>
      <c r="F4" s="59">
        <v>0.16</v>
      </c>
    </row>
    <row r="5" spans="1:6">
      <c r="A5" s="52" t="s">
        <v>106</v>
      </c>
      <c r="B5" s="52">
        <v>6539.5637879231799</v>
      </c>
      <c r="D5" s="52">
        <v>5492.329315475321</v>
      </c>
      <c r="E5" s="52">
        <v>2</v>
      </c>
      <c r="F5" s="59">
        <v>0.2</v>
      </c>
    </row>
    <row r="6" spans="1:6">
      <c r="A6" s="52" t="s">
        <v>107</v>
      </c>
      <c r="B6" s="52" t="e">
        <v>#N/A</v>
      </c>
      <c r="D6" s="52">
        <v>6660.3433127681328</v>
      </c>
      <c r="E6" s="52">
        <v>17</v>
      </c>
      <c r="F6" s="59">
        <v>0.54</v>
      </c>
    </row>
    <row r="7" spans="1:6">
      <c r="A7" s="52" t="s">
        <v>108</v>
      </c>
      <c r="B7" s="52">
        <v>1893.6221521262105</v>
      </c>
      <c r="D7" s="52">
        <v>7828.3573100609447</v>
      </c>
      <c r="E7" s="52">
        <v>10</v>
      </c>
      <c r="F7" s="59">
        <v>0.74</v>
      </c>
    </row>
    <row r="8" spans="1:6">
      <c r="A8" s="52" t="s">
        <v>109</v>
      </c>
      <c r="B8" s="52">
        <v>3585804.8550231014</v>
      </c>
      <c r="D8" s="52">
        <v>8996.3713073537547</v>
      </c>
      <c r="E8" s="52">
        <v>8</v>
      </c>
      <c r="F8" s="59">
        <v>0.9</v>
      </c>
    </row>
    <row r="9" spans="1:6" ht="13.5" thickBot="1">
      <c r="A9" s="52" t="s">
        <v>110</v>
      </c>
      <c r="B9" s="52">
        <v>-0.42680429692977828</v>
      </c>
      <c r="D9" s="56" t="s">
        <v>116</v>
      </c>
      <c r="E9" s="56">
        <v>5</v>
      </c>
      <c r="F9" s="60">
        <v>1</v>
      </c>
    </row>
    <row r="10" spans="1:6">
      <c r="A10" s="52" t="s">
        <v>111</v>
      </c>
      <c r="B10" s="52">
        <v>-0.20394973497237223</v>
      </c>
    </row>
    <row r="11" spans="1:6">
      <c r="A11" s="52" t="s">
        <v>112</v>
      </c>
      <c r="B11" s="52">
        <v>8245.6308518885635</v>
      </c>
    </row>
    <row r="12" spans="1:6">
      <c r="A12" s="52" t="s">
        <v>97</v>
      </c>
      <c r="B12" s="52">
        <v>1988.2873235968873</v>
      </c>
    </row>
    <row r="13" spans="1:6">
      <c r="A13" s="52" t="s">
        <v>99</v>
      </c>
      <c r="B13" s="52">
        <v>10233.918175485451</v>
      </c>
    </row>
    <row r="14" spans="1:6">
      <c r="A14" s="52" t="s">
        <v>92</v>
      </c>
      <c r="B14" s="52">
        <v>392474.7034368593</v>
      </c>
    </row>
    <row r="15" spans="1:6">
      <c r="A15" s="52" t="s">
        <v>113</v>
      </c>
      <c r="B15" s="52">
        <v>60</v>
      </c>
    </row>
    <row r="16" spans="1:6">
      <c r="A16" s="52" t="s">
        <v>118</v>
      </c>
      <c r="B16" s="52">
        <v>10233.918175485451</v>
      </c>
    </row>
    <row r="17" spans="1:6">
      <c r="A17" s="52" t="s">
        <v>119</v>
      </c>
      <c r="B17" s="52">
        <v>1988.2873235968873</v>
      </c>
    </row>
    <row r="18" spans="1:6" ht="13.5" thickBot="1">
      <c r="A18" s="56" t="s">
        <v>114</v>
      </c>
      <c r="B18" s="56">
        <v>489.17446881653672</v>
      </c>
    </row>
    <row r="21" spans="1:6" ht="13.5" thickBot="1"/>
    <row r="22" spans="1:6">
      <c r="A22" s="58" t="s">
        <v>3</v>
      </c>
      <c r="B22" s="58"/>
      <c r="D22" s="57" t="s">
        <v>115</v>
      </c>
      <c r="E22" s="57" t="s">
        <v>117</v>
      </c>
      <c r="F22" s="57" t="s">
        <v>120</v>
      </c>
    </row>
    <row r="23" spans="1:6">
      <c r="A23" s="52"/>
      <c r="B23" s="52"/>
      <c r="D23" s="52">
        <v>303.38021689094603</v>
      </c>
      <c r="E23" s="52">
        <v>1</v>
      </c>
      <c r="F23" s="59">
        <v>1.6666666666666666E-2</v>
      </c>
    </row>
    <row r="24" spans="1:6">
      <c r="A24" s="52" t="s">
        <v>104</v>
      </c>
      <c r="B24" s="52">
        <v>1298.8916877858476</v>
      </c>
      <c r="D24" s="52">
        <v>621.03470200672746</v>
      </c>
      <c r="E24" s="52">
        <v>4</v>
      </c>
      <c r="F24" s="59">
        <v>8.3333333333333329E-2</v>
      </c>
    </row>
    <row r="25" spans="1:6">
      <c r="A25" s="52" t="s">
        <v>105</v>
      </c>
      <c r="B25" s="52">
        <v>51.96096576508517</v>
      </c>
      <c r="D25" s="52">
        <v>938.68918712250888</v>
      </c>
      <c r="E25" s="52">
        <v>5</v>
      </c>
      <c r="F25" s="59">
        <v>0.16666666666666666</v>
      </c>
    </row>
    <row r="26" spans="1:6">
      <c r="A26" s="52" t="s">
        <v>106</v>
      </c>
      <c r="B26" s="52">
        <v>1288.0435939303425</v>
      </c>
      <c r="D26" s="52">
        <v>1256.3436722382903</v>
      </c>
      <c r="E26" s="52">
        <v>17</v>
      </c>
      <c r="F26" s="59">
        <v>0.45</v>
      </c>
    </row>
    <row r="27" spans="1:6">
      <c r="A27" s="52" t="s">
        <v>107</v>
      </c>
      <c r="B27" s="52" t="e">
        <v>#N/A</v>
      </c>
      <c r="D27" s="52">
        <v>1573.9981573540717</v>
      </c>
      <c r="E27" s="52">
        <v>16</v>
      </c>
      <c r="F27" s="59">
        <v>0.71666666666666667</v>
      </c>
    </row>
    <row r="28" spans="1:6">
      <c r="A28" s="52" t="s">
        <v>108</v>
      </c>
      <c r="B28" s="52">
        <v>402.4879101220572</v>
      </c>
      <c r="D28" s="52">
        <v>1891.6526424698532</v>
      </c>
      <c r="E28" s="52">
        <v>15</v>
      </c>
      <c r="F28" s="59">
        <v>0.96666666666666667</v>
      </c>
    </row>
    <row r="29" spans="1:6">
      <c r="A29" s="52" t="s">
        <v>109</v>
      </c>
      <c r="B29" s="52">
        <v>161996.51779442118</v>
      </c>
      <c r="D29" s="52">
        <v>2209.3071275856346</v>
      </c>
      <c r="E29" s="52">
        <v>1</v>
      </c>
      <c r="F29" s="59">
        <v>0.98333333333333328</v>
      </c>
    </row>
    <row r="30" spans="1:6" ht="13.5" thickBot="1">
      <c r="A30" s="52" t="s">
        <v>110</v>
      </c>
      <c r="B30" s="52">
        <v>0.73375507562392839</v>
      </c>
      <c r="D30" s="56" t="s">
        <v>116</v>
      </c>
      <c r="E30" s="56">
        <v>1</v>
      </c>
      <c r="F30" s="60">
        <v>1</v>
      </c>
    </row>
    <row r="31" spans="1:6">
      <c r="A31" s="52" t="s">
        <v>111</v>
      </c>
      <c r="B31" s="52">
        <v>-4.5105982700767003E-2</v>
      </c>
    </row>
    <row r="32" spans="1:6">
      <c r="A32" s="52" t="s">
        <v>112</v>
      </c>
      <c r="B32" s="52">
        <v>2223.58139581047</v>
      </c>
    </row>
    <row r="33" spans="1:5">
      <c r="A33" s="52" t="s">
        <v>97</v>
      </c>
      <c r="B33" s="52">
        <v>303.38021689094603</v>
      </c>
    </row>
    <row r="34" spans="1:5">
      <c r="A34" s="52" t="s">
        <v>99</v>
      </c>
      <c r="B34" s="52">
        <v>2526.961612701416</v>
      </c>
    </row>
    <row r="35" spans="1:5">
      <c r="A35" s="52" t="s">
        <v>92</v>
      </c>
      <c r="B35" s="52">
        <v>77933.501267150859</v>
      </c>
    </row>
    <row r="36" spans="1:5">
      <c r="A36" s="52" t="s">
        <v>113</v>
      </c>
      <c r="B36" s="52">
        <v>60</v>
      </c>
    </row>
    <row r="37" spans="1:5">
      <c r="A37" s="52" t="s">
        <v>118</v>
      </c>
      <c r="B37" s="52">
        <v>2526.961612701416</v>
      </c>
    </row>
    <row r="38" spans="1:5">
      <c r="A38" s="52" t="s">
        <v>119</v>
      </c>
      <c r="B38" s="52">
        <v>303.38021689094603</v>
      </c>
    </row>
    <row r="39" spans="1:5" ht="13.5" thickBot="1">
      <c r="A39" s="56" t="s">
        <v>114</v>
      </c>
      <c r="B39" s="56">
        <v>103.97365145837857</v>
      </c>
    </row>
    <row r="42" spans="1:5" ht="13.5" thickBot="1"/>
    <row r="43" spans="1:5">
      <c r="A43" s="58" t="s">
        <v>4</v>
      </c>
      <c r="B43" s="58"/>
      <c r="D43" s="57" t="s">
        <v>115</v>
      </c>
      <c r="E43" s="57" t="s">
        <v>117</v>
      </c>
    </row>
    <row r="44" spans="1:5">
      <c r="A44" s="52"/>
      <c r="B44" s="52"/>
      <c r="D44" s="52">
        <v>149.04484525322914</v>
      </c>
      <c r="E44" s="52">
        <v>1</v>
      </c>
    </row>
    <row r="45" spans="1:5">
      <c r="A45" s="52" t="s">
        <v>104</v>
      </c>
      <c r="B45" s="52">
        <v>376.27992044933006</v>
      </c>
      <c r="D45" s="52">
        <v>207.85963285847436</v>
      </c>
      <c r="E45" s="52">
        <v>0</v>
      </c>
    </row>
    <row r="46" spans="1:5">
      <c r="A46" s="52" t="s">
        <v>105</v>
      </c>
      <c r="B46" s="52">
        <v>9.7161089439818582</v>
      </c>
      <c r="D46" s="52">
        <v>266.67442046371957</v>
      </c>
      <c r="E46" s="52">
        <v>2</v>
      </c>
    </row>
    <row r="47" spans="1:5">
      <c r="A47" s="52" t="s">
        <v>106</v>
      </c>
      <c r="B47" s="52">
        <v>371.46665401087375</v>
      </c>
      <c r="D47" s="52">
        <v>325.48920806896473</v>
      </c>
      <c r="E47" s="52">
        <v>12</v>
      </c>
    </row>
    <row r="48" spans="1:5">
      <c r="A48" s="52" t="s">
        <v>107</v>
      </c>
      <c r="B48" s="52" t="e">
        <v>#N/A</v>
      </c>
      <c r="D48" s="52">
        <v>384.30399567420994</v>
      </c>
      <c r="E48" s="52">
        <v>18</v>
      </c>
    </row>
    <row r="49" spans="1:5">
      <c r="A49" s="52" t="s">
        <v>108</v>
      </c>
      <c r="B49" s="52">
        <v>75.260656259957344</v>
      </c>
      <c r="D49" s="52">
        <v>443.11878327945516</v>
      </c>
      <c r="E49" s="52">
        <v>18</v>
      </c>
    </row>
    <row r="50" spans="1:5">
      <c r="A50" s="52" t="s">
        <v>109</v>
      </c>
      <c r="B50" s="52">
        <v>5664.1663806794559</v>
      </c>
      <c r="D50" s="52">
        <v>501.93357088470032</v>
      </c>
      <c r="E50" s="52">
        <v>6</v>
      </c>
    </row>
    <row r="51" spans="1:5" ht="13.5" thickBot="1">
      <c r="A51" s="52" t="s">
        <v>110</v>
      </c>
      <c r="B51" s="52">
        <v>0.6450394408576865</v>
      </c>
      <c r="D51" s="56" t="s">
        <v>116</v>
      </c>
      <c r="E51" s="56">
        <v>3</v>
      </c>
    </row>
    <row r="52" spans="1:5">
      <c r="A52" s="52" t="s">
        <v>111</v>
      </c>
      <c r="B52" s="52">
        <v>-0.10472756916704136</v>
      </c>
    </row>
    <row r="53" spans="1:5">
      <c r="A53" s="52" t="s">
        <v>112</v>
      </c>
      <c r="B53" s="52">
        <v>411.70351323671639</v>
      </c>
    </row>
    <row r="54" spans="1:5">
      <c r="A54" s="52" t="s">
        <v>97</v>
      </c>
      <c r="B54" s="52">
        <v>149.04484525322914</v>
      </c>
    </row>
    <row r="55" spans="1:5">
      <c r="A55" s="52" t="s">
        <v>99</v>
      </c>
      <c r="B55" s="52">
        <v>560.74835848994553</v>
      </c>
    </row>
    <row r="56" spans="1:5">
      <c r="A56" s="52" t="s">
        <v>92</v>
      </c>
      <c r="B56" s="52">
        <v>22576.795226959803</v>
      </c>
    </row>
    <row r="57" spans="1:5">
      <c r="A57" s="52" t="s">
        <v>113</v>
      </c>
      <c r="B57" s="52">
        <v>60</v>
      </c>
    </row>
    <row r="58" spans="1:5">
      <c r="A58" s="52" t="s">
        <v>118</v>
      </c>
      <c r="B58" s="52">
        <v>560.74835848994553</v>
      </c>
    </row>
    <row r="59" spans="1:5">
      <c r="A59" s="52" t="s">
        <v>119</v>
      </c>
      <c r="B59" s="52">
        <v>149.04484525322914</v>
      </c>
    </row>
    <row r="60" spans="1:5" ht="13.5" thickBot="1">
      <c r="A60" s="56" t="s">
        <v>114</v>
      </c>
      <c r="B60" s="56">
        <v>19.44188892562914</v>
      </c>
    </row>
    <row r="63" spans="1:5" ht="13.5" thickBot="1"/>
    <row r="64" spans="1:5">
      <c r="A64" s="58" t="s">
        <v>11</v>
      </c>
      <c r="B64" s="58"/>
      <c r="D64" s="57" t="s">
        <v>115</v>
      </c>
      <c r="E64" s="57" t="s">
        <v>117</v>
      </c>
    </row>
    <row r="65" spans="1:5">
      <c r="A65" s="52"/>
      <c r="B65" s="52"/>
      <c r="D65" s="52">
        <v>31253.076969878748</v>
      </c>
      <c r="E65" s="52">
        <v>1</v>
      </c>
    </row>
    <row r="66" spans="1:5">
      <c r="A66" s="52" t="s">
        <v>104</v>
      </c>
      <c r="B66" s="52">
        <v>34820.739816376161</v>
      </c>
      <c r="D66" s="52">
        <v>32427.178937609173</v>
      </c>
      <c r="E66" s="52">
        <v>0</v>
      </c>
    </row>
    <row r="67" spans="1:5">
      <c r="A67" s="52" t="s">
        <v>105</v>
      </c>
      <c r="B67" s="52">
        <v>192.105446610515</v>
      </c>
      <c r="D67" s="52">
        <v>33601.280905339598</v>
      </c>
      <c r="E67" s="52">
        <v>10</v>
      </c>
    </row>
    <row r="68" spans="1:5">
      <c r="A68" s="52" t="s">
        <v>106</v>
      </c>
      <c r="B68" s="52">
        <v>34624.563022280199</v>
      </c>
      <c r="D68" s="52">
        <v>34775.382873070026</v>
      </c>
      <c r="E68" s="52">
        <v>24</v>
      </c>
    </row>
    <row r="69" spans="1:5">
      <c r="A69" s="52" t="s">
        <v>107</v>
      </c>
      <c r="B69" s="52" t="e">
        <v>#N/A</v>
      </c>
      <c r="D69" s="52">
        <v>35949.484840800455</v>
      </c>
      <c r="E69" s="52">
        <v>14</v>
      </c>
    </row>
    <row r="70" spans="1:5">
      <c r="A70" s="52" t="s">
        <v>108</v>
      </c>
      <c r="B70" s="52">
        <v>1488.0423908765254</v>
      </c>
      <c r="D70" s="52">
        <v>37123.586808530883</v>
      </c>
      <c r="E70" s="52">
        <v>6</v>
      </c>
    </row>
    <row r="71" spans="1:5">
      <c r="A71" s="52" t="s">
        <v>109</v>
      </c>
      <c r="B71" s="52">
        <v>2214270.157045526</v>
      </c>
      <c r="D71" s="52">
        <v>38297.688776261304</v>
      </c>
      <c r="E71" s="52">
        <v>4</v>
      </c>
    </row>
    <row r="72" spans="1:5" ht="13.5" thickBot="1">
      <c r="A72" s="52" t="s">
        <v>110</v>
      </c>
      <c r="B72" s="52">
        <v>1.0499028120695457</v>
      </c>
      <c r="D72" s="56" t="s">
        <v>116</v>
      </c>
      <c r="E72" s="56">
        <v>1</v>
      </c>
    </row>
    <row r="73" spans="1:5">
      <c r="A73" s="52" t="s">
        <v>111</v>
      </c>
      <c r="B73" s="52">
        <v>0.61734875044771609</v>
      </c>
    </row>
    <row r="74" spans="1:5">
      <c r="A74" s="52" t="s">
        <v>112</v>
      </c>
      <c r="B74" s="52">
        <v>8218.7137741129845</v>
      </c>
    </row>
    <row r="75" spans="1:5">
      <c r="A75" s="52" t="s">
        <v>97</v>
      </c>
      <c r="B75" s="52">
        <v>31253.076969878748</v>
      </c>
    </row>
    <row r="76" spans="1:5">
      <c r="A76" s="52" t="s">
        <v>99</v>
      </c>
      <c r="B76" s="52">
        <v>39471.790743991733</v>
      </c>
    </row>
    <row r="77" spans="1:5">
      <c r="A77" s="52" t="s">
        <v>92</v>
      </c>
      <c r="B77" s="52">
        <v>2089244.3889825698</v>
      </c>
    </row>
    <row r="78" spans="1:5">
      <c r="A78" s="52" t="s">
        <v>113</v>
      </c>
      <c r="B78" s="52">
        <v>60</v>
      </c>
    </row>
    <row r="79" spans="1:5">
      <c r="A79" s="52" t="s">
        <v>118</v>
      </c>
      <c r="B79" s="52">
        <v>39471.790743991733</v>
      </c>
    </row>
    <row r="80" spans="1:5">
      <c r="A80" s="52" t="s">
        <v>119</v>
      </c>
      <c r="B80" s="52">
        <v>31253.076969878748</v>
      </c>
    </row>
    <row r="81" spans="1:5" ht="13.5" thickBot="1">
      <c r="A81" s="56" t="s">
        <v>114</v>
      </c>
      <c r="B81" s="56">
        <v>384.40210752509091</v>
      </c>
    </row>
    <row r="84" spans="1:5" ht="13.5" thickBot="1"/>
    <row r="85" spans="1:5">
      <c r="A85" s="58" t="s">
        <v>12</v>
      </c>
      <c r="B85" s="58"/>
      <c r="D85" s="57" t="s">
        <v>115</v>
      </c>
      <c r="E85" s="57" t="s">
        <v>117</v>
      </c>
    </row>
    <row r="86" spans="1:5">
      <c r="A86" s="52"/>
      <c r="B86" s="52"/>
      <c r="D86" s="52">
        <v>62269.101519731339</v>
      </c>
      <c r="E86" s="52">
        <v>1</v>
      </c>
    </row>
    <row r="87" spans="1:5">
      <c r="A87" s="52" t="s">
        <v>104</v>
      </c>
      <c r="B87" s="52">
        <v>63685.044434014009</v>
      </c>
      <c r="D87" s="52">
        <v>62721.704115803419</v>
      </c>
      <c r="E87" s="52">
        <v>6</v>
      </c>
    </row>
    <row r="88" spans="1:5">
      <c r="A88" s="52" t="s">
        <v>105</v>
      </c>
      <c r="B88" s="52">
        <v>95.344469844871298</v>
      </c>
      <c r="D88" s="52">
        <v>63174.306711875499</v>
      </c>
      <c r="E88" s="52">
        <v>7</v>
      </c>
    </row>
    <row r="89" spans="1:5">
      <c r="A89" s="52" t="s">
        <v>106</v>
      </c>
      <c r="B89" s="52">
        <v>63732.936502773373</v>
      </c>
      <c r="D89" s="52">
        <v>63626.909307947579</v>
      </c>
      <c r="E89" s="52">
        <v>12</v>
      </c>
    </row>
    <row r="90" spans="1:5">
      <c r="A90" s="52" t="s">
        <v>107</v>
      </c>
      <c r="B90" s="52" t="e">
        <v>#N/A</v>
      </c>
      <c r="D90" s="52">
        <v>64079.511904019666</v>
      </c>
      <c r="E90" s="52">
        <v>19</v>
      </c>
    </row>
    <row r="91" spans="1:5">
      <c r="A91" s="52" t="s">
        <v>108</v>
      </c>
      <c r="B91" s="52">
        <v>738.5350877243236</v>
      </c>
      <c r="D91" s="52">
        <v>64532.114500091746</v>
      </c>
      <c r="E91" s="52">
        <v>8</v>
      </c>
    </row>
    <row r="92" spans="1:5">
      <c r="A92" s="52" t="s">
        <v>109</v>
      </c>
      <c r="B92" s="52">
        <v>545434.07579997438</v>
      </c>
      <c r="D92" s="52">
        <v>64984.717096163826</v>
      </c>
      <c r="E92" s="52">
        <v>4</v>
      </c>
    </row>
    <row r="93" spans="1:5" ht="13.5" thickBot="1">
      <c r="A93" s="52" t="s">
        <v>110</v>
      </c>
      <c r="B93" s="52">
        <v>-9.2371992577565454E-2</v>
      </c>
      <c r="D93" s="56" t="s">
        <v>116</v>
      </c>
      <c r="E93" s="56">
        <v>3</v>
      </c>
    </row>
    <row r="94" spans="1:5">
      <c r="A94" s="52" t="s">
        <v>111</v>
      </c>
      <c r="B94" s="52">
        <v>0.18876438125667253</v>
      </c>
    </row>
    <row r="95" spans="1:5">
      <c r="A95" s="52" t="s">
        <v>112</v>
      </c>
      <c r="B95" s="52">
        <v>3168.2181725045666</v>
      </c>
    </row>
    <row r="96" spans="1:5">
      <c r="A96" s="52" t="s">
        <v>97</v>
      </c>
      <c r="B96" s="52">
        <v>62269.101519731339</v>
      </c>
    </row>
    <row r="97" spans="1:5">
      <c r="A97" s="52" t="s">
        <v>99</v>
      </c>
      <c r="B97" s="52">
        <v>65437.319692235906</v>
      </c>
    </row>
    <row r="98" spans="1:5">
      <c r="A98" s="52" t="s">
        <v>92</v>
      </c>
      <c r="B98" s="52">
        <v>3821102.6660408406</v>
      </c>
    </row>
    <row r="99" spans="1:5">
      <c r="A99" s="52" t="s">
        <v>113</v>
      </c>
      <c r="B99" s="52">
        <v>60</v>
      </c>
    </row>
    <row r="100" spans="1:5">
      <c r="A100" s="52" t="s">
        <v>118</v>
      </c>
      <c r="B100" s="52">
        <v>65437.319692235906</v>
      </c>
    </row>
    <row r="101" spans="1:5">
      <c r="A101" s="52" t="s">
        <v>119</v>
      </c>
      <c r="B101" s="52">
        <v>62269.101519731339</v>
      </c>
    </row>
    <row r="102" spans="1:5" ht="13.5" thickBot="1">
      <c r="A102" s="56" t="s">
        <v>114</v>
      </c>
      <c r="B102" s="56">
        <v>190.78384187377284</v>
      </c>
    </row>
    <row r="105" spans="1:5" ht="13.5" thickBot="1"/>
    <row r="106" spans="1:5">
      <c r="A106" s="58" t="s">
        <v>13</v>
      </c>
      <c r="B106" s="58"/>
      <c r="D106" s="57" t="s">
        <v>115</v>
      </c>
      <c r="E106" s="57" t="s">
        <v>117</v>
      </c>
    </row>
    <row r="107" spans="1:5">
      <c r="A107" s="52"/>
      <c r="B107" s="52"/>
      <c r="D107" s="52">
        <v>13052.899011073168</v>
      </c>
      <c r="E107" s="52">
        <v>1</v>
      </c>
    </row>
    <row r="108" spans="1:5">
      <c r="A108" s="52" t="s">
        <v>104</v>
      </c>
      <c r="B108" s="52">
        <v>15922.309678545209</v>
      </c>
      <c r="D108" s="52">
        <v>13958.215696873542</v>
      </c>
      <c r="E108" s="52">
        <v>5</v>
      </c>
    </row>
    <row r="109" spans="1:5">
      <c r="A109" s="52" t="s">
        <v>105</v>
      </c>
      <c r="B109" s="52">
        <v>194.38273712628504</v>
      </c>
      <c r="D109" s="52">
        <v>14863.532382673917</v>
      </c>
      <c r="E109" s="52">
        <v>8</v>
      </c>
    </row>
    <row r="110" spans="1:5">
      <c r="A110" s="52" t="s">
        <v>106</v>
      </c>
      <c r="B110" s="52">
        <v>15745.160406014111</v>
      </c>
      <c r="D110" s="52">
        <v>15768.84906847429</v>
      </c>
      <c r="E110" s="52">
        <v>17</v>
      </c>
    </row>
    <row r="111" spans="1:5">
      <c r="A111" s="52" t="s">
        <v>107</v>
      </c>
      <c r="B111" s="52" t="e">
        <v>#N/A</v>
      </c>
      <c r="D111" s="52">
        <v>16674.165754274665</v>
      </c>
      <c r="E111" s="52">
        <v>13</v>
      </c>
    </row>
    <row r="112" spans="1:5">
      <c r="A112" s="52" t="s">
        <v>108</v>
      </c>
      <c r="B112" s="52">
        <v>1505.6822073606322</v>
      </c>
      <c r="D112" s="52">
        <v>17579.482440075037</v>
      </c>
      <c r="E112" s="52">
        <v>7</v>
      </c>
    </row>
    <row r="113" spans="1:5">
      <c r="A113" s="52" t="s">
        <v>109</v>
      </c>
      <c r="B113" s="52">
        <v>2267078.9095623856</v>
      </c>
      <c r="D113" s="52">
        <v>18484.799125875412</v>
      </c>
      <c r="E113" s="52">
        <v>5</v>
      </c>
    </row>
    <row r="114" spans="1:5" ht="13.5" thickBot="1">
      <c r="A114" s="52" t="s">
        <v>110</v>
      </c>
      <c r="B114" s="52">
        <v>-0.22798547704348682</v>
      </c>
      <c r="D114" s="56" t="s">
        <v>116</v>
      </c>
      <c r="E114" s="56">
        <v>4</v>
      </c>
    </row>
    <row r="115" spans="1:5">
      <c r="A115" s="52" t="s">
        <v>111</v>
      </c>
      <c r="B115" s="52">
        <v>0.39768203295794585</v>
      </c>
    </row>
    <row r="116" spans="1:5">
      <c r="A116" s="52" t="s">
        <v>112</v>
      </c>
      <c r="B116" s="52">
        <v>6337.2168006026186</v>
      </c>
    </row>
    <row r="117" spans="1:5">
      <c r="A117" s="52" t="s">
        <v>97</v>
      </c>
      <c r="B117" s="52">
        <v>13052.899011073168</v>
      </c>
    </row>
    <row r="118" spans="1:5">
      <c r="A118" s="52" t="s">
        <v>99</v>
      </c>
      <c r="B118" s="52">
        <v>19390.115811675787</v>
      </c>
    </row>
    <row r="119" spans="1:5">
      <c r="A119" s="52" t="s">
        <v>92</v>
      </c>
      <c r="B119" s="52">
        <v>955338.58071271249</v>
      </c>
    </row>
    <row r="120" spans="1:5">
      <c r="A120" s="52" t="s">
        <v>113</v>
      </c>
      <c r="B120" s="52">
        <v>60</v>
      </c>
    </row>
    <row r="121" spans="1:5">
      <c r="A121" s="52" t="s">
        <v>118</v>
      </c>
      <c r="B121" s="52">
        <v>19390.115811675787</v>
      </c>
    </row>
    <row r="122" spans="1:5">
      <c r="A122" s="52" t="s">
        <v>119</v>
      </c>
      <c r="B122" s="52">
        <v>13052.899011073168</v>
      </c>
    </row>
    <row r="123" spans="1:5" ht="13.5" thickBot="1">
      <c r="A123" s="56" t="s">
        <v>114</v>
      </c>
      <c r="B123" s="56">
        <v>388.95895528320642</v>
      </c>
    </row>
    <row r="126" spans="1:5" ht="13.5" thickBot="1"/>
    <row r="127" spans="1:5">
      <c r="A127" s="58" t="s">
        <v>5</v>
      </c>
      <c r="B127" s="58"/>
    </row>
    <row r="128" spans="1:5">
      <c r="A128" s="52"/>
      <c r="B128" s="52"/>
    </row>
    <row r="129" spans="1:5" ht="13.5" thickBot="1">
      <c r="A129" s="52" t="s">
        <v>104</v>
      </c>
      <c r="B129" s="52">
        <v>95076.517010559473</v>
      </c>
    </row>
    <row r="130" spans="1:5">
      <c r="A130" s="52" t="s">
        <v>105</v>
      </c>
      <c r="B130" s="52">
        <v>248.10587547773611</v>
      </c>
      <c r="D130" s="57" t="s">
        <v>115</v>
      </c>
      <c r="E130" s="57" t="s">
        <v>117</v>
      </c>
    </row>
    <row r="131" spans="1:5">
      <c r="A131" s="52" t="s">
        <v>106</v>
      </c>
      <c r="B131" s="52">
        <v>94769.189679075498</v>
      </c>
      <c r="D131" s="52">
        <v>91088.233063649386</v>
      </c>
      <c r="E131" s="52">
        <v>1</v>
      </c>
    </row>
    <row r="132" spans="1:5">
      <c r="A132" s="52" t="s">
        <v>107</v>
      </c>
      <c r="B132" s="52" t="e">
        <v>#N/A</v>
      </c>
      <c r="D132" s="52">
        <v>92244.459744554479</v>
      </c>
      <c r="E132" s="52">
        <v>2</v>
      </c>
    </row>
    <row r="133" spans="1:5">
      <c r="A133" s="52" t="s">
        <v>108</v>
      </c>
      <c r="B133" s="52">
        <v>1921.8198476429661</v>
      </c>
      <c r="D133" s="52">
        <v>93400.686425459571</v>
      </c>
      <c r="E133" s="52">
        <v>9</v>
      </c>
    </row>
    <row r="134" spans="1:5">
      <c r="A134" s="52" t="s">
        <v>109</v>
      </c>
      <c r="B134" s="52">
        <v>3693391.5267944336</v>
      </c>
      <c r="D134" s="52">
        <v>94556.913106364664</v>
      </c>
      <c r="E134" s="52">
        <v>12</v>
      </c>
    </row>
    <row r="135" spans="1:5">
      <c r="A135" s="52" t="s">
        <v>110</v>
      </c>
      <c r="B135" s="52">
        <v>-0.5551566832132635</v>
      </c>
      <c r="D135" s="52">
        <v>95713.139787269756</v>
      </c>
      <c r="E135" s="52">
        <v>16</v>
      </c>
    </row>
    <row r="136" spans="1:5">
      <c r="A136" s="52" t="s">
        <v>111</v>
      </c>
      <c r="B136" s="52">
        <v>0.20119933627163647</v>
      </c>
      <c r="D136" s="52">
        <v>96869.366468174849</v>
      </c>
      <c r="E136" s="52">
        <v>9</v>
      </c>
    </row>
    <row r="137" spans="1:5">
      <c r="A137" s="52" t="s">
        <v>112</v>
      </c>
      <c r="B137" s="52">
        <v>8093.5867663356476</v>
      </c>
      <c r="D137" s="52">
        <v>98025.593149079941</v>
      </c>
      <c r="E137" s="52">
        <v>6</v>
      </c>
    </row>
    <row r="138" spans="1:5" ht="13.5" thickBot="1">
      <c r="A138" s="52" t="s">
        <v>97</v>
      </c>
      <c r="B138" s="52">
        <v>91088.233063649386</v>
      </c>
      <c r="D138" s="56" t="s">
        <v>116</v>
      </c>
      <c r="E138" s="56">
        <v>5</v>
      </c>
    </row>
    <row r="139" spans="1:5">
      <c r="A139" s="52" t="s">
        <v>99</v>
      </c>
      <c r="B139" s="52">
        <v>99181.819829985034</v>
      </c>
    </row>
    <row r="140" spans="1:5">
      <c r="A140" s="52" t="s">
        <v>92</v>
      </c>
      <c r="B140" s="52">
        <v>5704591.0206335681</v>
      </c>
    </row>
    <row r="141" spans="1:5">
      <c r="A141" s="52" t="s">
        <v>113</v>
      </c>
      <c r="B141" s="52">
        <v>60</v>
      </c>
    </row>
    <row r="142" spans="1:5">
      <c r="A142" s="52" t="s">
        <v>118</v>
      </c>
      <c r="B142" s="52">
        <v>99181.819829985034</v>
      </c>
    </row>
    <row r="143" spans="1:5">
      <c r="A143" s="52" t="s">
        <v>119</v>
      </c>
      <c r="B143" s="52">
        <v>91088.233063649386</v>
      </c>
    </row>
    <row r="144" spans="1:5" ht="13.5" thickBot="1">
      <c r="A144" s="56" t="s">
        <v>114</v>
      </c>
      <c r="B144" s="56">
        <v>496.45870591250207</v>
      </c>
    </row>
    <row r="147" spans="1:5" ht="13.5" thickBot="1"/>
    <row r="148" spans="1:5">
      <c r="A148" s="58" t="s">
        <v>2</v>
      </c>
      <c r="B148" s="58"/>
    </row>
    <row r="149" spans="1:5">
      <c r="A149" s="52"/>
      <c r="B149" s="52"/>
    </row>
    <row r="150" spans="1:5" ht="13.5" thickBot="1">
      <c r="A150" s="52" t="s">
        <v>104</v>
      </c>
      <c r="B150" s="52">
        <v>204.00599717016789</v>
      </c>
    </row>
    <row r="151" spans="1:5">
      <c r="A151" s="52" t="s">
        <v>105</v>
      </c>
      <c r="B151" s="52">
        <v>0.57917362076869283</v>
      </c>
      <c r="D151" s="57" t="s">
        <v>115</v>
      </c>
      <c r="E151" s="57" t="s">
        <v>117</v>
      </c>
    </row>
    <row r="152" spans="1:5">
      <c r="A152" s="52" t="s">
        <v>106</v>
      </c>
      <c r="B152" s="52">
        <v>204.53619828577212</v>
      </c>
      <c r="D152" s="52">
        <v>194.16026777098887</v>
      </c>
      <c r="E152" s="52">
        <v>1</v>
      </c>
    </row>
    <row r="153" spans="1:5">
      <c r="A153" s="52" t="s">
        <v>107</v>
      </c>
      <c r="B153" s="52" t="e">
        <v>#N/A</v>
      </c>
      <c r="D153" s="52">
        <v>196.96227153016454</v>
      </c>
      <c r="E153" s="52">
        <v>4</v>
      </c>
    </row>
    <row r="154" spans="1:5">
      <c r="A154" s="52" t="s">
        <v>108</v>
      </c>
      <c r="B154" s="52">
        <v>4.4862595755995951</v>
      </c>
      <c r="D154" s="52">
        <v>199.76427528934022</v>
      </c>
      <c r="E154" s="52">
        <v>7</v>
      </c>
    </row>
    <row r="155" spans="1:5">
      <c r="A155" s="52" t="s">
        <v>109</v>
      </c>
      <c r="B155" s="52">
        <v>20.126524979659056</v>
      </c>
      <c r="D155" s="52">
        <v>202.5662790485159</v>
      </c>
      <c r="E155" s="52">
        <v>10</v>
      </c>
    </row>
    <row r="156" spans="1:5">
      <c r="A156" s="52" t="s">
        <v>110</v>
      </c>
      <c r="B156" s="52">
        <v>-0.53661194143426716</v>
      </c>
      <c r="D156" s="52">
        <v>205.36828280769154</v>
      </c>
      <c r="E156" s="52">
        <v>12</v>
      </c>
    </row>
    <row r="157" spans="1:5">
      <c r="A157" s="52" t="s">
        <v>111</v>
      </c>
      <c r="B157" s="52">
        <v>-0.14313012249488705</v>
      </c>
      <c r="D157" s="52">
        <v>208.17028656686722</v>
      </c>
      <c r="E157" s="52">
        <v>16</v>
      </c>
    </row>
    <row r="158" spans="1:5">
      <c r="A158" s="52" t="s">
        <v>112</v>
      </c>
      <c r="B158" s="52">
        <v>19.614026314229704</v>
      </c>
      <c r="D158" s="52">
        <v>210.9722903260429</v>
      </c>
      <c r="E158" s="52">
        <v>8</v>
      </c>
    </row>
    <row r="159" spans="1:5" ht="13.5" thickBot="1">
      <c r="A159" s="52" t="s">
        <v>97</v>
      </c>
      <c r="B159" s="52">
        <v>194.16026777098887</v>
      </c>
      <c r="D159" s="56" t="s">
        <v>116</v>
      </c>
      <c r="E159" s="56">
        <v>2</v>
      </c>
    </row>
    <row r="160" spans="1:5">
      <c r="A160" s="52" t="s">
        <v>99</v>
      </c>
      <c r="B160" s="52">
        <v>213.77429408521857</v>
      </c>
    </row>
    <row r="161" spans="1:5">
      <c r="A161" s="52" t="s">
        <v>92</v>
      </c>
      <c r="B161" s="52">
        <v>12240.359830210073</v>
      </c>
    </row>
    <row r="162" spans="1:5">
      <c r="A162" s="52" t="s">
        <v>113</v>
      </c>
      <c r="B162" s="52">
        <v>60</v>
      </c>
    </row>
    <row r="163" spans="1:5">
      <c r="A163" s="52" t="s">
        <v>118</v>
      </c>
      <c r="B163" s="52">
        <v>213.77429408521857</v>
      </c>
    </row>
    <row r="164" spans="1:5">
      <c r="A164" s="52" t="s">
        <v>119</v>
      </c>
      <c r="B164" s="52">
        <v>194.16026777098887</v>
      </c>
    </row>
    <row r="165" spans="1:5" ht="13.5" thickBot="1">
      <c r="A165" s="56" t="s">
        <v>114</v>
      </c>
      <c r="B165" s="56">
        <v>1.1589237284760943</v>
      </c>
    </row>
    <row r="168" spans="1:5" ht="13.5" thickBot="1"/>
    <row r="169" spans="1:5">
      <c r="A169" s="58" t="s">
        <v>14</v>
      </c>
      <c r="B169" s="58"/>
    </row>
    <row r="170" spans="1:5">
      <c r="A170" s="52"/>
      <c r="B170" s="52"/>
    </row>
    <row r="171" spans="1:5" ht="13.5" thickBot="1">
      <c r="A171" s="52" t="s">
        <v>104</v>
      </c>
      <c r="B171" s="52">
        <v>76.128109339433038</v>
      </c>
    </row>
    <row r="172" spans="1:5">
      <c r="A172" s="52" t="s">
        <v>105</v>
      </c>
      <c r="B172" s="52">
        <v>0.59152979223269408</v>
      </c>
      <c r="D172" s="57" t="s">
        <v>115</v>
      </c>
      <c r="E172" s="57" t="s">
        <v>117</v>
      </c>
    </row>
    <row r="173" spans="1:5">
      <c r="A173" s="52" t="s">
        <v>106</v>
      </c>
      <c r="B173" s="52">
        <v>76.553649215362384</v>
      </c>
      <c r="D173" s="52">
        <v>66.666810845141299</v>
      </c>
      <c r="E173" s="52">
        <v>1</v>
      </c>
    </row>
    <row r="174" spans="1:5">
      <c r="A174" s="52" t="s">
        <v>107</v>
      </c>
      <c r="B174" s="52" t="e">
        <v>#N/A</v>
      </c>
      <c r="D174" s="52">
        <v>69.4876476410344</v>
      </c>
      <c r="E174" s="52">
        <v>3</v>
      </c>
    </row>
    <row r="175" spans="1:5">
      <c r="A175" s="52" t="s">
        <v>108</v>
      </c>
      <c r="B175" s="52">
        <v>4.5819700682055151</v>
      </c>
      <c r="D175" s="52">
        <v>72.3084844369275</v>
      </c>
      <c r="E175" s="52">
        <v>8</v>
      </c>
    </row>
    <row r="176" spans="1:5">
      <c r="A176" s="52" t="s">
        <v>109</v>
      </c>
      <c r="B176" s="52">
        <v>20.994449705931249</v>
      </c>
      <c r="D176" s="52">
        <v>75.129321232820587</v>
      </c>
      <c r="E176" s="52">
        <v>14</v>
      </c>
    </row>
    <row r="177" spans="1:5">
      <c r="A177" s="52" t="s">
        <v>110</v>
      </c>
      <c r="B177" s="52">
        <v>-0.64386564803313773</v>
      </c>
      <c r="D177" s="52">
        <v>77.950158028713687</v>
      </c>
      <c r="E177" s="52">
        <v>12</v>
      </c>
    </row>
    <row r="178" spans="1:5">
      <c r="A178" s="52" t="s">
        <v>111</v>
      </c>
      <c r="B178" s="52">
        <v>-5.5169873020682658E-2</v>
      </c>
      <c r="D178" s="52">
        <v>80.770994824606788</v>
      </c>
      <c r="E178" s="52">
        <v>12</v>
      </c>
    </row>
    <row r="179" spans="1:5">
      <c r="A179" s="52" t="s">
        <v>112</v>
      </c>
      <c r="B179" s="52">
        <v>19.74585757125169</v>
      </c>
      <c r="D179" s="52">
        <v>83.591831620499889</v>
      </c>
      <c r="E179" s="52">
        <v>9</v>
      </c>
    </row>
    <row r="180" spans="1:5" ht="13.5" thickBot="1">
      <c r="A180" s="52" t="s">
        <v>97</v>
      </c>
      <c r="B180" s="52">
        <v>66.666810845141299</v>
      </c>
      <c r="D180" s="56" t="s">
        <v>116</v>
      </c>
      <c r="E180" s="56">
        <v>1</v>
      </c>
    </row>
    <row r="181" spans="1:5">
      <c r="A181" s="52" t="s">
        <v>99</v>
      </c>
      <c r="B181" s="52">
        <v>86.412668416392989</v>
      </c>
    </row>
    <row r="182" spans="1:5">
      <c r="A182" s="52" t="s">
        <v>92</v>
      </c>
      <c r="B182" s="52">
        <v>4567.6865603659826</v>
      </c>
    </row>
    <row r="183" spans="1:5">
      <c r="A183" s="52" t="s">
        <v>113</v>
      </c>
      <c r="B183" s="52">
        <v>60</v>
      </c>
    </row>
    <row r="184" spans="1:5">
      <c r="A184" s="52" t="s">
        <v>118</v>
      </c>
      <c r="B184" s="52">
        <v>86.412668416392989</v>
      </c>
    </row>
    <row r="185" spans="1:5">
      <c r="A185" s="52" t="s">
        <v>119</v>
      </c>
      <c r="B185" s="52">
        <v>66.666810845141299</v>
      </c>
    </row>
    <row r="186" spans="1:5" ht="13.5" thickBot="1">
      <c r="A186" s="56" t="s">
        <v>114</v>
      </c>
      <c r="B186" s="56">
        <v>1.1836483702575078</v>
      </c>
    </row>
    <row r="189" spans="1:5" ht="13.5" thickBot="1"/>
    <row r="190" spans="1:5">
      <c r="A190" s="58" t="s">
        <v>6</v>
      </c>
      <c r="B190" s="58"/>
    </row>
    <row r="191" spans="1:5">
      <c r="A191" s="52"/>
      <c r="B191" s="52"/>
    </row>
    <row r="192" spans="1:5" ht="13.5" thickBot="1">
      <c r="A192" s="52" t="s">
        <v>104</v>
      </c>
      <c r="B192" s="52">
        <v>912.36949302284484</v>
      </c>
    </row>
    <row r="193" spans="1:5">
      <c r="A193" s="52" t="s">
        <v>105</v>
      </c>
      <c r="B193" s="52">
        <v>0.66562353244889971</v>
      </c>
      <c r="D193" s="57" t="s">
        <v>115</v>
      </c>
      <c r="E193" s="57" t="s">
        <v>117</v>
      </c>
    </row>
    <row r="194" spans="1:5">
      <c r="A194" s="52" t="s">
        <v>106</v>
      </c>
      <c r="B194" s="52">
        <v>913.32183686218923</v>
      </c>
      <c r="D194" s="52">
        <v>902.4437117947964</v>
      </c>
      <c r="E194" s="52">
        <v>1</v>
      </c>
    </row>
    <row r="195" spans="1:5">
      <c r="A195" s="52" t="s">
        <v>107</v>
      </c>
      <c r="B195" s="52" t="e">
        <v>#N/A</v>
      </c>
      <c r="D195" s="52">
        <v>905.07926178257082</v>
      </c>
      <c r="E195" s="52">
        <v>6</v>
      </c>
    </row>
    <row r="196" spans="1:5">
      <c r="A196" s="52" t="s">
        <v>108</v>
      </c>
      <c r="B196" s="52">
        <v>5.1558977120366816</v>
      </c>
      <c r="D196" s="52">
        <v>907.71481177034525</v>
      </c>
      <c r="E196" s="52">
        <v>6</v>
      </c>
    </row>
    <row r="197" spans="1:5">
      <c r="A197" s="52" t="s">
        <v>109</v>
      </c>
      <c r="B197" s="52">
        <v>26.583281216985089</v>
      </c>
      <c r="D197" s="52">
        <v>910.35036175811967</v>
      </c>
      <c r="E197" s="52">
        <v>8</v>
      </c>
    </row>
    <row r="198" spans="1:5">
      <c r="A198" s="52" t="s">
        <v>110</v>
      </c>
      <c r="B198" s="52">
        <v>-0.93860856574048279</v>
      </c>
      <c r="D198" s="52">
        <v>912.98591174589399</v>
      </c>
      <c r="E198" s="52">
        <v>7</v>
      </c>
    </row>
    <row r="199" spans="1:5">
      <c r="A199" s="52" t="s">
        <v>111</v>
      </c>
      <c r="B199" s="52">
        <v>-0.19732594927042454</v>
      </c>
      <c r="D199" s="52">
        <v>915.62146173366841</v>
      </c>
      <c r="E199" s="52">
        <v>14</v>
      </c>
    </row>
    <row r="200" spans="1:5">
      <c r="A200" s="52" t="s">
        <v>112</v>
      </c>
      <c r="B200" s="52">
        <v>18.448849914420862</v>
      </c>
      <c r="D200" s="52">
        <v>918.25701172144284</v>
      </c>
      <c r="E200" s="52">
        <v>8</v>
      </c>
    </row>
    <row r="201" spans="1:5" ht="13.5" thickBot="1">
      <c r="A201" s="52" t="s">
        <v>97</v>
      </c>
      <c r="B201" s="52">
        <v>902.4437117947964</v>
      </c>
      <c r="D201" s="56" t="s">
        <v>116</v>
      </c>
      <c r="E201" s="56">
        <v>10</v>
      </c>
    </row>
    <row r="202" spans="1:5">
      <c r="A202" s="52" t="s">
        <v>99</v>
      </c>
      <c r="B202" s="52">
        <v>920.89256170921726</v>
      </c>
    </row>
    <row r="203" spans="1:5">
      <c r="A203" s="52" t="s">
        <v>92</v>
      </c>
      <c r="B203" s="52">
        <v>54742.16958137069</v>
      </c>
    </row>
    <row r="204" spans="1:5">
      <c r="A204" s="52" t="s">
        <v>113</v>
      </c>
      <c r="B204" s="52">
        <v>60</v>
      </c>
    </row>
    <row r="205" spans="1:5">
      <c r="A205" s="52" t="s">
        <v>118</v>
      </c>
      <c r="B205" s="52">
        <v>920.89256170921726</v>
      </c>
    </row>
    <row r="206" spans="1:5">
      <c r="A206" s="52" t="s">
        <v>119</v>
      </c>
      <c r="B206" s="52">
        <v>902.4437117947964</v>
      </c>
    </row>
    <row r="207" spans="1:5" ht="13.5" thickBot="1">
      <c r="A207" s="56" t="s">
        <v>114</v>
      </c>
      <c r="B207" s="56">
        <v>1.3319096007226261</v>
      </c>
    </row>
    <row r="210" spans="1:5" ht="13.5" thickBot="1"/>
    <row r="211" spans="1:5">
      <c r="A211" s="58" t="s">
        <v>7</v>
      </c>
      <c r="B211" s="58"/>
    </row>
    <row r="212" spans="1:5">
      <c r="A212" s="52"/>
      <c r="B212" s="52"/>
    </row>
    <row r="213" spans="1:5" ht="13.5" thickBot="1">
      <c r="A213" s="52" t="s">
        <v>104</v>
      </c>
      <c r="B213" s="52">
        <v>19.200711231930956</v>
      </c>
    </row>
    <row r="214" spans="1:5">
      <c r="A214" s="52" t="s">
        <v>105</v>
      </c>
      <c r="B214" s="52">
        <v>0.25322558753427965</v>
      </c>
      <c r="D214" s="57" t="s">
        <v>115</v>
      </c>
      <c r="E214" s="57" t="s">
        <v>117</v>
      </c>
    </row>
    <row r="215" spans="1:5">
      <c r="A215" s="52" t="s">
        <v>106</v>
      </c>
      <c r="B215" s="52">
        <v>18.790238689456601</v>
      </c>
      <c r="D215" s="52">
        <v>15.350734363659285</v>
      </c>
      <c r="E215" s="52">
        <v>1</v>
      </c>
    </row>
    <row r="216" spans="1:5">
      <c r="A216" s="52" t="s">
        <v>107</v>
      </c>
      <c r="B216" s="52" t="e">
        <v>#N/A</v>
      </c>
      <c r="D216" s="52">
        <v>16.474127927229606</v>
      </c>
      <c r="E216" s="52">
        <v>5</v>
      </c>
    </row>
    <row r="217" spans="1:5">
      <c r="A217" s="52" t="s">
        <v>108</v>
      </c>
      <c r="B217" s="52">
        <v>1.961476966707707</v>
      </c>
      <c r="D217" s="52">
        <v>17.597521490799927</v>
      </c>
      <c r="E217" s="52">
        <v>7</v>
      </c>
    </row>
    <row r="218" spans="1:5">
      <c r="A218" s="52" t="s">
        <v>109</v>
      </c>
      <c r="B218" s="52">
        <v>3.8473918909248668</v>
      </c>
      <c r="D218" s="52">
        <v>18.720915054370248</v>
      </c>
      <c r="E218" s="52">
        <v>16</v>
      </c>
    </row>
    <row r="219" spans="1:5">
      <c r="A219" s="52" t="s">
        <v>110</v>
      </c>
      <c r="B219" s="52">
        <v>-0.69832895391562833</v>
      </c>
      <c r="D219" s="52">
        <v>19.84430861794057</v>
      </c>
      <c r="E219" s="52">
        <v>7</v>
      </c>
    </row>
    <row r="220" spans="1:5">
      <c r="A220" s="52" t="s">
        <v>111</v>
      </c>
      <c r="B220" s="52">
        <v>8.2518598599339132E-2</v>
      </c>
      <c r="D220" s="52">
        <v>20.967702181510894</v>
      </c>
      <c r="E220" s="52">
        <v>10</v>
      </c>
    </row>
    <row r="221" spans="1:5">
      <c r="A221" s="52" t="s">
        <v>112</v>
      </c>
      <c r="B221" s="52">
        <v>7.8637549449922517</v>
      </c>
      <c r="D221" s="52">
        <v>22.091095745081216</v>
      </c>
      <c r="E221" s="52">
        <v>9</v>
      </c>
    </row>
    <row r="222" spans="1:5" ht="13.5" thickBot="1">
      <c r="A222" s="52" t="s">
        <v>97</v>
      </c>
      <c r="B222" s="52">
        <v>15.350734363659285</v>
      </c>
      <c r="D222" s="56" t="s">
        <v>116</v>
      </c>
      <c r="E222" s="56">
        <v>5</v>
      </c>
    </row>
    <row r="223" spans="1:5">
      <c r="A223" s="52" t="s">
        <v>99</v>
      </c>
      <c r="B223" s="52">
        <v>23.214489308651537</v>
      </c>
    </row>
    <row r="224" spans="1:5">
      <c r="A224" s="52" t="s">
        <v>92</v>
      </c>
      <c r="B224" s="52">
        <v>1152.0426739158574</v>
      </c>
    </row>
    <row r="225" spans="1:5">
      <c r="A225" s="52" t="s">
        <v>113</v>
      </c>
      <c r="B225" s="52">
        <v>60</v>
      </c>
    </row>
    <row r="226" spans="1:5">
      <c r="A226" s="52" t="s">
        <v>118</v>
      </c>
      <c r="B226" s="52">
        <v>23.214489308651537</v>
      </c>
    </row>
    <row r="227" spans="1:5">
      <c r="A227" s="52" t="s">
        <v>119</v>
      </c>
      <c r="B227" s="52">
        <v>15.350734363659285</v>
      </c>
    </row>
    <row r="228" spans="1:5" ht="13.5" thickBot="1">
      <c r="A228" s="56" t="s">
        <v>114</v>
      </c>
      <c r="B228" s="56">
        <v>0.50670322598822404</v>
      </c>
    </row>
    <row r="231" spans="1:5" ht="13.5" thickBot="1"/>
    <row r="232" spans="1:5">
      <c r="A232" s="58" t="s">
        <v>8</v>
      </c>
      <c r="B232" s="58"/>
    </row>
    <row r="233" spans="1:5">
      <c r="A233" s="52"/>
      <c r="B233" s="52"/>
    </row>
    <row r="234" spans="1:5" ht="13.5" thickBot="1">
      <c r="A234" s="52" t="s">
        <v>104</v>
      </c>
      <c r="B234" s="52">
        <v>2692.647610649025</v>
      </c>
    </row>
    <row r="235" spans="1:5">
      <c r="A235" s="52" t="s">
        <v>105</v>
      </c>
      <c r="B235" s="52">
        <v>14.49944946920829</v>
      </c>
      <c r="D235" s="57" t="s">
        <v>115</v>
      </c>
      <c r="E235" s="57" t="s">
        <v>117</v>
      </c>
    </row>
    <row r="236" spans="1:5">
      <c r="A236" s="52" t="s">
        <v>106</v>
      </c>
      <c r="B236" s="52">
        <v>2696.1968728712236</v>
      </c>
      <c r="D236" s="52">
        <v>2427.7389047667384</v>
      </c>
      <c r="E236" s="52">
        <v>1</v>
      </c>
    </row>
    <row r="237" spans="1:5">
      <c r="A237" s="52" t="s">
        <v>107</v>
      </c>
      <c r="B237" s="52" t="e">
        <v>#N/A</v>
      </c>
      <c r="D237" s="52">
        <v>2493.1595602754637</v>
      </c>
      <c r="E237" s="52">
        <v>2</v>
      </c>
    </row>
    <row r="238" spans="1:5">
      <c r="A238" s="52" t="s">
        <v>108</v>
      </c>
      <c r="B238" s="52">
        <v>112.31225264683935</v>
      </c>
      <c r="D238" s="52">
        <v>2558.580215784189</v>
      </c>
      <c r="E238" s="52">
        <v>5</v>
      </c>
    </row>
    <row r="239" spans="1:5">
      <c r="A239" s="52" t="s">
        <v>109</v>
      </c>
      <c r="B239" s="52">
        <v>12614.042094607474</v>
      </c>
      <c r="D239" s="52">
        <v>2624.0008712929139</v>
      </c>
      <c r="E239" s="52">
        <v>9</v>
      </c>
    </row>
    <row r="240" spans="1:5">
      <c r="A240" s="52" t="s">
        <v>110</v>
      </c>
      <c r="B240" s="52">
        <v>-0.45232467482280292</v>
      </c>
      <c r="D240" s="52">
        <v>2689.4215268016392</v>
      </c>
      <c r="E240" s="52">
        <v>12</v>
      </c>
    </row>
    <row r="241" spans="1:5">
      <c r="A241" s="52" t="s">
        <v>111</v>
      </c>
      <c r="B241" s="52">
        <v>-0.39073367101607764</v>
      </c>
      <c r="D241" s="52">
        <v>2754.8421823103645</v>
      </c>
      <c r="E241" s="52">
        <v>11</v>
      </c>
    </row>
    <row r="242" spans="1:5">
      <c r="A242" s="52" t="s">
        <v>112</v>
      </c>
      <c r="B242" s="52">
        <v>457.94458856107667</v>
      </c>
      <c r="D242" s="52">
        <v>2820.2628378190898</v>
      </c>
      <c r="E242" s="52">
        <v>12</v>
      </c>
    </row>
    <row r="243" spans="1:5" ht="13.5" thickBot="1">
      <c r="A243" s="52" t="s">
        <v>97</v>
      </c>
      <c r="B243" s="52">
        <v>2427.7389047667384</v>
      </c>
      <c r="D243" s="56" t="s">
        <v>116</v>
      </c>
      <c r="E243" s="56">
        <v>8</v>
      </c>
    </row>
    <row r="244" spans="1:5">
      <c r="A244" s="52" t="s">
        <v>99</v>
      </c>
      <c r="B244" s="52">
        <v>2885.6834933278151</v>
      </c>
    </row>
    <row r="245" spans="1:5">
      <c r="A245" s="52" t="s">
        <v>92</v>
      </c>
      <c r="B245" s="52">
        <v>161558.85663894151</v>
      </c>
    </row>
    <row r="246" spans="1:5">
      <c r="A246" s="52" t="s">
        <v>113</v>
      </c>
      <c r="B246" s="52">
        <v>60</v>
      </c>
    </row>
    <row r="247" spans="1:5">
      <c r="A247" s="52" t="s">
        <v>118</v>
      </c>
      <c r="B247" s="52">
        <v>2885.6834933278151</v>
      </c>
    </row>
    <row r="248" spans="1:5">
      <c r="A248" s="52" t="s">
        <v>119</v>
      </c>
      <c r="B248" s="52">
        <v>2427.7389047667384</v>
      </c>
    </row>
    <row r="249" spans="1:5" ht="13.5" thickBot="1">
      <c r="A249" s="56" t="s">
        <v>114</v>
      </c>
      <c r="B249" s="56">
        <v>29.01333112755249</v>
      </c>
    </row>
    <row r="252" spans="1:5" ht="13.5" thickBot="1"/>
    <row r="253" spans="1:5">
      <c r="A253" s="58" t="s">
        <v>9</v>
      </c>
      <c r="B253" s="58"/>
    </row>
    <row r="254" spans="1:5">
      <c r="A254" s="52"/>
      <c r="B254" s="52"/>
    </row>
    <row r="255" spans="1:5" ht="13.5" thickBot="1">
      <c r="A255" s="52" t="s">
        <v>104</v>
      </c>
      <c r="B255" s="52">
        <v>85.535360681572158</v>
      </c>
    </row>
    <row r="256" spans="1:5">
      <c r="A256" s="52" t="s">
        <v>105</v>
      </c>
      <c r="B256" s="52">
        <v>0.755728019090805</v>
      </c>
      <c r="D256" s="57" t="s">
        <v>115</v>
      </c>
      <c r="E256" s="57" t="s">
        <v>117</v>
      </c>
    </row>
    <row r="257" spans="1:5">
      <c r="A257" s="52" t="s">
        <v>106</v>
      </c>
      <c r="B257" s="52">
        <v>85.596557245240547</v>
      </c>
      <c r="D257" s="52">
        <v>73.133060130872764</v>
      </c>
      <c r="E257" s="52">
        <v>1</v>
      </c>
    </row>
    <row r="258" spans="1:5">
      <c r="A258" s="52" t="s">
        <v>107</v>
      </c>
      <c r="B258" s="52" t="e">
        <v>#N/A</v>
      </c>
      <c r="D258" s="52">
        <v>77.002368915360421</v>
      </c>
      <c r="E258" s="52">
        <v>3</v>
      </c>
    </row>
    <row r="259" spans="1:5">
      <c r="A259" s="52" t="s">
        <v>108</v>
      </c>
      <c r="B259" s="52">
        <v>5.8538440644020175</v>
      </c>
      <c r="D259" s="52">
        <v>80.871677699848078</v>
      </c>
      <c r="E259" s="52">
        <v>9</v>
      </c>
    </row>
    <row r="260" spans="1:5">
      <c r="A260" s="52" t="s">
        <v>109</v>
      </c>
      <c r="B260" s="52">
        <v>34.267490330334731</v>
      </c>
      <c r="D260" s="52">
        <v>84.740986484335735</v>
      </c>
      <c r="E260" s="52">
        <v>14</v>
      </c>
    </row>
    <row r="261" spans="1:5">
      <c r="A261" s="52" t="s">
        <v>110</v>
      </c>
      <c r="B261" s="52">
        <v>-0.28594641372157836</v>
      </c>
      <c r="D261" s="52">
        <v>88.610295268823393</v>
      </c>
      <c r="E261" s="52">
        <v>14</v>
      </c>
    </row>
    <row r="262" spans="1:5">
      <c r="A262" s="52" t="s">
        <v>111</v>
      </c>
      <c r="B262" s="52">
        <v>7.2396985154751181E-2</v>
      </c>
      <c r="D262" s="52">
        <v>92.47960405331105</v>
      </c>
      <c r="E262" s="52">
        <v>12</v>
      </c>
    </row>
    <row r="263" spans="1:5">
      <c r="A263" s="52" t="s">
        <v>112</v>
      </c>
      <c r="B263" s="52">
        <v>27.085161491413601</v>
      </c>
      <c r="D263" s="52">
        <v>96.348912837798707</v>
      </c>
      <c r="E263" s="52">
        <v>5</v>
      </c>
    </row>
    <row r="264" spans="1:5" ht="13.5" thickBot="1">
      <c r="A264" s="52" t="s">
        <v>97</v>
      </c>
      <c r="B264" s="52">
        <v>73.133060130872764</v>
      </c>
      <c r="D264" s="56" t="s">
        <v>116</v>
      </c>
      <c r="E264" s="56">
        <v>2</v>
      </c>
    </row>
    <row r="265" spans="1:5">
      <c r="A265" s="52" t="s">
        <v>99</v>
      </c>
      <c r="B265" s="52">
        <v>100.21822162228636</v>
      </c>
    </row>
    <row r="266" spans="1:5">
      <c r="A266" s="52" t="s">
        <v>92</v>
      </c>
      <c r="B266" s="52">
        <v>5132.1216408943292</v>
      </c>
    </row>
    <row r="267" spans="1:5">
      <c r="A267" s="52" t="s">
        <v>113</v>
      </c>
      <c r="B267" s="52">
        <v>60</v>
      </c>
    </row>
    <row r="268" spans="1:5">
      <c r="A268" s="52" t="s">
        <v>118</v>
      </c>
      <c r="B268" s="52">
        <v>100.21822162228636</v>
      </c>
    </row>
    <row r="269" spans="1:5">
      <c r="A269" s="52" t="s">
        <v>119</v>
      </c>
      <c r="B269" s="52">
        <v>73.133060130872764</v>
      </c>
    </row>
    <row r="270" spans="1:5" ht="13.5" thickBot="1">
      <c r="A270" s="56" t="s">
        <v>114</v>
      </c>
      <c r="B270" s="56">
        <v>1.5122082605146019</v>
      </c>
    </row>
    <row r="273" spans="1:5" ht="13.5" thickBot="1"/>
    <row r="274" spans="1:5">
      <c r="A274" s="58" t="s">
        <v>10</v>
      </c>
      <c r="B274" s="58"/>
    </row>
    <row r="275" spans="1:5">
      <c r="A275" s="52"/>
      <c r="B275" s="52"/>
    </row>
    <row r="276" spans="1:5" ht="13.5" thickBot="1">
      <c r="A276" s="52" t="s">
        <v>104</v>
      </c>
      <c r="B276" s="52">
        <v>190.10988761308303</v>
      </c>
    </row>
    <row r="277" spans="1:5">
      <c r="A277" s="52" t="s">
        <v>105</v>
      </c>
      <c r="B277" s="52">
        <v>1.3441654567032448</v>
      </c>
      <c r="D277" s="57" t="s">
        <v>115</v>
      </c>
      <c r="E277" s="57" t="s">
        <v>117</v>
      </c>
    </row>
    <row r="278" spans="1:5">
      <c r="A278" s="52" t="s">
        <v>106</v>
      </c>
      <c r="B278" s="52">
        <v>188.61323090044607</v>
      </c>
      <c r="D278" s="52">
        <v>167.13366610696539</v>
      </c>
      <c r="E278" s="52">
        <v>1</v>
      </c>
    </row>
    <row r="279" spans="1:5">
      <c r="A279" s="52" t="s">
        <v>107</v>
      </c>
      <c r="B279" s="52" t="e">
        <v>#N/A</v>
      </c>
      <c r="D279" s="52">
        <v>174.1399715348546</v>
      </c>
      <c r="E279" s="52">
        <v>4</v>
      </c>
    </row>
    <row r="280" spans="1:5">
      <c r="A280" s="52" t="s">
        <v>108</v>
      </c>
      <c r="B280" s="52">
        <v>10.411860856717908</v>
      </c>
      <c r="D280" s="52">
        <v>181.1462769627438</v>
      </c>
      <c r="E280" s="52">
        <v>5</v>
      </c>
    </row>
    <row r="281" spans="1:5">
      <c r="A281" s="52" t="s">
        <v>109</v>
      </c>
      <c r="B281" s="52">
        <v>108.40684649965458</v>
      </c>
      <c r="D281" s="52">
        <v>188.15258239063303</v>
      </c>
      <c r="E281" s="52">
        <v>17</v>
      </c>
    </row>
    <row r="282" spans="1:5">
      <c r="A282" s="52" t="s">
        <v>110</v>
      </c>
      <c r="B282" s="52">
        <v>-0.21551002505045691</v>
      </c>
      <c r="D282" s="52">
        <v>195.15888781852223</v>
      </c>
      <c r="E282" s="52">
        <v>11</v>
      </c>
    </row>
    <row r="283" spans="1:5">
      <c r="A283" s="52" t="s">
        <v>111</v>
      </c>
      <c r="B283" s="52">
        <v>2.9471117961041599E-2</v>
      </c>
      <c r="D283" s="52">
        <v>202.16519324641143</v>
      </c>
      <c r="E283" s="52">
        <v>15</v>
      </c>
    </row>
    <row r="284" spans="1:5">
      <c r="A284" s="52" t="s">
        <v>112</v>
      </c>
      <c r="B284" s="52">
        <v>49.044137995224446</v>
      </c>
      <c r="D284" s="52">
        <v>209.17149867430064</v>
      </c>
      <c r="E284" s="52">
        <v>5</v>
      </c>
    </row>
    <row r="285" spans="1:5" ht="13.5" thickBot="1">
      <c r="A285" s="52" t="s">
        <v>97</v>
      </c>
      <c r="B285" s="52">
        <v>167.13366610696539</v>
      </c>
      <c r="D285" s="56" t="s">
        <v>116</v>
      </c>
      <c r="E285" s="56">
        <v>2</v>
      </c>
    </row>
    <row r="286" spans="1:5">
      <c r="A286" s="52" t="s">
        <v>99</v>
      </c>
      <c r="B286" s="52">
        <v>216.17780410218984</v>
      </c>
    </row>
    <row r="287" spans="1:5">
      <c r="A287" s="52" t="s">
        <v>92</v>
      </c>
      <c r="B287" s="52">
        <v>11406.593256784981</v>
      </c>
    </row>
    <row r="288" spans="1:5">
      <c r="A288" s="52" t="s">
        <v>113</v>
      </c>
      <c r="B288" s="52">
        <v>60</v>
      </c>
    </row>
    <row r="289" spans="1:5">
      <c r="A289" s="52" t="s">
        <v>118</v>
      </c>
      <c r="B289" s="52">
        <v>216.17780410218984</v>
      </c>
    </row>
    <row r="290" spans="1:5">
      <c r="A290" s="52" t="s">
        <v>119</v>
      </c>
      <c r="B290" s="52">
        <v>167.13366610696539</v>
      </c>
    </row>
    <row r="291" spans="1:5" ht="13.5" thickBot="1">
      <c r="A291" s="56" t="s">
        <v>114</v>
      </c>
      <c r="B291" s="56">
        <v>2.6896688435218565</v>
      </c>
    </row>
    <row r="294" spans="1:5" ht="13.5" thickBot="1"/>
    <row r="295" spans="1:5">
      <c r="A295" s="58" t="s">
        <v>93</v>
      </c>
      <c r="B295" s="58"/>
    </row>
    <row r="296" spans="1:5">
      <c r="A296" s="52"/>
      <c r="B296" s="52"/>
    </row>
    <row r="297" spans="1:5" ht="13.5" thickBot="1">
      <c r="A297" s="52" t="s">
        <v>104</v>
      </c>
      <c r="B297" s="52">
        <v>82.032926739853181</v>
      </c>
    </row>
    <row r="298" spans="1:5">
      <c r="A298" s="52" t="s">
        <v>105</v>
      </c>
      <c r="B298" s="52">
        <v>0.58458901609765623</v>
      </c>
      <c r="D298" s="57" t="s">
        <v>115</v>
      </c>
      <c r="E298" s="57" t="s">
        <v>117</v>
      </c>
    </row>
    <row r="299" spans="1:5">
      <c r="A299" s="52" t="s">
        <v>106</v>
      </c>
      <c r="B299" s="52">
        <v>82.415263912145747</v>
      </c>
      <c r="D299" s="52">
        <v>71.865136740263551</v>
      </c>
      <c r="E299" s="52">
        <v>1</v>
      </c>
    </row>
    <row r="300" spans="1:5">
      <c r="A300" s="52" t="s">
        <v>107</v>
      </c>
      <c r="B300" s="52" t="e">
        <v>#N/A</v>
      </c>
      <c r="D300" s="52">
        <v>74.62592739666745</v>
      </c>
      <c r="E300" s="52">
        <v>4</v>
      </c>
    </row>
    <row r="301" spans="1:5">
      <c r="A301" s="52" t="s">
        <v>108</v>
      </c>
      <c r="B301" s="52">
        <v>4.5282070474440044</v>
      </c>
      <c r="D301" s="52">
        <v>77.386718053071363</v>
      </c>
      <c r="E301" s="52">
        <v>3</v>
      </c>
    </row>
    <row r="302" spans="1:5">
      <c r="A302" s="52" t="s">
        <v>109</v>
      </c>
      <c r="B302" s="52">
        <v>20.504659064521547</v>
      </c>
      <c r="D302" s="52">
        <v>80.147508709475261</v>
      </c>
      <c r="E302" s="52">
        <v>11</v>
      </c>
    </row>
    <row r="303" spans="1:5">
      <c r="A303" s="52" t="s">
        <v>110</v>
      </c>
      <c r="B303" s="52">
        <v>-8.1790527168875915E-2</v>
      </c>
      <c r="D303" s="52">
        <v>82.908299365879174</v>
      </c>
      <c r="E303" s="52">
        <v>14</v>
      </c>
    </row>
    <row r="304" spans="1:5">
      <c r="A304" s="52" t="s">
        <v>111</v>
      </c>
      <c r="B304" s="52">
        <v>-0.38134538697047338</v>
      </c>
      <c r="D304" s="52">
        <v>85.669090022283072</v>
      </c>
      <c r="E304" s="52">
        <v>17</v>
      </c>
    </row>
    <row r="305" spans="1:5">
      <c r="A305" s="52" t="s">
        <v>112</v>
      </c>
      <c r="B305" s="52">
        <v>19.325534594827332</v>
      </c>
      <c r="D305" s="52">
        <v>88.42988067868697</v>
      </c>
      <c r="E305" s="52">
        <v>4</v>
      </c>
    </row>
    <row r="306" spans="1:5" ht="13.5" thickBot="1">
      <c r="A306" s="52" t="s">
        <v>97</v>
      </c>
      <c r="B306" s="52">
        <v>71.865136740263551</v>
      </c>
      <c r="D306" s="56" t="s">
        <v>116</v>
      </c>
      <c r="E306" s="56">
        <v>6</v>
      </c>
    </row>
    <row r="307" spans="1:5">
      <c r="A307" s="52" t="s">
        <v>99</v>
      </c>
      <c r="B307" s="52">
        <v>91.190671335090883</v>
      </c>
    </row>
    <row r="308" spans="1:5">
      <c r="A308" s="52" t="s">
        <v>92</v>
      </c>
      <c r="B308" s="52">
        <v>4921.9756043911912</v>
      </c>
    </row>
    <row r="309" spans="1:5">
      <c r="A309" s="52" t="s">
        <v>113</v>
      </c>
      <c r="B309" s="52">
        <v>60</v>
      </c>
    </row>
    <row r="310" spans="1:5">
      <c r="A310" s="52" t="s">
        <v>118</v>
      </c>
      <c r="B310" s="52">
        <v>91.190671335090883</v>
      </c>
    </row>
    <row r="311" spans="1:5">
      <c r="A311" s="52" t="s">
        <v>119</v>
      </c>
      <c r="B311" s="52">
        <v>71.865136740263551</v>
      </c>
    </row>
    <row r="312" spans="1:5" ht="13.5" thickBot="1">
      <c r="A312" s="56" t="s">
        <v>114</v>
      </c>
      <c r="B312" s="56">
        <v>1.1697599094083069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145"/>
  <sheetViews>
    <sheetView topLeftCell="A22" zoomScale="75" workbookViewId="0">
      <selection activeCell="A13" sqref="A13:A72"/>
    </sheetView>
  </sheetViews>
  <sheetFormatPr defaultRowHeight="12.75"/>
  <cols>
    <col min="1" max="1" width="16.28515625" customWidth="1"/>
    <col min="2" max="2" width="23.85546875" customWidth="1"/>
    <col min="3" max="3" width="24.28515625" customWidth="1"/>
    <col min="4" max="4" width="22.140625" customWidth="1"/>
    <col min="5" max="5" width="23.7109375" customWidth="1"/>
    <col min="6" max="6" width="25.140625" customWidth="1"/>
    <col min="7" max="7" width="24.85546875" customWidth="1"/>
    <col min="8" max="8" width="19.7109375" customWidth="1"/>
    <col min="9" max="9" width="28.7109375" customWidth="1"/>
    <col min="10" max="10" width="26.85546875" customWidth="1"/>
    <col min="11" max="11" width="22.5703125" customWidth="1"/>
    <col min="12" max="12" width="22" customWidth="1"/>
    <col min="13" max="13" width="20.85546875" customWidth="1"/>
    <col min="14" max="14" width="20" customWidth="1"/>
    <col min="15" max="15" width="20.42578125" customWidth="1"/>
    <col min="16" max="16" width="11" customWidth="1"/>
  </cols>
  <sheetData>
    <row r="1" spans="1:16" ht="18.75" thickBot="1">
      <c r="A1" s="508" t="s">
        <v>96</v>
      </c>
      <c r="B1" s="508"/>
      <c r="C1" s="508"/>
      <c r="D1" s="508"/>
      <c r="E1" s="508"/>
    </row>
    <row r="2" spans="1:16">
      <c r="A2" s="54"/>
      <c r="B2" s="6" t="s">
        <v>95</v>
      </c>
      <c r="C2" s="33" t="s">
        <v>3</v>
      </c>
      <c r="D2" s="33" t="s">
        <v>4</v>
      </c>
      <c r="E2" s="33" t="s">
        <v>11</v>
      </c>
      <c r="F2" s="33" t="s">
        <v>12</v>
      </c>
      <c r="G2" s="33" t="s">
        <v>13</v>
      </c>
      <c r="H2" s="33" t="s">
        <v>5</v>
      </c>
      <c r="I2" s="33" t="s">
        <v>2</v>
      </c>
      <c r="J2" s="33" t="s">
        <v>14</v>
      </c>
      <c r="K2" s="33" t="s">
        <v>6</v>
      </c>
      <c r="L2" s="33" t="s">
        <v>7</v>
      </c>
      <c r="M2" s="33" t="s">
        <v>8</v>
      </c>
      <c r="N2" s="33" t="s">
        <v>9</v>
      </c>
      <c r="O2" s="33" t="s">
        <v>10</v>
      </c>
      <c r="P2" s="47" t="s">
        <v>93</v>
      </c>
    </row>
    <row r="3" spans="1:16">
      <c r="A3" s="55" t="s">
        <v>97</v>
      </c>
      <c r="B3">
        <v>6690</v>
      </c>
      <c r="C3">
        <v>1100</v>
      </c>
      <c r="D3">
        <v>300</v>
      </c>
      <c r="E3">
        <v>34100</v>
      </c>
      <c r="F3">
        <v>63100</v>
      </c>
      <c r="G3">
        <v>14900</v>
      </c>
      <c r="H3">
        <v>94800</v>
      </c>
      <c r="I3">
        <v>201</v>
      </c>
      <c r="J3">
        <v>74</v>
      </c>
      <c r="K3">
        <v>908</v>
      </c>
      <c r="L3">
        <v>18</v>
      </c>
      <c r="M3">
        <v>2600</v>
      </c>
      <c r="N3">
        <v>80</v>
      </c>
      <c r="O3">
        <v>182</v>
      </c>
      <c r="P3">
        <v>78</v>
      </c>
    </row>
    <row r="4" spans="1:16">
      <c r="A4" s="55" t="s">
        <v>98</v>
      </c>
      <c r="B4">
        <v>7000</v>
      </c>
      <c r="C4">
        <v>1300</v>
      </c>
      <c r="D4">
        <v>375</v>
      </c>
      <c r="E4">
        <v>35000</v>
      </c>
      <c r="F4">
        <v>63800</v>
      </c>
      <c r="G4">
        <v>15800</v>
      </c>
      <c r="H4">
        <v>95300</v>
      </c>
      <c r="I4">
        <v>204</v>
      </c>
      <c r="J4">
        <v>76</v>
      </c>
      <c r="K4">
        <v>912</v>
      </c>
      <c r="L4">
        <v>19</v>
      </c>
      <c r="M4">
        <v>2700</v>
      </c>
      <c r="N4">
        <v>86</v>
      </c>
      <c r="O4">
        <v>190</v>
      </c>
      <c r="P4">
        <v>82</v>
      </c>
    </row>
    <row r="5" spans="1:16">
      <c r="A5" s="55" t="s">
        <v>99</v>
      </c>
      <c r="B5">
        <v>7090</v>
      </c>
      <c r="C5">
        <v>1496</v>
      </c>
      <c r="D5">
        <v>408</v>
      </c>
      <c r="E5">
        <v>35930</v>
      </c>
      <c r="F5">
        <v>64100</v>
      </c>
      <c r="G5">
        <v>16656</v>
      </c>
      <c r="H5">
        <v>96856</v>
      </c>
      <c r="I5">
        <v>209</v>
      </c>
      <c r="J5">
        <v>81</v>
      </c>
      <c r="K5">
        <v>916</v>
      </c>
      <c r="L5">
        <v>21</v>
      </c>
      <c r="M5">
        <v>2759</v>
      </c>
      <c r="N5">
        <v>90</v>
      </c>
      <c r="O5">
        <v>197</v>
      </c>
      <c r="P5">
        <v>86</v>
      </c>
    </row>
    <row r="6" spans="1:16">
      <c r="A6" s="55"/>
    </row>
    <row r="7" spans="1:16">
      <c r="A7" s="55" t="s">
        <v>100</v>
      </c>
      <c r="B7">
        <f t="shared" ref="B7:G7" si="0">B4</f>
        <v>7000</v>
      </c>
      <c r="C7">
        <f t="shared" si="0"/>
        <v>1300</v>
      </c>
      <c r="D7">
        <f t="shared" si="0"/>
        <v>375</v>
      </c>
      <c r="E7">
        <f t="shared" si="0"/>
        <v>35000</v>
      </c>
      <c r="F7">
        <f t="shared" si="0"/>
        <v>63800</v>
      </c>
      <c r="G7">
        <f t="shared" si="0"/>
        <v>15800</v>
      </c>
      <c r="H7">
        <f t="shared" ref="H7:P7" si="1">H4</f>
        <v>95300</v>
      </c>
      <c r="I7">
        <f t="shared" si="1"/>
        <v>204</v>
      </c>
      <c r="J7">
        <f t="shared" si="1"/>
        <v>76</v>
      </c>
      <c r="K7">
        <f t="shared" si="1"/>
        <v>912</v>
      </c>
      <c r="L7">
        <f t="shared" si="1"/>
        <v>19</v>
      </c>
      <c r="M7">
        <f t="shared" si="1"/>
        <v>2700</v>
      </c>
      <c r="N7">
        <f t="shared" si="1"/>
        <v>86</v>
      </c>
      <c r="O7">
        <f t="shared" si="1"/>
        <v>190</v>
      </c>
      <c r="P7">
        <f t="shared" si="1"/>
        <v>82</v>
      </c>
    </row>
    <row r="8" spans="1:16" s="9" customFormat="1">
      <c r="A8" s="228" t="s">
        <v>101</v>
      </c>
      <c r="B8" s="229">
        <f t="shared" ref="B8:G8" si="2">SQRT(SUMPRODUCT((B3:B5-B7)^2))</f>
        <v>322.80024783137947</v>
      </c>
      <c r="C8" s="229">
        <f t="shared" si="2"/>
        <v>280.02856997099423</v>
      </c>
      <c r="D8" s="229">
        <f t="shared" si="2"/>
        <v>81.939001702485982</v>
      </c>
      <c r="E8" s="229">
        <f t="shared" si="2"/>
        <v>1294.1792766073795</v>
      </c>
      <c r="F8" s="229">
        <f t="shared" si="2"/>
        <v>761.57731058639081</v>
      </c>
      <c r="G8" s="229">
        <f t="shared" si="2"/>
        <v>1242.069241226108</v>
      </c>
      <c r="H8" s="229">
        <f t="shared" ref="H8:P8" si="3">SQRT(SUMPRODUCT((H3:H5-H7)^2))</f>
        <v>1634.3610372252515</v>
      </c>
      <c r="I8" s="229">
        <f t="shared" si="3"/>
        <v>5.8309518948453007</v>
      </c>
      <c r="J8" s="229">
        <f t="shared" si="3"/>
        <v>5.3851648071345037</v>
      </c>
      <c r="K8" s="229">
        <f t="shared" si="3"/>
        <v>5.6568542494923806</v>
      </c>
      <c r="L8" s="229">
        <f t="shared" si="3"/>
        <v>2.2360679774997898</v>
      </c>
      <c r="M8" s="229">
        <f t="shared" si="3"/>
        <v>116.1077086157504</v>
      </c>
      <c r="N8" s="229">
        <f t="shared" si="3"/>
        <v>7.2111025509279782</v>
      </c>
      <c r="O8" s="229">
        <f t="shared" si="3"/>
        <v>10.63014581273465</v>
      </c>
      <c r="P8" s="229">
        <f t="shared" si="3"/>
        <v>5.6568542494923806</v>
      </c>
    </row>
    <row r="10" spans="1:16">
      <c r="A10" t="s">
        <v>102</v>
      </c>
      <c r="B10">
        <v>500</v>
      </c>
      <c r="D10" t="s">
        <v>103</v>
      </c>
      <c r="E10">
        <f>B10+13-1</f>
        <v>512</v>
      </c>
    </row>
    <row r="11" spans="1:16" ht="13.5" thickBot="1"/>
    <row r="12" spans="1:16">
      <c r="A12" s="6" t="s">
        <v>95</v>
      </c>
      <c r="B12" s="33" t="s">
        <v>3</v>
      </c>
      <c r="C12" s="33" t="s">
        <v>4</v>
      </c>
      <c r="D12" s="33" t="s">
        <v>11</v>
      </c>
      <c r="E12" s="33" t="s">
        <v>12</v>
      </c>
      <c r="F12" s="33" t="s">
        <v>13</v>
      </c>
      <c r="G12" s="33" t="s">
        <v>5</v>
      </c>
      <c r="H12" s="33" t="s">
        <v>2</v>
      </c>
      <c r="I12" s="33" t="s">
        <v>14</v>
      </c>
      <c r="J12" s="33" t="s">
        <v>6</v>
      </c>
      <c r="K12" s="33" t="s">
        <v>7</v>
      </c>
      <c r="L12" s="33" t="s">
        <v>8</v>
      </c>
      <c r="M12" s="33" t="s">
        <v>9</v>
      </c>
      <c r="N12" s="33" t="s">
        <v>10</v>
      </c>
      <c r="O12" s="47" t="s">
        <v>93</v>
      </c>
    </row>
    <row r="13" spans="1:16">
      <c r="A13" s="22">
        <v>7139.6222137373115</v>
      </c>
      <c r="B13" s="20">
        <v>1844.896611245349</v>
      </c>
      <c r="C13" s="20">
        <v>333.45992543763714</v>
      </c>
      <c r="D13" s="20">
        <v>34164.902187658299</v>
      </c>
      <c r="E13" s="20">
        <v>64123.14819009116</v>
      </c>
      <c r="F13" s="20">
        <v>16297.088440170046</v>
      </c>
      <c r="G13" s="20">
        <v>94809.420651975233</v>
      </c>
      <c r="H13" s="9">
        <v>203.74227762322698</v>
      </c>
      <c r="I13" s="9">
        <v>81.257390967017272</v>
      </c>
      <c r="J13" s="9">
        <v>910.63554194234894</v>
      </c>
      <c r="K13" s="9">
        <v>18.525343810091726</v>
      </c>
      <c r="L13" s="20">
        <v>2852.7604672446614</v>
      </c>
      <c r="M13" s="9">
        <v>93.345481662923703</v>
      </c>
      <c r="N13" s="9">
        <v>197.03564637660747</v>
      </c>
      <c r="O13" s="9">
        <v>79.363022430363344</v>
      </c>
    </row>
    <row r="14" spans="1:16">
      <c r="A14" s="22">
        <v>7278.2845444926352</v>
      </c>
      <c r="B14" s="20">
        <v>1505.9292228295817</v>
      </c>
      <c r="C14" s="20">
        <v>274.65901477262378</v>
      </c>
      <c r="D14" s="20">
        <v>34636.69524731813</v>
      </c>
      <c r="E14" s="20">
        <v>63886.256136455631</v>
      </c>
      <c r="F14" s="20">
        <v>13202.592598518822</v>
      </c>
      <c r="G14" s="20">
        <v>93212.26570323488</v>
      </c>
      <c r="H14" s="9">
        <v>203.8869611772534</v>
      </c>
      <c r="I14" s="9">
        <v>74.417814595086384</v>
      </c>
      <c r="J14" s="9">
        <v>910.36464326108398</v>
      </c>
      <c r="K14" s="9">
        <v>20.824705577746499</v>
      </c>
      <c r="L14" s="20">
        <v>2667.8191761631751</v>
      </c>
      <c r="M14" s="9">
        <v>75.139801073179115</v>
      </c>
      <c r="N14" s="9">
        <v>195.3408939493238</v>
      </c>
      <c r="O14" s="9">
        <v>81.649924120603828</v>
      </c>
    </row>
    <row r="15" spans="1:16">
      <c r="A15" s="22">
        <v>7381.2035356531851</v>
      </c>
      <c r="B15" s="20">
        <v>1922.9362043086439</v>
      </c>
      <c r="C15" s="20">
        <v>519.87184671452269</v>
      </c>
      <c r="D15" s="20">
        <v>37072.402348858304</v>
      </c>
      <c r="E15" s="20">
        <v>63734.047364149592</v>
      </c>
      <c r="F15" s="20">
        <v>15938.575574055722</v>
      </c>
      <c r="G15" s="20">
        <v>95699.116440803482</v>
      </c>
      <c r="H15" s="9">
        <v>205.83769088835106</v>
      </c>
      <c r="I15" s="9">
        <v>66.666810845141299</v>
      </c>
      <c r="J15" s="9">
        <v>913.33431399262918</v>
      </c>
      <c r="K15" s="9">
        <v>18.993651726981625</v>
      </c>
      <c r="L15" s="20">
        <v>2695.610878613661</v>
      </c>
      <c r="M15" s="9">
        <v>86.534671471541515</v>
      </c>
      <c r="N15" s="9">
        <v>187.3614876580541</v>
      </c>
      <c r="O15" s="9">
        <v>81.585861587547697</v>
      </c>
    </row>
    <row r="16" spans="1:16">
      <c r="A16" s="22">
        <v>6597.658475067874</v>
      </c>
      <c r="B16" s="20">
        <v>608.48285657702945</v>
      </c>
      <c r="C16" s="20">
        <v>353.08471562166233</v>
      </c>
      <c r="D16" s="20">
        <v>34224.139280613599</v>
      </c>
      <c r="E16" s="20">
        <v>65070.894626941299</v>
      </c>
      <c r="F16" s="20">
        <v>14790.240392231499</v>
      </c>
      <c r="G16" s="20">
        <v>97385.757764689333</v>
      </c>
      <c r="H16" s="9">
        <v>201.49659878034436</v>
      </c>
      <c r="I16" s="9">
        <v>73.798704498563893</v>
      </c>
      <c r="J16" s="9">
        <v>908.10972736263648</v>
      </c>
      <c r="K16" s="9">
        <v>17.493324255832704</v>
      </c>
      <c r="L16" s="20">
        <v>2677.3121908219764</v>
      </c>
      <c r="M16" s="9">
        <v>83.573343080148334</v>
      </c>
      <c r="N16" s="9">
        <v>183.24670625355793</v>
      </c>
      <c r="O16" s="9">
        <v>79.06684548073099</v>
      </c>
    </row>
    <row r="17" spans="1:15">
      <c r="A17" s="22">
        <v>7276.9978459582489</v>
      </c>
      <c r="B17" s="20">
        <v>1107.1834670554381</v>
      </c>
      <c r="C17" s="20">
        <v>333.68794940179214</v>
      </c>
      <c r="D17" s="20">
        <v>34286.292108990892</v>
      </c>
      <c r="E17" s="20">
        <v>63688.675079091627</v>
      </c>
      <c r="F17" s="20">
        <v>16577.353027388017</v>
      </c>
      <c r="G17" s="20">
        <v>97258.104257937521</v>
      </c>
      <c r="H17" s="9">
        <v>202.70488522901724</v>
      </c>
      <c r="I17" s="9">
        <v>74.031535142217763</v>
      </c>
      <c r="J17" s="9">
        <v>911.45059698802652</v>
      </c>
      <c r="K17" s="9">
        <v>19.965446815825999</v>
      </c>
      <c r="L17" s="20">
        <v>2822.9009376402246</v>
      </c>
      <c r="M17" s="9">
        <v>75.527836987690534</v>
      </c>
      <c r="N17" s="9">
        <v>201.34319518314442</v>
      </c>
      <c r="O17" s="9">
        <v>89.610287866555154</v>
      </c>
    </row>
    <row r="18" spans="1:15">
      <c r="A18" s="22">
        <v>7410.2445859643922</v>
      </c>
      <c r="B18" s="20">
        <v>618.63829260692</v>
      </c>
      <c r="C18" s="20">
        <v>492.3478813143447</v>
      </c>
      <c r="D18" s="20">
        <v>35876.738986335113</v>
      </c>
      <c r="E18" s="20">
        <v>63872.148889103119</v>
      </c>
      <c r="F18" s="20">
        <v>15397.68436383456</v>
      </c>
      <c r="G18" s="20">
        <v>98131.939491443336</v>
      </c>
      <c r="H18" s="9">
        <v>194.16026777098887</v>
      </c>
      <c r="I18" s="9">
        <v>83.571543392259628</v>
      </c>
      <c r="J18" s="9">
        <v>920.73169483384117</v>
      </c>
      <c r="K18" s="9">
        <v>16.105969669064507</v>
      </c>
      <c r="L18" s="20">
        <v>2730.3312526739319</v>
      </c>
      <c r="M18" s="9">
        <v>73.133060130872764</v>
      </c>
      <c r="N18" s="9">
        <v>169.81894921394996</v>
      </c>
      <c r="O18" s="9">
        <v>85.233878942410229</v>
      </c>
    </row>
    <row r="19" spans="1:15">
      <c r="A19" s="22">
        <v>7102.7809207698738</v>
      </c>
      <c r="B19" s="20">
        <v>1678.3868578466354</v>
      </c>
      <c r="C19" s="20">
        <v>382.4719332587847</v>
      </c>
      <c r="D19" s="20">
        <v>36025.123733597866</v>
      </c>
      <c r="E19" s="20">
        <v>64473.119702696567</v>
      </c>
      <c r="F19" s="20">
        <v>19390.115811675787</v>
      </c>
      <c r="G19" s="20">
        <v>91732.017796905711</v>
      </c>
      <c r="H19" s="9">
        <v>204.1834450813476</v>
      </c>
      <c r="I19" s="9">
        <v>77.420528406015364</v>
      </c>
      <c r="J19" s="9">
        <v>920.29513737699017</v>
      </c>
      <c r="K19" s="9">
        <v>15.447431840351783</v>
      </c>
      <c r="L19" s="20">
        <v>2662.274946483376</v>
      </c>
      <c r="M19" s="9">
        <v>83.222145111663849</v>
      </c>
      <c r="N19" s="9">
        <v>185.48502955803997</v>
      </c>
      <c r="O19" s="9">
        <v>79.835305975968367</v>
      </c>
    </row>
    <row r="20" spans="1:15">
      <c r="A20" s="22">
        <v>6741.8766702139692</v>
      </c>
      <c r="B20" s="20">
        <v>1703.9569694214151</v>
      </c>
      <c r="C20" s="20">
        <v>316.35579754583887</v>
      </c>
      <c r="D20" s="20">
        <v>33376.250186993275</v>
      </c>
      <c r="E20" s="20">
        <v>62503.257947454404</v>
      </c>
      <c r="F20" s="20">
        <v>15551.561679204315</v>
      </c>
      <c r="G20" s="20">
        <v>94917.347848470672</v>
      </c>
      <c r="H20" s="9">
        <v>200.85799139115261</v>
      </c>
      <c r="I20" s="9">
        <v>78.356193817831809</v>
      </c>
      <c r="J20" s="9">
        <v>912.1130388227466</v>
      </c>
      <c r="K20" s="9">
        <v>22.450577423791401</v>
      </c>
      <c r="L20" s="20">
        <v>2528.9743416535202</v>
      </c>
      <c r="M20" s="9">
        <v>100.21822162228636</v>
      </c>
      <c r="N20" s="9">
        <v>183.05421169992769</v>
      </c>
      <c r="O20" s="9">
        <v>72.264177540666424</v>
      </c>
    </row>
    <row r="21" spans="1:15">
      <c r="A21" s="22">
        <v>6807.0436913621961</v>
      </c>
      <c r="B21" s="20">
        <v>877.92913846787997</v>
      </c>
      <c r="C21" s="20">
        <v>317.84485183015931</v>
      </c>
      <c r="D21" s="20">
        <v>34546.260373790574</v>
      </c>
      <c r="E21" s="20">
        <v>63731.825641397154</v>
      </c>
      <c r="F21" s="20">
        <v>18988.38756356854</v>
      </c>
      <c r="G21" s="20">
        <v>97089.266807463719</v>
      </c>
      <c r="H21" s="9">
        <v>209.36022071173647</v>
      </c>
      <c r="I21" s="9">
        <v>74.776740994799184</v>
      </c>
      <c r="J21" s="9">
        <v>913.54603867486003</v>
      </c>
      <c r="K21" s="9">
        <v>19.832558271213202</v>
      </c>
      <c r="L21" s="20">
        <v>2647.7736491826363</v>
      </c>
      <c r="M21" s="9">
        <v>81.574401054909686</v>
      </c>
      <c r="N21" s="9">
        <v>182.30201410682639</v>
      </c>
      <c r="O21" s="9">
        <v>83.009129846352153</v>
      </c>
    </row>
    <row r="22" spans="1:15">
      <c r="A22" s="22">
        <v>7194.3759366440645</v>
      </c>
      <c r="B22" s="20">
        <v>1436.6612696074299</v>
      </c>
      <c r="C22" s="20">
        <v>313.93208738882095</v>
      </c>
      <c r="D22" s="20">
        <v>37849.665033863857</v>
      </c>
      <c r="E22" s="20">
        <v>63818.194248241343</v>
      </c>
      <c r="F22" s="20">
        <v>13604.812219328596</v>
      </c>
      <c r="G22" s="20">
        <v>93524.331138771959</v>
      </c>
      <c r="H22" s="9">
        <v>204.38075427255535</v>
      </c>
      <c r="I22" s="9">
        <v>72.721203388005961</v>
      </c>
      <c r="J22" s="9">
        <v>909.02403101764503</v>
      </c>
      <c r="K22" s="9">
        <v>22.663099050754681</v>
      </c>
      <c r="L22" s="20">
        <v>2855.7685754960403</v>
      </c>
      <c r="M22" s="9">
        <v>88.949614099634346</v>
      </c>
      <c r="N22" s="9">
        <v>205.31379894004203</v>
      </c>
      <c r="O22" s="9">
        <v>80.808641521463869</v>
      </c>
    </row>
    <row r="23" spans="1:15">
      <c r="A23" s="22">
        <v>7088.272513494303</v>
      </c>
      <c r="B23" s="20">
        <v>1049.5255638568779</v>
      </c>
      <c r="C23" s="20">
        <v>439.0044436295284</v>
      </c>
      <c r="D23" s="20">
        <v>34306.146178241761</v>
      </c>
      <c r="E23" s="20">
        <v>65437.319692235906</v>
      </c>
      <c r="F23" s="20">
        <v>14888.904642121634</v>
      </c>
      <c r="G23" s="20">
        <v>94172.206401756557</v>
      </c>
      <c r="H23" s="9">
        <v>206.70890723186312</v>
      </c>
      <c r="I23" s="9">
        <v>78.782729779937654</v>
      </c>
      <c r="J23" s="9">
        <v>916.13734255744203</v>
      </c>
      <c r="K23" s="9">
        <v>21.39858309214469</v>
      </c>
      <c r="L23" s="20">
        <v>2671.1447117078933</v>
      </c>
      <c r="M23" s="9">
        <v>91.506011575562297</v>
      </c>
      <c r="N23" s="9">
        <v>199.42936821957119</v>
      </c>
      <c r="O23" s="9">
        <v>86.075707238371251</v>
      </c>
    </row>
    <row r="24" spans="1:15">
      <c r="A24" s="22">
        <v>6822.5964395714982</v>
      </c>
      <c r="B24" s="20">
        <v>1198.7464118727075</v>
      </c>
      <c r="C24" s="20">
        <v>382.77425611886429</v>
      </c>
      <c r="D24" s="20">
        <v>33959.767990527325</v>
      </c>
      <c r="E24" s="20">
        <v>64089.748810473611</v>
      </c>
      <c r="F24" s="20">
        <v>15192.222798633156</v>
      </c>
      <c r="G24" s="20">
        <v>92537.833576946286</v>
      </c>
      <c r="H24" s="9">
        <v>203.46213620205526</v>
      </c>
      <c r="I24" s="9">
        <v>77.235082436323864</v>
      </c>
      <c r="J24" s="9">
        <v>918.69348310111673</v>
      </c>
      <c r="K24" s="9">
        <v>21.397327989456244</v>
      </c>
      <c r="L24" s="20">
        <v>2795.9738190431381</v>
      </c>
      <c r="M24" s="9">
        <v>90.020866981591098</v>
      </c>
      <c r="N24" s="9">
        <v>192.37013182413648</v>
      </c>
      <c r="O24" s="9">
        <v>82.639158770354697</v>
      </c>
    </row>
    <row r="25" spans="1:15">
      <c r="A25" s="22">
        <v>7131.983175606365</v>
      </c>
      <c r="B25" s="20">
        <v>1060.7029740720463</v>
      </c>
      <c r="C25" s="20">
        <v>411.45409606178873</v>
      </c>
      <c r="D25" s="20">
        <v>34273.116868607758</v>
      </c>
      <c r="E25" s="20">
        <v>62954.278048081324</v>
      </c>
      <c r="F25" s="20">
        <v>16430.369049758883</v>
      </c>
      <c r="G25" s="20">
        <v>92282.147604285274</v>
      </c>
      <c r="H25" s="9">
        <v>201.4392039803206</v>
      </c>
      <c r="I25" s="9">
        <v>80.414118848217186</v>
      </c>
      <c r="J25" s="9">
        <v>914.24225118472532</v>
      </c>
      <c r="K25" s="9">
        <v>18.253125224640826</v>
      </c>
      <c r="L25" s="20">
        <v>2764.2798840999603</v>
      </c>
      <c r="M25" s="9">
        <v>91.049178071203642</v>
      </c>
      <c r="N25" s="9">
        <v>199.22138951864326</v>
      </c>
      <c r="O25" s="9">
        <v>81.838752273717546</v>
      </c>
    </row>
    <row r="26" spans="1:15">
      <c r="A26" s="22">
        <v>7078.8187310263311</v>
      </c>
      <c r="B26" s="20">
        <v>303.38021689094603</v>
      </c>
      <c r="C26" s="20">
        <v>397.72241090395255</v>
      </c>
      <c r="D26" s="20">
        <v>32673.631505676894</v>
      </c>
      <c r="E26" s="20">
        <v>63842.548413148324</v>
      </c>
      <c r="F26" s="20">
        <v>15381.127362944244</v>
      </c>
      <c r="G26" s="20">
        <v>93702.553401319892</v>
      </c>
      <c r="H26" s="9">
        <v>206.21647837861383</v>
      </c>
      <c r="I26" s="9">
        <v>71.13339616896701</v>
      </c>
      <c r="J26" s="9">
        <v>907.61291588179301</v>
      </c>
      <c r="K26" s="9">
        <v>20.951561898749787</v>
      </c>
      <c r="L26" s="20">
        <v>2527.8349266911391</v>
      </c>
      <c r="M26" s="9">
        <v>83.890536178601906</v>
      </c>
      <c r="N26" s="9">
        <v>191.05803792393999</v>
      </c>
      <c r="O26" s="9">
        <v>83.862269982666476</v>
      </c>
    </row>
    <row r="27" spans="1:15">
      <c r="A27" s="22">
        <v>6813.5616419858707</v>
      </c>
      <c r="B27" s="20">
        <v>1282.0407674633316</v>
      </c>
      <c r="C27" s="20">
        <v>409.59373374425923</v>
      </c>
      <c r="D27" s="20">
        <v>32600.776368926745</v>
      </c>
      <c r="E27" s="20">
        <v>63797.875174813089</v>
      </c>
      <c r="F27" s="20">
        <v>15204.509940177377</v>
      </c>
      <c r="G27" s="20">
        <v>94036.089473823085</v>
      </c>
      <c r="H27" s="9">
        <v>210.2506842368748</v>
      </c>
      <c r="I27" s="9">
        <v>79.755019406526117</v>
      </c>
      <c r="J27" s="9">
        <v>910.14101556694368</v>
      </c>
      <c r="K27" s="9">
        <v>18.101407865964575</v>
      </c>
      <c r="L27" s="20">
        <v>2439.493869128637</v>
      </c>
      <c r="M27" s="9">
        <v>93.483411081921076</v>
      </c>
      <c r="N27" s="9">
        <v>195.35766275788774</v>
      </c>
      <c r="O27" s="9">
        <v>91.190671335090883</v>
      </c>
    </row>
    <row r="28" spans="1:15">
      <c r="A28" s="22">
        <v>6900.1519734065369</v>
      </c>
      <c r="B28" s="20">
        <v>851.4318834466394</v>
      </c>
      <c r="C28" s="20">
        <v>429.67783466883702</v>
      </c>
      <c r="D28" s="20">
        <v>34264.755092553969</v>
      </c>
      <c r="E28" s="20">
        <v>64016.264984373993</v>
      </c>
      <c r="F28" s="20">
        <v>16768.659387581283</v>
      </c>
      <c r="G28" s="20">
        <v>91839.300391305005</v>
      </c>
      <c r="H28" s="9">
        <v>201.32779087935342</v>
      </c>
      <c r="I28" s="9">
        <v>75.635355152349803</v>
      </c>
      <c r="J28" s="9">
        <v>916.16920329371351</v>
      </c>
      <c r="K28" s="9">
        <v>20.259413693333045</v>
      </c>
      <c r="L28" s="20">
        <v>2745.4478868050501</v>
      </c>
      <c r="M28" s="9">
        <v>78.268185451393947</v>
      </c>
      <c r="N28" s="9">
        <v>179.19629433657974</v>
      </c>
      <c r="O28" s="9">
        <v>72.06845428084489</v>
      </c>
    </row>
    <row r="29" spans="1:15">
      <c r="A29" s="22">
        <v>6702.9797441427945</v>
      </c>
      <c r="B29" s="20">
        <v>1630.2511004221742</v>
      </c>
      <c r="C29" s="20">
        <v>421.00341526384</v>
      </c>
      <c r="D29" s="20">
        <v>34671.372197553865</v>
      </c>
      <c r="E29" s="20">
        <v>63218.012457681471</v>
      </c>
      <c r="F29" s="20">
        <v>15142.023711506044</v>
      </c>
      <c r="G29" s="20">
        <v>94372.010759846307</v>
      </c>
      <c r="H29" s="9">
        <v>209.4259203352558</v>
      </c>
      <c r="I29" s="9">
        <v>78.810907062666956</v>
      </c>
      <c r="J29" s="9">
        <v>918.43017301626969</v>
      </c>
      <c r="K29" s="9">
        <v>17.984044395911042</v>
      </c>
      <c r="L29" s="20">
        <v>2616.0166771616787</v>
      </c>
      <c r="M29" s="9">
        <v>88.382919319643406</v>
      </c>
      <c r="N29" s="9">
        <v>202.63451849808916</v>
      </c>
      <c r="O29" s="9">
        <v>74.205539456335828</v>
      </c>
    </row>
    <row r="30" spans="1:15">
      <c r="A30" s="22">
        <v>6880.5977543270274</v>
      </c>
      <c r="B30" s="20">
        <v>852.7489318192238</v>
      </c>
      <c r="C30" s="20">
        <v>441.06635452044429</v>
      </c>
      <c r="D30" s="20">
        <v>33645.736518483318</v>
      </c>
      <c r="E30" s="20">
        <v>64468.911579850828</v>
      </c>
      <c r="F30" s="20">
        <v>18119.448594789719</v>
      </c>
      <c r="G30" s="20">
        <v>94639.78627268516</v>
      </c>
      <c r="H30" s="9">
        <v>202.69024236431869</v>
      </c>
      <c r="I30" s="9">
        <v>79.85207385988906</v>
      </c>
      <c r="J30" s="9">
        <v>904.50344444590155</v>
      </c>
      <c r="K30" s="9">
        <v>18.334709173126612</v>
      </c>
      <c r="L30" s="20">
        <v>2774.9384253140306</v>
      </c>
      <c r="M30" s="9">
        <v>82.579959997689002</v>
      </c>
      <c r="N30" s="9">
        <v>188.55954229133204</v>
      </c>
      <c r="O30" s="9">
        <v>71.865136740263551</v>
      </c>
    </row>
    <row r="31" spans="1:15">
      <c r="A31" s="22">
        <v>6449.9246258783387</v>
      </c>
      <c r="B31" s="20">
        <v>1627.9116708654328</v>
      </c>
      <c r="C31" s="20">
        <v>324.16463947447482</v>
      </c>
      <c r="D31" s="20">
        <v>37777.110003080452</v>
      </c>
      <c r="E31" s="20">
        <v>63775.749653913226</v>
      </c>
      <c r="F31" s="20">
        <v>17447.651743041934</v>
      </c>
      <c r="G31" s="20">
        <v>95520.349888877536</v>
      </c>
      <c r="H31" s="9">
        <v>204.84181124293536</v>
      </c>
      <c r="I31" s="9">
        <v>73.643806182168191</v>
      </c>
      <c r="J31" s="9">
        <v>909.88602735861787</v>
      </c>
      <c r="K31" s="9">
        <v>21.138390300387982</v>
      </c>
      <c r="L31" s="20">
        <v>2756.0758326173527</v>
      </c>
      <c r="M31" s="9">
        <v>90.78937863590545</v>
      </c>
      <c r="N31" s="9">
        <v>199.24480900721392</v>
      </c>
      <c r="O31" s="9">
        <v>80.279668034228962</v>
      </c>
    </row>
    <row r="32" spans="1:15">
      <c r="A32" s="22">
        <v>7578.838080400601</v>
      </c>
      <c r="B32" s="20">
        <v>1707.549141527852</v>
      </c>
      <c r="C32" s="20">
        <v>338.13003521208884</v>
      </c>
      <c r="D32" s="20">
        <v>35546.988728729048</v>
      </c>
      <c r="E32" s="20">
        <v>63869.693574005214</v>
      </c>
      <c r="F32" s="20">
        <v>17518.070534479921</v>
      </c>
      <c r="G32" s="20">
        <v>94702.784517315013</v>
      </c>
      <c r="H32" s="9">
        <v>198.18863581013284</v>
      </c>
      <c r="I32" s="9">
        <v>77.724799858493498</v>
      </c>
      <c r="J32" s="9">
        <v>906.74193828064017</v>
      </c>
      <c r="K32" s="9">
        <v>21.029132701864</v>
      </c>
      <c r="L32" s="20">
        <v>2637.081479401968</v>
      </c>
      <c r="M32" s="9">
        <v>85.750673396192724</v>
      </c>
      <c r="N32" s="9">
        <v>196.18738340563141</v>
      </c>
      <c r="O32" s="9">
        <v>86.729611191578442</v>
      </c>
    </row>
    <row r="33" spans="1:15">
      <c r="A33" s="22">
        <v>7303.4904693777207</v>
      </c>
      <c r="B33" s="20">
        <v>1879.2570846097078</v>
      </c>
      <c r="C33" s="20">
        <v>334.52621247852221</v>
      </c>
      <c r="D33" s="20">
        <v>34208.920671662781</v>
      </c>
      <c r="E33" s="20">
        <v>63679.133264357733</v>
      </c>
      <c r="F33" s="20">
        <v>17243.729247512238</v>
      </c>
      <c r="G33" s="20">
        <v>94765.69731037016</v>
      </c>
      <c r="H33" s="9">
        <v>195.89135451160837</v>
      </c>
      <c r="I33" s="9">
        <v>83.553535397164524</v>
      </c>
      <c r="J33" s="9">
        <v>913.22601591101557</v>
      </c>
      <c r="K33" s="9">
        <v>19.309751158056315</v>
      </c>
      <c r="L33" s="20">
        <v>2575.5481919943122</v>
      </c>
      <c r="M33" s="9">
        <v>78.915925304259872</v>
      </c>
      <c r="N33" s="9">
        <v>173.98179741343483</v>
      </c>
      <c r="O33" s="9">
        <v>88.611912795051467</v>
      </c>
    </row>
    <row r="34" spans="1:15">
      <c r="A34" s="22">
        <v>6672.9964368569199</v>
      </c>
      <c r="B34" s="20">
        <v>783.21398733241949</v>
      </c>
      <c r="C34" s="20">
        <v>366.92948052950669</v>
      </c>
      <c r="D34" s="20">
        <v>34589.905196444306</v>
      </c>
      <c r="E34" s="20">
        <v>63227.946188461647</v>
      </c>
      <c r="F34" s="20">
        <v>14483.445915048651</v>
      </c>
      <c r="G34" s="20">
        <v>94695.027000446134</v>
      </c>
      <c r="H34" s="9">
        <v>200.02845264234929</v>
      </c>
      <c r="I34" s="9">
        <v>77.796831838873914</v>
      </c>
      <c r="J34" s="9">
        <v>918.26073415332939</v>
      </c>
      <c r="K34" s="9">
        <v>20.565235834277701</v>
      </c>
      <c r="L34" s="20">
        <v>2538.6767765623517</v>
      </c>
      <c r="M34" s="9">
        <v>97.45504938904196</v>
      </c>
      <c r="N34" s="9">
        <v>200.03747911454411</v>
      </c>
      <c r="O34" s="9">
        <v>88.962636689422652</v>
      </c>
    </row>
    <row r="35" spans="1:15">
      <c r="A35" s="22">
        <v>7062.7959559551527</v>
      </c>
      <c r="B35" s="20">
        <v>2526.961612701416</v>
      </c>
      <c r="C35" s="20">
        <v>363.78375663480256</v>
      </c>
      <c r="D35" s="20">
        <v>33889.434332340898</v>
      </c>
      <c r="E35" s="20">
        <v>65434.966465644538</v>
      </c>
      <c r="F35" s="20">
        <v>13834.831123732147</v>
      </c>
      <c r="G35" s="20">
        <v>97493.876298406394</v>
      </c>
      <c r="H35" s="9">
        <v>198.88603634745232</v>
      </c>
      <c r="I35" s="9">
        <v>71.061011759389658</v>
      </c>
      <c r="J35" s="9">
        <v>914.29524630412925</v>
      </c>
      <c r="K35" s="9">
        <v>17.8368972481112</v>
      </c>
      <c r="L35" s="20">
        <v>2799.197413874208</v>
      </c>
      <c r="M35" s="9">
        <v>84.87357375882857</v>
      </c>
      <c r="N35" s="9">
        <v>211.29600034095347</v>
      </c>
      <c r="O35" s="9">
        <v>84.564286205597455</v>
      </c>
    </row>
    <row r="36" spans="1:15">
      <c r="A36" s="22">
        <v>6573.4623735188507</v>
      </c>
      <c r="B36" s="20">
        <v>1508.8767087116139</v>
      </c>
      <c r="C36" s="20">
        <v>365.93292444740655</v>
      </c>
      <c r="D36" s="20">
        <v>33308.570407061779</v>
      </c>
      <c r="E36" s="20">
        <v>62480.55969272973</v>
      </c>
      <c r="F36" s="20">
        <v>14729.524799677893</v>
      </c>
      <c r="G36" s="20">
        <v>95160.645200442377</v>
      </c>
      <c r="H36" s="9">
        <v>207.2253979043162</v>
      </c>
      <c r="I36" s="9">
        <v>80.65181528852554</v>
      </c>
      <c r="J36" s="9">
        <v>919.58602709538536</v>
      </c>
      <c r="K36" s="9">
        <v>22.82251528208144</v>
      </c>
      <c r="L36" s="20">
        <v>2706.6368284024065</v>
      </c>
      <c r="M36" s="9">
        <v>74.02834397793049</v>
      </c>
      <c r="N36" s="9">
        <v>182.7680164546473</v>
      </c>
      <c r="O36" s="9">
        <v>85.533023118507117</v>
      </c>
    </row>
    <row r="37" spans="1:15">
      <c r="A37" s="22">
        <v>7146.9836422529625</v>
      </c>
      <c r="B37" s="20">
        <v>1130.0409311013937</v>
      </c>
      <c r="C37" s="20">
        <v>312.59125800352194</v>
      </c>
      <c r="D37" s="20">
        <v>35069.474531301239</v>
      </c>
      <c r="E37" s="20">
        <v>63286.147019069904</v>
      </c>
      <c r="F37" s="20">
        <v>16158.005961516028</v>
      </c>
      <c r="G37" s="20">
        <v>94995.818401050929</v>
      </c>
      <c r="H37" s="9">
        <v>200.35912217854639</v>
      </c>
      <c r="I37" s="9">
        <v>72.342648955760524</v>
      </c>
      <c r="J37" s="9">
        <v>920.12578946352005</v>
      </c>
      <c r="K37" s="9">
        <v>20.97185727301985</v>
      </c>
      <c r="L37" s="20">
        <v>2752.511204557959</v>
      </c>
      <c r="M37" s="9">
        <v>86.128793544718064</v>
      </c>
      <c r="N37" s="9">
        <v>187.33850017946679</v>
      </c>
      <c r="O37" s="9">
        <v>80.471207618422341</v>
      </c>
    </row>
    <row r="38" spans="1:15">
      <c r="A38" s="22">
        <v>7098.5271776698937</v>
      </c>
      <c r="B38" s="20">
        <v>405.94393440987915</v>
      </c>
      <c r="C38" s="20">
        <v>507.7483550994657</v>
      </c>
      <c r="D38" s="20">
        <v>35876.989074640733</v>
      </c>
      <c r="E38" s="20">
        <v>64623.416478397121</v>
      </c>
      <c r="F38" s="20">
        <v>19271.553791314363</v>
      </c>
      <c r="G38" s="20">
        <v>94461.419113988813</v>
      </c>
      <c r="H38" s="9">
        <v>196.57101990224328</v>
      </c>
      <c r="I38" s="9">
        <v>69.605524650774896</v>
      </c>
      <c r="J38" s="9">
        <v>908.42561760992976</v>
      </c>
      <c r="K38" s="9">
        <v>18.71438228385523</v>
      </c>
      <c r="L38" s="20">
        <v>2856.3825935591012</v>
      </c>
      <c r="M38" s="9">
        <v>81.962707544094883</v>
      </c>
      <c r="N38" s="9">
        <v>200.52808329404797</v>
      </c>
      <c r="O38" s="9">
        <v>82.853060555527918</v>
      </c>
    </row>
    <row r="39" spans="1:15">
      <c r="A39" s="22">
        <v>7582.3162791784853</v>
      </c>
      <c r="B39" s="20">
        <v>1515.0769296349608</v>
      </c>
      <c r="C39" s="20">
        <v>498.2336217071861</v>
      </c>
      <c r="D39" s="20">
        <v>34612.430797242268</v>
      </c>
      <c r="E39" s="20">
        <v>64183.131243779644</v>
      </c>
      <c r="F39" s="20">
        <v>13052.899011073168</v>
      </c>
      <c r="G39" s="20">
        <v>98522.594368708087</v>
      </c>
      <c r="H39" s="9">
        <v>210.10141341894632</v>
      </c>
      <c r="I39" s="9">
        <v>81.864296781510348</v>
      </c>
      <c r="J39" s="9">
        <v>916.48287664767122</v>
      </c>
      <c r="K39" s="9">
        <v>18.716389993409393</v>
      </c>
      <c r="L39" s="20">
        <v>2785.5711186886765</v>
      </c>
      <c r="M39" s="9">
        <v>94.425902251474326</v>
      </c>
      <c r="N39" s="9">
        <v>177.72111666767159</v>
      </c>
      <c r="O39" s="9">
        <v>88.731147550453898</v>
      </c>
    </row>
    <row r="40" spans="1:15">
      <c r="A40" s="22">
        <v>6664.7643570213404</v>
      </c>
      <c r="B40" s="20">
        <v>594.71327050123364</v>
      </c>
      <c r="C40" s="20">
        <v>330.34132949615014</v>
      </c>
      <c r="D40" s="20">
        <v>35013.610688256449</v>
      </c>
      <c r="E40" s="20">
        <v>63976.536982507969</v>
      </c>
      <c r="F40" s="20">
        <v>16405.635211741173</v>
      </c>
      <c r="G40" s="20">
        <v>96714.509638379968</v>
      </c>
      <c r="H40" s="9">
        <v>198.77374785783468</v>
      </c>
      <c r="I40" s="9">
        <v>82.417940312530845</v>
      </c>
      <c r="J40" s="9">
        <v>920.89256170921726</v>
      </c>
      <c r="K40" s="9">
        <v>17.437670001294464</v>
      </c>
      <c r="L40" s="20">
        <v>2517.2293999232352</v>
      </c>
      <c r="M40" s="9">
        <v>86.278795369013096</v>
      </c>
      <c r="N40" s="9">
        <v>192.36698269873159</v>
      </c>
      <c r="O40" s="9">
        <v>82.207558059628354</v>
      </c>
    </row>
    <row r="41" spans="1:15">
      <c r="A41" s="22">
        <v>6707.6998420197924</v>
      </c>
      <c r="B41" s="20">
        <v>1612.5482771793031</v>
      </c>
      <c r="C41" s="20">
        <v>350.39410742319888</v>
      </c>
      <c r="D41" s="20">
        <v>35545.366096957878</v>
      </c>
      <c r="E41" s="20">
        <v>62486.539656773675</v>
      </c>
      <c r="F41" s="20">
        <v>15226.904109895986</v>
      </c>
      <c r="G41" s="20">
        <v>99181.819829985034</v>
      </c>
      <c r="H41" s="9">
        <v>205.47237528835831</v>
      </c>
      <c r="I41" s="9">
        <v>79.15646957460558</v>
      </c>
      <c r="J41" s="9">
        <v>914.98556415145868</v>
      </c>
      <c r="K41" s="9">
        <v>18.487647528439993</v>
      </c>
      <c r="L41" s="20">
        <v>2670.6777362007415</v>
      </c>
      <c r="M41" s="9">
        <v>78.107464095170144</v>
      </c>
      <c r="N41" s="9">
        <v>188.57113834877964</v>
      </c>
      <c r="O41" s="9">
        <v>78.293990989215672</v>
      </c>
    </row>
    <row r="42" spans="1:15">
      <c r="A42" s="22">
        <v>6543.737581007008</v>
      </c>
      <c r="B42" s="20">
        <v>1553.5977455409011</v>
      </c>
      <c r="C42" s="20">
        <v>428.99022029450862</v>
      </c>
      <c r="D42" s="20">
        <v>34658.985470887274</v>
      </c>
      <c r="E42" s="20">
        <v>64293.201687277178</v>
      </c>
      <c r="F42" s="20">
        <v>15748.822403439408</v>
      </c>
      <c r="G42" s="20">
        <v>94229.882499396626</v>
      </c>
      <c r="H42" s="9">
        <v>207.61301317752805</v>
      </c>
      <c r="I42" s="9">
        <v>70.07978066301439</v>
      </c>
      <c r="J42" s="9">
        <v>916.01047373088659</v>
      </c>
      <c r="K42" s="9">
        <v>18.299191131285625</v>
      </c>
      <c r="L42" s="20">
        <v>2827.2652662009932</v>
      </c>
      <c r="M42" s="9">
        <v>91.670242444466567</v>
      </c>
      <c r="N42" s="9">
        <v>185.3992983137141</v>
      </c>
      <c r="O42" s="9">
        <v>84.570402557466878</v>
      </c>
    </row>
    <row r="43" spans="1:15">
      <c r="A43" s="22">
        <v>7094.1610687732464</v>
      </c>
      <c r="B43" s="20">
        <v>1264.7376171196811</v>
      </c>
      <c r="C43" s="20">
        <v>467.25424491887679</v>
      </c>
      <c r="D43" s="20">
        <v>35728.970633190329</v>
      </c>
      <c r="E43" s="20">
        <v>63819.76623821065</v>
      </c>
      <c r="F43" s="20">
        <v>14733.376709828735</v>
      </c>
      <c r="G43" s="20">
        <v>98014.818820095388</v>
      </c>
      <c r="H43" s="9">
        <v>201.27957629147568</v>
      </c>
      <c r="I43" s="9">
        <v>67.923959896666929</v>
      </c>
      <c r="J43" s="9">
        <v>906.81321992789162</v>
      </c>
      <c r="K43" s="9">
        <v>18.457390913448762</v>
      </c>
      <c r="L43" s="20">
        <v>2587.7201505820267</v>
      </c>
      <c r="M43" s="9">
        <v>90.661603725253372</v>
      </c>
      <c r="N43" s="9">
        <v>203.04797478951514</v>
      </c>
      <c r="O43" s="9">
        <v>80.663702172052581</v>
      </c>
    </row>
    <row r="44" spans="1:15">
      <c r="A44" s="22">
        <v>6732.1008459039149</v>
      </c>
      <c r="B44" s="20">
        <v>1578.4694470392424</v>
      </c>
      <c r="C44" s="20">
        <v>237.16389515902847</v>
      </c>
      <c r="D44" s="20">
        <v>34232.062666578713</v>
      </c>
      <c r="E44" s="20">
        <v>62518.412034577341</v>
      </c>
      <c r="F44" s="20">
        <v>16782.239912445948</v>
      </c>
      <c r="G44" s="20">
        <v>92665.342187549686</v>
      </c>
      <c r="H44" s="9">
        <v>202.45155684852216</v>
      </c>
      <c r="I44" s="9">
        <v>72.716928762907628</v>
      </c>
      <c r="J44" s="9">
        <v>905.19716152967885</v>
      </c>
      <c r="K44" s="9">
        <v>19.989066393231042</v>
      </c>
      <c r="L44" s="20">
        <v>2591.9547124387464</v>
      </c>
      <c r="M44" s="9">
        <v>80.413365129730664</v>
      </c>
      <c r="N44" s="9">
        <v>189.60477907734457</v>
      </c>
      <c r="O44" s="9">
        <v>85.448104735070956</v>
      </c>
    </row>
    <row r="45" spans="1:15">
      <c r="A45" s="22">
        <v>7210.6781573729677</v>
      </c>
      <c r="B45" s="20">
        <v>1585.1141107385047</v>
      </c>
      <c r="C45" s="20">
        <v>441.10103355342289</v>
      </c>
      <c r="D45" s="20">
        <v>34522.922721553186</v>
      </c>
      <c r="E45" s="20">
        <v>62749.569828710082</v>
      </c>
      <c r="F45" s="20">
        <v>15495.066526328446</v>
      </c>
      <c r="G45" s="20">
        <v>96180.641637195367</v>
      </c>
      <c r="H45" s="9">
        <v>208.62182470073458</v>
      </c>
      <c r="I45" s="9">
        <v>74.36141455489269</v>
      </c>
      <c r="J45" s="9">
        <v>914.30502337217331</v>
      </c>
      <c r="K45" s="9">
        <v>19.929503585211933</v>
      </c>
      <c r="L45" s="20">
        <v>2849.8723668191815</v>
      </c>
      <c r="M45" s="9">
        <v>93.374321739916923</v>
      </c>
      <c r="N45" s="9">
        <v>185.31324874624261</v>
      </c>
      <c r="O45" s="9">
        <v>82.622969764663139</v>
      </c>
    </row>
    <row r="46" spans="1:15">
      <c r="A46" s="22">
        <v>6368.0782608862501</v>
      </c>
      <c r="B46" s="20">
        <v>1458.0051048222231</v>
      </c>
      <c r="C46" s="20">
        <v>366.09065811353503</v>
      </c>
      <c r="D46" s="20">
        <v>34565.055245511758</v>
      </c>
      <c r="E46" s="20">
        <v>62269.101519731339</v>
      </c>
      <c r="F46" s="20">
        <v>14726.35346895986</v>
      </c>
      <c r="G46" s="20">
        <v>96774.180844525108</v>
      </c>
      <c r="H46" s="9">
        <v>207.63439767170348</v>
      </c>
      <c r="I46" s="9">
        <v>70.037943906732835</v>
      </c>
      <c r="J46" s="9">
        <v>916.43562839791412</v>
      </c>
      <c r="K46" s="9">
        <v>18.793008100823499</v>
      </c>
      <c r="L46" s="20">
        <v>2682.5909526407486</v>
      </c>
      <c r="M46" s="9">
        <v>80.179771647395683</v>
      </c>
      <c r="N46" s="9">
        <v>205.56572897243313</v>
      </c>
      <c r="O46" s="9">
        <v>79.664303919009399</v>
      </c>
    </row>
    <row r="47" spans="1:15">
      <c r="A47" s="22">
        <v>7018.3314148216596</v>
      </c>
      <c r="B47" s="20">
        <v>1217.2323009588581</v>
      </c>
      <c r="C47" s="20">
        <v>274.1395750636002</v>
      </c>
      <c r="D47" s="20">
        <v>34682.911566196708</v>
      </c>
      <c r="E47" s="20">
        <v>63983.781805844774</v>
      </c>
      <c r="F47" s="20">
        <v>18093.33806601062</v>
      </c>
      <c r="G47" s="20">
        <v>98435.508068226045</v>
      </c>
      <c r="H47" s="9">
        <v>203.7909071680624</v>
      </c>
      <c r="I47" s="9">
        <v>73.581653587985784</v>
      </c>
      <c r="J47" s="9">
        <v>917.13920213052188</v>
      </c>
      <c r="K47" s="9">
        <v>17.470671016548295</v>
      </c>
      <c r="L47" s="20">
        <v>2618.4548141784035</v>
      </c>
      <c r="M47" s="9">
        <v>89.329819264763501</v>
      </c>
      <c r="N47" s="9">
        <v>193.40497763318126</v>
      </c>
      <c r="O47" s="9">
        <v>84.6361021809862</v>
      </c>
    </row>
    <row r="48" spans="1:15">
      <c r="A48" s="22">
        <v>6882.4738224811881</v>
      </c>
      <c r="B48" s="20">
        <v>1077.5287147305789</v>
      </c>
      <c r="C48" s="20">
        <v>408.07055976620177</v>
      </c>
      <c r="D48" s="20">
        <v>33395.215707205352</v>
      </c>
      <c r="E48" s="20">
        <v>63959.119645104511</v>
      </c>
      <c r="F48" s="20">
        <v>15741.498408588814</v>
      </c>
      <c r="G48" s="20">
        <v>95161.899109419028</v>
      </c>
      <c r="H48" s="9">
        <v>196.05642779998016</v>
      </c>
      <c r="I48" s="9">
        <v>80.061860181536758</v>
      </c>
      <c r="J48" s="9">
        <v>911.19618858257309</v>
      </c>
      <c r="K48" s="9">
        <v>16.207660271669738</v>
      </c>
      <c r="L48" s="20">
        <v>2668.2891848351574</v>
      </c>
      <c r="M48" s="9">
        <v>77.808065260556759</v>
      </c>
      <c r="N48" s="9">
        <v>192.14021156352828</v>
      </c>
      <c r="O48" s="9">
        <v>82.093905327958055</v>
      </c>
    </row>
    <row r="49" spans="1:15">
      <c r="A49" s="22">
        <v>6818.0100055833464</v>
      </c>
      <c r="B49" s="20">
        <v>1069.3651312147267</v>
      </c>
      <c r="C49" s="20">
        <v>397.12988420069451</v>
      </c>
      <c r="D49" s="20">
        <v>39471.790743991733</v>
      </c>
      <c r="E49" s="20">
        <v>63569.939224734117</v>
      </c>
      <c r="F49" s="20">
        <v>14311.843882624817</v>
      </c>
      <c r="G49" s="20">
        <v>94444.118885396892</v>
      </c>
      <c r="H49" s="9">
        <v>204.69164229898888</v>
      </c>
      <c r="I49" s="9">
        <v>76.524016741110245</v>
      </c>
      <c r="J49" s="9">
        <v>903.38369730644627</v>
      </c>
      <c r="K49" s="9">
        <v>17.169719219731633</v>
      </c>
      <c r="L49" s="20">
        <v>2662.0971766489674</v>
      </c>
      <c r="M49" s="9">
        <v>82.270016708876938</v>
      </c>
      <c r="N49" s="9">
        <v>173.92636371136177</v>
      </c>
      <c r="O49" s="9">
        <v>84.07597850021557</v>
      </c>
    </row>
    <row r="50" spans="1:15">
      <c r="A50" s="22">
        <v>6954.7459606219491</v>
      </c>
      <c r="B50" s="20">
        <v>1505.9935286524706</v>
      </c>
      <c r="C50" s="20">
        <v>293.98027019487927</v>
      </c>
      <c r="D50" s="20">
        <v>35046.981294872239</v>
      </c>
      <c r="E50" s="20">
        <v>63909.854154288769</v>
      </c>
      <c r="F50" s="20">
        <v>14479.608124803053</v>
      </c>
      <c r="G50" s="20">
        <v>96403.176114156668</v>
      </c>
      <c r="H50" s="9">
        <v>207.24708935295348</v>
      </c>
      <c r="I50" s="9">
        <v>68.343100529978983</v>
      </c>
      <c r="J50" s="9">
        <v>908.58674596503261</v>
      </c>
      <c r="K50" s="9">
        <v>23.214489308651537</v>
      </c>
      <c r="L50" s="20">
        <v>2656.2527955276892</v>
      </c>
      <c r="M50" s="9">
        <v>84.655466697528027</v>
      </c>
      <c r="N50" s="9">
        <v>204.65791683585849</v>
      </c>
      <c r="O50" s="9">
        <v>84.957722244900651</v>
      </c>
    </row>
    <row r="51" spans="1:15">
      <c r="A51" s="22">
        <v>7410.5214611627162</v>
      </c>
      <c r="B51" s="20">
        <v>874.72931328084087</v>
      </c>
      <c r="C51" s="20">
        <v>318.38741089450195</v>
      </c>
      <c r="D51" s="20">
        <v>34230.172293209762</v>
      </c>
      <c r="E51" s="20">
        <v>63299.88397929701</v>
      </c>
      <c r="F51" s="20">
        <v>15471.508876417647</v>
      </c>
      <c r="G51" s="20">
        <v>94676.916839537444</v>
      </c>
      <c r="H51" s="9">
        <v>205.57213548845903</v>
      </c>
      <c r="I51" s="9">
        <v>79.095544798270566</v>
      </c>
      <c r="J51" s="9">
        <v>913.95441884898173</v>
      </c>
      <c r="K51" s="9">
        <v>18.494757503271103</v>
      </c>
      <c r="L51" s="20">
        <v>2696.7828671287862</v>
      </c>
      <c r="M51" s="9">
        <v>80.073173184006009</v>
      </c>
      <c r="N51" s="9">
        <v>181.47712514968589</v>
      </c>
      <c r="O51" s="9">
        <v>85.291143002570607</v>
      </c>
    </row>
    <row r="52" spans="1:15">
      <c r="A52" s="22">
        <v>7691.7267819517292</v>
      </c>
      <c r="B52" s="20">
        <v>1685.2545569316135</v>
      </c>
      <c r="C52" s="20">
        <v>345.70591234660242</v>
      </c>
      <c r="D52" s="20">
        <v>36941.020664162352</v>
      </c>
      <c r="E52" s="20">
        <v>63037.398856166692</v>
      </c>
      <c r="F52" s="20">
        <v>16589.175624049676</v>
      </c>
      <c r="G52" s="20">
        <v>96537.936962752428</v>
      </c>
      <c r="H52" s="9">
        <v>206.21647837861383</v>
      </c>
      <c r="I52" s="9">
        <v>82.066125024517532</v>
      </c>
      <c r="J52" s="9">
        <v>913.33748585540161</v>
      </c>
      <c r="K52" s="9">
        <v>20.756179699441418</v>
      </c>
      <c r="L52" s="20">
        <v>2808.6767133529065</v>
      </c>
      <c r="M52" s="9">
        <v>86.83330633060541</v>
      </c>
      <c r="N52" s="9">
        <v>216.17780410218984</v>
      </c>
      <c r="O52" s="9">
        <v>78.331644069869071</v>
      </c>
    </row>
    <row r="53" spans="1:15">
      <c r="A53" s="22">
        <v>6729.0566875562945</v>
      </c>
      <c r="B53" s="20">
        <v>1323.3633636526065</v>
      </c>
      <c r="C53" s="20">
        <v>391.29373855394078</v>
      </c>
      <c r="D53" s="20">
        <v>32987.118667879258</v>
      </c>
      <c r="E53" s="20">
        <v>64909.369845835317</v>
      </c>
      <c r="F53" s="20">
        <v>16096.128300760756</v>
      </c>
      <c r="G53" s="20">
        <v>92940.19903523149</v>
      </c>
      <c r="H53" s="9">
        <v>210.2506842368748</v>
      </c>
      <c r="I53" s="9">
        <v>81.175661499379203</v>
      </c>
      <c r="J53" s="9">
        <v>904.43807451421162</v>
      </c>
      <c r="K53" s="9">
        <v>19.915379132493399</v>
      </c>
      <c r="L53" s="20">
        <v>2573.0905372212874</v>
      </c>
      <c r="M53" s="9">
        <v>87.187767111332505</v>
      </c>
      <c r="N53" s="9">
        <v>188.6553234521125</v>
      </c>
      <c r="O53" s="9">
        <v>75.231745065713767</v>
      </c>
    </row>
    <row r="54" spans="1:15">
      <c r="A54" s="22">
        <v>6703.9587219660461</v>
      </c>
      <c r="B54" s="20">
        <v>999.6584332009661</v>
      </c>
      <c r="C54" s="20">
        <v>429.01371254265541</v>
      </c>
      <c r="D54" s="20">
        <v>33442.820751733962</v>
      </c>
      <c r="E54" s="20">
        <v>63363.149438017717</v>
      </c>
      <c r="F54" s="20">
        <v>15348.696764577471</v>
      </c>
      <c r="G54" s="20">
        <v>93915.613899346499</v>
      </c>
      <c r="H54" s="9">
        <v>201.32779087935342</v>
      </c>
      <c r="I54" s="9">
        <v>75.061424205137882</v>
      </c>
      <c r="J54" s="9">
        <v>915.54087887899368</v>
      </c>
      <c r="K54" s="9">
        <v>15.350734363659285</v>
      </c>
      <c r="L54" s="20">
        <v>2533.946094440762</v>
      </c>
      <c r="M54" s="9">
        <v>86.915879354579374</v>
      </c>
      <c r="N54" s="9">
        <v>176.01597326342016</v>
      </c>
      <c r="O54" s="9">
        <v>76.739278008637484</v>
      </c>
    </row>
    <row r="55" spans="1:15">
      <c r="A55" s="22">
        <v>7166.7251376602508</v>
      </c>
      <c r="B55" s="20">
        <v>1387.2748046276683</v>
      </c>
      <c r="C55" s="20">
        <v>427.18019850872224</v>
      </c>
      <c r="D55" s="20">
        <v>37217.759556515375</v>
      </c>
      <c r="E55" s="20">
        <v>63685.555323544395</v>
      </c>
      <c r="F55" s="20">
        <v>16189.520178032399</v>
      </c>
      <c r="G55" s="20">
        <v>92813.752996383118</v>
      </c>
      <c r="H55" s="9">
        <v>209.4259203352558</v>
      </c>
      <c r="I55" s="9">
        <v>76.853060555527918</v>
      </c>
      <c r="J55" s="9">
        <v>917.11203097630641</v>
      </c>
      <c r="K55" s="9">
        <v>21.161018528568093</v>
      </c>
      <c r="L55" s="20">
        <v>2737.2855083696777</v>
      </c>
      <c r="M55" s="9">
        <v>80.90277104996494</v>
      </c>
      <c r="N55" s="9">
        <v>178.96439592499519</v>
      </c>
      <c r="O55" s="9">
        <v>87.304161732055945</v>
      </c>
    </row>
    <row r="56" spans="1:15">
      <c r="A56" s="22">
        <v>6784.7769031977805</v>
      </c>
      <c r="B56" s="20">
        <v>1122.6477964635706</v>
      </c>
      <c r="C56" s="20">
        <v>491.0185183834983</v>
      </c>
      <c r="D56" s="20">
        <v>37723.138004512293</v>
      </c>
      <c r="E56" s="20">
        <v>63025.767687676125</v>
      </c>
      <c r="F56" s="20">
        <v>18296.376655471977</v>
      </c>
      <c r="G56" s="20">
        <v>94707.058953693195</v>
      </c>
      <c r="H56" s="9">
        <v>202.69024236431869</v>
      </c>
      <c r="I56" s="9">
        <v>72.779308730765479</v>
      </c>
      <c r="J56" s="9">
        <v>910.52323071536375</v>
      </c>
      <c r="K56" s="9">
        <v>21.332985786779318</v>
      </c>
      <c r="L56" s="20">
        <v>2673.7734106020071</v>
      </c>
      <c r="M56" s="9">
        <v>85.593071606796002</v>
      </c>
      <c r="N56" s="9">
        <v>200.06028469419107</v>
      </c>
      <c r="O56" s="9">
        <v>78.982376160303829</v>
      </c>
    </row>
    <row r="57" spans="1:15">
      <c r="A57" s="22">
        <v>6877.4169944226742</v>
      </c>
      <c r="B57" s="20">
        <v>1289.4684970058734</v>
      </c>
      <c r="C57" s="20">
        <v>369.93770019398653</v>
      </c>
      <c r="D57" s="20">
        <v>32713.374950762955</v>
      </c>
      <c r="E57" s="20">
        <v>63572.984576793533</v>
      </c>
      <c r="F57" s="20">
        <v>15818.765354070638</v>
      </c>
      <c r="G57" s="20">
        <v>95246.928999179363</v>
      </c>
      <c r="H57" s="9">
        <v>213.77429408521857</v>
      </c>
      <c r="I57" s="9">
        <v>70.68171836269903</v>
      </c>
      <c r="J57" s="9">
        <v>920.20855348138139</v>
      </c>
      <c r="K57" s="9">
        <v>17.689809217466973</v>
      </c>
      <c r="L57" s="20">
        <v>2743.0144973506685</v>
      </c>
      <c r="M57" s="9">
        <v>92.037157618266065</v>
      </c>
      <c r="N57" s="9">
        <v>187.08400082454318</v>
      </c>
      <c r="O57" s="9">
        <v>79.216821157053346</v>
      </c>
    </row>
    <row r="58" spans="1:15">
      <c r="A58" s="22">
        <v>7724.152760085417</v>
      </c>
      <c r="B58" s="20">
        <v>1238.4760144494066</v>
      </c>
      <c r="C58" s="20">
        <v>312.89246218511835</v>
      </c>
      <c r="D58" s="20">
        <v>35323.826106978231</v>
      </c>
      <c r="E58" s="20">
        <v>63395.302126635943</v>
      </c>
      <c r="F58" s="20">
        <v>15870.869216415304</v>
      </c>
      <c r="G58" s="20">
        <v>95345.943224904477</v>
      </c>
      <c r="H58" s="9">
        <v>204.8639290172141</v>
      </c>
      <c r="I58" s="9">
        <v>71.107532413385343</v>
      </c>
      <c r="J58" s="9">
        <v>912.35582843338489</v>
      </c>
      <c r="K58" s="9">
        <v>19.303250544675393</v>
      </c>
      <c r="L58" s="20">
        <v>2427.7389047667384</v>
      </c>
      <c r="M58" s="9">
        <v>83.786062522209249</v>
      </c>
      <c r="N58" s="9">
        <v>188.35748667464941</v>
      </c>
      <c r="O58" s="9">
        <v>78.228734744363464</v>
      </c>
    </row>
    <row r="59" spans="1:15">
      <c r="A59" s="22">
        <v>6554.0899226398324</v>
      </c>
      <c r="B59" s="20">
        <v>1168.5971559098107</v>
      </c>
      <c r="C59" s="20">
        <v>251.7469878657721</v>
      </c>
      <c r="D59" s="20">
        <v>36317.49461615982</v>
      </c>
      <c r="E59" s="20">
        <v>62898.004786901583</v>
      </c>
      <c r="F59" s="20">
        <v>13516.517627850408</v>
      </c>
      <c r="G59" s="20">
        <v>94772.682047780836</v>
      </c>
      <c r="H59" s="9">
        <v>206.00986391973856</v>
      </c>
      <c r="I59" s="9">
        <v>83.384301170532126</v>
      </c>
      <c r="J59" s="9">
        <v>903.22583176358603</v>
      </c>
      <c r="K59" s="9">
        <v>19.648497007205151</v>
      </c>
      <c r="L59" s="20">
        <v>2769.4242635290721</v>
      </c>
      <c r="M59" s="9">
        <v>82.065987488691462</v>
      </c>
      <c r="N59" s="9">
        <v>196.11344148637727</v>
      </c>
      <c r="O59" s="9">
        <v>83.24573489301838</v>
      </c>
    </row>
    <row r="60" spans="1:15">
      <c r="A60" s="22">
        <v>7372.7562716449029</v>
      </c>
      <c r="B60" s="20">
        <v>1056.3020951929502</v>
      </c>
      <c r="C60" s="20">
        <v>446.33253348001745</v>
      </c>
      <c r="D60" s="20">
        <v>34930.625504021009</v>
      </c>
      <c r="E60" s="20">
        <v>63555.700473542674</v>
      </c>
      <c r="F60" s="20">
        <v>14868.639754113974</v>
      </c>
      <c r="G60" s="20">
        <v>98885.815575206652</v>
      </c>
      <c r="H60" s="9">
        <v>207.01395175483776</v>
      </c>
      <c r="I60" s="9">
        <v>70.165273164981045</v>
      </c>
      <c r="J60" s="9">
        <v>903.03395111887949</v>
      </c>
      <c r="K60" s="9">
        <v>16.568111211876385</v>
      </c>
      <c r="L60" s="20">
        <v>2733.3352727466263</v>
      </c>
      <c r="M60" s="9">
        <v>82.556412042991724</v>
      </c>
      <c r="N60" s="9">
        <v>192.36226469496614</v>
      </c>
      <c r="O60" s="9">
        <v>72.548485584440641</v>
      </c>
    </row>
    <row r="61" spans="1:15">
      <c r="A61" s="22">
        <v>6996.2566766953387</v>
      </c>
      <c r="B61" s="20">
        <v>1087.0842344127595</v>
      </c>
      <c r="C61" s="20">
        <v>412.71177034650464</v>
      </c>
      <c r="D61" s="20">
        <v>34972.825698932866</v>
      </c>
      <c r="E61" s="20">
        <v>64238.018523709616</v>
      </c>
      <c r="F61" s="20">
        <v>16657.473605719861</v>
      </c>
      <c r="G61" s="20">
        <v>92452.783253113739</v>
      </c>
      <c r="H61" s="9">
        <v>199.65993675787468</v>
      </c>
      <c r="I61" s="9">
        <v>78.146225597243756</v>
      </c>
      <c r="J61" s="9">
        <v>906.48851895067492</v>
      </c>
      <c r="K61" s="9">
        <v>17.542452885885723</v>
      </c>
      <c r="L61" s="20">
        <v>2885.6834933278151</v>
      </c>
      <c r="M61" s="9">
        <v>87.725804850138957</v>
      </c>
      <c r="N61" s="9">
        <v>170.30989445396699</v>
      </c>
      <c r="O61" s="9">
        <v>79.30349031779042</v>
      </c>
    </row>
    <row r="62" spans="1:15">
      <c r="A62" s="22">
        <v>6948.0737824342214</v>
      </c>
      <c r="B62" s="20">
        <v>1286.6186908548116</v>
      </c>
      <c r="C62" s="20">
        <v>395.87034545183997</v>
      </c>
      <c r="D62" s="20">
        <v>33473.42273369577</v>
      </c>
      <c r="E62" s="20">
        <v>62592.220294490107</v>
      </c>
      <c r="F62" s="20">
        <v>15780.949423843413</v>
      </c>
      <c r="G62" s="20">
        <v>94096.596619285992</v>
      </c>
      <c r="H62" s="9">
        <v>200.30305183018208</v>
      </c>
      <c r="I62" s="9">
        <v>74.831060565862572</v>
      </c>
      <c r="J62" s="9">
        <v>902.4437117947964</v>
      </c>
      <c r="K62" s="9">
        <v>20.322159732808359</v>
      </c>
      <c r="L62" s="20">
        <v>2583.829259488266</v>
      </c>
      <c r="M62" s="9">
        <v>81.617486092669424</v>
      </c>
      <c r="N62" s="9">
        <v>186.46340711478842</v>
      </c>
      <c r="O62" s="9">
        <v>84.58787622442469</v>
      </c>
    </row>
    <row r="63" spans="1:15">
      <c r="A63" s="22">
        <v>6879.8034823721537</v>
      </c>
      <c r="B63" s="20">
        <v>1096.7472017990076</v>
      </c>
      <c r="C63" s="20">
        <v>332.12077407006291</v>
      </c>
      <c r="D63" s="20">
        <v>35103.404158835474</v>
      </c>
      <c r="E63" s="20">
        <v>63442.233424310689</v>
      </c>
      <c r="F63" s="20">
        <v>17087.097138629179</v>
      </c>
      <c r="G63" s="20">
        <v>91088.233063649386</v>
      </c>
      <c r="H63" s="9">
        <v>210.64414301354554</v>
      </c>
      <c r="I63" s="9">
        <v>74.243094978533918</v>
      </c>
      <c r="J63" s="9">
        <v>918.80767016092432</v>
      </c>
      <c r="K63" s="9">
        <v>17.781918293389026</v>
      </c>
      <c r="L63" s="20">
        <v>2797.7217132458463</v>
      </c>
      <c r="M63" s="9">
        <v>83.733085592699354</v>
      </c>
      <c r="N63" s="9">
        <v>200.8808308141306</v>
      </c>
      <c r="O63" s="9">
        <v>85.665854819701053</v>
      </c>
    </row>
    <row r="64" spans="1:15">
      <c r="A64" s="22">
        <v>6963.3893139616703</v>
      </c>
      <c r="B64" s="20">
        <v>978.82090459170286</v>
      </c>
      <c r="C64" s="20">
        <v>269.41614161478356</v>
      </c>
      <c r="D64" s="20">
        <v>32459.62064480409</v>
      </c>
      <c r="E64" s="20">
        <v>62418.773652196978</v>
      </c>
      <c r="F64" s="20">
        <v>17635.390003179782</v>
      </c>
      <c r="G64" s="20">
        <v>97665.49278270104</v>
      </c>
      <c r="H64" s="9">
        <v>206.90186790152802</v>
      </c>
      <c r="I64" s="9">
        <v>76.583281689614523</v>
      </c>
      <c r="J64" s="9">
        <v>914.26638121603173</v>
      </c>
      <c r="K64" s="9">
        <v>21.976676114485599</v>
      </c>
      <c r="L64" s="20">
        <v>2798.6229588306742</v>
      </c>
      <c r="M64" s="9">
        <v>78.480443324893713</v>
      </c>
      <c r="N64" s="9">
        <v>177.9960796533851</v>
      </c>
      <c r="O64" s="9">
        <v>83.137516392191174</v>
      </c>
    </row>
    <row r="65" spans="1:15">
      <c r="A65" s="22">
        <v>7331.280807586154</v>
      </c>
      <c r="B65" s="20">
        <v>1153.8642034873192</v>
      </c>
      <c r="C65" s="20">
        <v>392.27388735162094</v>
      </c>
      <c r="D65" s="20">
        <v>31253.076969878748</v>
      </c>
      <c r="E65" s="20">
        <v>64592.725904830149</v>
      </c>
      <c r="F65" s="20">
        <v>14478.602787549607</v>
      </c>
      <c r="G65" s="20">
        <v>93208.86621667596</v>
      </c>
      <c r="H65" s="9">
        <v>205.33946969071985</v>
      </c>
      <c r="I65" s="9">
        <v>77.086152678908547</v>
      </c>
      <c r="J65" s="9">
        <v>909.53770225652261</v>
      </c>
      <c r="K65" s="9">
        <v>18.787469278089702</v>
      </c>
      <c r="L65" s="20">
        <v>2602.0377435954288</v>
      </c>
      <c r="M65" s="9">
        <v>91.478325419971952</v>
      </c>
      <c r="N65" s="9">
        <v>196.13929387327516</v>
      </c>
      <c r="O65" s="9">
        <v>88.763480087101925</v>
      </c>
    </row>
    <row r="66" spans="1:15">
      <c r="A66" s="22">
        <v>6838.5321862315323</v>
      </c>
      <c r="B66" s="20">
        <v>1333.6938092004857</v>
      </c>
      <c r="C66" s="20">
        <v>323.18029563248274</v>
      </c>
      <c r="D66" s="20">
        <v>34138.887119443098</v>
      </c>
      <c r="E66" s="20">
        <v>63960.488323217578</v>
      </c>
      <c r="F66" s="20">
        <v>17739.673975357437</v>
      </c>
      <c r="G66" s="20">
        <v>94232.050368694036</v>
      </c>
      <c r="H66" s="9">
        <v>210.8897634264431</v>
      </c>
      <c r="I66" s="9">
        <v>86.412668416392989</v>
      </c>
      <c r="J66" s="9">
        <v>913.51877657117439</v>
      </c>
      <c r="K66" s="9">
        <v>17.338157638499979</v>
      </c>
      <c r="L66" s="20">
        <v>2773.8050766813103</v>
      </c>
      <c r="M66" s="9">
        <v>93.66321591072483</v>
      </c>
      <c r="N66" s="9">
        <v>186.30086904289783</v>
      </c>
      <c r="O66" s="9">
        <v>80.995940586610232</v>
      </c>
    </row>
    <row r="67" spans="1:15">
      <c r="A67" s="22">
        <v>6883.9775412307063</v>
      </c>
      <c r="B67" s="20">
        <v>1541.1150899206405</v>
      </c>
      <c r="C67" s="20">
        <v>149.04484525322914</v>
      </c>
      <c r="D67" s="20">
        <v>36100.014883377298</v>
      </c>
      <c r="E67" s="20">
        <v>62929.991365407477</v>
      </c>
      <c r="F67" s="20">
        <v>15275.719446309085</v>
      </c>
      <c r="G67" s="20">
        <v>96538.104150615982</v>
      </c>
      <c r="H67" s="9">
        <v>208.00730186811415</v>
      </c>
      <c r="I67" s="9">
        <v>82.221557669050526</v>
      </c>
      <c r="J67" s="9">
        <v>913.30935973174928</v>
      </c>
      <c r="K67" s="9">
        <v>22.522591214277782</v>
      </c>
      <c r="L67" s="20">
        <v>2734.9568290403113</v>
      </c>
      <c r="M67" s="9">
        <v>87.267164861928904</v>
      </c>
      <c r="N67" s="9">
        <v>197.51713287172606</v>
      </c>
      <c r="O67" s="9">
        <v>81.567819486401277</v>
      </c>
    </row>
    <row r="68" spans="1:15">
      <c r="A68" s="22">
        <v>6875.2100714227709</v>
      </c>
      <c r="B68" s="20">
        <v>1625.2954820709419</v>
      </c>
      <c r="C68" s="20">
        <v>354.51168325016624</v>
      </c>
      <c r="D68" s="20">
        <v>33907.920271449257</v>
      </c>
      <c r="E68" s="20">
        <v>64889.696179406019</v>
      </c>
      <c r="F68" s="20">
        <v>18739.515761681832</v>
      </c>
      <c r="G68" s="20">
        <v>96062.607005526661</v>
      </c>
      <c r="H68" s="9">
        <v>198.19389951071935</v>
      </c>
      <c r="I68" s="9">
        <v>75.281703821907286</v>
      </c>
      <c r="J68" s="9">
        <v>915.31159526467673</v>
      </c>
      <c r="K68" s="9">
        <v>18.022672909632092</v>
      </c>
      <c r="L68" s="20">
        <v>2878.766294993693</v>
      </c>
      <c r="M68" s="9">
        <v>80.254346802335931</v>
      </c>
      <c r="N68" s="9">
        <v>167.13366610696539</v>
      </c>
      <c r="O68" s="9">
        <v>76.531151514820522</v>
      </c>
    </row>
    <row r="69" spans="1:15">
      <c r="A69" s="22">
        <v>6602.9712474410189</v>
      </c>
      <c r="B69" s="20">
        <v>1469.6831236586149</v>
      </c>
      <c r="C69" s="20">
        <v>560.74835848994553</v>
      </c>
      <c r="D69" s="20">
        <v>35046.48553158404</v>
      </c>
      <c r="E69" s="20">
        <v>64481.423477999488</v>
      </c>
      <c r="F69" s="20">
        <v>15469.049188923964</v>
      </c>
      <c r="G69" s="20">
        <v>96729.110711796966</v>
      </c>
      <c r="H69" s="9">
        <v>206.26596057473216</v>
      </c>
      <c r="I69" s="9">
        <v>78.608010163385188</v>
      </c>
      <c r="J69" s="9">
        <v>904.76819835358765</v>
      </c>
      <c r="K69" s="9">
        <v>15.906735759694129</v>
      </c>
      <c r="L69" s="20">
        <v>2618.0908343987539</v>
      </c>
      <c r="M69" s="9">
        <v>89.726895556610543</v>
      </c>
      <c r="N69" s="9">
        <v>181.61600499064662</v>
      </c>
      <c r="O69" s="9">
        <v>83.858575160440523</v>
      </c>
    </row>
    <row r="70" spans="1:15">
      <c r="A70" s="22">
        <v>7135.2131414478208</v>
      </c>
      <c r="B70" s="20">
        <v>1636.206308020337</v>
      </c>
      <c r="C70" s="20">
        <v>372.99560782776098</v>
      </c>
      <c r="D70" s="20">
        <v>35413.010538977687</v>
      </c>
      <c r="E70" s="20">
        <v>62854.592947231868</v>
      </c>
      <c r="F70" s="20">
        <v>17422.12013037788</v>
      </c>
      <c r="G70" s="20">
        <v>96273.442047325079</v>
      </c>
      <c r="H70" s="9">
        <v>205.52598431668594</v>
      </c>
      <c r="I70" s="9">
        <v>75.146939444472082</v>
      </c>
      <c r="J70" s="9">
        <v>907.78294591628946</v>
      </c>
      <c r="K70" s="9">
        <v>21.233473423984833</v>
      </c>
      <c r="L70" s="20">
        <v>2731.3792770612054</v>
      </c>
      <c r="M70" s="9">
        <v>85.600042883685092</v>
      </c>
      <c r="N70" s="9">
        <v>184.68554960913025</v>
      </c>
      <c r="O70" s="9">
        <v>78.231781551614404</v>
      </c>
    </row>
    <row r="71" spans="1:15">
      <c r="A71" s="22">
        <v>7512.6318592374446</v>
      </c>
      <c r="B71" s="20">
        <v>1674.2940771189751</v>
      </c>
      <c r="C71" s="20">
        <v>467.18339528160868</v>
      </c>
      <c r="D71" s="20">
        <v>36687.713574938243</v>
      </c>
      <c r="E71" s="20">
        <v>63595.348880979873</v>
      </c>
      <c r="F71" s="20">
        <v>14930.307028281095</v>
      </c>
      <c r="G71" s="20">
        <v>93058.397139477893</v>
      </c>
      <c r="H71" s="9">
        <v>206.42179112319718</v>
      </c>
      <c r="I71" s="9">
        <v>76.991963133856189</v>
      </c>
      <c r="J71" s="9">
        <v>917.40460405318299</v>
      </c>
      <c r="K71" s="9">
        <v>18.509120698348852</v>
      </c>
      <c r="L71" s="20">
        <v>2469.2684701178223</v>
      </c>
      <c r="M71" s="9">
        <v>85.494327767024515</v>
      </c>
      <c r="N71" s="9">
        <v>187.40581415608176</v>
      </c>
      <c r="O71" s="9">
        <v>84.017748101934558</v>
      </c>
    </row>
    <row r="72" spans="1:15">
      <c r="A72" s="22">
        <v>6974.9321455055906</v>
      </c>
      <c r="B72" s="20">
        <v>1768.3401220972883</v>
      </c>
      <c r="C72" s="20">
        <v>386.52033746620873</v>
      </c>
      <c r="D72" s="20">
        <v>34663.18695442169</v>
      </c>
      <c r="E72" s="20">
        <v>63540.942628250195</v>
      </c>
      <c r="F72" s="20">
        <v>13706.407761547598</v>
      </c>
      <c r="G72" s="20">
        <v>93476.883223095501</v>
      </c>
      <c r="H72" s="9">
        <v>199.2325538288278</v>
      </c>
      <c r="I72" s="9">
        <v>67.677464095118921</v>
      </c>
      <c r="J72" s="9">
        <v>907.28949956584256</v>
      </c>
      <c r="K72" s="9">
        <v>16.335671650944278</v>
      </c>
      <c r="L72" s="20">
        <v>2770.8840070728911</v>
      </c>
      <c r="M72" s="9">
        <v>89.649988684628624</v>
      </c>
      <c r="N72" s="9">
        <v>183.64592895290116</v>
      </c>
      <c r="O72" s="9">
        <v>88.050186129868962</v>
      </c>
    </row>
    <row r="73" spans="1:15">
      <c r="A73" s="20"/>
      <c r="B73" s="20"/>
      <c r="C73" s="20"/>
      <c r="D73" s="20"/>
      <c r="E73" s="20"/>
      <c r="F73" s="20"/>
      <c r="G73" s="20"/>
      <c r="H73" s="9"/>
      <c r="I73" s="9"/>
      <c r="J73" s="9"/>
      <c r="K73" s="9"/>
      <c r="L73" s="20"/>
      <c r="M73" s="9"/>
      <c r="N73" s="9"/>
      <c r="O73" s="9"/>
    </row>
    <row r="74" spans="1:15">
      <c r="A74" s="20">
        <f>AVERAGE(A13:A72)</f>
        <v>6996.1770108143337</v>
      </c>
      <c r="B74" s="20">
        <f t="shared" ref="B74:O74" si="4">AVERAGE(B13:B72)</f>
        <v>1298.8916877858476</v>
      </c>
      <c r="C74" s="20">
        <f t="shared" si="4"/>
        <v>376.27992044933006</v>
      </c>
      <c r="D74" s="20">
        <f t="shared" si="4"/>
        <v>34820.739816376161</v>
      </c>
      <c r="E74" s="20">
        <f t="shared" si="4"/>
        <v>63685.044434014009</v>
      </c>
      <c r="F74" s="20">
        <f t="shared" si="4"/>
        <v>15922.309678545209</v>
      </c>
      <c r="G74" s="20">
        <f t="shared" si="4"/>
        <v>95076.517010559473</v>
      </c>
      <c r="H74" s="20">
        <f t="shared" si="4"/>
        <v>204.20648788752928</v>
      </c>
      <c r="I74" s="20">
        <f t="shared" si="4"/>
        <v>76.128109339433038</v>
      </c>
      <c r="J74" s="20">
        <f t="shared" si="4"/>
        <v>912.36949302284484</v>
      </c>
      <c r="K74" s="20">
        <f t="shared" si="4"/>
        <v>19.200711231930956</v>
      </c>
      <c r="L74" s="20">
        <f t="shared" si="4"/>
        <v>2692.647610649025</v>
      </c>
      <c r="M74" s="20">
        <f t="shared" si="4"/>
        <v>85.535360681572158</v>
      </c>
      <c r="N74" s="20">
        <f t="shared" si="4"/>
        <v>190.10988761308303</v>
      </c>
      <c r="O74" s="20">
        <f t="shared" si="4"/>
        <v>82.032926739853181</v>
      </c>
    </row>
    <row r="75" spans="1:15">
      <c r="A75">
        <f>STDEV(A13:A72)</f>
        <v>312.59664019520625</v>
      </c>
      <c r="B75">
        <f t="shared" ref="B75:O75" si="5">STDEV(B13:B72)</f>
        <v>402.4879101220572</v>
      </c>
      <c r="C75">
        <f t="shared" si="5"/>
        <v>75.260656259957344</v>
      </c>
      <c r="D75">
        <f t="shared" si="5"/>
        <v>1488.0423908763948</v>
      </c>
      <c r="E75">
        <f t="shared" si="5"/>
        <v>738.53508772461294</v>
      </c>
      <c r="F75">
        <f t="shared" si="5"/>
        <v>1505.6822073606215</v>
      </c>
      <c r="G75">
        <f t="shared" si="5"/>
        <v>1921.8198476422219</v>
      </c>
      <c r="H75">
        <f t="shared" si="5"/>
        <v>4.2675977391733992</v>
      </c>
      <c r="I75">
        <f t="shared" si="5"/>
        <v>4.5819700682053295</v>
      </c>
      <c r="J75">
        <f t="shared" si="5"/>
        <v>5.1558977120627238</v>
      </c>
      <c r="K75">
        <f t="shared" si="5"/>
        <v>1.961476966707707</v>
      </c>
      <c r="L75">
        <f t="shared" si="5"/>
        <v>112.31225264684421</v>
      </c>
      <c r="M75">
        <f t="shared" si="5"/>
        <v>5.8538440644019971</v>
      </c>
      <c r="N75">
        <f t="shared" si="5"/>
        <v>10.411860856717087</v>
      </c>
      <c r="O75">
        <f t="shared" si="5"/>
        <v>4.5282070474441811</v>
      </c>
    </row>
    <row r="76" spans="1:15">
      <c r="A76">
        <v>0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</row>
    <row r="83" spans="1:60">
      <c r="A83">
        <v>8252.0915672415867</v>
      </c>
      <c r="B83">
        <v>6652.6808829206857</v>
      </c>
      <c r="C83">
        <v>5406.3379790517502</v>
      </c>
      <c r="D83">
        <v>6877.3385377466184</v>
      </c>
      <c r="E83">
        <v>6548.2710935197247</v>
      </c>
      <c r="F83">
        <v>7111.0997456838959</v>
      </c>
      <c r="G83">
        <v>7052.1280739780195</v>
      </c>
      <c r="H83">
        <v>6387.2073193619144</v>
      </c>
      <c r="I83">
        <v>6855.241851239407</v>
      </c>
      <c r="J83">
        <v>7213.6401142000977</v>
      </c>
      <c r="K83">
        <v>7210.9241879428737</v>
      </c>
      <c r="L83">
        <v>6473.985968481793</v>
      </c>
      <c r="M83">
        <v>7110.9575643771677</v>
      </c>
      <c r="N83">
        <v>6540.0857946809992</v>
      </c>
      <c r="O83">
        <v>7433.8499954632425</v>
      </c>
      <c r="BF83">
        <v>5735.8984501246596</v>
      </c>
      <c r="BG83">
        <v>6317.1422144972894</v>
      </c>
      <c r="BH83">
        <v>6907.0649628014507</v>
      </c>
    </row>
    <row r="84" spans="1:60">
      <c r="A84">
        <v>6778.3467776775069</v>
      </c>
      <c r="B84">
        <v>7167.1678907972819</v>
      </c>
      <c r="C84">
        <v>7421.8369915382937</v>
      </c>
      <c r="D84">
        <v>6755.8353956923384</v>
      </c>
      <c r="E84">
        <v>7492.6459152760799</v>
      </c>
      <c r="F84">
        <v>7372.152523798286</v>
      </c>
      <c r="G84">
        <v>7867.6649096945766</v>
      </c>
      <c r="H84">
        <v>6838.6955016689171</v>
      </c>
      <c r="I84">
        <v>6984.4767600938212</v>
      </c>
      <c r="J84">
        <v>6402.5023417838383</v>
      </c>
      <c r="K84">
        <v>7072.0281909456389</v>
      </c>
      <c r="L84">
        <v>6775.1753446413204</v>
      </c>
      <c r="M84">
        <v>6290.8083934002207</v>
      </c>
      <c r="N84">
        <v>6256.9508114887867</v>
      </c>
      <c r="O84">
        <v>6829.8690704563342</v>
      </c>
      <c r="BF84">
        <v>7712.2739063765039</v>
      </c>
      <c r="BG84">
        <v>6211.3053460547235</v>
      </c>
      <c r="BH84">
        <v>7507.2682094782067</v>
      </c>
    </row>
    <row r="85" spans="1:60">
      <c r="A85">
        <v>6251.6716722297133</v>
      </c>
      <c r="B85">
        <v>7745.5943589069648</v>
      </c>
      <c r="C85">
        <v>7562.7044376728009</v>
      </c>
      <c r="D85">
        <v>7462.3454990200116</v>
      </c>
      <c r="E85">
        <v>7116.5526620956371</v>
      </c>
      <c r="F85">
        <v>6707.7728480438964</v>
      </c>
      <c r="G85">
        <v>6911.4943054541072</v>
      </c>
      <c r="H85">
        <v>6601.1849200134748</v>
      </c>
      <c r="I85">
        <v>6709.2703594920749</v>
      </c>
      <c r="J85">
        <v>6042.5203370454255</v>
      </c>
      <c r="K85">
        <v>8129.6418663026998</v>
      </c>
      <c r="L85">
        <v>6995.9098485964205</v>
      </c>
      <c r="M85">
        <v>6583.484005572609</v>
      </c>
      <c r="N85">
        <v>7497.8302669973345</v>
      </c>
      <c r="O85">
        <v>8262.4550047097728</v>
      </c>
      <c r="BF85">
        <v>7482.7853783557657</v>
      </c>
      <c r="BG85">
        <v>6884.9610355795448</v>
      </c>
      <c r="BH85">
        <v>7123.2654628642194</v>
      </c>
    </row>
    <row r="86" spans="1:60">
      <c r="A86">
        <v>7987.6869964704383</v>
      </c>
      <c r="B86">
        <v>7383.5467757402512</v>
      </c>
      <c r="C86">
        <v>7574.1763627360342</v>
      </c>
      <c r="D86">
        <v>7143.8304090901511</v>
      </c>
      <c r="E86">
        <v>7016.0436431746348</v>
      </c>
      <c r="F86">
        <v>6868.514739521197</v>
      </c>
      <c r="G86">
        <v>7828.0937456423999</v>
      </c>
      <c r="H86">
        <v>6475.1464575732825</v>
      </c>
      <c r="I86">
        <v>6550.1339319365798</v>
      </c>
      <c r="J86">
        <v>6016.0377521737246</v>
      </c>
      <c r="K86">
        <v>7061.5475855487603</v>
      </c>
      <c r="L86">
        <v>7256.6960367606953</v>
      </c>
      <c r="M86">
        <v>5890.0888112970279</v>
      </c>
      <c r="N86">
        <v>7253.4884001510363</v>
      </c>
      <c r="O86">
        <v>6757.8450231434545</v>
      </c>
      <c r="BF86">
        <v>6702.9459243298334</v>
      </c>
      <c r="BG86">
        <v>6133.1714520332753</v>
      </c>
      <c r="BH86">
        <v>6620.8013326144282</v>
      </c>
    </row>
    <row r="87" spans="1:60">
      <c r="A87">
        <v>6987.1189627105196</v>
      </c>
      <c r="B87">
        <v>6524.5333977640257</v>
      </c>
      <c r="C87">
        <v>7525.1382933442073</v>
      </c>
      <c r="D87">
        <v>6858.26254576059</v>
      </c>
      <c r="E87">
        <v>6703.6028546266607</v>
      </c>
      <c r="F87">
        <v>5972.8646616844344</v>
      </c>
      <c r="G87">
        <v>7152.6673722513806</v>
      </c>
      <c r="H87">
        <v>7612.6443051674869</v>
      </c>
      <c r="I87">
        <v>6513.0917520531511</v>
      </c>
      <c r="J87">
        <v>7735.0545112989494</v>
      </c>
      <c r="K87">
        <v>7071.3798178570869</v>
      </c>
      <c r="L87">
        <v>7943.8424942549318</v>
      </c>
      <c r="M87">
        <v>6893.0239005152544</v>
      </c>
      <c r="N87">
        <v>6339.2145458732557</v>
      </c>
      <c r="O87">
        <v>7634.0044135162316</v>
      </c>
      <c r="BF87">
        <v>6382.931348211423</v>
      </c>
      <c r="BG87">
        <v>6484.4264208244567</v>
      </c>
      <c r="BH87">
        <v>6480.6928450292617</v>
      </c>
    </row>
    <row r="88" spans="1:60">
      <c r="A88">
        <v>6571.5355098331202</v>
      </c>
      <c r="B88">
        <v>5677.4461351364153</v>
      </c>
      <c r="C88">
        <v>7062.4684728085413</v>
      </c>
      <c r="D88">
        <v>7098.6509823836968</v>
      </c>
      <c r="E88">
        <v>6273.8295756884327</v>
      </c>
      <c r="F88">
        <v>6805.8410878660652</v>
      </c>
      <c r="G88">
        <v>8145.2870760171209</v>
      </c>
      <c r="H88">
        <v>7686.3179189371294</v>
      </c>
      <c r="I88">
        <v>6518.8310058187199</v>
      </c>
      <c r="J88">
        <v>7356.5731387629057</v>
      </c>
      <c r="K88">
        <v>6418.0830433127994</v>
      </c>
      <c r="L88">
        <v>6748.9718564087525</v>
      </c>
      <c r="M88">
        <v>6994.9665809457656</v>
      </c>
      <c r="N88">
        <v>5722.5544711895054</v>
      </c>
      <c r="O88">
        <v>7092.9295012814691</v>
      </c>
      <c r="BF88">
        <v>6368.0431223059713</v>
      </c>
      <c r="BG88">
        <v>6760.8558439627814</v>
      </c>
      <c r="BH88">
        <v>6140.4569275095128</v>
      </c>
    </row>
    <row r="89" spans="1:60">
      <c r="A89">
        <v>6357.6915332800127</v>
      </c>
      <c r="B89">
        <v>6480.0589533700986</v>
      </c>
      <c r="C89">
        <v>6786.3049813735415</v>
      </c>
      <c r="D89">
        <v>6852.887302470117</v>
      </c>
      <c r="E89">
        <v>7556.7710011040617</v>
      </c>
      <c r="F89">
        <v>6801.4400498253963</v>
      </c>
      <c r="G89">
        <v>7288.7381740241835</v>
      </c>
      <c r="H89">
        <v>6675.6846335050795</v>
      </c>
      <c r="I89">
        <v>7307.9313339389046</v>
      </c>
      <c r="J89">
        <v>7415.9469992577215</v>
      </c>
      <c r="K89">
        <v>6964.5568957224896</v>
      </c>
      <c r="L89">
        <v>7753.2589845344773</v>
      </c>
      <c r="M89">
        <v>7324.7956167091615</v>
      </c>
      <c r="N89">
        <v>7023.3745376794104</v>
      </c>
      <c r="O89">
        <v>7191.2004811150837</v>
      </c>
      <c r="BF89">
        <v>6273.7492695800029</v>
      </c>
      <c r="BG89">
        <v>7803.1962190420018</v>
      </c>
      <c r="BH89">
        <v>6418.6465025653888</v>
      </c>
    </row>
    <row r="90" spans="1:60">
      <c r="A90">
        <v>7399.1024638911767</v>
      </c>
      <c r="B90">
        <v>6360.0217269180575</v>
      </c>
      <c r="C90">
        <v>8244.0978182188701</v>
      </c>
      <c r="D90">
        <v>7640.781722470274</v>
      </c>
      <c r="E90">
        <v>6488.3706355925824</v>
      </c>
      <c r="F90">
        <v>6267.914570029825</v>
      </c>
      <c r="G90">
        <v>7455.921010345628</v>
      </c>
      <c r="H90">
        <v>7142.8627863082511</v>
      </c>
      <c r="I90">
        <v>7161.0738420116832</v>
      </c>
      <c r="J90">
        <v>7626.0606912495859</v>
      </c>
      <c r="K90">
        <v>7136.6370881645707</v>
      </c>
      <c r="L90">
        <v>5521.4943055529147</v>
      </c>
      <c r="M90">
        <v>7332.368087786017</v>
      </c>
      <c r="N90">
        <v>6648.8419876390253</v>
      </c>
      <c r="O90">
        <v>7240.923127168935</v>
      </c>
      <c r="BF90">
        <v>7612.4560465854302</v>
      </c>
      <c r="BG90">
        <v>7006.3437184711802</v>
      </c>
      <c r="BH90">
        <v>6550.8250910665083</v>
      </c>
    </row>
    <row r="91" spans="1:60">
      <c r="A91">
        <v>7438.6117527450551</v>
      </c>
      <c r="B91">
        <v>5889.4805912626907</v>
      </c>
      <c r="C91">
        <v>7416.409088504588</v>
      </c>
      <c r="D91">
        <v>7104.8161218226596</v>
      </c>
      <c r="E91">
        <v>8279.2639947496355</v>
      </c>
      <c r="F91">
        <v>6357.4848437878245</v>
      </c>
      <c r="G91">
        <v>6474.6238096216985</v>
      </c>
      <c r="H91">
        <v>7276.7791463360481</v>
      </c>
      <c r="I91">
        <v>6336.8738202865643</v>
      </c>
      <c r="J91">
        <v>6933.3487571424484</v>
      </c>
      <c r="K91">
        <v>7022.2871139816561</v>
      </c>
      <c r="L91">
        <v>6844.7941581820487</v>
      </c>
      <c r="M91">
        <v>7317.1797013441392</v>
      </c>
      <c r="N91">
        <v>6388.6475633393275</v>
      </c>
      <c r="O91">
        <v>8242.7918565867003</v>
      </c>
      <c r="BF91">
        <v>5330.4868848994374</v>
      </c>
      <c r="BG91">
        <v>6270.3211202955572</v>
      </c>
      <c r="BH91">
        <v>7115.8878328373248</v>
      </c>
    </row>
    <row r="92" spans="1:60">
      <c r="A92">
        <v>6331.7329128534766</v>
      </c>
      <c r="B92">
        <v>7153.155133123073</v>
      </c>
      <c r="C92">
        <v>7840.1370289197075</v>
      </c>
      <c r="D92">
        <v>6597.3322015492158</v>
      </c>
      <c r="E92">
        <v>6815.6575222514221</v>
      </c>
      <c r="F92">
        <v>7071.5193661766534</v>
      </c>
      <c r="G92">
        <v>6413.4331879853562</v>
      </c>
      <c r="H92">
        <v>7698.5218144312967</v>
      </c>
      <c r="I92">
        <v>6901.6607566521998</v>
      </c>
      <c r="J92">
        <v>7117.5979579988052</v>
      </c>
      <c r="K92">
        <v>7232.6871433273482</v>
      </c>
      <c r="L92">
        <v>7524.0284892555792</v>
      </c>
      <c r="M92">
        <v>6502.1128538359335</v>
      </c>
      <c r="N92">
        <v>6925.3655400683783</v>
      </c>
      <c r="O92">
        <v>6592.4466938708065</v>
      </c>
      <c r="BF92">
        <v>7471.2858069273352</v>
      </c>
      <c r="BG92">
        <v>6649.8148763952486</v>
      </c>
      <c r="BH92">
        <v>6756.1546453856863</v>
      </c>
    </row>
    <row r="93" spans="1:60">
      <c r="A93">
        <v>6998.4250095825701</v>
      </c>
      <c r="B93">
        <v>6683.7317005178193</v>
      </c>
      <c r="C93">
        <v>6808.5333172388346</v>
      </c>
      <c r="D93">
        <v>6863.1460786986281</v>
      </c>
      <c r="E93">
        <v>6310.8585906360531</v>
      </c>
      <c r="F93">
        <v>6578.5346479555301</v>
      </c>
      <c r="G93">
        <v>6433.996817717707</v>
      </c>
      <c r="H93">
        <v>6786.4405802123656</v>
      </c>
      <c r="I93">
        <v>6905.5588941449969</v>
      </c>
      <c r="J93">
        <v>7174.233511845523</v>
      </c>
      <c r="K93">
        <v>7134.1357503610197</v>
      </c>
      <c r="L93">
        <v>6702.429200599363</v>
      </c>
      <c r="M93">
        <v>6668.6499500559876</v>
      </c>
      <c r="N93">
        <v>6990.9736559151497</v>
      </c>
      <c r="O93">
        <v>6951.6914622039621</v>
      </c>
      <c r="BF93">
        <v>6237.7207897538028</v>
      </c>
      <c r="BG93">
        <v>7476.060729144956</v>
      </c>
      <c r="BH93">
        <v>6685.8203175837843</v>
      </c>
    </row>
    <row r="94" spans="1:60">
      <c r="A94">
        <v>6905.6029966799542</v>
      </c>
      <c r="B94">
        <v>6867.8933545510517</v>
      </c>
      <c r="C94">
        <v>6579.929472904405</v>
      </c>
      <c r="D94">
        <v>6371.8820175876317</v>
      </c>
      <c r="E94">
        <v>6803.4615257187397</v>
      </c>
      <c r="F94">
        <v>7166.3306008798827</v>
      </c>
      <c r="G94">
        <v>6188.6761378940719</v>
      </c>
      <c r="H94">
        <v>6622.7898961682513</v>
      </c>
      <c r="I94">
        <v>7221.6720415366581</v>
      </c>
      <c r="J94">
        <v>6768.2756017842621</v>
      </c>
      <c r="K94">
        <v>6732.8263791336212</v>
      </c>
      <c r="L94">
        <v>6990.4799708223436</v>
      </c>
      <c r="M94">
        <v>6486.6578774439404</v>
      </c>
      <c r="N94">
        <v>6975.4890584175882</v>
      </c>
      <c r="O94">
        <v>6491.842229165195</v>
      </c>
      <c r="BF94">
        <v>7413.5141191203729</v>
      </c>
      <c r="BG94">
        <v>7174.828566944052</v>
      </c>
      <c r="BH94">
        <v>6715.5250204945332</v>
      </c>
    </row>
    <row r="95" spans="1:60">
      <c r="A95">
        <v>6011.8960633684765</v>
      </c>
      <c r="B95">
        <v>6379.7559656944941</v>
      </c>
      <c r="C95">
        <v>6637.6504757085058</v>
      </c>
      <c r="D95">
        <v>7208.9823599111696</v>
      </c>
      <c r="E95">
        <v>7218.7810216331854</v>
      </c>
      <c r="F95">
        <v>6302.1697330026655</v>
      </c>
      <c r="G95">
        <v>6616.0152202013705</v>
      </c>
      <c r="H95">
        <v>6553.2118939285283</v>
      </c>
      <c r="I95">
        <v>7457.7496199293819</v>
      </c>
      <c r="J95">
        <v>8023.8905699428869</v>
      </c>
      <c r="K95">
        <v>6299.0667576326814</v>
      </c>
      <c r="L95">
        <v>6385.8289505827997</v>
      </c>
      <c r="M95">
        <v>7345.713383214752</v>
      </c>
      <c r="N95">
        <v>6389.8903332796181</v>
      </c>
      <c r="O95">
        <v>5095.582302287221</v>
      </c>
      <c r="BF95">
        <v>6713.1000393186696</v>
      </c>
      <c r="BG95">
        <v>6261.363697971683</v>
      </c>
      <c r="BH95">
        <v>5644.2125711822882</v>
      </c>
    </row>
    <row r="96" spans="1:60">
      <c r="A96">
        <v>7784.3887917464599</v>
      </c>
      <c r="B96">
        <v>7425.9062731965969</v>
      </c>
      <c r="C96">
        <v>7273.010025214171</v>
      </c>
      <c r="D96">
        <v>6523.7132222631772</v>
      </c>
      <c r="E96">
        <v>6755.1955798120616</v>
      </c>
      <c r="F96">
        <v>7268.2805220250884</v>
      </c>
      <c r="G96">
        <v>6699.1399413876934</v>
      </c>
      <c r="H96">
        <v>6548.0051618163998</v>
      </c>
      <c r="I96">
        <v>7051.1196398951142</v>
      </c>
      <c r="J96">
        <v>7208.4715604018129</v>
      </c>
      <c r="K96">
        <v>7527.7620650507743</v>
      </c>
      <c r="L96">
        <v>6587.1293762978894</v>
      </c>
      <c r="M96">
        <v>7750.1230968249729</v>
      </c>
      <c r="N96">
        <v>7283.7025860775611</v>
      </c>
      <c r="O96">
        <v>5956.2031189256231</v>
      </c>
      <c r="BF96">
        <v>6656.3631154662289</v>
      </c>
      <c r="BG96">
        <v>5936.7822056214209</v>
      </c>
      <c r="BH96">
        <v>7734.6806271219975</v>
      </c>
    </row>
    <row r="97" spans="1:60">
      <c r="A97">
        <v>6070.0508508074563</v>
      </c>
      <c r="B97">
        <v>6654.7174984902085</v>
      </c>
      <c r="C97">
        <v>7282.9311208392028</v>
      </c>
      <c r="D97">
        <v>6854.8863979725866</v>
      </c>
      <c r="E97">
        <v>6711.6064773512335</v>
      </c>
      <c r="F97">
        <v>6299.4459077839565</v>
      </c>
      <c r="G97">
        <v>7262.335237014122</v>
      </c>
      <c r="H97">
        <v>7031.9060743298905</v>
      </c>
      <c r="I97">
        <v>7074.7144960972946</v>
      </c>
      <c r="J97">
        <v>8037.3030065442435</v>
      </c>
      <c r="K97">
        <v>6736.8403680615302</v>
      </c>
      <c r="L97">
        <v>7320.2287004773098</v>
      </c>
      <c r="M97">
        <v>6047.3966292687692</v>
      </c>
      <c r="N97">
        <v>6870.288714621347</v>
      </c>
      <c r="O97">
        <v>7641.6861535602948</v>
      </c>
      <c r="BF97">
        <v>6441.9142101127363</v>
      </c>
      <c r="BG97">
        <v>7722.2292308346368</v>
      </c>
      <c r="BH97">
        <v>4969.1989185288548</v>
      </c>
    </row>
    <row r="98" spans="1:60">
      <c r="A98">
        <v>6182.8940980871266</v>
      </c>
      <c r="B98">
        <v>6781.7406981288514</v>
      </c>
      <c r="C98">
        <v>6177.9085368965752</v>
      </c>
      <c r="D98">
        <v>6216.4883812823973</v>
      </c>
      <c r="E98">
        <v>6969.5069115863589</v>
      </c>
      <c r="F98">
        <v>6585.0262778025353</v>
      </c>
      <c r="G98">
        <v>6327.343723255035</v>
      </c>
      <c r="H98">
        <v>6278.4201888047392</v>
      </c>
      <c r="I98">
        <v>6516.0209502704674</v>
      </c>
      <c r="J98">
        <v>7477.4430474048131</v>
      </c>
      <c r="K98">
        <v>6994.4728958529595</v>
      </c>
      <c r="L98">
        <v>7155.398438184784</v>
      </c>
      <c r="M98">
        <v>7425.6377085061104</v>
      </c>
      <c r="N98">
        <v>7027.0014774945594</v>
      </c>
      <c r="O98">
        <v>6646.844866876927</v>
      </c>
      <c r="BF98">
        <v>7001.1672657114104</v>
      </c>
      <c r="BG98">
        <v>7013.7851984367444</v>
      </c>
      <c r="BH98">
        <v>7281.3895068560669</v>
      </c>
    </row>
    <row r="99" spans="1:60">
      <c r="A99">
        <v>6220.8262276311871</v>
      </c>
      <c r="B99">
        <v>6900.4206196990708</v>
      </c>
      <c r="C99">
        <v>7767.6930201545474</v>
      </c>
      <c r="D99">
        <v>6284.6880147430056</v>
      </c>
      <c r="E99">
        <v>7399.0379557057167</v>
      </c>
      <c r="F99">
        <v>8001.9788507837802</v>
      </c>
      <c r="G99">
        <v>6779.4789621570089</v>
      </c>
      <c r="H99">
        <v>6988.0602556208032</v>
      </c>
      <c r="I99">
        <v>6514.031728469854</v>
      </c>
      <c r="J99">
        <v>7080.3319742066378</v>
      </c>
      <c r="K99">
        <v>6510.6509729543177</v>
      </c>
      <c r="L99">
        <v>6791.1325633343949</v>
      </c>
      <c r="M99">
        <v>6756.9774538736965</v>
      </c>
      <c r="N99">
        <v>6788.9228288589948</v>
      </c>
      <c r="O99">
        <v>7095.646744032274</v>
      </c>
      <c r="BF99">
        <v>6811.3130934347282</v>
      </c>
      <c r="BG99">
        <v>7319.9410466299014</v>
      </c>
      <c r="BH99">
        <v>7426.5079107630299</v>
      </c>
    </row>
    <row r="100" spans="1:60">
      <c r="A100">
        <v>7641.7862070724368</v>
      </c>
      <c r="B100">
        <v>6791.4932825755386</v>
      </c>
      <c r="C100">
        <v>7008.1907589650655</v>
      </c>
      <c r="D100">
        <v>6664.1330605802068</v>
      </c>
      <c r="E100">
        <v>7253.1678339641076</v>
      </c>
      <c r="F100">
        <v>5484.9484437494539</v>
      </c>
      <c r="G100">
        <v>7428.9908176564495</v>
      </c>
      <c r="H100">
        <v>5906.5054862498073</v>
      </c>
      <c r="I100">
        <v>6117.3419332175399</v>
      </c>
      <c r="J100">
        <v>6442.7014732740645</v>
      </c>
      <c r="K100">
        <v>6629.3782882934465</v>
      </c>
      <c r="L100">
        <v>6483.9103553407767</v>
      </c>
      <c r="M100">
        <v>6474.3341810339189</v>
      </c>
      <c r="N100">
        <v>6412.6762041763868</v>
      </c>
      <c r="O100">
        <v>6727.6479516334803</v>
      </c>
      <c r="BF100">
        <v>7450.1889972947538</v>
      </c>
      <c r="BG100">
        <v>6986.9846803652763</v>
      </c>
      <c r="BH100">
        <v>6476.0153433366213</v>
      </c>
    </row>
    <row r="101" spans="1:60">
      <c r="A101">
        <v>6447.1643865130318</v>
      </c>
      <c r="B101">
        <v>7991.5890834439779</v>
      </c>
      <c r="C101">
        <v>7811.0530527323135</v>
      </c>
      <c r="D101">
        <v>7311.3443435471709</v>
      </c>
      <c r="E101">
        <v>6616.3654074938677</v>
      </c>
      <c r="F101">
        <v>6897.276174781291</v>
      </c>
      <c r="G101">
        <v>6654.9597333090787</v>
      </c>
      <c r="H101">
        <v>6752.3144336104451</v>
      </c>
      <c r="I101">
        <v>7175.0760677372455</v>
      </c>
      <c r="J101">
        <v>6596.1124702465895</v>
      </c>
      <c r="K101">
        <v>7605.425970863871</v>
      </c>
      <c r="L101">
        <v>7343.0369517649524</v>
      </c>
      <c r="M101">
        <v>7229.6091813353996</v>
      </c>
      <c r="N101">
        <v>7551.7393626381818</v>
      </c>
      <c r="O101">
        <v>7125.891867557948</v>
      </c>
      <c r="BF101">
        <v>6895.8142086597945</v>
      </c>
      <c r="BG101">
        <v>7568.5365042358171</v>
      </c>
      <c r="BH101">
        <v>6332.7360809620586</v>
      </c>
    </row>
    <row r="102" spans="1:60">
      <c r="A102">
        <v>6521.0835263354966</v>
      </c>
      <c r="B102">
        <v>7737.0661134904367</v>
      </c>
      <c r="C102">
        <v>6237.6352176710498</v>
      </c>
      <c r="D102">
        <v>6494.3369845008419</v>
      </c>
      <c r="E102">
        <v>6443.1846264182241</v>
      </c>
      <c r="F102">
        <v>6791.1325633343949</v>
      </c>
      <c r="G102">
        <v>7100.7665875680686</v>
      </c>
      <c r="H102">
        <v>6572.1601860372175</v>
      </c>
      <c r="I102">
        <v>7018.801697226445</v>
      </c>
      <c r="J102">
        <v>6401.98890928732</v>
      </c>
      <c r="K102">
        <v>7106.3261399598559</v>
      </c>
      <c r="L102">
        <v>7033.5431340976356</v>
      </c>
      <c r="M102">
        <v>7911.130261758808</v>
      </c>
      <c r="N102">
        <v>6816.1051300688996</v>
      </c>
      <c r="O102">
        <v>7832.7646648671362</v>
      </c>
      <c r="BF102">
        <v>7289.4043197760766</v>
      </c>
      <c r="BG102">
        <v>7943.6213233333547</v>
      </c>
      <c r="BH102">
        <v>7528.7204723776085</v>
      </c>
    </row>
    <row r="103" spans="1:60">
      <c r="A103">
        <v>7350.0143677432789</v>
      </c>
      <c r="B103">
        <v>8085.254968731897</v>
      </c>
      <c r="C103">
        <v>7093.2573081830924</v>
      </c>
      <c r="D103">
        <v>6058.5025691165356</v>
      </c>
      <c r="E103">
        <v>7142.6205514893809</v>
      </c>
      <c r="F103">
        <v>6655.2500201436487</v>
      </c>
      <c r="G103">
        <v>7700.0147181519424</v>
      </c>
      <c r="H103">
        <v>6119.5444269782456</v>
      </c>
      <c r="I103">
        <v>6365.2679538376105</v>
      </c>
      <c r="J103">
        <v>6982.3289008167194</v>
      </c>
      <c r="K103">
        <v>7032.1338277193718</v>
      </c>
      <c r="L103">
        <v>6322.0461530858302</v>
      </c>
      <c r="M103">
        <v>6760.3996789370285</v>
      </c>
      <c r="N103">
        <v>6789.1933682898525</v>
      </c>
      <c r="O103">
        <v>7306.853125696216</v>
      </c>
      <c r="BF103">
        <v>6845.6841078426805</v>
      </c>
      <c r="BG103">
        <v>6439.4260372449935</v>
      </c>
      <c r="BH103">
        <v>7050.38701121739</v>
      </c>
    </row>
    <row r="104" spans="1:60">
      <c r="A104">
        <v>6249.0952942920558</v>
      </c>
      <c r="B104">
        <v>6167.4766417621868</v>
      </c>
      <c r="C104">
        <v>6101.9363253348274</v>
      </c>
      <c r="D104">
        <v>6494.1105476049415</v>
      </c>
      <c r="E104">
        <v>7012.0243882724026</v>
      </c>
      <c r="F104">
        <v>6622.0447608015093</v>
      </c>
      <c r="G104">
        <v>7536.9301263475791</v>
      </c>
      <c r="H104">
        <v>6796.4479061669408</v>
      </c>
      <c r="I104">
        <v>6087.9630624680431</v>
      </c>
      <c r="J104">
        <v>7132.2623799955181</v>
      </c>
      <c r="K104">
        <v>6282.1893099266163</v>
      </c>
      <c r="L104">
        <v>6259.8971241226536</v>
      </c>
      <c r="M104">
        <v>5727.7625197952148</v>
      </c>
      <c r="N104">
        <v>7070.0843881735636</v>
      </c>
      <c r="O104">
        <v>5949.2783626905293</v>
      </c>
      <c r="BF104">
        <v>5976.6745941073168</v>
      </c>
      <c r="BG104">
        <v>6198.465584161022</v>
      </c>
      <c r="BH104">
        <v>6370.4707364689966</v>
      </c>
    </row>
    <row r="105" spans="1:60">
      <c r="A105">
        <v>7100.6250645081309</v>
      </c>
      <c r="B105">
        <v>7151.5964047233865</v>
      </c>
      <c r="C105">
        <v>7315.0588301854441</v>
      </c>
      <c r="D105">
        <v>6480.9798406298796</v>
      </c>
      <c r="E105">
        <v>5906.5054862498073</v>
      </c>
      <c r="F105">
        <v>7980.2777705976041</v>
      </c>
      <c r="G105">
        <v>7017.5806494302378</v>
      </c>
      <c r="H105">
        <v>7290.7932205038378</v>
      </c>
      <c r="I105">
        <v>6441.7930927033012</v>
      </c>
      <c r="J105">
        <v>6819.1027859524183</v>
      </c>
      <c r="K105">
        <v>7305.8894523950585</v>
      </c>
      <c r="L105">
        <v>7181.4900244629825</v>
      </c>
      <c r="M105">
        <v>6287.8726127150003</v>
      </c>
      <c r="N105">
        <v>8093.6594637518283</v>
      </c>
      <c r="O105">
        <v>6927.3165835551481</v>
      </c>
      <c r="BF105">
        <v>7083.4968247749202</v>
      </c>
      <c r="BG105">
        <v>7238.0301325250912</v>
      </c>
      <c r="BH105">
        <v>7585.0255863355414</v>
      </c>
    </row>
    <row r="106" spans="1:60">
      <c r="A106">
        <v>6986.6265941112943</v>
      </c>
      <c r="B106">
        <v>5607.8562844544649</v>
      </c>
      <c r="C106">
        <v>7338.4213252706104</v>
      </c>
      <c r="D106">
        <v>7548.4112668658781</v>
      </c>
      <c r="E106">
        <v>7199.2205600094167</v>
      </c>
      <c r="F106">
        <v>7096.585403955396</v>
      </c>
      <c r="G106">
        <v>7439.0896399148914</v>
      </c>
      <c r="H106">
        <v>7967.4156283130287</v>
      </c>
      <c r="I106">
        <v>7300.8091036666883</v>
      </c>
      <c r="J106">
        <v>6249.6785009483574</v>
      </c>
      <c r="K106">
        <v>6170.5230079081957</v>
      </c>
      <c r="L106">
        <v>6805.9312676763511</v>
      </c>
      <c r="M106">
        <v>6969.9084421285079</v>
      </c>
      <c r="N106">
        <v>7399.0379557057167</v>
      </c>
      <c r="O106">
        <v>8370.238967158366</v>
      </c>
      <c r="BF106">
        <v>7954.8273166932631</v>
      </c>
      <c r="BG106">
        <v>6857.2409467418765</v>
      </c>
      <c r="BH106">
        <v>6798.7425544783036</v>
      </c>
    </row>
    <row r="107" spans="1:60">
      <c r="A107">
        <v>6285.3897058215807</v>
      </c>
      <c r="B107">
        <v>7156.0816983532277</v>
      </c>
      <c r="C107">
        <v>6495.2980248148378</v>
      </c>
      <c r="D107">
        <v>6198.1891205090506</v>
      </c>
      <c r="E107">
        <v>6251.1740376561647</v>
      </c>
      <c r="F107">
        <v>6948.3574422105448</v>
      </c>
      <c r="G107">
        <v>6772.9985225054406</v>
      </c>
      <c r="H107">
        <v>7107.3174596262106</v>
      </c>
      <c r="I107">
        <v>6881.3275132964918</v>
      </c>
      <c r="J107">
        <v>6876.939640191631</v>
      </c>
      <c r="K107">
        <v>5639.9892597750295</v>
      </c>
      <c r="L107">
        <v>7816.2847982224775</v>
      </c>
      <c r="M107">
        <v>7476.4240813732613</v>
      </c>
      <c r="N107">
        <v>7555.7612505275756</v>
      </c>
      <c r="O107">
        <v>7396.9855422132241</v>
      </c>
      <c r="BF107">
        <v>7204.141613014508</v>
      </c>
      <c r="BG107">
        <v>7165.6420747371158</v>
      </c>
      <c r="BH107">
        <v>7529.7591858128726</v>
      </c>
    </row>
    <row r="108" spans="1:60">
      <c r="A108">
        <v>7536.1191663017962</v>
      </c>
      <c r="B108">
        <v>8181.6749585908838</v>
      </c>
      <c r="C108">
        <v>6643.4298825282895</v>
      </c>
      <c r="D108">
        <v>6715.4315494502953</v>
      </c>
      <c r="E108">
        <v>7675.757007431821</v>
      </c>
      <c r="F108">
        <v>6187.7335284902074</v>
      </c>
      <c r="G108">
        <v>6240.3550934090163</v>
      </c>
      <c r="H108">
        <v>7103.7793831277668</v>
      </c>
      <c r="I108">
        <v>7160.3872906092874</v>
      </c>
      <c r="J108">
        <v>7027.9546188470704</v>
      </c>
      <c r="K108">
        <v>6201.1341166493366</v>
      </c>
      <c r="L108">
        <v>6472.7662371791666</v>
      </c>
      <c r="M108">
        <v>7378.9166678165202</v>
      </c>
      <c r="N108">
        <v>7496.9245194137329</v>
      </c>
      <c r="O108">
        <v>6833.8830593842431</v>
      </c>
      <c r="BF108">
        <v>6453.333475432737</v>
      </c>
      <c r="BG108">
        <v>6993.3960041038517</v>
      </c>
      <c r="BH108">
        <v>7375.1238498101884</v>
      </c>
    </row>
    <row r="109" spans="1:60">
      <c r="A109">
        <v>6867.2726278276969</v>
      </c>
      <c r="B109">
        <v>6651.6132066266437</v>
      </c>
      <c r="C109">
        <v>6847.0190323336283</v>
      </c>
      <c r="D109">
        <v>6451.6022863739636</v>
      </c>
      <c r="E109">
        <v>6585.1803075514908</v>
      </c>
      <c r="F109">
        <v>6457.734513473406</v>
      </c>
      <c r="G109">
        <v>7886.6145182968467</v>
      </c>
      <c r="H109">
        <v>7329.8555597870291</v>
      </c>
      <c r="I109">
        <v>5928.5541207413189</v>
      </c>
      <c r="J109">
        <v>6517.1794646215858</v>
      </c>
      <c r="K109">
        <v>6800.8107658937661</v>
      </c>
      <c r="L109">
        <v>6572.9908934867126</v>
      </c>
      <c r="M109">
        <v>7197.197109375702</v>
      </c>
      <c r="N109">
        <v>7116.9805225094024</v>
      </c>
      <c r="O109">
        <v>6849.1530684281315</v>
      </c>
      <c r="BF109">
        <v>7166.9710750069498</v>
      </c>
      <c r="BG109">
        <v>6369.3253870536864</v>
      </c>
      <c r="BH109">
        <v>6068.5632130611339</v>
      </c>
    </row>
    <row r="110" spans="1:60">
      <c r="A110">
        <v>8009.9410039605573</v>
      </c>
      <c r="B110">
        <v>7134.8565305965167</v>
      </c>
      <c r="C110">
        <v>7031.7698172442761</v>
      </c>
      <c r="D110">
        <v>8147.5356470531551</v>
      </c>
      <c r="E110">
        <v>6523.9317601975927</v>
      </c>
      <c r="F110">
        <v>6854.664568804219</v>
      </c>
      <c r="G110">
        <v>5857.7267660934012</v>
      </c>
      <c r="H110">
        <v>6681.450875389055</v>
      </c>
      <c r="I110">
        <v>8469.5131151005626</v>
      </c>
      <c r="J110">
        <v>7456.4818366110558</v>
      </c>
      <c r="K110">
        <v>7571.3050902362738</v>
      </c>
      <c r="L110">
        <v>5904.3780326232081</v>
      </c>
      <c r="M110">
        <v>6568.3048345857969</v>
      </c>
      <c r="N110">
        <v>7714.0551221913483</v>
      </c>
      <c r="O110">
        <v>7225.5030378568335</v>
      </c>
      <c r="BF110">
        <v>7258.5720401133585</v>
      </c>
      <c r="BG110">
        <v>5761.7807139235083</v>
      </c>
      <c r="BH110">
        <v>6533.5066180108697</v>
      </c>
    </row>
    <row r="111" spans="1:60">
      <c r="A111">
        <v>8467.7648116252385</v>
      </c>
      <c r="B111">
        <v>6978.3484824751213</v>
      </c>
      <c r="C111">
        <v>7380.2278954230133</v>
      </c>
      <c r="D111">
        <v>6545.2839695848525</v>
      </c>
      <c r="E111">
        <v>7675.4305170237785</v>
      </c>
      <c r="F111">
        <v>6618.6600558052305</v>
      </c>
      <c r="G111">
        <v>6230.1667495870788</v>
      </c>
      <c r="H111">
        <v>6322.9203048234922</v>
      </c>
      <c r="I111">
        <v>6988.8666079390532</v>
      </c>
      <c r="J111">
        <v>7056.7641061228642</v>
      </c>
      <c r="K111">
        <v>7604.4030553515768</v>
      </c>
      <c r="L111">
        <v>7346.9653686101083</v>
      </c>
      <c r="M111">
        <v>6784.8594714218052</v>
      </c>
      <c r="N111">
        <v>6860.0825981360686</v>
      </c>
      <c r="O111">
        <v>6211.9333134927729</v>
      </c>
      <c r="BF111">
        <v>6558.2863184357848</v>
      </c>
      <c r="BG111">
        <v>7288.8487594849721</v>
      </c>
      <c r="BH111">
        <v>7685.2067983549205</v>
      </c>
    </row>
    <row r="112" spans="1:60">
      <c r="A112">
        <v>7550.6558884211699</v>
      </c>
      <c r="B112">
        <v>7067.2657754170359</v>
      </c>
      <c r="C112">
        <v>6338.2219097133202</v>
      </c>
      <c r="D112">
        <v>7314.5427647017641</v>
      </c>
      <c r="E112">
        <v>7590.8563364049769</v>
      </c>
      <c r="F112">
        <v>6539.6019832900492</v>
      </c>
      <c r="G112">
        <v>7809.9866929318523</v>
      </c>
      <c r="H112">
        <v>7312.1994061279111</v>
      </c>
      <c r="I112">
        <v>6608.5987536138418</v>
      </c>
      <c r="J112">
        <v>6949.4685627927538</v>
      </c>
      <c r="K112">
        <v>6242.048104153946</v>
      </c>
      <c r="L112">
        <v>6798.6971354497655</v>
      </c>
      <c r="M112">
        <v>5960.5238508578623</v>
      </c>
      <c r="N112">
        <v>7289.9045873367868</v>
      </c>
      <c r="O112">
        <v>5630.8580602984875</v>
      </c>
      <c r="BF112">
        <v>7539.9396306733252</v>
      </c>
      <c r="BG112">
        <v>7301.9913149022614</v>
      </c>
      <c r="BH112">
        <v>6270.9596196822531</v>
      </c>
    </row>
    <row r="113" spans="1:60">
      <c r="A113">
        <v>7320.6907897241763</v>
      </c>
      <c r="B113">
        <v>6494.6766398446925</v>
      </c>
      <c r="C113">
        <v>6391.8453262471303</v>
      </c>
      <c r="D113">
        <v>6704.6810628693493</v>
      </c>
      <c r="E113">
        <v>7438.5432950788527</v>
      </c>
      <c r="F113">
        <v>7428.3194059302332</v>
      </c>
      <c r="G113">
        <v>6508.1489769039763</v>
      </c>
      <c r="H113">
        <v>7194.2198591426859</v>
      </c>
      <c r="I113">
        <v>7206.7884233587392</v>
      </c>
      <c r="J113">
        <v>6908.8810656961869</v>
      </c>
      <c r="K113">
        <v>6969.2390051426628</v>
      </c>
      <c r="L113">
        <v>7300.6958852187381</v>
      </c>
      <c r="M113">
        <v>6972.8981990505417</v>
      </c>
      <c r="N113">
        <v>6335.378283578757</v>
      </c>
      <c r="O113">
        <v>6026.269540283829</v>
      </c>
      <c r="BF113">
        <v>5918.827866166248</v>
      </c>
      <c r="BG113">
        <v>5991.6852539157844</v>
      </c>
      <c r="BH113">
        <v>6792.3049008681119</v>
      </c>
    </row>
    <row r="114" spans="1:60">
      <c r="A114">
        <v>6350.228331170365</v>
      </c>
      <c r="B114">
        <v>7163.1348127124511</v>
      </c>
      <c r="C114">
        <v>7035.2723484160379</v>
      </c>
      <c r="D114">
        <v>6205.7918709382648</v>
      </c>
      <c r="E114">
        <v>6954.6713454241399</v>
      </c>
      <c r="F114">
        <v>6685.3931154168095</v>
      </c>
      <c r="G114">
        <v>8014.7067107231123</v>
      </c>
      <c r="H114">
        <v>6799.1026154726569</v>
      </c>
      <c r="I114">
        <v>5987.875321492902</v>
      </c>
      <c r="J114">
        <v>7586.0958956167451</v>
      </c>
      <c r="K114">
        <v>7162.7905496410676</v>
      </c>
      <c r="L114">
        <v>7515.7793404781842</v>
      </c>
      <c r="M114">
        <v>5974.9341895934776</v>
      </c>
      <c r="N114">
        <v>6843.5039944728487</v>
      </c>
      <c r="O114">
        <v>5918.827866166248</v>
      </c>
      <c r="BF114">
        <v>6657.2346342167293</v>
      </c>
      <c r="BG114">
        <v>6468.743032796192</v>
      </c>
      <c r="BH114">
        <v>6295.7175979630847</v>
      </c>
    </row>
    <row r="115" spans="1:60">
      <c r="A115">
        <v>6393.7963697339001</v>
      </c>
      <c r="B115">
        <v>6775.9007326043502</v>
      </c>
      <c r="C115">
        <v>7650.5250914618955</v>
      </c>
      <c r="D115">
        <v>7412.3332243783807</v>
      </c>
      <c r="E115">
        <v>7699.0958056325326</v>
      </c>
      <c r="F115">
        <v>7319.82585344158</v>
      </c>
      <c r="G115">
        <v>6509.7623397872667</v>
      </c>
      <c r="H115">
        <v>7099.3553064494336</v>
      </c>
      <c r="I115">
        <v>7134.2318543924193</v>
      </c>
      <c r="J115">
        <v>6892.7579688119295</v>
      </c>
      <c r="K115">
        <v>6851.5095919377927</v>
      </c>
      <c r="L115">
        <v>8343.9722872339189</v>
      </c>
      <c r="M115">
        <v>7619.495337762055</v>
      </c>
      <c r="N115">
        <v>7464.4782186209341</v>
      </c>
      <c r="O115">
        <v>6666.7778961840668</v>
      </c>
      <c r="BF115">
        <v>6018.586483746185</v>
      </c>
      <c r="BG115">
        <v>7366.8602196034044</v>
      </c>
      <c r="BH115">
        <v>7325.7237446836371</v>
      </c>
    </row>
    <row r="116" spans="1:60">
      <c r="A116">
        <v>7438.4748374126502</v>
      </c>
      <c r="B116">
        <v>7380.5399044016667</v>
      </c>
      <c r="C116">
        <v>7087.1797155672539</v>
      </c>
      <c r="D116">
        <v>7660.3829953950481</v>
      </c>
      <c r="E116">
        <v>6448.0056259111734</v>
      </c>
      <c r="F116">
        <v>8016.9763456564397</v>
      </c>
      <c r="G116">
        <v>7240.9757869121677</v>
      </c>
      <c r="H116">
        <v>7129.7682829066616</v>
      </c>
      <c r="I116">
        <v>6280.9360080376791</v>
      </c>
      <c r="J116">
        <v>7520.0066013661854</v>
      </c>
      <c r="K116">
        <v>6998.4697703643178</v>
      </c>
      <c r="L116">
        <v>6377.1651063274476</v>
      </c>
      <c r="M116">
        <v>7147.8049032106355</v>
      </c>
      <c r="N116">
        <v>5869.3803672707872</v>
      </c>
      <c r="O116">
        <v>6958.8104012422264</v>
      </c>
      <c r="BF116">
        <v>7283.2062679975934</v>
      </c>
      <c r="BG116">
        <v>7621.2252103272476</v>
      </c>
      <c r="BH116">
        <v>6402.7577415385167</v>
      </c>
    </row>
    <row r="117" spans="1:60">
      <c r="A117">
        <v>7341.4360955706798</v>
      </c>
      <c r="B117">
        <v>7676.5179407215328</v>
      </c>
      <c r="C117">
        <v>6688.6158917026478</v>
      </c>
      <c r="D117">
        <v>6943.9583789102471</v>
      </c>
      <c r="E117">
        <v>7395.4505106979923</v>
      </c>
      <c r="F117">
        <v>6141.2929009333311</v>
      </c>
      <c r="G117">
        <v>7721.1365411625593</v>
      </c>
      <c r="H117">
        <v>7255.7323634595377</v>
      </c>
      <c r="I117">
        <v>7321.5557260067726</v>
      </c>
      <c r="J117">
        <v>7353.91908770398</v>
      </c>
      <c r="K117">
        <v>6634.9490308806708</v>
      </c>
      <c r="L117">
        <v>6948.6681346956175</v>
      </c>
      <c r="M117">
        <v>6189.2409136402421</v>
      </c>
      <c r="N117">
        <v>6352.3794816814188</v>
      </c>
      <c r="O117">
        <v>7587.0806328151957</v>
      </c>
      <c r="BF117">
        <v>6590.5581838291255</v>
      </c>
      <c r="BG117">
        <v>7070.2700137684587</v>
      </c>
      <c r="BH117">
        <v>6508.3155133419496</v>
      </c>
    </row>
    <row r="118" spans="1:60">
      <c r="A118">
        <v>7745.2073097942048</v>
      </c>
      <c r="B118">
        <v>7038.2785615078319</v>
      </c>
      <c r="C118">
        <v>7149.0187102921482</v>
      </c>
      <c r="D118">
        <v>6419.5219707966316</v>
      </c>
      <c r="E118">
        <v>7748.4353520543664</v>
      </c>
      <c r="F118">
        <v>6840.9664530958253</v>
      </c>
      <c r="G118">
        <v>6171.7947407072643</v>
      </c>
      <c r="H118">
        <v>7600.5193992881686</v>
      </c>
      <c r="I118">
        <v>7046.724526075559</v>
      </c>
      <c r="J118">
        <v>6276.4454484335147</v>
      </c>
      <c r="K118">
        <v>6736.9325226121873</v>
      </c>
      <c r="L118">
        <v>7381.9794901322894</v>
      </c>
      <c r="M118">
        <v>6624.4776409388578</v>
      </c>
      <c r="N118">
        <v>6769.1392215732776</v>
      </c>
      <c r="O118">
        <v>5622.4009055353235</v>
      </c>
      <c r="BF118">
        <v>7239.8172725610493</v>
      </c>
      <c r="BG118">
        <v>7257.7676625354798</v>
      </c>
      <c r="BH118">
        <v>7250.9297948767198</v>
      </c>
    </row>
    <row r="119" spans="1:60">
      <c r="A119">
        <v>5701.0956258221995</v>
      </c>
      <c r="B119">
        <v>7242.8215109124721</v>
      </c>
      <c r="C119">
        <v>6231.8084170823568</v>
      </c>
      <c r="D119">
        <v>6273.6702799651539</v>
      </c>
      <c r="E119">
        <v>7146.2040470163629</v>
      </c>
      <c r="F119">
        <v>6395.6104978882649</v>
      </c>
      <c r="G119">
        <v>6686.5792761331249</v>
      </c>
      <c r="H119">
        <v>7977.5131340778898</v>
      </c>
      <c r="I119">
        <v>6571.2235008544667</v>
      </c>
      <c r="J119">
        <v>7941.6044551675441</v>
      </c>
      <c r="K119">
        <v>6552.7879829955054</v>
      </c>
      <c r="L119">
        <v>6177.7163288337761</v>
      </c>
      <c r="M119">
        <v>6767.2750666628417</v>
      </c>
      <c r="N119">
        <v>6664.3739789054962</v>
      </c>
      <c r="O119">
        <v>7395.0042193740956</v>
      </c>
      <c r="BF119">
        <v>6970.3547334524046</v>
      </c>
      <c r="BG119">
        <v>6599.6656864212127</v>
      </c>
      <c r="BH119">
        <v>5673.3018133440055</v>
      </c>
    </row>
    <row r="120" spans="1:60">
      <c r="A120">
        <v>7182.8861659054382</v>
      </c>
      <c r="B120">
        <v>6897.8962432578555</v>
      </c>
      <c r="C120">
        <v>6581.9404168491019</v>
      </c>
      <c r="D120">
        <v>7131.8779638699198</v>
      </c>
      <c r="E120">
        <v>7003.1472720569582</v>
      </c>
      <c r="F120">
        <v>7039.0533179801423</v>
      </c>
      <c r="G120">
        <v>6655.2500201436487</v>
      </c>
      <c r="H120">
        <v>7392.8372709400719</v>
      </c>
      <c r="I120">
        <v>6805.2578812097636</v>
      </c>
      <c r="J120">
        <v>7098.4159882795211</v>
      </c>
      <c r="K120">
        <v>7163.970127889479</v>
      </c>
      <c r="L120">
        <v>6680.6418900836434</v>
      </c>
      <c r="M120">
        <v>6532.207238846604</v>
      </c>
      <c r="N120">
        <v>6360.5693882476771</v>
      </c>
      <c r="O120">
        <v>7064.7275757932221</v>
      </c>
      <c r="BF120">
        <v>7211.0268744421774</v>
      </c>
      <c r="BG120">
        <v>7700.1305695870542</v>
      </c>
      <c r="BH120">
        <v>7265.2492955552589</v>
      </c>
    </row>
    <row r="121" spans="1:60">
      <c r="A121">
        <v>6771.4549337819335</v>
      </c>
      <c r="B121">
        <v>8038.8301390979905</v>
      </c>
      <c r="C121">
        <v>5745.435129624093</v>
      </c>
      <c r="D121">
        <v>7089.6547234991885</v>
      </c>
      <c r="E121">
        <v>6383.1959634211671</v>
      </c>
      <c r="F121">
        <v>5860.40188104962</v>
      </c>
      <c r="G121">
        <v>6876.2307083983615</v>
      </c>
      <c r="H121">
        <v>7819.5523352900636</v>
      </c>
      <c r="I121">
        <v>6540.6229240619723</v>
      </c>
      <c r="J121">
        <v>6679.0706549949391</v>
      </c>
      <c r="K121">
        <v>7768.9199921718682</v>
      </c>
      <c r="L121">
        <v>6398.9043648274674</v>
      </c>
      <c r="M121">
        <v>6713.4739234956214</v>
      </c>
      <c r="N121">
        <v>6924.3900183249934</v>
      </c>
      <c r="O121">
        <v>7470.9974948331364</v>
      </c>
      <c r="BF121">
        <v>5991.6852539157844</v>
      </c>
      <c r="BG121">
        <v>7804.9945492733968</v>
      </c>
      <c r="BH121">
        <v>6708.4278036003525</v>
      </c>
    </row>
    <row r="122" spans="1:60">
      <c r="A122">
        <v>6877.8262986183108</v>
      </c>
      <c r="B122">
        <v>6945.1577045623708</v>
      </c>
      <c r="C122">
        <v>7765.1126927361474</v>
      </c>
      <c r="D122">
        <v>6873.4371090198692</v>
      </c>
      <c r="E122">
        <v>7853.8048652757425</v>
      </c>
      <c r="F122">
        <v>6996.4937134995125</v>
      </c>
      <c r="G122">
        <v>5899.4859424768947</v>
      </c>
      <c r="H122">
        <v>8076.7451542255003</v>
      </c>
      <c r="I122">
        <v>6999.9534586298978</v>
      </c>
      <c r="J122">
        <v>7073.5099044708477</v>
      </c>
      <c r="K122">
        <v>6839.8981185549928</v>
      </c>
      <c r="L122">
        <v>6278.1832199601922</v>
      </c>
      <c r="M122">
        <v>6845.9513560395862</v>
      </c>
      <c r="N122">
        <v>7763.3591232865001</v>
      </c>
      <c r="O122">
        <v>6147.7266050627804</v>
      </c>
      <c r="BF122">
        <v>6674.4425218115794</v>
      </c>
      <c r="BG122">
        <v>7060.764930114965</v>
      </c>
      <c r="BH122">
        <v>6711.6532128733525</v>
      </c>
    </row>
    <row r="123" spans="1:60">
      <c r="A123">
        <v>7028.136294961223</v>
      </c>
      <c r="B123">
        <v>6903.6539279335557</v>
      </c>
      <c r="C123">
        <v>6686.0579446751217</v>
      </c>
      <c r="D123">
        <v>7146.5917543759133</v>
      </c>
      <c r="E123">
        <v>7107.2700658573012</v>
      </c>
      <c r="F123">
        <v>8105.0129043927882</v>
      </c>
      <c r="G123">
        <v>7275.575871203182</v>
      </c>
      <c r="H123">
        <v>7513.3675242381287</v>
      </c>
      <c r="I123">
        <v>7019.1189721794217</v>
      </c>
      <c r="J123">
        <v>7839.4761491421377</v>
      </c>
      <c r="K123">
        <v>6867.9822178677568</v>
      </c>
      <c r="L123">
        <v>7222.6021442515048</v>
      </c>
      <c r="M123">
        <v>7666.1913650736096</v>
      </c>
      <c r="N123">
        <v>5776.9835817947751</v>
      </c>
      <c r="O123">
        <v>7543.9523031076533</v>
      </c>
      <c r="BF123">
        <v>7226.3850885559805</v>
      </c>
      <c r="BG123">
        <v>6605.125185300858</v>
      </c>
      <c r="BH123">
        <v>7187.736786503956</v>
      </c>
    </row>
    <row r="124" spans="1:60">
      <c r="A124">
        <v>6081.8782291375101</v>
      </c>
      <c r="B124">
        <v>7216.1559334330377</v>
      </c>
      <c r="C124">
        <v>7144.9922146752215</v>
      </c>
      <c r="D124">
        <v>6141.8155488849152</v>
      </c>
      <c r="E124">
        <v>7700.4754909052281</v>
      </c>
      <c r="F124">
        <v>6980.7629317023384</v>
      </c>
      <c r="G124">
        <v>6875.9200159132888</v>
      </c>
      <c r="H124">
        <v>6421.4572163604316</v>
      </c>
      <c r="I124">
        <v>7683.1004086256144</v>
      </c>
      <c r="J124">
        <v>6937.4312037365598</v>
      </c>
      <c r="K124">
        <v>7764.3043656775262</v>
      </c>
      <c r="L124">
        <v>6134.1272263729479</v>
      </c>
      <c r="M124">
        <v>7042.2010541318741</v>
      </c>
      <c r="N124">
        <v>6503.5142612527125</v>
      </c>
      <c r="O124">
        <v>7852.7727343083825</v>
      </c>
      <c r="BF124">
        <v>6967.6783020026051</v>
      </c>
      <c r="BG124">
        <v>7571.6526445416093</v>
      </c>
      <c r="BH124">
        <v>6410.5263701589138</v>
      </c>
    </row>
    <row r="125" spans="1:60">
      <c r="A125">
        <v>7010.4459124690038</v>
      </c>
      <c r="B125">
        <v>6042.6519864035072</v>
      </c>
      <c r="C125">
        <v>6530.254220619463</v>
      </c>
      <c r="D125">
        <v>6946.0022351944644</v>
      </c>
      <c r="E125">
        <v>6090.0891996010614</v>
      </c>
      <c r="F125">
        <v>6311.3048819599499</v>
      </c>
      <c r="G125">
        <v>7546.8380570368026</v>
      </c>
      <c r="H125">
        <v>6239.6770992148959</v>
      </c>
      <c r="I125">
        <v>5915.8367927506333</v>
      </c>
      <c r="J125">
        <v>5824.7354369581444</v>
      </c>
      <c r="K125">
        <v>7581.1169168940978</v>
      </c>
      <c r="L125">
        <v>6626.8558865926025</v>
      </c>
      <c r="M125">
        <v>6614.1155199642526</v>
      </c>
      <c r="N125">
        <v>6262.0140458006063</v>
      </c>
      <c r="O125">
        <v>7034.5443274658464</v>
      </c>
      <c r="BF125">
        <v>7606.264577274851</v>
      </c>
      <c r="BG125">
        <v>6643.5273030532699</v>
      </c>
      <c r="BH125">
        <v>8780.9217726811767</v>
      </c>
    </row>
    <row r="126" spans="1:60">
      <c r="A126">
        <v>7755.2337249057018</v>
      </c>
      <c r="B126">
        <v>6020.5585911302478</v>
      </c>
      <c r="C126">
        <v>6225.1258956661331</v>
      </c>
      <c r="D126">
        <v>6676.1618624281255</v>
      </c>
      <c r="E126">
        <v>7082.8912377277447</v>
      </c>
      <c r="F126">
        <v>7885.2927587417071</v>
      </c>
      <c r="G126">
        <v>7696.8051068019122</v>
      </c>
      <c r="H126">
        <v>6771.9091240673151</v>
      </c>
      <c r="I126">
        <v>6996.2685930971929</v>
      </c>
      <c r="J126">
        <v>6674.108132442052</v>
      </c>
      <c r="K126">
        <v>6504.0737710245594</v>
      </c>
      <c r="L126">
        <v>6741.213759737002</v>
      </c>
      <c r="M126">
        <v>6412.9921626357827</v>
      </c>
      <c r="N126">
        <v>6501.3828581453708</v>
      </c>
      <c r="O126">
        <v>7051.3032907496381</v>
      </c>
      <c r="BF126">
        <v>6101.7072554517654</v>
      </c>
      <c r="BG126">
        <v>7262.5504837145854</v>
      </c>
      <c r="BH126">
        <v>5984.0258942625951</v>
      </c>
    </row>
    <row r="127" spans="1:60">
      <c r="A127">
        <v>6395.5459897028049</v>
      </c>
      <c r="B127">
        <v>6432.8935960969829</v>
      </c>
      <c r="C127">
        <v>6405.5697718271404</v>
      </c>
      <c r="D127">
        <v>7176.6637589957099</v>
      </c>
      <c r="E127">
        <v>7157.9879810582497</v>
      </c>
      <c r="F127">
        <v>6880.5738207214745</v>
      </c>
      <c r="G127">
        <v>7425.4376014818263</v>
      </c>
      <c r="H127">
        <v>7130.5831924331869</v>
      </c>
      <c r="I127">
        <v>7178.7510595680942</v>
      </c>
      <c r="J127">
        <v>6714.3131881533918</v>
      </c>
      <c r="K127">
        <v>6530.254220619463</v>
      </c>
      <c r="L127">
        <v>6677.4507096437446</v>
      </c>
      <c r="M127">
        <v>6872.9500063949672</v>
      </c>
      <c r="N127">
        <v>6821.9200822153653</v>
      </c>
      <c r="O127">
        <v>6639.5633408814319</v>
      </c>
      <c r="BF127">
        <v>7681.8866015441017</v>
      </c>
      <c r="BG127">
        <v>7224.6736469009193</v>
      </c>
      <c r="BH127">
        <v>6286.1664370342623</v>
      </c>
    </row>
    <row r="128" spans="1:60">
      <c r="A128">
        <v>7122.5973423719552</v>
      </c>
      <c r="B128">
        <v>6616.2653539817256</v>
      </c>
      <c r="C128">
        <v>6968.4807048401126</v>
      </c>
      <c r="D128">
        <v>6767.5028200523229</v>
      </c>
      <c r="E128">
        <v>7706.1574772000313</v>
      </c>
      <c r="F128">
        <v>6432.5868530926527</v>
      </c>
      <c r="G128">
        <v>6034.3449119085562</v>
      </c>
      <c r="H128">
        <v>6493.0336558558338</v>
      </c>
      <c r="I128">
        <v>6289.0337600532803</v>
      </c>
      <c r="J128">
        <v>7137.0702145526593</v>
      </c>
      <c r="K128">
        <v>6794.6923619769223</v>
      </c>
      <c r="L128">
        <v>7247.7425639175635</v>
      </c>
      <c r="M128">
        <v>7731.4367869388661</v>
      </c>
      <c r="N128">
        <v>7446.0986517391575</v>
      </c>
      <c r="O128">
        <v>7374.0699966987449</v>
      </c>
      <c r="BF128">
        <v>7697.3764650159865</v>
      </c>
      <c r="BG128">
        <v>6617.9623142073979</v>
      </c>
      <c r="BH128">
        <v>6992.6778568555164</v>
      </c>
    </row>
    <row r="129" spans="1:60">
      <c r="A129">
        <v>6970.7115032128058</v>
      </c>
      <c r="B129">
        <v>7190.9490308411478</v>
      </c>
      <c r="C129">
        <v>6958.6774353905639</v>
      </c>
      <c r="D129">
        <v>7762.0162998340675</v>
      </c>
      <c r="E129">
        <v>6254.4823860247561</v>
      </c>
      <c r="F129">
        <v>6695.7967059392104</v>
      </c>
      <c r="G129">
        <v>7403.2889134781726</v>
      </c>
      <c r="H129">
        <v>7164.8548115757876</v>
      </c>
      <c r="I129">
        <v>6243.481765663455</v>
      </c>
      <c r="J129">
        <v>6077.2862995276228</v>
      </c>
      <c r="K129">
        <v>6712.6800778663892</v>
      </c>
      <c r="L129">
        <v>6718.3653553951444</v>
      </c>
      <c r="M129">
        <v>6483.2790966687753</v>
      </c>
      <c r="N129">
        <v>7741.371047499706</v>
      </c>
      <c r="O129">
        <v>7693.1676350381167</v>
      </c>
      <c r="BF129">
        <v>6305.4820308519993</v>
      </c>
      <c r="BG129">
        <v>7129.3845250278537</v>
      </c>
      <c r="BH129">
        <v>7056.3046498631593</v>
      </c>
    </row>
    <row r="130" spans="1:60">
      <c r="A130">
        <v>7006.6590186837857</v>
      </c>
      <c r="B130">
        <v>6193.9223648136249</v>
      </c>
      <c r="C130">
        <v>7868.0229959485587</v>
      </c>
      <c r="D130">
        <v>6503.96186907019</v>
      </c>
      <c r="E130">
        <v>7495.1946468485403</v>
      </c>
      <c r="F130">
        <v>6556.4925959319226</v>
      </c>
      <c r="G130">
        <v>7285.2494660350203</v>
      </c>
      <c r="H130">
        <v>6442.9423915993539</v>
      </c>
      <c r="I130">
        <v>6469.502649592323</v>
      </c>
      <c r="J130">
        <v>6540.8914887524588</v>
      </c>
      <c r="K130">
        <v>6777.8939038857061</v>
      </c>
      <c r="L130">
        <v>6314.8580981345731</v>
      </c>
      <c r="M130">
        <v>7739.0856146434089</v>
      </c>
      <c r="N130">
        <v>6904.5399281134451</v>
      </c>
      <c r="O130">
        <v>5920.1285618240945</v>
      </c>
      <c r="BF130">
        <v>6039.4581729764468</v>
      </c>
      <c r="BG130">
        <v>6309.2208726215176</v>
      </c>
      <c r="BH130">
        <v>6479.1946753342927</v>
      </c>
    </row>
    <row r="131" spans="1:60">
      <c r="A131">
        <v>7190.6475538111408</v>
      </c>
      <c r="B131">
        <v>7059.4300056240172</v>
      </c>
      <c r="C131">
        <v>6638.3863956201822</v>
      </c>
      <c r="D131">
        <v>6512.5375082556275</v>
      </c>
      <c r="E131">
        <v>6617.0144388292101</v>
      </c>
      <c r="F131">
        <v>7636.3859504039283</v>
      </c>
      <c r="G131">
        <v>6874.3244256933394</v>
      </c>
      <c r="H131">
        <v>6541.9111130308011</v>
      </c>
      <c r="I131">
        <v>6191.9621058717894</v>
      </c>
      <c r="J131">
        <v>5892.9140065214597</v>
      </c>
      <c r="K131">
        <v>6416.5782911499264</v>
      </c>
      <c r="L131">
        <v>6733.5188547571306</v>
      </c>
      <c r="M131">
        <v>7309.5795839020866</v>
      </c>
      <c r="N131">
        <v>6989.4939171303122</v>
      </c>
      <c r="O131">
        <v>7335.4184034127684</v>
      </c>
      <c r="BF131">
        <v>7269.9083663377678</v>
      </c>
      <c r="BG131">
        <v>7210.2593586845614</v>
      </c>
      <c r="BH131">
        <v>7765.5208057462005</v>
      </c>
    </row>
    <row r="132" spans="1:60">
      <c r="A132">
        <v>6841.7234369047947</v>
      </c>
      <c r="B132">
        <v>8048.8038944662549</v>
      </c>
      <c r="C132">
        <v>6779.5237229387567</v>
      </c>
      <c r="D132">
        <v>7313.2855133320845</v>
      </c>
      <c r="E132">
        <v>6600.7294132345123</v>
      </c>
      <c r="F132">
        <v>7236.4036047059926</v>
      </c>
      <c r="G132">
        <v>7005.5327584253973</v>
      </c>
      <c r="H132">
        <v>6979.9578958776692</v>
      </c>
      <c r="I132">
        <v>7753.2589845344773</v>
      </c>
      <c r="J132">
        <v>6896.0360378281621</v>
      </c>
      <c r="K132">
        <v>6490.7627044289256</v>
      </c>
      <c r="L132">
        <v>7066.8504216922884</v>
      </c>
      <c r="M132">
        <v>6719.7141030686907</v>
      </c>
      <c r="N132">
        <v>7532.8898075480538</v>
      </c>
      <c r="O132">
        <v>6551.9395028826693</v>
      </c>
      <c r="BF132">
        <v>6344.2198544675193</v>
      </c>
      <c r="BG132">
        <v>7083.6824503698153</v>
      </c>
      <c r="BH132">
        <v>6462.5226006268349</v>
      </c>
    </row>
    <row r="133" spans="1:60">
      <c r="A133">
        <v>6698.8108179924893</v>
      </c>
      <c r="B133">
        <v>6119.9828193406574</v>
      </c>
      <c r="C133">
        <v>6138.9877206733217</v>
      </c>
      <c r="D133">
        <v>6447.8858249953191</v>
      </c>
      <c r="E133">
        <v>7618.6343509602011</v>
      </c>
      <c r="F133">
        <v>7491.0766549277469</v>
      </c>
      <c r="G133">
        <v>6430.7437620795099</v>
      </c>
      <c r="H133">
        <v>6851.0646171074768</v>
      </c>
      <c r="I133">
        <v>6200.3995132312411</v>
      </c>
      <c r="J133">
        <v>5944.4731611205498</v>
      </c>
      <c r="K133">
        <v>7204.5484095309803</v>
      </c>
      <c r="L133">
        <v>7040.96881614023</v>
      </c>
      <c r="M133">
        <v>6379.6901410154533</v>
      </c>
      <c r="N133">
        <v>7090.5900921883585</v>
      </c>
      <c r="O133">
        <v>6014.9003017198993</v>
      </c>
      <c r="BF133">
        <v>7627.0335800058092</v>
      </c>
      <c r="BG133">
        <v>7283.316853458382</v>
      </c>
      <c r="BH133">
        <v>7379.2286767951737</v>
      </c>
    </row>
    <row r="134" spans="1:60">
      <c r="A134">
        <v>6626.0139889476704</v>
      </c>
      <c r="B134">
        <v>7390.9309882350499</v>
      </c>
      <c r="C134">
        <v>6905.8689283832791</v>
      </c>
      <c r="D134">
        <v>6943.869515593542</v>
      </c>
      <c r="E134">
        <v>7332.8367595007876</v>
      </c>
      <c r="F134">
        <v>6786.0337836958934</v>
      </c>
      <c r="G134">
        <v>7443.6842025119404</v>
      </c>
      <c r="H134">
        <v>7063.6210629385459</v>
      </c>
      <c r="I134">
        <v>7047.4104192311643</v>
      </c>
      <c r="J134">
        <v>6111.7836973193334</v>
      </c>
      <c r="K134">
        <v>6601.2862900191976</v>
      </c>
      <c r="L134">
        <v>5705.2241496916395</v>
      </c>
      <c r="M134">
        <v>6168.4613789606374</v>
      </c>
      <c r="N134">
        <v>7143.7816988276609</v>
      </c>
      <c r="O134">
        <v>6924.7007108100661</v>
      </c>
      <c r="BF134">
        <v>7036.5927914775966</v>
      </c>
      <c r="BG134">
        <v>6846.6629208200175</v>
      </c>
      <c r="BH134">
        <v>7219.3997736161691</v>
      </c>
    </row>
    <row r="135" spans="1:60">
      <c r="A135">
        <v>7604.774306541367</v>
      </c>
      <c r="B135">
        <v>7112.1410921063216</v>
      </c>
      <c r="C135">
        <v>7573.3048439855338</v>
      </c>
      <c r="D135">
        <v>5998.7442924961215</v>
      </c>
      <c r="E135">
        <v>6429.0810306869389</v>
      </c>
      <c r="F135">
        <v>6218.174809559423</v>
      </c>
      <c r="G135">
        <v>6891.0748317688558</v>
      </c>
      <c r="H135">
        <v>5603.0010561284143</v>
      </c>
      <c r="I135">
        <v>6237.8063618365559</v>
      </c>
      <c r="J135">
        <v>6884.783967192925</v>
      </c>
      <c r="K135">
        <v>7112.7098173332342</v>
      </c>
      <c r="L135">
        <v>7584.7583381386357</v>
      </c>
      <c r="M135">
        <v>6563.3870728146576</v>
      </c>
      <c r="N135">
        <v>7055.2020864892256</v>
      </c>
      <c r="O135">
        <v>8038.2192860764917</v>
      </c>
      <c r="BF135">
        <v>7675.757007431821</v>
      </c>
      <c r="BG135">
        <v>6165.9955864837684</v>
      </c>
      <c r="BH135">
        <v>7169.9298943298345</v>
      </c>
    </row>
    <row r="136" spans="1:60">
      <c r="A136">
        <v>6680.9749629595899</v>
      </c>
      <c r="B136">
        <v>5640.9371351532172</v>
      </c>
      <c r="C136">
        <v>7389.1563548881095</v>
      </c>
      <c r="D136">
        <v>6349.6714543856797</v>
      </c>
      <c r="E136">
        <v>6485.4572352982359</v>
      </c>
      <c r="F136">
        <v>7744.1804448011681</v>
      </c>
      <c r="G136">
        <v>6808.3088550833054</v>
      </c>
      <c r="H136">
        <v>7722.9585682784091</v>
      </c>
      <c r="I136">
        <v>7127.8047327308741</v>
      </c>
      <c r="J136">
        <v>7233.3664540150494</v>
      </c>
      <c r="K136">
        <v>7401.5471924707526</v>
      </c>
      <c r="L136">
        <v>5838.1083787520765</v>
      </c>
      <c r="M136">
        <v>6663.4109638511291</v>
      </c>
      <c r="N136">
        <v>6963.3095180546661</v>
      </c>
      <c r="O136">
        <v>7367.1669626077346</v>
      </c>
      <c r="BF136">
        <v>6508.0377331963973</v>
      </c>
      <c r="BG136">
        <v>6822.5901774480008</v>
      </c>
      <c r="BH136">
        <v>7550.5716328319977</v>
      </c>
    </row>
    <row r="137" spans="1:60">
      <c r="A137">
        <v>6374.7625055424578</v>
      </c>
      <c r="B137">
        <v>6228.2604668820568</v>
      </c>
      <c r="C137">
        <v>6598.3472181000252</v>
      </c>
      <c r="D137">
        <v>6676.8780349360895</v>
      </c>
      <c r="E137">
        <v>6406.3991627830546</v>
      </c>
      <c r="F137">
        <v>7825.3844018530799</v>
      </c>
      <c r="G137">
        <v>6938.895802845218</v>
      </c>
      <c r="H137">
        <v>7246.7347880814486</v>
      </c>
      <c r="I137">
        <v>6949.0235879624379</v>
      </c>
      <c r="J137">
        <v>7184.933971670398</v>
      </c>
      <c r="K137">
        <v>7056.0742634865164</v>
      </c>
      <c r="L137">
        <v>7473.2342174269434</v>
      </c>
      <c r="M137">
        <v>6575.7410485770379</v>
      </c>
      <c r="N137">
        <v>7189.8938612361235</v>
      </c>
      <c r="O137">
        <v>6314.0458215952094</v>
      </c>
      <c r="BF137">
        <v>7239.2913333755132</v>
      </c>
      <c r="BG137">
        <v>7317.6970833214</v>
      </c>
      <c r="BH137">
        <v>6376.2988535512704</v>
      </c>
    </row>
    <row r="138" spans="1:60">
      <c r="A138">
        <v>5889.0751112397993</v>
      </c>
      <c r="B138">
        <v>6682.0689691252483</v>
      </c>
      <c r="C138">
        <v>7033.8617255441932</v>
      </c>
      <c r="D138">
        <v>6671.2381764358724</v>
      </c>
      <c r="E138">
        <v>6358.8579465926159</v>
      </c>
      <c r="F138">
        <v>6759.532767914061</v>
      </c>
      <c r="G138">
        <v>6105.1301387618878</v>
      </c>
      <c r="H138">
        <v>7636.8835849774769</v>
      </c>
      <c r="I138">
        <v>6913.3551691305911</v>
      </c>
      <c r="J138">
        <v>6340.4875951659051</v>
      </c>
      <c r="K138">
        <v>6581.8884153526596</v>
      </c>
      <c r="L138">
        <v>6785.3116869668156</v>
      </c>
      <c r="M138">
        <v>7095.130678548594</v>
      </c>
      <c r="N138">
        <v>6701.2081528031558</v>
      </c>
      <c r="O138">
        <v>6030.806177163322</v>
      </c>
      <c r="BF138">
        <v>8028.2929244771367</v>
      </c>
      <c r="BG138">
        <v>6375.6985324784182</v>
      </c>
      <c r="BH138">
        <v>6927.3165835551481</v>
      </c>
    </row>
    <row r="139" spans="1:60">
      <c r="A139">
        <v>7623.1525569295627</v>
      </c>
      <c r="B139">
        <v>6620.7519641051476</v>
      </c>
      <c r="C139">
        <v>7422.6361031418492</v>
      </c>
      <c r="D139">
        <v>6610.1561655199475</v>
      </c>
      <c r="E139">
        <v>6865.2761653123889</v>
      </c>
      <c r="F139">
        <v>7109.869482432623</v>
      </c>
      <c r="G139">
        <v>7494.4429290138942</v>
      </c>
      <c r="H139">
        <v>6894.352242538298</v>
      </c>
      <c r="I139">
        <v>6237.4653899991245</v>
      </c>
      <c r="J139">
        <v>7581.2933270339272</v>
      </c>
      <c r="K139">
        <v>6057.0991869593854</v>
      </c>
      <c r="L139">
        <v>6852.5759517382539</v>
      </c>
      <c r="M139">
        <v>7529.519583981164</v>
      </c>
      <c r="N139">
        <v>7941.1568473500665</v>
      </c>
      <c r="O139">
        <v>6500.428400299279</v>
      </c>
      <c r="BF139">
        <v>6260.9569014552108</v>
      </c>
      <c r="BG139">
        <v>7287.7402718899248</v>
      </c>
      <c r="BH139">
        <v>7899.7294273489388</v>
      </c>
    </row>
    <row r="140" spans="1:60">
      <c r="A140">
        <v>6643.8695913842821</v>
      </c>
      <c r="B140">
        <v>6540.3543593714858</v>
      </c>
      <c r="C140">
        <v>7117.3609891542583</v>
      </c>
      <c r="D140">
        <v>6724.9142527129152</v>
      </c>
      <c r="E140">
        <v>7207.9107341363851</v>
      </c>
      <c r="F140">
        <v>6480.1162208408641</v>
      </c>
      <c r="G140">
        <v>6799.1473762544047</v>
      </c>
      <c r="H140">
        <v>6247.258785746817</v>
      </c>
      <c r="I140">
        <v>7163.0854442031705</v>
      </c>
      <c r="J140">
        <v>6103.6503999770503</v>
      </c>
      <c r="K140">
        <v>6602.3473838453356</v>
      </c>
      <c r="L140">
        <v>5973.820436024107</v>
      </c>
      <c r="M140">
        <v>7445.6839562612004</v>
      </c>
      <c r="N140">
        <v>6366.4883433870273</v>
      </c>
      <c r="O140">
        <v>6728.8979622884654</v>
      </c>
      <c r="BF140">
        <v>6994.6973580084887</v>
      </c>
      <c r="BG140">
        <v>5787.8262229263783</v>
      </c>
      <c r="BH140">
        <v>6675.4937419358612</v>
      </c>
    </row>
    <row r="141" spans="1:60">
      <c r="A141">
        <v>7146.3001510477625</v>
      </c>
      <c r="B141">
        <v>6305.4820308519993</v>
      </c>
      <c r="C141">
        <v>5979.3523420506972</v>
      </c>
      <c r="D141">
        <v>7268.4970852191327</v>
      </c>
      <c r="E141">
        <v>6956.4071422104462</v>
      </c>
      <c r="F141">
        <v>5727.4149654898793</v>
      </c>
      <c r="G141">
        <v>6275.6542357914441</v>
      </c>
      <c r="H141">
        <v>7676.9550165903638</v>
      </c>
      <c r="I141">
        <v>6486.8290216094465</v>
      </c>
      <c r="J141">
        <v>7374.1944053421321</v>
      </c>
      <c r="K141">
        <v>7145.1857392316015</v>
      </c>
      <c r="L141">
        <v>6867.1837645109918</v>
      </c>
      <c r="M141">
        <v>6293.9587625391141</v>
      </c>
      <c r="N141">
        <v>6307.4291248580266</v>
      </c>
      <c r="O141">
        <v>6968.3470807416597</v>
      </c>
      <c r="BF141">
        <v>7145.0402666909213</v>
      </c>
      <c r="BG141">
        <v>7009.1373178496724</v>
      </c>
      <c r="BH141">
        <v>6538.2032088604319</v>
      </c>
    </row>
    <row r="142" spans="1:60">
      <c r="A142">
        <v>7922.5152982457075</v>
      </c>
      <c r="B142">
        <v>7834.3892179458635</v>
      </c>
      <c r="C142">
        <v>6278.8928100002522</v>
      </c>
      <c r="D142">
        <v>6912.6909981190693</v>
      </c>
      <c r="E142">
        <v>7462.4165896733757</v>
      </c>
      <c r="F142">
        <v>6471.0192501974234</v>
      </c>
      <c r="G142">
        <v>6861.1924022246967</v>
      </c>
      <c r="H142">
        <v>6630.5637907629716</v>
      </c>
      <c r="I142">
        <v>7802.4484506880981</v>
      </c>
      <c r="J142">
        <v>6745.8076640872605</v>
      </c>
      <c r="K142">
        <v>6392.4969905696344</v>
      </c>
      <c r="L142">
        <v>6942.980882426491</v>
      </c>
      <c r="M142">
        <v>6468.743032796192</v>
      </c>
      <c r="N142">
        <v>7403.0953889217926</v>
      </c>
      <c r="O142">
        <v>6056.9701705884654</v>
      </c>
      <c r="BF142">
        <v>6795.7732032067725</v>
      </c>
      <c r="BG142">
        <v>6248.0105035814631</v>
      </c>
      <c r="BH142">
        <v>7388.0820961261634</v>
      </c>
    </row>
    <row r="144" spans="1:60">
      <c r="A144">
        <f t="shared" ref="A144:O144" si="6">AVERAGE(A83:A142)</f>
        <v>6954.6689647649127</v>
      </c>
      <c r="B144">
        <f t="shared" si="6"/>
        <v>6888.0727217487192</v>
      </c>
      <c r="C144">
        <f t="shared" si="6"/>
        <v>6932.9733480270988</v>
      </c>
      <c r="D144">
        <f t="shared" si="6"/>
        <v>6823.4444281910337</v>
      </c>
      <c r="E144">
        <f t="shared" si="6"/>
        <v>6989.0166552949258</v>
      </c>
      <c r="F144">
        <f t="shared" si="6"/>
        <v>6845.5064580047292</v>
      </c>
      <c r="G144">
        <f t="shared" si="6"/>
        <v>6972.1480171250769</v>
      </c>
      <c r="H144">
        <f t="shared" si="6"/>
        <v>6968.0836064930181</v>
      </c>
      <c r="I144">
        <f t="shared" si="6"/>
        <v>6815.4144317117261</v>
      </c>
      <c r="J144">
        <f t="shared" si="6"/>
        <v>6925.1323232305376</v>
      </c>
      <c r="K144">
        <f t="shared" si="6"/>
        <v>6895.3678953943399</v>
      </c>
      <c r="L144">
        <f t="shared" si="6"/>
        <v>6834.4029975532067</v>
      </c>
      <c r="M144">
        <f t="shared" si="6"/>
        <v>6843.5202531685727</v>
      </c>
      <c r="N144">
        <f t="shared" si="6"/>
        <v>6917.9690403001578</v>
      </c>
      <c r="O144">
        <f t="shared" si="6"/>
        <v>6905.7680959457693</v>
      </c>
      <c r="BF144">
        <f>AVERAGE(BF83:BF142)</f>
        <v>6885.5477199730549</v>
      </c>
      <c r="BG144">
        <f>AVERAGE(BG83:BG142)</f>
        <v>6888.0773294762557</v>
      </c>
      <c r="BH144">
        <f>AVERAGE(BH83:BH142)</f>
        <v>6852.4641485209013</v>
      </c>
    </row>
    <row r="145" spans="1:60">
      <c r="A145">
        <f t="shared" ref="A145:O145" si="7">STDEV(A83:A142)</f>
        <v>627.24441051521751</v>
      </c>
      <c r="B145">
        <f t="shared" si="7"/>
        <v>626.18895074947727</v>
      </c>
      <c r="C145">
        <f t="shared" si="7"/>
        <v>583.5254631964209</v>
      </c>
      <c r="D145">
        <f t="shared" si="7"/>
        <v>457.13672499126022</v>
      </c>
      <c r="E145">
        <f t="shared" si="7"/>
        <v>522.40797517897545</v>
      </c>
      <c r="F145">
        <f t="shared" si="7"/>
        <v>582.81657938760986</v>
      </c>
      <c r="G145">
        <f t="shared" si="7"/>
        <v>572.82680859425193</v>
      </c>
      <c r="H145">
        <f t="shared" si="7"/>
        <v>539.18016344766318</v>
      </c>
      <c r="I145">
        <f t="shared" si="7"/>
        <v>506.8187322312865</v>
      </c>
      <c r="J145">
        <f t="shared" si="7"/>
        <v>556.38873448021661</v>
      </c>
      <c r="K145">
        <f t="shared" si="7"/>
        <v>471.76365399338266</v>
      </c>
      <c r="L145">
        <f t="shared" si="7"/>
        <v>558.47790223281663</v>
      </c>
      <c r="M145">
        <f t="shared" si="7"/>
        <v>524.60737644076323</v>
      </c>
      <c r="N145">
        <f t="shared" si="7"/>
        <v>525.12879985893494</v>
      </c>
      <c r="O145">
        <f t="shared" si="7"/>
        <v>705.22823712606157</v>
      </c>
      <c r="BF145">
        <f>STDEV(BF83:BF142)</f>
        <v>603.196614258154</v>
      </c>
      <c r="BG145">
        <f>STDEV(BG83:BG142)</f>
        <v>547.95579568200776</v>
      </c>
      <c r="BH145">
        <f>STDEV(BH83:BH142)</f>
        <v>634.04967412593726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4"/>
  <sheetViews>
    <sheetView topLeftCell="A40" workbookViewId="0">
      <selection activeCell="F49" sqref="F49"/>
    </sheetView>
  </sheetViews>
  <sheetFormatPr defaultRowHeight="12.75"/>
  <cols>
    <col min="1" max="1" width="25.85546875" customWidth="1"/>
    <col min="2" max="21" width="18.7109375" customWidth="1"/>
    <col min="24" max="24" width="16" customWidth="1"/>
    <col min="26" max="26" width="15.28515625" customWidth="1"/>
  </cols>
  <sheetData>
    <row r="1" spans="1:27" ht="15.6" customHeight="1"/>
    <row r="2" spans="1:27" ht="15.6" customHeight="1"/>
    <row r="3" spans="1:27" ht="15.6" customHeight="1" thickBot="1"/>
    <row r="4" spans="1:27" ht="15.6" customHeight="1">
      <c r="A4" s="77" t="s">
        <v>153</v>
      </c>
      <c r="B4" s="81" t="s">
        <v>65</v>
      </c>
      <c r="C4" s="512" t="s">
        <v>66</v>
      </c>
      <c r="D4" s="513"/>
      <c r="E4" s="513"/>
      <c r="F4" s="513"/>
      <c r="G4" s="513"/>
      <c r="H4" s="513"/>
      <c r="I4" s="514"/>
      <c r="J4" s="515" t="s">
        <v>67</v>
      </c>
      <c r="K4" s="516"/>
      <c r="L4" s="516"/>
      <c r="M4" s="516"/>
      <c r="N4" s="517"/>
      <c r="O4" s="518" t="s">
        <v>68</v>
      </c>
      <c r="P4" s="519"/>
      <c r="Q4" s="519"/>
      <c r="R4" s="520"/>
      <c r="S4" s="521" t="s">
        <v>69</v>
      </c>
      <c r="T4" s="522"/>
      <c r="U4" s="523"/>
      <c r="X4" s="10" t="s">
        <v>31</v>
      </c>
      <c r="Y4" t="s">
        <v>32</v>
      </c>
    </row>
    <row r="5" spans="1:27" ht="15.6" customHeight="1">
      <c r="A5" s="78" t="s">
        <v>154</v>
      </c>
      <c r="B5" s="82" t="s">
        <v>152</v>
      </c>
      <c r="C5" s="88" t="s">
        <v>151</v>
      </c>
      <c r="D5" s="89" t="s">
        <v>150</v>
      </c>
      <c r="E5" s="89" t="s">
        <v>149</v>
      </c>
      <c r="F5" s="89" t="s">
        <v>148</v>
      </c>
      <c r="G5" s="89" t="s">
        <v>147</v>
      </c>
      <c r="H5" s="89" t="s">
        <v>146</v>
      </c>
      <c r="I5" s="90" t="s">
        <v>145</v>
      </c>
      <c r="J5" s="101" t="s">
        <v>144</v>
      </c>
      <c r="K5" s="102" t="s">
        <v>143</v>
      </c>
      <c r="L5" s="102" t="s">
        <v>142</v>
      </c>
      <c r="M5" s="102" t="s">
        <v>141</v>
      </c>
      <c r="N5" s="103" t="s">
        <v>140</v>
      </c>
      <c r="O5" s="113" t="s">
        <v>139</v>
      </c>
      <c r="P5" s="114" t="s">
        <v>138</v>
      </c>
      <c r="Q5" s="114" t="s">
        <v>137</v>
      </c>
      <c r="R5" s="115" t="s">
        <v>136</v>
      </c>
      <c r="S5" s="125" t="s">
        <v>135</v>
      </c>
      <c r="T5" s="126" t="s">
        <v>134</v>
      </c>
      <c r="U5" s="127" t="s">
        <v>133</v>
      </c>
      <c r="X5" s="8" t="s">
        <v>33</v>
      </c>
      <c r="Y5" t="s">
        <v>34</v>
      </c>
    </row>
    <row r="6" spans="1:27" ht="15.6" customHeight="1">
      <c r="A6" s="78" t="s">
        <v>155</v>
      </c>
      <c r="B6" s="83" t="s">
        <v>70</v>
      </c>
      <c r="C6" s="91" t="s">
        <v>71</v>
      </c>
      <c r="D6" s="92" t="s">
        <v>72</v>
      </c>
      <c r="E6" s="92" t="s">
        <v>73</v>
      </c>
      <c r="F6" s="92" t="s">
        <v>74</v>
      </c>
      <c r="G6" s="92" t="s">
        <v>75</v>
      </c>
      <c r="H6" s="92" t="s">
        <v>76</v>
      </c>
      <c r="I6" s="93" t="s">
        <v>77</v>
      </c>
      <c r="J6" s="104" t="s">
        <v>78</v>
      </c>
      <c r="K6" s="105" t="s">
        <v>79</v>
      </c>
      <c r="L6" s="105" t="s">
        <v>80</v>
      </c>
      <c r="M6" s="105" t="s">
        <v>81</v>
      </c>
      <c r="N6" s="106" t="s">
        <v>82</v>
      </c>
      <c r="O6" s="116" t="s">
        <v>83</v>
      </c>
      <c r="P6" s="117" t="s">
        <v>84</v>
      </c>
      <c r="Q6" s="117" t="s">
        <v>85</v>
      </c>
      <c r="R6" s="118" t="s">
        <v>86</v>
      </c>
      <c r="S6" s="128" t="s">
        <v>87</v>
      </c>
      <c r="T6" s="129" t="s">
        <v>88</v>
      </c>
      <c r="U6" s="130" t="s">
        <v>89</v>
      </c>
      <c r="X6" s="8" t="s">
        <v>35</v>
      </c>
      <c r="Y6" t="s">
        <v>36</v>
      </c>
    </row>
    <row r="7" spans="1:27" ht="15.6" customHeight="1">
      <c r="A7" s="78" t="s">
        <v>156</v>
      </c>
      <c r="B7" s="84">
        <v>6212.48</v>
      </c>
      <c r="C7" s="94">
        <v>694.19</v>
      </c>
      <c r="D7" s="95">
        <v>580.59</v>
      </c>
      <c r="E7" s="95">
        <v>900.81</v>
      </c>
      <c r="F7" s="95">
        <v>554.46</v>
      </c>
      <c r="G7" s="95">
        <v>62.12</v>
      </c>
      <c r="H7" s="95">
        <v>124.25</v>
      </c>
      <c r="I7" s="96">
        <v>1894.81</v>
      </c>
      <c r="J7" s="107">
        <v>149.69999999999999</v>
      </c>
      <c r="K7" s="108">
        <v>38.81</v>
      </c>
      <c r="L7" s="108">
        <v>210.69</v>
      </c>
      <c r="M7" s="108">
        <v>110.89</v>
      </c>
      <c r="N7" s="109">
        <v>11.09</v>
      </c>
      <c r="O7" s="119">
        <v>78.44</v>
      </c>
      <c r="P7" s="120">
        <v>20.83</v>
      </c>
      <c r="Q7" s="120">
        <v>562.29</v>
      </c>
      <c r="R7" s="121">
        <v>27.3</v>
      </c>
      <c r="S7" s="131">
        <v>583.4</v>
      </c>
      <c r="T7" s="132">
        <v>2.99</v>
      </c>
      <c r="U7" s="133">
        <v>5.38</v>
      </c>
      <c r="X7" s="6" t="s">
        <v>37</v>
      </c>
      <c r="Y7" t="s">
        <v>38</v>
      </c>
    </row>
    <row r="8" spans="1:27" ht="15.6" customHeight="1">
      <c r="A8" s="78" t="s">
        <v>157</v>
      </c>
      <c r="B8" s="85">
        <v>0</v>
      </c>
      <c r="C8" s="94">
        <v>0</v>
      </c>
      <c r="D8" s="95">
        <v>32000</v>
      </c>
      <c r="E8" s="95">
        <v>32000</v>
      </c>
      <c r="F8" s="95">
        <v>0</v>
      </c>
      <c r="G8" s="95">
        <v>22000</v>
      </c>
      <c r="H8" s="95">
        <v>0</v>
      </c>
      <c r="I8" s="97">
        <v>12500</v>
      </c>
      <c r="J8" s="107">
        <v>30900</v>
      </c>
      <c r="K8" s="108">
        <v>22000</v>
      </c>
      <c r="L8" s="108">
        <v>0</v>
      </c>
      <c r="M8" s="108">
        <v>0</v>
      </c>
      <c r="N8" s="109">
        <v>0</v>
      </c>
      <c r="O8" s="119">
        <v>0</v>
      </c>
      <c r="P8" s="120">
        <v>22000</v>
      </c>
      <c r="Q8" s="120">
        <v>32200</v>
      </c>
      <c r="R8" s="121">
        <v>0</v>
      </c>
      <c r="S8" s="131">
        <v>31500</v>
      </c>
      <c r="T8" s="132">
        <v>0</v>
      </c>
      <c r="U8" s="133">
        <v>22000</v>
      </c>
      <c r="X8" s="6" t="s">
        <v>39</v>
      </c>
      <c r="Y8" t="s">
        <v>40</v>
      </c>
    </row>
    <row r="9" spans="1:27" ht="15.6" customHeight="1">
      <c r="A9" s="78" t="s">
        <v>15</v>
      </c>
      <c r="B9" s="86">
        <f>B7*'Удельные затраты (на ед.)'!C7*'Удельные затраты (на ед.)'!B7/100000</f>
        <v>652.31039999999996</v>
      </c>
      <c r="C9" s="98">
        <f>SUMPRODUCT('Удельные затраты (на ед.)'!$B$7:$B$28,'Удельные затраты (на ед.)'!D7:D28)*C7</f>
        <v>327297.32597100001</v>
      </c>
      <c r="D9" s="99">
        <f>SUMPRODUCT('Удельные затраты (на ед.)'!$B$7:$B$28,'Удельные затраты (на ед.)'!E7:E28)*D7</f>
        <v>273737.09573100001</v>
      </c>
      <c r="E9" s="99">
        <f>SUMPRODUCT('Удельные затраты (на ед.)'!$B$7:$B$28,'Удельные затраты (на ед.)'!F7:F28)*E7</f>
        <v>424714.70952899993</v>
      </c>
      <c r="F9" s="99">
        <f>SUMPRODUCT('Удельные затраты (на ед.)'!$B$7:$B$28,'Удельные затраты (на ед.)'!G7:G28)*F7</f>
        <v>261417.299814</v>
      </c>
      <c r="G9" s="99">
        <f>SUMPRODUCT('Удельные затраты (на ед.)'!$B$7:$B$28,'Удельные затраты (на ед.)'!H7:H28)*G7</f>
        <v>29288.393507999997</v>
      </c>
      <c r="H9" s="99">
        <f>SUMPRODUCT('Удельные затраты (на ед.)'!$B$7:$B$28,'Удельные затраты (на ед.)'!I7:I28)*H7</f>
        <v>58581.501824999992</v>
      </c>
      <c r="I9" s="100">
        <f>SUMPRODUCT('Удельные затраты (на ед.)'!$B$7:$B$28,'Удельные затраты (на ед.)'!J7:J28)*I7</f>
        <v>893366.72412899986</v>
      </c>
      <c r="J9" s="110">
        <f>SUMPRODUCT('Удельные затраты (на ед.)'!$B$7:$B$28,'Удельные затраты (на ед.)'!K7:K28)*J7</f>
        <v>210509.657958</v>
      </c>
      <c r="K9" s="111">
        <f>SUMPRODUCT('Удельные затраты (на ед.)'!$B$7:$B$28,'Удельные затраты (на ед.)'!L7:L28)*K7</f>
        <v>54575.015533400008</v>
      </c>
      <c r="L9" s="111">
        <f>SUMPRODUCT('Удельные затраты (на ед.)'!$B$7:$B$28,'Удельные затраты (на ед.)'!M7:M28)*L7</f>
        <v>296274.41439660004</v>
      </c>
      <c r="M9" s="111">
        <f>SUMPRODUCT('Удельные затраты (на ед.)'!$B$7:$B$28,'Удельные затраты (на ед.)'!N7:N28)*M7</f>
        <v>155934.64242460002</v>
      </c>
      <c r="N9" s="112">
        <f>SUMPRODUCT('Удельные затраты (на ед.)'!$B$7:$B$28,'Удельные затраты (на ед.)'!O7:O28)*N7</f>
        <v>15594.870452600002</v>
      </c>
      <c r="O9" s="122">
        <f>SUMPRODUCT('Удельные затраты (на ед.)'!$B$7:$B$28,'Удельные затраты (на ед.)'!P7:P28)*O7</f>
        <v>79283.940666399998</v>
      </c>
      <c r="P9" s="123">
        <f>SUMPRODUCT('Удельные затраты (на ед.)'!$B$7:$B$28,'Удельные затраты (на ед.)'!Q7:Q28)*P7</f>
        <v>21054.111219799997</v>
      </c>
      <c r="Q9" s="123">
        <f>SUMPRODUCT('Удельные затраты (на ед.)'!$B$7:$B$28,'Удельные затраты (на ед.)'!R7:R28)*Q7</f>
        <v>568339.71184739994</v>
      </c>
      <c r="R9" s="124">
        <f>SUMPRODUCT('Удельные затраты (на ед.)'!$B$7:$B$28,'Удельные затраты (на ед.)'!S7:S28)*R7</f>
        <v>27593.722338</v>
      </c>
      <c r="S9" s="134">
        <f>SUMPRODUCT('Удельные затраты (на ед.)'!$B$7:$B$28,'Удельные затраты (на ед.)'!T7:T28)*S7</f>
        <v>337012.80634800001</v>
      </c>
      <c r="T9" s="135">
        <f>SUMPRODUCT('Удельные затраты (на ед.)'!$B$7:$B$28,'Удельные затраты (на ед.)'!U7:U28)*T7</f>
        <v>1727.2339578000003</v>
      </c>
      <c r="U9" s="136">
        <f>SUMPRODUCT('Удельные затраты (на ед.)'!$B$7:$B$28,'Удельные затраты (на ед.)'!V7:V28)*U7</f>
        <v>3107.8657836000002</v>
      </c>
    </row>
    <row r="10" spans="1:27" ht="15.6" customHeight="1">
      <c r="A10" s="79" t="s">
        <v>160</v>
      </c>
      <c r="B10" s="86">
        <f>B9</f>
        <v>652.31039999999996</v>
      </c>
      <c r="C10" s="524">
        <f>SUM(C9:I9)</f>
        <v>2268403.0505069997</v>
      </c>
      <c r="D10" s="525"/>
      <c r="E10" s="525"/>
      <c r="F10" s="525"/>
      <c r="G10" s="525"/>
      <c r="H10" s="525"/>
      <c r="I10" s="526"/>
      <c r="J10" s="527">
        <f>SUM(J9:N9)</f>
        <v>732888.60076519998</v>
      </c>
      <c r="K10" s="528"/>
      <c r="L10" s="528"/>
      <c r="M10" s="528"/>
      <c r="N10" s="529"/>
      <c r="O10" s="530">
        <f>SUM(O9:R9)</f>
        <v>696271.48607159988</v>
      </c>
      <c r="P10" s="531"/>
      <c r="Q10" s="531"/>
      <c r="R10" s="532"/>
      <c r="S10" s="509">
        <f>SUM(S9:U9)</f>
        <v>341847.90608940006</v>
      </c>
      <c r="T10" s="510"/>
      <c r="U10" s="511"/>
    </row>
    <row r="11" spans="1:27" ht="15.75">
      <c r="A11" s="78" t="s">
        <v>158</v>
      </c>
      <c r="B11" s="84">
        <v>6212.48</v>
      </c>
      <c r="C11" s="549">
        <f>SUM(C7:I7)</f>
        <v>4811.2299999999996</v>
      </c>
      <c r="D11" s="550"/>
      <c r="E11" s="550"/>
      <c r="F11" s="550"/>
      <c r="G11" s="550"/>
      <c r="H11" s="550"/>
      <c r="I11" s="551"/>
      <c r="J11" s="540">
        <f>SUM(J7:N7)</f>
        <v>521.17999999999995</v>
      </c>
      <c r="K11" s="541"/>
      <c r="L11" s="541"/>
      <c r="M11" s="541"/>
      <c r="N11" s="542"/>
      <c r="O11" s="534">
        <f>SUM(O7:R7)</f>
        <v>688.8599999999999</v>
      </c>
      <c r="P11" s="535"/>
      <c r="Q11" s="535"/>
      <c r="R11" s="536"/>
      <c r="S11" s="546">
        <f>SUM(S7:U7)</f>
        <v>591.77</v>
      </c>
      <c r="T11" s="547"/>
      <c r="U11" s="548"/>
    </row>
    <row r="12" spans="1:27" ht="15.75">
      <c r="A12" s="78"/>
      <c r="B12" s="85" t="s">
        <v>44</v>
      </c>
      <c r="C12" s="555" t="s">
        <v>44</v>
      </c>
      <c r="D12" s="556"/>
      <c r="E12" s="556"/>
      <c r="F12" s="556"/>
      <c r="G12" s="556"/>
      <c r="H12" s="556"/>
      <c r="I12" s="557"/>
      <c r="J12" s="540" t="s">
        <v>44</v>
      </c>
      <c r="K12" s="541"/>
      <c r="L12" s="541"/>
      <c r="M12" s="541"/>
      <c r="N12" s="542"/>
      <c r="O12" s="534" t="s">
        <v>44</v>
      </c>
      <c r="P12" s="535"/>
      <c r="Q12" s="535"/>
      <c r="R12" s="536"/>
      <c r="S12" s="546" t="s">
        <v>44</v>
      </c>
      <c r="T12" s="547"/>
      <c r="U12" s="548"/>
      <c r="Z12" t="s">
        <v>87</v>
      </c>
      <c r="AA12" t="s">
        <v>72</v>
      </c>
    </row>
    <row r="13" spans="1:27" ht="16.5" thickBot="1">
      <c r="A13" s="80" t="s">
        <v>159</v>
      </c>
      <c r="B13" s="87">
        <v>7028</v>
      </c>
      <c r="C13" s="552">
        <v>7000</v>
      </c>
      <c r="D13" s="553"/>
      <c r="E13" s="553"/>
      <c r="F13" s="553"/>
      <c r="G13" s="553"/>
      <c r="H13" s="553"/>
      <c r="I13" s="554"/>
      <c r="J13" s="558">
        <v>950</v>
      </c>
      <c r="K13" s="559"/>
      <c r="L13" s="559"/>
      <c r="M13" s="559"/>
      <c r="N13" s="560"/>
      <c r="O13" s="537">
        <v>910</v>
      </c>
      <c r="P13" s="538"/>
      <c r="Q13" s="538"/>
      <c r="R13" s="539"/>
      <c r="S13" s="543">
        <v>1450</v>
      </c>
      <c r="T13" s="544"/>
      <c r="U13" s="545"/>
      <c r="Y13" t="s">
        <v>0</v>
      </c>
      <c r="Z13" s="9">
        <v>0.66666666666666663</v>
      </c>
      <c r="AA13" s="9">
        <v>0.33333333333333331</v>
      </c>
    </row>
    <row r="17" spans="1:26">
      <c r="A17" t="s">
        <v>46</v>
      </c>
      <c r="B17" t="s">
        <v>47</v>
      </c>
      <c r="C17" t="s">
        <v>0</v>
      </c>
      <c r="D17" t="s">
        <v>48</v>
      </c>
      <c r="E17" t="s">
        <v>49</v>
      </c>
      <c r="F17" t="s">
        <v>50</v>
      </c>
      <c r="G17" t="s">
        <v>51</v>
      </c>
      <c r="H17" t="s">
        <v>52</v>
      </c>
      <c r="I17" t="s">
        <v>53</v>
      </c>
      <c r="J17" t="s">
        <v>54</v>
      </c>
      <c r="K17" t="s">
        <v>55</v>
      </c>
      <c r="L17" t="s">
        <v>56</v>
      </c>
      <c r="M17" t="s">
        <v>57</v>
      </c>
      <c r="N17" t="s">
        <v>58</v>
      </c>
      <c r="O17" t="s">
        <v>59</v>
      </c>
      <c r="P17" t="s">
        <v>60</v>
      </c>
      <c r="Q17" t="s">
        <v>61</v>
      </c>
      <c r="R17" t="s">
        <v>1</v>
      </c>
      <c r="S17" t="s">
        <v>62</v>
      </c>
      <c r="T17" t="s">
        <v>63</v>
      </c>
      <c r="Y17" s="76" t="s">
        <v>15</v>
      </c>
      <c r="Z17" s="20">
        <f>S10+O10+J10+C10+B10</f>
        <v>4040063.3538331995</v>
      </c>
    </row>
    <row r="18" spans="1:26">
      <c r="A18" s="20">
        <v>0</v>
      </c>
      <c r="B18" s="210">
        <v>0</v>
      </c>
      <c r="C18" s="210">
        <v>0</v>
      </c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210">
        <v>0</v>
      </c>
      <c r="K18" s="210">
        <v>0</v>
      </c>
      <c r="L18" s="210">
        <v>0</v>
      </c>
      <c r="M18" s="210">
        <v>0</v>
      </c>
      <c r="N18" s="210">
        <v>0</v>
      </c>
      <c r="O18" s="210">
        <v>0</v>
      </c>
      <c r="P18" s="210">
        <v>0</v>
      </c>
      <c r="Q18" s="210">
        <v>0</v>
      </c>
      <c r="R18" s="210">
        <v>616.88079999999991</v>
      </c>
      <c r="S18" s="210">
        <v>3.16025</v>
      </c>
      <c r="T18" s="210">
        <v>5.6884499999999996</v>
      </c>
      <c r="Y18" s="21" t="s">
        <v>42</v>
      </c>
      <c r="Z18" s="20">
        <f>(SUMPRODUCT(B7:U7,B8:U8)-Z13*D7)/10</f>
        <v>11499518.594000001</v>
      </c>
    </row>
    <row r="19" spans="1:26" s="204" customFormat="1" ht="15.75">
      <c r="A19" s="204">
        <v>0.996</v>
      </c>
      <c r="B19" s="205">
        <v>0.13</v>
      </c>
      <c r="C19" s="205">
        <v>0.23499999999999999</v>
      </c>
      <c r="D19" s="205">
        <v>0.14499999999999999</v>
      </c>
      <c r="E19" s="205">
        <v>0.15</v>
      </c>
      <c r="F19" s="205">
        <v>0.01</v>
      </c>
      <c r="G19" s="205">
        <v>0.02</v>
      </c>
      <c r="H19" s="205">
        <v>0.30499999999999999</v>
      </c>
      <c r="I19" s="206">
        <v>0.27</v>
      </c>
      <c r="J19" s="206">
        <v>7.0000000000000007E-2</v>
      </c>
      <c r="K19" s="206">
        <v>0.38</v>
      </c>
      <c r="L19" s="206">
        <v>0.2</v>
      </c>
      <c r="M19" s="206">
        <v>0.02</v>
      </c>
      <c r="N19" s="207">
        <v>0.113</v>
      </c>
      <c r="O19" s="207">
        <v>0.03</v>
      </c>
      <c r="P19" s="207">
        <v>0.81</v>
      </c>
      <c r="Q19" s="207">
        <v>0.03</v>
      </c>
      <c r="R19" s="207">
        <v>0.97599999999999998</v>
      </c>
      <c r="S19" s="207">
        <v>5.0000000000000001E-3</v>
      </c>
      <c r="T19" s="207">
        <v>8.9999999999999993E-3</v>
      </c>
      <c r="U19" s="208"/>
    </row>
    <row r="20" spans="1:26">
      <c r="A20" s="20">
        <f>Лист1!V4</f>
        <v>4731.9845799437981</v>
      </c>
      <c r="B20" s="209">
        <f>B19*$A$18</f>
        <v>0</v>
      </c>
      <c r="C20" s="209">
        <f t="shared" ref="C20:H20" si="0">C19*$A$18</f>
        <v>0</v>
      </c>
      <c r="D20" s="209">
        <f t="shared" si="0"/>
        <v>0</v>
      </c>
      <c r="E20" s="209">
        <f t="shared" si="0"/>
        <v>0</v>
      </c>
      <c r="F20" s="209">
        <f t="shared" si="0"/>
        <v>0</v>
      </c>
      <c r="G20" s="209">
        <f t="shared" si="0"/>
        <v>0</v>
      </c>
      <c r="H20" s="209">
        <f t="shared" si="0"/>
        <v>0</v>
      </c>
      <c r="I20" s="209">
        <f>I19*$E$20</f>
        <v>0</v>
      </c>
      <c r="J20" s="209">
        <f>J19*$E$20</f>
        <v>0</v>
      </c>
      <c r="K20" s="209">
        <f>K19*$E$20</f>
        <v>0</v>
      </c>
      <c r="L20" s="209">
        <f>L19*$E$20</f>
        <v>0</v>
      </c>
      <c r="M20" s="209">
        <f>M19*$E$20</f>
        <v>0</v>
      </c>
      <c r="N20" s="209">
        <f>N19*B20</f>
        <v>0</v>
      </c>
      <c r="O20" s="209">
        <f>O19*C20</f>
        <v>0</v>
      </c>
      <c r="P20" s="209">
        <f>P19*D20</f>
        <v>0</v>
      </c>
      <c r="Q20" s="209">
        <f>Q19*E20</f>
        <v>0</v>
      </c>
      <c r="R20" s="211">
        <f>$V$21*R19</f>
        <v>616.88079999999991</v>
      </c>
      <c r="S20" s="211">
        <f>$V$21*S19</f>
        <v>3.16025</v>
      </c>
      <c r="T20" s="211">
        <f>$V$21*T19</f>
        <v>5.6884499999999996</v>
      </c>
      <c r="U20" s="211"/>
      <c r="V20" s="9"/>
      <c r="Y20" s="21"/>
    </row>
    <row r="21" spans="1:26">
      <c r="A21" s="8"/>
      <c r="B21" s="8"/>
      <c r="C21" s="8"/>
      <c r="R21" s="9">
        <f>D7*Z13</f>
        <v>387.06</v>
      </c>
      <c r="S21" s="9">
        <f>R7</f>
        <v>27.3</v>
      </c>
      <c r="T21" s="9">
        <v>7</v>
      </c>
      <c r="U21" s="9">
        <f>L7</f>
        <v>210.69</v>
      </c>
      <c r="V21" s="9">
        <f>SUM(R21:U21)</f>
        <v>632.04999999999995</v>
      </c>
      <c r="Y21" s="21" t="s">
        <v>45</v>
      </c>
      <c r="Z21" s="20">
        <f>Z18-Z17</f>
        <v>7459455.240166801</v>
      </c>
    </row>
    <row r="22" spans="1:26">
      <c r="A22" s="10"/>
      <c r="B22" s="10"/>
      <c r="C22" s="10"/>
    </row>
    <row r="23" spans="1:26">
      <c r="A23" s="67"/>
      <c r="B23" s="169"/>
      <c r="C23" s="170"/>
    </row>
    <row r="24" spans="1:26" ht="15.75">
      <c r="A24" s="67"/>
      <c r="B24" s="171"/>
      <c r="C24" s="45"/>
      <c r="D24" s="533" t="s">
        <v>181</v>
      </c>
      <c r="E24" s="533"/>
      <c r="F24" s="533"/>
      <c r="G24" s="533"/>
      <c r="H24" s="533"/>
      <c r="I24" s="533"/>
      <c r="J24" s="533"/>
    </row>
    <row r="25" spans="1:26" ht="13.5" thickBot="1">
      <c r="D25" s="180"/>
      <c r="E25" s="180"/>
      <c r="F25" s="180"/>
      <c r="G25" s="180"/>
      <c r="H25" s="180"/>
      <c r="I25" s="180"/>
      <c r="J25" s="180"/>
      <c r="K25" s="180"/>
    </row>
    <row r="26" spans="1:26" ht="15.75">
      <c r="B26" s="192"/>
      <c r="C26" s="193"/>
      <c r="D26" s="194" t="s">
        <v>125</v>
      </c>
      <c r="E26" s="194" t="s">
        <v>122</v>
      </c>
      <c r="F26" s="194" t="s">
        <v>124</v>
      </c>
      <c r="G26" s="194"/>
      <c r="H26" s="194"/>
      <c r="I26" s="194" t="s">
        <v>126</v>
      </c>
      <c r="J26" s="194" t="s">
        <v>121</v>
      </c>
      <c r="K26" s="195" t="s">
        <v>123</v>
      </c>
    </row>
    <row r="27" spans="1:26" ht="15.75">
      <c r="B27" s="196"/>
      <c r="C27" s="173"/>
      <c r="D27" s="177"/>
      <c r="E27" s="177"/>
      <c r="F27" s="177"/>
      <c r="G27" s="177"/>
      <c r="H27" s="177"/>
      <c r="I27" s="177"/>
      <c r="J27" s="177"/>
      <c r="K27" s="197"/>
    </row>
    <row r="28" spans="1:26" ht="15.75">
      <c r="A28" s="172"/>
      <c r="B28" s="198">
        <v>0</v>
      </c>
      <c r="C28" s="174" t="s">
        <v>95</v>
      </c>
      <c r="D28" s="178">
        <v>6237.43</v>
      </c>
      <c r="E28" s="178">
        <f t="shared" ref="E28:E42" si="1">J28-J28/16</f>
        <v>293.05935018300585</v>
      </c>
      <c r="F28" s="178">
        <f t="shared" ref="F28:F42" si="2">E28*E28</f>
        <v>85883.782729685656</v>
      </c>
      <c r="G28" s="19" t="s">
        <v>44</v>
      </c>
      <c r="H28" s="179"/>
      <c r="I28" s="178">
        <f>Лист1!V4</f>
        <v>4731.9845799437981</v>
      </c>
      <c r="J28" s="178">
        <f>Лист5!$A$75</f>
        <v>312.59664019520625</v>
      </c>
      <c r="K28" s="187">
        <f t="shared" ref="K28:K42" si="3">J28*J28</f>
        <v>97716.659461331234</v>
      </c>
    </row>
    <row r="29" spans="1:26" ht="15.75">
      <c r="A29" s="168"/>
      <c r="B29" s="198">
        <v>1</v>
      </c>
      <c r="C29" s="174" t="s">
        <v>3</v>
      </c>
      <c r="D29" s="178">
        <v>834.57</v>
      </c>
      <c r="E29" s="178">
        <f t="shared" si="1"/>
        <v>377.3324157394286</v>
      </c>
      <c r="F29" s="178">
        <f t="shared" si="2"/>
        <v>142379.75196775299</v>
      </c>
      <c r="G29" s="19" t="s">
        <v>44</v>
      </c>
      <c r="H29" s="179"/>
      <c r="I29" s="178">
        <f>Лист1!V8</f>
        <v>1009.5783186683773</v>
      </c>
      <c r="J29" s="178">
        <f>Лист5!$B$75</f>
        <v>402.4879101220572</v>
      </c>
      <c r="K29" s="187">
        <f t="shared" si="3"/>
        <v>161996.5177944212</v>
      </c>
    </row>
    <row r="30" spans="1:26" ht="15.75">
      <c r="A30" s="168"/>
      <c r="B30" s="198">
        <v>2</v>
      </c>
      <c r="C30" s="174" t="s">
        <v>4</v>
      </c>
      <c r="D30" s="178">
        <v>289.45999999999998</v>
      </c>
      <c r="E30" s="178">
        <f t="shared" si="1"/>
        <v>70.556865243710007</v>
      </c>
      <c r="F30" s="178">
        <f t="shared" si="2"/>
        <v>4978.2712330190534</v>
      </c>
      <c r="G30" s="19" t="s">
        <v>44</v>
      </c>
      <c r="H30" s="179"/>
      <c r="I30" s="178">
        <f>Лист1!V12</f>
        <v>307.27107803841153</v>
      </c>
      <c r="J30" s="178">
        <f>Лист5!$C$75</f>
        <v>75.260656259957344</v>
      </c>
      <c r="K30" s="187">
        <f t="shared" si="3"/>
        <v>5664.1663806794568</v>
      </c>
      <c r="M30" t="s">
        <v>179</v>
      </c>
      <c r="N30">
        <v>0.8</v>
      </c>
    </row>
    <row r="31" spans="1:26" ht="15.75">
      <c r="A31" s="168"/>
      <c r="B31" s="198">
        <v>3</v>
      </c>
      <c r="C31" s="174" t="s">
        <v>11</v>
      </c>
      <c r="D31" s="178">
        <v>25158.959999999999</v>
      </c>
      <c r="E31" s="178">
        <f t="shared" si="1"/>
        <v>1395.0397414466202</v>
      </c>
      <c r="F31" s="178">
        <f t="shared" si="2"/>
        <v>1946135.8802154528</v>
      </c>
      <c r="G31" s="19" t="s">
        <v>44</v>
      </c>
      <c r="H31" s="179"/>
      <c r="I31" s="178">
        <f>Лист1!V16</f>
        <v>25519.824914343269</v>
      </c>
      <c r="J31" s="178">
        <f>Лист5!$D$75</f>
        <v>1488.0423908763948</v>
      </c>
      <c r="K31" s="187">
        <f t="shared" si="3"/>
        <v>2214270.1570451376</v>
      </c>
      <c r="M31" t="s">
        <v>180</v>
      </c>
      <c r="N31" s="9">
        <f>NORMSINV(N30)</f>
        <v>0.84162123357291474</v>
      </c>
    </row>
    <row r="32" spans="1:26" ht="15.75">
      <c r="A32" s="168"/>
      <c r="B32" s="198">
        <v>4</v>
      </c>
      <c r="C32" s="174" t="s">
        <v>12</v>
      </c>
      <c r="D32" s="178">
        <v>45326.66</v>
      </c>
      <c r="E32" s="178">
        <f t="shared" si="1"/>
        <v>692.37664474182463</v>
      </c>
      <c r="F32" s="178">
        <f t="shared" si="2"/>
        <v>479385.41818394687</v>
      </c>
      <c r="G32" s="19" t="s">
        <v>44</v>
      </c>
      <c r="H32" s="179"/>
      <c r="I32" s="178">
        <f>Лист1!V20</f>
        <v>46001.594254605567</v>
      </c>
      <c r="J32" s="178">
        <f>Лист5!$E$75</f>
        <v>738.53508772461294</v>
      </c>
      <c r="K32" s="187">
        <f t="shared" si="3"/>
        <v>545434.07580040174</v>
      </c>
    </row>
    <row r="33" spans="1:11" ht="15.75">
      <c r="A33" s="168"/>
      <c r="B33" s="198">
        <v>5</v>
      </c>
      <c r="C33" s="174" t="s">
        <v>13</v>
      </c>
      <c r="D33" s="178">
        <v>12517.54</v>
      </c>
      <c r="E33" s="178">
        <f t="shared" si="1"/>
        <v>1411.5770694005828</v>
      </c>
      <c r="F33" s="178">
        <f t="shared" si="2"/>
        <v>1992549.8228575378</v>
      </c>
      <c r="G33" s="19" t="s">
        <v>44</v>
      </c>
      <c r="H33" s="179"/>
      <c r="I33" s="178">
        <f>Лист1!V24</f>
        <v>11977.957906762602</v>
      </c>
      <c r="J33" s="178">
        <f>Лист5!$F$75</f>
        <v>1505.6822073606215</v>
      </c>
      <c r="K33" s="187">
        <f t="shared" si="3"/>
        <v>2267078.9095623535</v>
      </c>
    </row>
    <row r="34" spans="1:11" ht="15.75">
      <c r="A34" s="168"/>
      <c r="B34" s="198">
        <v>6</v>
      </c>
      <c r="C34" s="174" t="s">
        <v>5</v>
      </c>
      <c r="D34" s="178">
        <v>66381.75</v>
      </c>
      <c r="E34" s="178">
        <f t="shared" si="1"/>
        <v>1801.706107164583</v>
      </c>
      <c r="F34" s="178">
        <f t="shared" si="2"/>
        <v>3246144.896594156</v>
      </c>
      <c r="G34" s="19" t="s">
        <v>44</v>
      </c>
      <c r="H34" s="179"/>
      <c r="I34" s="178">
        <f>Лист1!V28</f>
        <v>67764.431829265886</v>
      </c>
      <c r="J34" s="178">
        <f>Лист5!$G$75</f>
        <v>1921.8198476422219</v>
      </c>
      <c r="K34" s="187">
        <f t="shared" si="3"/>
        <v>3693391.526791573</v>
      </c>
    </row>
    <row r="35" spans="1:11" ht="15.75">
      <c r="A35" s="168"/>
      <c r="B35" s="198">
        <v>7</v>
      </c>
      <c r="C35" s="174" t="s">
        <v>2</v>
      </c>
      <c r="D35" s="178">
        <v>191.82</v>
      </c>
      <c r="E35" s="178">
        <f t="shared" si="1"/>
        <v>4.000872880475062</v>
      </c>
      <c r="F35" s="178">
        <f t="shared" si="2"/>
        <v>16.006983805720818</v>
      </c>
      <c r="G35" s="19" t="s">
        <v>44</v>
      </c>
      <c r="H35" s="179"/>
      <c r="I35" s="178">
        <f>Лист1!V32</f>
        <v>144.78981308733162</v>
      </c>
      <c r="J35" s="178">
        <f>Лист5!$H$75</f>
        <v>4.2675977391733992</v>
      </c>
      <c r="K35" s="187">
        <f t="shared" si="3"/>
        <v>18.212390463397909</v>
      </c>
    </row>
    <row r="36" spans="1:11" ht="78.75">
      <c r="A36" s="168"/>
      <c r="B36" s="198">
        <v>8</v>
      </c>
      <c r="C36" s="175" t="s">
        <v>130</v>
      </c>
      <c r="D36" s="178">
        <v>61.28</v>
      </c>
      <c r="E36" s="178">
        <f t="shared" si="1"/>
        <v>4.2955969389424968</v>
      </c>
      <c r="F36" s="178">
        <f t="shared" si="2"/>
        <v>18.452153061852147</v>
      </c>
      <c r="G36" s="19" t="s">
        <v>44</v>
      </c>
      <c r="H36" s="179"/>
      <c r="I36" s="178">
        <f>Лист1!V36</f>
        <v>56.880088421363084</v>
      </c>
      <c r="J36" s="178">
        <f>Лист5!$I$75</f>
        <v>4.5819700682053295</v>
      </c>
      <c r="K36" s="187">
        <f t="shared" si="3"/>
        <v>20.994449705929551</v>
      </c>
    </row>
    <row r="37" spans="1:11" ht="15.75">
      <c r="A37" s="168"/>
      <c r="B37" s="198">
        <v>9</v>
      </c>
      <c r="C37" s="174" t="s">
        <v>6</v>
      </c>
      <c r="D37" s="178">
        <v>580.29</v>
      </c>
      <c r="E37" s="178">
        <f t="shared" si="1"/>
        <v>4.8336541050588036</v>
      </c>
      <c r="F37" s="178">
        <f t="shared" si="2"/>
        <v>23.364212007351824</v>
      </c>
      <c r="G37" s="19" t="s">
        <v>44</v>
      </c>
      <c r="H37" s="179"/>
      <c r="I37" s="178">
        <f>Лист1!V40</f>
        <v>738.99452592477269</v>
      </c>
      <c r="J37" s="178">
        <f>Лист5!$J$75</f>
        <v>5.1558977120627238</v>
      </c>
      <c r="K37" s="187">
        <f t="shared" si="3"/>
        <v>26.583281217253631</v>
      </c>
    </row>
    <row r="38" spans="1:11" ht="15.75">
      <c r="A38" s="168"/>
      <c r="B38" s="198">
        <v>10</v>
      </c>
      <c r="C38" s="174" t="s">
        <v>7</v>
      </c>
      <c r="D38" s="178">
        <v>16.940000000000001</v>
      </c>
      <c r="E38" s="178">
        <f t="shared" si="1"/>
        <v>1.8388846562884753</v>
      </c>
      <c r="F38" s="178">
        <f t="shared" si="2"/>
        <v>3.381496779133184</v>
      </c>
      <c r="G38" s="19" t="s">
        <v>44</v>
      </c>
      <c r="H38" s="179"/>
      <c r="I38" s="178">
        <f>Лист1!V44</f>
        <v>15.079722471113952</v>
      </c>
      <c r="J38" s="178">
        <f>Лист5!$K$75</f>
        <v>1.961476966707707</v>
      </c>
      <c r="K38" s="187">
        <f t="shared" si="3"/>
        <v>3.8473918909248672</v>
      </c>
    </row>
    <row r="39" spans="1:11" ht="15.75">
      <c r="A39" s="168"/>
      <c r="B39" s="198">
        <v>11</v>
      </c>
      <c r="C39" s="174" t="s">
        <v>8</v>
      </c>
      <c r="D39" s="178">
        <v>1581.82</v>
      </c>
      <c r="E39" s="178">
        <f t="shared" si="1"/>
        <v>105.29273685641645</v>
      </c>
      <c r="F39" s="178">
        <f t="shared" si="2"/>
        <v>11086.56043471456</v>
      </c>
      <c r="G39" s="19" t="s">
        <v>44</v>
      </c>
      <c r="H39" s="179"/>
      <c r="I39" s="178">
        <f>Лист1!V48</f>
        <v>1874.2499548399398</v>
      </c>
      <c r="J39" s="178">
        <f>Лист5!$L$75</f>
        <v>112.31225264684421</v>
      </c>
      <c r="K39" s="187">
        <f t="shared" si="3"/>
        <v>12614.042094608565</v>
      </c>
    </row>
    <row r="40" spans="1:11" ht="15.75">
      <c r="A40" s="168"/>
      <c r="B40" s="198">
        <v>12</v>
      </c>
      <c r="C40" s="174" t="s">
        <v>9</v>
      </c>
      <c r="D40" s="178">
        <v>47.06</v>
      </c>
      <c r="E40" s="178">
        <f t="shared" si="1"/>
        <v>5.4879788103768723</v>
      </c>
      <c r="F40" s="178">
        <f t="shared" si="2"/>
        <v>30.11791142314555</v>
      </c>
      <c r="G40" s="19" t="s">
        <v>44</v>
      </c>
      <c r="H40" s="179"/>
      <c r="I40" s="178">
        <f>Лист1!V52</f>
        <v>60.490972562090697</v>
      </c>
      <c r="J40" s="178">
        <f>Лист5!$M$75</f>
        <v>5.8538440644019971</v>
      </c>
      <c r="K40" s="187">
        <f t="shared" si="3"/>
        <v>34.267490330334496</v>
      </c>
    </row>
    <row r="41" spans="1:11" ht="15.75">
      <c r="A41" s="168"/>
      <c r="B41" s="198">
        <v>13</v>
      </c>
      <c r="C41" s="174" t="s">
        <v>10</v>
      </c>
      <c r="D41" s="178">
        <v>159.41999999999999</v>
      </c>
      <c r="E41" s="178">
        <f t="shared" si="1"/>
        <v>9.7611195531722696</v>
      </c>
      <c r="F41" s="178">
        <f t="shared" si="2"/>
        <v>95.279454931322007</v>
      </c>
      <c r="G41" s="19" t="s">
        <v>44</v>
      </c>
      <c r="H41" s="179"/>
      <c r="I41" s="178">
        <f>Лист1!V56</f>
        <v>141.92679972813133</v>
      </c>
      <c r="J41" s="178">
        <f>Лист5!$N$75</f>
        <v>10.411860856717087</v>
      </c>
      <c r="K41" s="187">
        <f t="shared" si="3"/>
        <v>108.40684649963748</v>
      </c>
    </row>
    <row r="42" spans="1:11" ht="16.5" thickBot="1">
      <c r="A42" s="168"/>
      <c r="B42" s="199">
        <v>14</v>
      </c>
      <c r="C42" s="200" t="s">
        <v>93</v>
      </c>
      <c r="D42" s="190">
        <v>64.62</v>
      </c>
      <c r="E42" s="190">
        <f t="shared" si="1"/>
        <v>4.2451941069789196</v>
      </c>
      <c r="F42" s="190">
        <f t="shared" si="2"/>
        <v>18.021673005928548</v>
      </c>
      <c r="G42" s="201" t="s">
        <v>44</v>
      </c>
      <c r="H42" s="202"/>
      <c r="I42" s="190">
        <f>Лист1!V60</f>
        <v>59.982638698891989</v>
      </c>
      <c r="J42" s="190">
        <f>Лист5!$O$75</f>
        <v>4.5282070474441811</v>
      </c>
      <c r="K42" s="191">
        <f t="shared" si="3"/>
        <v>20.50465906452315</v>
      </c>
    </row>
    <row r="43" spans="1:11">
      <c r="D43" s="180"/>
      <c r="E43" s="180"/>
      <c r="F43" s="180"/>
      <c r="G43" s="180"/>
      <c r="H43" s="180"/>
      <c r="I43" s="180"/>
      <c r="J43" s="180"/>
      <c r="K43" s="180"/>
    </row>
    <row r="44" spans="1:11">
      <c r="D44" s="180"/>
      <c r="E44" s="180"/>
      <c r="F44" s="180"/>
      <c r="G44" s="180"/>
      <c r="H44" s="180"/>
      <c r="I44" s="180"/>
      <c r="J44" s="180"/>
      <c r="K44" s="180"/>
    </row>
    <row r="45" spans="1:11">
      <c r="D45" s="180"/>
      <c r="E45" s="180"/>
      <c r="F45" s="180"/>
      <c r="G45" s="180"/>
      <c r="H45" s="180"/>
      <c r="I45" s="180"/>
      <c r="J45" s="180"/>
      <c r="K45" s="180"/>
    </row>
    <row r="46" spans="1:11" ht="13.5" thickBot="1">
      <c r="D46" s="180"/>
      <c r="E46" s="180"/>
      <c r="F46" s="180"/>
      <c r="G46" s="180"/>
      <c r="H46" s="180"/>
      <c r="I46" s="180"/>
      <c r="J46" s="180"/>
      <c r="K46" s="180"/>
    </row>
    <row r="47" spans="1:11" ht="15.75">
      <c r="B47" s="182"/>
      <c r="C47" s="183"/>
      <c r="D47" s="183" t="s">
        <v>127</v>
      </c>
      <c r="E47" s="183" t="s">
        <v>128</v>
      </c>
      <c r="F47" s="183" t="s">
        <v>129</v>
      </c>
      <c r="G47" s="184"/>
      <c r="H47" s="184"/>
      <c r="I47" s="184" t="s">
        <v>126</v>
      </c>
      <c r="J47" s="184" t="s">
        <v>121</v>
      </c>
      <c r="K47" s="185" t="s">
        <v>123</v>
      </c>
    </row>
    <row r="48" spans="1:11" ht="15.75">
      <c r="B48" s="186"/>
      <c r="C48" s="176"/>
      <c r="D48" s="178"/>
      <c r="E48" s="178"/>
      <c r="F48" s="178"/>
      <c r="G48" s="178"/>
      <c r="H48" s="178"/>
      <c r="I48" s="178"/>
      <c r="J48" s="178"/>
      <c r="K48" s="187"/>
    </row>
    <row r="49" spans="2:14" ht="15.75">
      <c r="B49" s="186">
        <v>0</v>
      </c>
      <c r="C49" s="176" t="s">
        <v>95</v>
      </c>
      <c r="D49" s="178">
        <f t="shared" ref="D49:D63" si="4">POWER(K28+F28,1/2)</f>
        <v>428.48622170498891</v>
      </c>
      <c r="E49" s="178">
        <f t="shared" ref="E49:E63" si="5">D49*$N$31</f>
        <v>360.62310248035021</v>
      </c>
      <c r="F49" s="178">
        <f t="shared" ref="F49:F63" si="6">D28+E49</f>
        <v>6598.0531024803504</v>
      </c>
      <c r="G49" s="176" t="s">
        <v>44</v>
      </c>
      <c r="H49" s="178"/>
      <c r="I49" s="178">
        <f>Лист1!V4</f>
        <v>4731.9845799437981</v>
      </c>
      <c r="J49" s="178">
        <f>Лист5!$A$75</f>
        <v>312.59664019520625</v>
      </c>
      <c r="K49" s="187">
        <f t="shared" ref="K49:K63" si="7">J49*J49</f>
        <v>97716.659461331234</v>
      </c>
      <c r="N49" s="203">
        <f>E49/F49</f>
        <v>5.4655986679583442E-2</v>
      </c>
    </row>
    <row r="50" spans="2:14" ht="15.75">
      <c r="B50" s="186">
        <v>1</v>
      </c>
      <c r="C50" s="176" t="s">
        <v>3</v>
      </c>
      <c r="D50" s="178">
        <f t="shared" si="4"/>
        <v>551.70306303497557</v>
      </c>
      <c r="E50" s="178">
        <f t="shared" si="5"/>
        <v>464.32501247745165</v>
      </c>
      <c r="F50" s="178">
        <f t="shared" si="6"/>
        <v>1298.8950124774517</v>
      </c>
      <c r="G50" s="176" t="s">
        <v>44</v>
      </c>
      <c r="H50" s="178"/>
      <c r="I50" s="178">
        <f>Лист1!V8</f>
        <v>1009.5783186683773</v>
      </c>
      <c r="J50" s="178">
        <f>Лист5!$B$75</f>
        <v>402.4879101220572</v>
      </c>
      <c r="K50" s="187">
        <f t="shared" si="7"/>
        <v>161996.5177944212</v>
      </c>
      <c r="N50" s="203">
        <f t="shared" ref="N50:N63" si="8">E50/F50</f>
        <v>0.35747693848775336</v>
      </c>
    </row>
    <row r="51" spans="2:14" ht="15.75">
      <c r="B51" s="186">
        <v>2</v>
      </c>
      <c r="C51" s="176" t="s">
        <v>4</v>
      </c>
      <c r="D51" s="178">
        <f t="shared" si="4"/>
        <v>103.16219081474816</v>
      </c>
      <c r="E51" s="178">
        <f t="shared" si="5"/>
        <v>86.823490291592762</v>
      </c>
      <c r="F51" s="178">
        <f t="shared" si="6"/>
        <v>376.28349029159273</v>
      </c>
      <c r="G51" s="176" t="s">
        <v>44</v>
      </c>
      <c r="H51" s="178"/>
      <c r="I51" s="178">
        <f>Лист1!V12</f>
        <v>307.27107803841153</v>
      </c>
      <c r="J51" s="178">
        <f>Лист5!$C$75</f>
        <v>75.260656259957344</v>
      </c>
      <c r="K51" s="187">
        <f t="shared" si="7"/>
        <v>5664.1663806794568</v>
      </c>
      <c r="N51" s="203">
        <f t="shared" si="8"/>
        <v>0.23073956878711521</v>
      </c>
    </row>
    <row r="52" spans="2:14" ht="15.75">
      <c r="B52" s="186">
        <v>3</v>
      </c>
      <c r="C52" s="176" t="s">
        <v>11</v>
      </c>
      <c r="D52" s="178">
        <f t="shared" si="4"/>
        <v>2039.7073410812127</v>
      </c>
      <c r="E52" s="178">
        <f t="shared" si="5"/>
        <v>1716.6610085285001</v>
      </c>
      <c r="F52" s="178">
        <f t="shared" si="6"/>
        <v>26875.621008528498</v>
      </c>
      <c r="G52" s="176" t="s">
        <v>44</v>
      </c>
      <c r="H52" s="178"/>
      <c r="I52" s="178">
        <f>Лист1!V16</f>
        <v>25519.824914343269</v>
      </c>
      <c r="J52" s="178">
        <f>Лист5!$D$75</f>
        <v>1488.0423908763948</v>
      </c>
      <c r="K52" s="187">
        <f t="shared" si="7"/>
        <v>2214270.1570451376</v>
      </c>
      <c r="N52" s="203">
        <f t="shared" si="8"/>
        <v>6.3874282495044427E-2</v>
      </c>
    </row>
    <row r="53" spans="2:14" ht="15.75">
      <c r="B53" s="186">
        <v>4</v>
      </c>
      <c r="C53" s="176" t="s">
        <v>12</v>
      </c>
      <c r="D53" s="178">
        <f t="shared" si="4"/>
        <v>1012.3336870737576</v>
      </c>
      <c r="E53" s="178">
        <f t="shared" si="5"/>
        <v>852.00152650243285</v>
      </c>
      <c r="F53" s="178">
        <f t="shared" si="6"/>
        <v>46178.661526502437</v>
      </c>
      <c r="G53" s="176" t="s">
        <v>44</v>
      </c>
      <c r="H53" s="178"/>
      <c r="I53" s="178">
        <f>Лист1!V20</f>
        <v>46001.594254605567</v>
      </c>
      <c r="J53" s="178">
        <f>Лист5!$E$75</f>
        <v>738.53508772461294</v>
      </c>
      <c r="K53" s="187">
        <f t="shared" si="7"/>
        <v>545434.07580040174</v>
      </c>
      <c r="N53" s="203">
        <f t="shared" si="8"/>
        <v>1.8450113068207052E-2</v>
      </c>
    </row>
    <row r="54" spans="2:14" ht="15.75">
      <c r="B54" s="186">
        <v>5</v>
      </c>
      <c r="C54" s="176" t="s">
        <v>13</v>
      </c>
      <c r="D54" s="178">
        <f t="shared" si="4"/>
        <v>2063.8868022301735</v>
      </c>
      <c r="E54" s="178">
        <f t="shared" si="5"/>
        <v>1737.0109564478171</v>
      </c>
      <c r="F54" s="178">
        <f t="shared" si="6"/>
        <v>14254.550956447818</v>
      </c>
      <c r="G54" s="176" t="s">
        <v>44</v>
      </c>
      <c r="H54" s="178"/>
      <c r="I54" s="178">
        <f>Лист1!V24</f>
        <v>11977.957906762602</v>
      </c>
      <c r="J54" s="178">
        <f>Лист5!$F$75</f>
        <v>1505.6822073606215</v>
      </c>
      <c r="K54" s="187">
        <f t="shared" si="7"/>
        <v>2267078.9095623535</v>
      </c>
      <c r="N54" s="203">
        <f t="shared" si="8"/>
        <v>0.12185658894166063</v>
      </c>
    </row>
    <row r="55" spans="2:14" ht="15.75">
      <c r="B55" s="186">
        <v>6</v>
      </c>
      <c r="C55" s="176" t="s">
        <v>5</v>
      </c>
      <c r="D55" s="178">
        <f t="shared" si="4"/>
        <v>2634.2999873563622</v>
      </c>
      <c r="E55" s="178">
        <f t="shared" si="5"/>
        <v>2217.0828049599754</v>
      </c>
      <c r="F55" s="178">
        <f t="shared" si="6"/>
        <v>68598.83280495998</v>
      </c>
      <c r="G55" s="176" t="s">
        <v>44</v>
      </c>
      <c r="H55" s="178"/>
      <c r="I55" s="178">
        <f>Лист1!V28</f>
        <v>67764.431829265886</v>
      </c>
      <c r="J55" s="178">
        <f>Лист5!$G$75</f>
        <v>1921.8198476422219</v>
      </c>
      <c r="K55" s="187">
        <f t="shared" si="7"/>
        <v>3693391.526791573</v>
      </c>
      <c r="N55" s="203">
        <f t="shared" si="8"/>
        <v>3.2319541226941563E-2</v>
      </c>
    </row>
    <row r="56" spans="2:14" ht="15.75">
      <c r="B56" s="186">
        <v>7</v>
      </c>
      <c r="C56" s="176" t="s">
        <v>2</v>
      </c>
      <c r="D56" s="178">
        <f t="shared" si="4"/>
        <v>5.8497328374139217</v>
      </c>
      <c r="E56" s="178">
        <f t="shared" si="5"/>
        <v>4.9232593666962918</v>
      </c>
      <c r="F56" s="178">
        <f t="shared" si="6"/>
        <v>196.74325936669629</v>
      </c>
      <c r="G56" s="176" t="s">
        <v>44</v>
      </c>
      <c r="H56" s="178"/>
      <c r="I56" s="178">
        <f>Лист1!V32</f>
        <v>144.78981308733162</v>
      </c>
      <c r="J56" s="178">
        <f>Лист5!$H$75</f>
        <v>4.2675977391733992</v>
      </c>
      <c r="K56" s="187">
        <f t="shared" si="7"/>
        <v>18.212390463397909</v>
      </c>
      <c r="N56" s="203">
        <f t="shared" si="8"/>
        <v>2.5023776583471994E-2</v>
      </c>
    </row>
    <row r="57" spans="2:14" ht="78.75">
      <c r="B57" s="186">
        <v>8</v>
      </c>
      <c r="C57" s="181" t="s">
        <v>130</v>
      </c>
      <c r="D57" s="178">
        <f t="shared" si="4"/>
        <v>6.2806530526515871</v>
      </c>
      <c r="E57" s="178">
        <f t="shared" si="5"/>
        <v>5.2859309698161212</v>
      </c>
      <c r="F57" s="178">
        <f t="shared" si="6"/>
        <v>66.565930969816122</v>
      </c>
      <c r="G57" s="176" t="s">
        <v>44</v>
      </c>
      <c r="H57" s="178"/>
      <c r="I57" s="178">
        <f>Лист1!V36</f>
        <v>56.880088421363084</v>
      </c>
      <c r="J57" s="178">
        <f>Лист5!$I$75</f>
        <v>4.5819700682053295</v>
      </c>
      <c r="K57" s="187">
        <f t="shared" si="7"/>
        <v>20.994449705929551</v>
      </c>
      <c r="N57" s="203">
        <f t="shared" si="8"/>
        <v>7.9408954292444156E-2</v>
      </c>
    </row>
    <row r="58" spans="2:14" ht="15.75">
      <c r="B58" s="186">
        <v>9</v>
      </c>
      <c r="C58" s="176" t="s">
        <v>6</v>
      </c>
      <c r="D58" s="178">
        <f t="shared" si="4"/>
        <v>7.067354046926293</v>
      </c>
      <c r="E58" s="178">
        <f t="shared" si="5"/>
        <v>5.9480352310706381</v>
      </c>
      <c r="F58" s="178">
        <f t="shared" si="6"/>
        <v>586.23803523107063</v>
      </c>
      <c r="G58" s="176" t="s">
        <v>44</v>
      </c>
      <c r="H58" s="178"/>
      <c r="I58" s="178">
        <f>Лист1!V40</f>
        <v>738.99452592477269</v>
      </c>
      <c r="J58" s="178">
        <f>Лист5!$J$75</f>
        <v>5.1558977120627238</v>
      </c>
      <c r="K58" s="187">
        <f t="shared" si="7"/>
        <v>26.583281217253631</v>
      </c>
      <c r="N58" s="203">
        <f t="shared" si="8"/>
        <v>1.0146109384946629E-2</v>
      </c>
    </row>
    <row r="59" spans="2:14" ht="15.75">
      <c r="B59" s="186">
        <v>10</v>
      </c>
      <c r="C59" s="176" t="s">
        <v>7</v>
      </c>
      <c r="D59" s="178">
        <f t="shared" si="4"/>
        <v>2.6886592699816112</v>
      </c>
      <c r="E59" s="178">
        <f t="shared" si="5"/>
        <v>2.2628327314591759</v>
      </c>
      <c r="F59" s="178">
        <f t="shared" si="6"/>
        <v>19.202832731459178</v>
      </c>
      <c r="G59" s="176" t="s">
        <v>44</v>
      </c>
      <c r="H59" s="178"/>
      <c r="I59" s="178">
        <f>Лист1!V44</f>
        <v>15.079722471113952</v>
      </c>
      <c r="J59" s="178">
        <f>Лист5!$K$75</f>
        <v>1.961476966707707</v>
      </c>
      <c r="K59" s="187">
        <f t="shared" si="7"/>
        <v>3.8473918909248672</v>
      </c>
      <c r="N59" s="203">
        <f t="shared" si="8"/>
        <v>0.11783848576424216</v>
      </c>
    </row>
    <row r="60" spans="2:14" ht="15.75">
      <c r="B60" s="186">
        <v>11</v>
      </c>
      <c r="C60" s="176" t="s">
        <v>8</v>
      </c>
      <c r="D60" s="178">
        <f t="shared" si="4"/>
        <v>153.95000009523588</v>
      </c>
      <c r="E60" s="178">
        <f t="shared" si="5"/>
        <v>129.56758898870277</v>
      </c>
      <c r="F60" s="178">
        <f t="shared" si="6"/>
        <v>1711.3875889887026</v>
      </c>
      <c r="G60" s="176" t="s">
        <v>44</v>
      </c>
      <c r="H60" s="178"/>
      <c r="I60" s="178">
        <f>Лист1!V48</f>
        <v>1874.2499548399398</v>
      </c>
      <c r="J60" s="178">
        <f>Лист5!$L$75</f>
        <v>112.31225264684421</v>
      </c>
      <c r="K60" s="187">
        <f t="shared" si="7"/>
        <v>12614.042094608565</v>
      </c>
      <c r="N60" s="203">
        <f t="shared" si="8"/>
        <v>7.5709085319046382E-2</v>
      </c>
    </row>
    <row r="61" spans="2:14" ht="15.75">
      <c r="B61" s="186">
        <v>12</v>
      </c>
      <c r="C61" s="176" t="s">
        <v>9</v>
      </c>
      <c r="D61" s="178">
        <f t="shared" si="4"/>
        <v>8.0240514550618407</v>
      </c>
      <c r="E61" s="178">
        <f t="shared" si="5"/>
        <v>6.7532120838616878</v>
      </c>
      <c r="F61" s="178">
        <f t="shared" si="6"/>
        <v>53.813212083861693</v>
      </c>
      <c r="G61" s="176" t="s">
        <v>44</v>
      </c>
      <c r="H61" s="178"/>
      <c r="I61" s="178">
        <f>Лист1!V52</f>
        <v>60.490972562090697</v>
      </c>
      <c r="J61" s="178">
        <f>Лист5!$M$75</f>
        <v>5.8538440644019971</v>
      </c>
      <c r="K61" s="187">
        <f t="shared" si="7"/>
        <v>34.267490330334496</v>
      </c>
      <c r="N61" s="203">
        <f t="shared" si="8"/>
        <v>0.1254935697452437</v>
      </c>
    </row>
    <row r="62" spans="2:14" ht="15.75">
      <c r="B62" s="186">
        <v>13</v>
      </c>
      <c r="C62" s="176" t="s">
        <v>10</v>
      </c>
      <c r="D62" s="178">
        <f t="shared" si="4"/>
        <v>14.271870985647238</v>
      </c>
      <c r="E62" s="178">
        <f t="shared" si="5"/>
        <v>12.01150966433392</v>
      </c>
      <c r="F62" s="178">
        <f t="shared" si="6"/>
        <v>171.4315096643339</v>
      </c>
      <c r="G62" s="176" t="s">
        <v>44</v>
      </c>
      <c r="H62" s="178"/>
      <c r="I62" s="178">
        <f>Лист1!V56</f>
        <v>141.92679972813133</v>
      </c>
      <c r="J62" s="178">
        <f>Лист5!$N$75</f>
        <v>10.411860856717087</v>
      </c>
      <c r="K62" s="187">
        <f t="shared" si="7"/>
        <v>108.40684649963748</v>
      </c>
      <c r="N62" s="203">
        <f t="shared" si="8"/>
        <v>7.0065938798839725E-2</v>
      </c>
    </row>
    <row r="63" spans="2:14" ht="16.5" thickBot="1">
      <c r="B63" s="188">
        <v>14</v>
      </c>
      <c r="C63" s="189" t="s">
        <v>93</v>
      </c>
      <c r="D63" s="190">
        <f t="shared" si="4"/>
        <v>6.2069583590073893</v>
      </c>
      <c r="E63" s="190">
        <f t="shared" si="5"/>
        <v>5.2239079508435138</v>
      </c>
      <c r="F63" s="190">
        <f t="shared" si="6"/>
        <v>69.843907950843516</v>
      </c>
      <c r="G63" s="189" t="s">
        <v>44</v>
      </c>
      <c r="H63" s="190"/>
      <c r="I63" s="190">
        <f>Лист1!V60</f>
        <v>59.982638698891989</v>
      </c>
      <c r="J63" s="190">
        <f>Лист5!$O$75</f>
        <v>4.5282070474441811</v>
      </c>
      <c r="K63" s="191">
        <f t="shared" si="7"/>
        <v>20.50465906452315</v>
      </c>
      <c r="N63" s="203">
        <f t="shared" si="8"/>
        <v>7.479403865144725E-2</v>
      </c>
    </row>
    <row r="64" spans="2:14">
      <c r="D64" s="180"/>
      <c r="E64" s="180"/>
      <c r="F64" s="180"/>
      <c r="G64" s="180"/>
      <c r="H64" s="180"/>
      <c r="I64" s="180"/>
      <c r="J64" s="180"/>
      <c r="K64" s="180"/>
    </row>
  </sheetData>
  <mergeCells count="21">
    <mergeCell ref="O11:R11"/>
    <mergeCell ref="S11:U11"/>
    <mergeCell ref="S12:U12"/>
    <mergeCell ref="C11:I11"/>
    <mergeCell ref="C13:I13"/>
    <mergeCell ref="C12:I12"/>
    <mergeCell ref="J11:N11"/>
    <mergeCell ref="J13:N13"/>
    <mergeCell ref="D24:J24"/>
    <mergeCell ref="O12:R12"/>
    <mergeCell ref="O13:R13"/>
    <mergeCell ref="J12:N12"/>
    <mergeCell ref="S13:U13"/>
    <mergeCell ref="S10:U10"/>
    <mergeCell ref="C4:I4"/>
    <mergeCell ref="J4:N4"/>
    <mergeCell ref="O4:R4"/>
    <mergeCell ref="S4:U4"/>
    <mergeCell ref="C10:I10"/>
    <mergeCell ref="J10:N10"/>
    <mergeCell ref="O10:R10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W175"/>
  <sheetViews>
    <sheetView tabSelected="1" topLeftCell="A109" zoomScale="75" zoomScaleNormal="75" workbookViewId="0">
      <selection activeCell="J141" sqref="J141"/>
    </sheetView>
  </sheetViews>
  <sheetFormatPr defaultRowHeight="12.75"/>
  <cols>
    <col min="1" max="1" width="14.5703125" customWidth="1"/>
    <col min="2" max="2" width="15.140625" style="373" customWidth="1"/>
    <col min="3" max="4" width="13.42578125" customWidth="1"/>
    <col min="5" max="5" width="15.85546875" customWidth="1"/>
    <col min="6" max="6" width="13.42578125" customWidth="1"/>
    <col min="7" max="7" width="10.85546875" customWidth="1"/>
    <col min="8" max="8" width="16.5703125" customWidth="1"/>
    <col min="9" max="9" width="14" customWidth="1"/>
    <col min="10" max="10" width="18" customWidth="1"/>
    <col min="11" max="11" width="13.7109375" customWidth="1"/>
    <col min="12" max="12" width="13.140625" customWidth="1"/>
    <col min="13" max="13" width="14.5703125" customWidth="1"/>
    <col min="14" max="23" width="7.85546875" customWidth="1"/>
  </cols>
  <sheetData>
    <row r="2" spans="2:6">
      <c r="D2" t="s">
        <v>132</v>
      </c>
    </row>
    <row r="3" spans="2:6">
      <c r="B3" s="373" t="s">
        <v>45</v>
      </c>
      <c r="C3" s="63">
        <f>([2]Лист4!$N$12-Решение!Z21)/[2]Лист4!$N$12</f>
        <v>0.67351909319516834</v>
      </c>
    </row>
    <row r="4" spans="2:6">
      <c r="B4" s="374" t="s">
        <v>95</v>
      </c>
      <c r="C4" s="64">
        <f>Решение!N49</f>
        <v>5.4655986679583442E-2</v>
      </c>
      <c r="D4" s="20">
        <f>Решение!I49</f>
        <v>4731.9845799437981</v>
      </c>
      <c r="E4" s="20">
        <f>D4*(1+C4)</f>
        <v>4990.6158661132004</v>
      </c>
    </row>
    <row r="5" spans="2:6" ht="38.25">
      <c r="B5" s="375" t="s">
        <v>3</v>
      </c>
      <c r="C5" s="64">
        <f>Решение!N50</f>
        <v>0.35747693848775336</v>
      </c>
      <c r="D5" s="20">
        <f>Решение!I50</f>
        <v>1009.5783186683773</v>
      </c>
      <c r="E5" s="20">
        <f t="shared" ref="E5:E18" si="0">D5*(1+C5)</f>
        <v>1370.4792851895622</v>
      </c>
      <c r="F5" t="e">
        <f>'Удельные затраты (на ед.)'!#REF!*(E5-D5)</f>
        <v>#REF!</v>
      </c>
    </row>
    <row r="6" spans="2:6">
      <c r="B6" s="375" t="s">
        <v>4</v>
      </c>
      <c r="C6" s="64">
        <f>Решение!N51</f>
        <v>0.23073956878711521</v>
      </c>
      <c r="D6" s="20">
        <f>Решение!I51</f>
        <v>307.27107803841153</v>
      </c>
      <c r="E6" s="20">
        <f t="shared" si="0"/>
        <v>378.17067408574661</v>
      </c>
      <c r="F6" t="e">
        <f>'Удельные затраты (на ед.)'!#REF!*(E6-D6)</f>
        <v>#REF!</v>
      </c>
    </row>
    <row r="7" spans="2:6">
      <c r="B7" s="375" t="s">
        <v>11</v>
      </c>
      <c r="C7" s="64">
        <f>Решение!N52</f>
        <v>6.3874282495044427E-2</v>
      </c>
      <c r="D7" s="20">
        <f>Решение!I52</f>
        <v>25519.824914343269</v>
      </c>
      <c r="E7" s="20">
        <f t="shared" si="0"/>
        <v>27149.885420146104</v>
      </c>
      <c r="F7" t="e">
        <f>'Удельные затраты (на ед.)'!#REF!*(E7-D7)</f>
        <v>#REF!</v>
      </c>
    </row>
    <row r="8" spans="2:6" ht="25.5">
      <c r="B8" s="375" t="s">
        <v>12</v>
      </c>
      <c r="C8" s="64">
        <f>Решение!N53</f>
        <v>1.8450113068207052E-2</v>
      </c>
      <c r="D8" s="20">
        <f>Решение!I53</f>
        <v>46001.594254605567</v>
      </c>
      <c r="E8" s="20">
        <f t="shared" si="0"/>
        <v>46850.328869920828</v>
      </c>
      <c r="F8" t="e">
        <f>'Удельные затраты (на ед.)'!#REF!*(E8-D8)</f>
        <v>#REF!</v>
      </c>
    </row>
    <row r="9" spans="2:6" ht="25.5">
      <c r="B9" s="375" t="s">
        <v>13</v>
      </c>
      <c r="C9" s="64">
        <f>Решение!N54</f>
        <v>0.12185658894166063</v>
      </c>
      <c r="D9" s="20">
        <f>Решение!I54</f>
        <v>11977.957906762602</v>
      </c>
      <c r="E9" s="20">
        <f t="shared" si="0"/>
        <v>13437.550999767485</v>
      </c>
      <c r="F9" t="e">
        <f>'Удельные затраты (на ед.)'!#REF!*(E9-D9)</f>
        <v>#REF!</v>
      </c>
    </row>
    <row r="10" spans="2:6">
      <c r="B10" s="375" t="s">
        <v>5</v>
      </c>
      <c r="C10" s="64">
        <f>Решение!N55</f>
        <v>3.2319541226941563E-2</v>
      </c>
      <c r="D10" s="20">
        <f>Решение!I55</f>
        <v>67764.431829265886</v>
      </c>
      <c r="E10" s="20">
        <f t="shared" si="0"/>
        <v>69954.547177492117</v>
      </c>
      <c r="F10" t="e">
        <f>'Удельные затраты (на ед.)'!#REF!*(E10-D10)</f>
        <v>#REF!</v>
      </c>
    </row>
    <row r="11" spans="2:6" ht="25.5">
      <c r="B11" s="375" t="s">
        <v>2</v>
      </c>
      <c r="C11" s="64">
        <f>Решение!N56</f>
        <v>2.5023776583471994E-2</v>
      </c>
      <c r="D11" s="20">
        <f>Решение!I56</f>
        <v>144.78981308733162</v>
      </c>
      <c r="E11" s="20">
        <f t="shared" si="0"/>
        <v>148.41300102159167</v>
      </c>
      <c r="F11" t="e">
        <f>'Удельные затраты (на ед.)'!#REF!*(E11-D11)</f>
        <v>#REF!</v>
      </c>
    </row>
    <row r="12" spans="2:6" ht="38.25">
      <c r="B12" s="375" t="s">
        <v>94</v>
      </c>
      <c r="C12" s="64">
        <f>Решение!N57</f>
        <v>7.9408954292444156E-2</v>
      </c>
      <c r="D12" s="20">
        <f>Решение!I57</f>
        <v>56.880088421363084</v>
      </c>
      <c r="E12" s="20">
        <f t="shared" si="0"/>
        <v>61.396876762965285</v>
      </c>
      <c r="F12" t="e">
        <f>'Удельные затраты (на ед.)'!#REF!*(E12-D12)</f>
        <v>#REF!</v>
      </c>
    </row>
    <row r="13" spans="2:6" ht="25.5">
      <c r="B13" s="375" t="s">
        <v>6</v>
      </c>
      <c r="C13" s="64">
        <f>Решение!N58</f>
        <v>1.0146109384946629E-2</v>
      </c>
      <c r="D13" s="20">
        <f>Решение!I58</f>
        <v>738.99452592477269</v>
      </c>
      <c r="E13" s="20">
        <f t="shared" si="0"/>
        <v>746.49244521968217</v>
      </c>
      <c r="F13" t="e">
        <f>'Удельные затраты (на ед.)'!#REF!*(E13-D13)</f>
        <v>#REF!</v>
      </c>
    </row>
    <row r="14" spans="2:6" ht="25.5">
      <c r="B14" s="375" t="s">
        <v>7</v>
      </c>
      <c r="C14" s="64">
        <f>Решение!N59</f>
        <v>0.11783848576424216</v>
      </c>
      <c r="D14" s="20">
        <f>Решение!I59</f>
        <v>15.079722471113952</v>
      </c>
      <c r="E14" s="20">
        <f t="shared" si="0"/>
        <v>16.856694132855033</v>
      </c>
      <c r="F14" t="e">
        <f>'Удельные затраты (на ед.)'!#REF!*(E14-D14)</f>
        <v>#REF!</v>
      </c>
    </row>
    <row r="15" spans="2:6" ht="25.5">
      <c r="B15" s="375" t="s">
        <v>8</v>
      </c>
      <c r="C15" s="64">
        <f>Решение!N60</f>
        <v>7.5709085319046382E-2</v>
      </c>
      <c r="D15" s="20">
        <f>Решение!I60</f>
        <v>1874.2499548399398</v>
      </c>
      <c r="E15" s="20">
        <f t="shared" si="0"/>
        <v>2016.1477045801355</v>
      </c>
      <c r="F15" t="e">
        <f>'Удельные затраты (на ед.)'!#REF!*(E15-D15)</f>
        <v>#REF!</v>
      </c>
    </row>
    <row r="16" spans="2:6" ht="25.5">
      <c r="B16" s="375" t="s">
        <v>9</v>
      </c>
      <c r="C16" s="64">
        <f>Решение!N61</f>
        <v>0.1254935697452437</v>
      </c>
      <c r="D16" s="20">
        <f>Решение!I61</f>
        <v>60.490972562090697</v>
      </c>
      <c r="E16" s="20">
        <f t="shared" si="0"/>
        <v>68.082200646269044</v>
      </c>
      <c r="F16" t="e">
        <f>'Удельные затраты (на ед.)'!#REF!*(E16-D16)</f>
        <v>#REF!</v>
      </c>
    </row>
    <row r="17" spans="1:22" ht="25.5">
      <c r="B17" s="375" t="s">
        <v>10</v>
      </c>
      <c r="C17" s="64">
        <f>Решение!N62</f>
        <v>7.0065938798839725E-2</v>
      </c>
      <c r="D17" s="20">
        <f>Решение!I62</f>
        <v>141.92679972813133</v>
      </c>
      <c r="E17" s="20">
        <f t="shared" si="0"/>
        <v>151.87103419179778</v>
      </c>
      <c r="F17" t="e">
        <f>'Удельные затраты (на ед.)'!#REF!*(E17-D17)</f>
        <v>#REF!</v>
      </c>
    </row>
    <row r="18" spans="1:22">
      <c r="B18" s="375" t="s">
        <v>93</v>
      </c>
      <c r="C18" s="64">
        <f>Решение!N63</f>
        <v>7.479403865144725E-2</v>
      </c>
      <c r="D18" s="20">
        <f>Решение!I63</f>
        <v>59.982638698891989</v>
      </c>
      <c r="E18" s="20">
        <f t="shared" si="0"/>
        <v>64.468982496152705</v>
      </c>
      <c r="F18" t="e">
        <f>'Удельные затраты (на ед.)'!#REF!*(E18-D18)</f>
        <v>#REF!</v>
      </c>
    </row>
    <row r="19" spans="1:22">
      <c r="F19" t="e">
        <f>SUM(F5:F18)</f>
        <v>#REF!</v>
      </c>
    </row>
    <row r="26" spans="1:22">
      <c r="A26">
        <v>1</v>
      </c>
      <c r="B26" s="373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>
        <v>19</v>
      </c>
      <c r="T26">
        <v>20</v>
      </c>
    </row>
    <row r="27" spans="1:22" s="226" customFormat="1" ht="24.75" customHeight="1">
      <c r="A27" s="230">
        <v>4689.3967187243043</v>
      </c>
      <c r="B27" s="376">
        <v>609.62157343412719</v>
      </c>
      <c r="C27" s="249">
        <v>272.52279869405822</v>
      </c>
      <c r="D27" s="249">
        <v>679.96252421502402</v>
      </c>
      <c r="E27" s="249">
        <v>536.652963513759</v>
      </c>
      <c r="F27" s="249">
        <v>46.893967187257338</v>
      </c>
      <c r="G27" s="249">
        <v>93.787934374514677</v>
      </c>
      <c r="H27" s="249">
        <v>1430.2659992109129</v>
      </c>
      <c r="I27" s="250">
        <v>144.89630014872051</v>
      </c>
      <c r="J27" s="250">
        <v>37.565707445962644</v>
      </c>
      <c r="K27" s="250">
        <v>203.92812665013375</v>
      </c>
      <c r="L27" s="250">
        <v>107.33059270287129</v>
      </c>
      <c r="M27" s="250">
        <v>10.733059270275177</v>
      </c>
      <c r="N27" s="251">
        <v>68.887237798062472</v>
      </c>
      <c r="O27" s="251">
        <v>18.288647203023814</v>
      </c>
      <c r="P27" s="251">
        <v>493.79347448164305</v>
      </c>
      <c r="Q27" s="251">
        <v>18.288647203023814</v>
      </c>
      <c r="R27" s="230">
        <v>392.43185636771784</v>
      </c>
      <c r="S27" s="230">
        <v>2.0104091032876754</v>
      </c>
      <c r="T27" s="230">
        <v>3.6187363868234401</v>
      </c>
      <c r="U27" s="236"/>
      <c r="V27" s="236"/>
    </row>
    <row r="30" spans="1:22" ht="31.5" customHeight="1">
      <c r="A30" s="561" t="s">
        <v>222</v>
      </c>
      <c r="B30" s="567" t="s">
        <v>183</v>
      </c>
      <c r="C30" s="566" t="s">
        <v>223</v>
      </c>
      <c r="D30" s="566"/>
      <c r="E30" s="566"/>
      <c r="F30" s="566"/>
      <c r="G30" s="333"/>
      <c r="H30" s="333"/>
    </row>
    <row r="31" spans="1:22" ht="15.75">
      <c r="A31" s="561"/>
      <c r="B31" s="567"/>
      <c r="C31" s="335">
        <v>1</v>
      </c>
      <c r="D31" s="336">
        <v>2</v>
      </c>
      <c r="E31" s="335">
        <v>3</v>
      </c>
      <c r="F31" s="336">
        <v>4</v>
      </c>
      <c r="G31" s="331"/>
      <c r="H31" s="8"/>
    </row>
    <row r="32" spans="1:22" ht="15.75">
      <c r="A32" s="561"/>
      <c r="B32" s="567"/>
      <c r="C32" s="337">
        <v>0.6</v>
      </c>
      <c r="D32" s="337">
        <v>0.7</v>
      </c>
      <c r="E32" s="337">
        <v>0.8</v>
      </c>
      <c r="F32" s="337">
        <v>0.9</v>
      </c>
      <c r="G32" s="8"/>
      <c r="H32" s="8"/>
    </row>
    <row r="33" spans="1:23" ht="18.75">
      <c r="A33" s="340" t="s">
        <v>42</v>
      </c>
      <c r="B33" s="377">
        <v>15638965</v>
      </c>
      <c r="C33" s="338">
        <v>14310387</v>
      </c>
      <c r="D33" s="338">
        <v>11877991</v>
      </c>
      <c r="E33" s="338">
        <v>8892859</v>
      </c>
      <c r="F33" s="338">
        <v>8343518</v>
      </c>
      <c r="G33" s="8"/>
      <c r="H33" s="8"/>
    </row>
    <row r="34" spans="1:23" ht="18.75">
      <c r="A34" s="340" t="s">
        <v>15</v>
      </c>
      <c r="B34" s="377">
        <v>6975421</v>
      </c>
      <c r="C34" s="338">
        <v>6855642</v>
      </c>
      <c r="D34" s="338">
        <v>5728836</v>
      </c>
      <c r="E34" s="338">
        <v>5393971</v>
      </c>
      <c r="F34" s="338">
        <v>5262173</v>
      </c>
      <c r="G34" s="8"/>
      <c r="H34" s="8"/>
    </row>
    <row r="35" spans="1:23" ht="15.75" customHeight="1">
      <c r="A35" s="340" t="s">
        <v>45</v>
      </c>
      <c r="B35" s="377">
        <v>8663544</v>
      </c>
      <c r="C35" s="338">
        <v>7454744</v>
      </c>
      <c r="D35" s="338">
        <v>6149155</v>
      </c>
      <c r="E35" s="339" t="s">
        <v>220</v>
      </c>
      <c r="F35" s="338">
        <v>3081346</v>
      </c>
      <c r="G35" s="8"/>
      <c r="H35" s="8"/>
    </row>
    <row r="36" spans="1:23" ht="15.75" customHeight="1">
      <c r="A36" s="340" t="s">
        <v>221</v>
      </c>
      <c r="B36" s="378" t="s">
        <v>212</v>
      </c>
      <c r="C36" s="339">
        <v>14</v>
      </c>
      <c r="D36" s="339">
        <v>29</v>
      </c>
      <c r="E36" s="339">
        <v>59.6</v>
      </c>
      <c r="F36" s="339">
        <v>63.9</v>
      </c>
      <c r="G36" s="8"/>
      <c r="H36" s="8"/>
    </row>
    <row r="37" spans="1:23" ht="13.5" customHeight="1">
      <c r="B37" s="379"/>
      <c r="C37" s="334"/>
      <c r="D37" s="334"/>
      <c r="E37" s="334"/>
      <c r="F37" s="334"/>
      <c r="G37" s="8"/>
      <c r="H37" s="8"/>
    </row>
    <row r="38" spans="1:23">
      <c r="B38" s="380"/>
      <c r="C38" s="8"/>
      <c r="D38" s="8"/>
      <c r="E38" s="8"/>
      <c r="F38" s="8"/>
      <c r="G38" s="8"/>
      <c r="H38" s="8"/>
    </row>
    <row r="39" spans="1:23" ht="13.5" thickBot="1">
      <c r="B39" s="380"/>
      <c r="C39" s="8"/>
      <c r="D39" s="8"/>
      <c r="E39" s="8"/>
      <c r="F39" s="8"/>
      <c r="G39" s="8"/>
      <c r="H39" s="8"/>
    </row>
    <row r="40" spans="1:23" ht="111" thickBot="1">
      <c r="A40" s="356" t="s">
        <v>224</v>
      </c>
      <c r="B40" s="381"/>
      <c r="C40" s="357"/>
      <c r="D40" s="268" t="s">
        <v>172</v>
      </c>
      <c r="E40" s="282" t="s">
        <v>173</v>
      </c>
      <c r="F40" s="282" t="s">
        <v>150</v>
      </c>
      <c r="G40" s="282" t="s">
        <v>168</v>
      </c>
      <c r="H40" s="282" t="s">
        <v>174</v>
      </c>
      <c r="I40" s="282" t="s">
        <v>198</v>
      </c>
      <c r="J40" s="282" t="s">
        <v>134</v>
      </c>
      <c r="K40" s="282" t="s">
        <v>145</v>
      </c>
      <c r="L40" s="297" t="s">
        <v>166</v>
      </c>
      <c r="M40" s="297" t="s">
        <v>169</v>
      </c>
      <c r="N40" s="297" t="s">
        <v>175</v>
      </c>
      <c r="O40" s="297" t="s">
        <v>176</v>
      </c>
      <c r="P40" s="297" t="s">
        <v>134</v>
      </c>
      <c r="Q40" s="309" t="s">
        <v>177</v>
      </c>
      <c r="R40" s="309" t="s">
        <v>199</v>
      </c>
      <c r="S40" s="309" t="s">
        <v>165</v>
      </c>
      <c r="T40" s="309" t="s">
        <v>178</v>
      </c>
      <c r="U40" s="330" t="s">
        <v>204</v>
      </c>
      <c r="V40" s="330" t="s">
        <v>205</v>
      </c>
      <c r="W40" s="330" t="s">
        <v>206</v>
      </c>
    </row>
    <row r="41" spans="1:23" ht="19.5" thickBot="1">
      <c r="A41" s="562" t="s">
        <v>182</v>
      </c>
      <c r="B41" s="563"/>
      <c r="C41" s="354" t="s">
        <v>225</v>
      </c>
      <c r="D41" s="341" t="s">
        <v>46</v>
      </c>
      <c r="E41" s="341" t="s">
        <v>47</v>
      </c>
      <c r="F41" s="341" t="s">
        <v>0</v>
      </c>
      <c r="G41" s="341" t="s">
        <v>48</v>
      </c>
      <c r="H41" s="341" t="s">
        <v>49</v>
      </c>
      <c r="I41" s="341" t="s">
        <v>50</v>
      </c>
      <c r="J41" s="341" t="s">
        <v>51</v>
      </c>
      <c r="K41" s="341" t="s">
        <v>52</v>
      </c>
      <c r="L41" s="341" t="s">
        <v>53</v>
      </c>
      <c r="M41" s="341" t="s">
        <v>54</v>
      </c>
      <c r="N41" s="341" t="s">
        <v>55</v>
      </c>
      <c r="O41" s="341" t="s">
        <v>56</v>
      </c>
      <c r="P41" s="341" t="s">
        <v>57</v>
      </c>
      <c r="Q41" s="341" t="s">
        <v>58</v>
      </c>
      <c r="R41" s="341" t="s">
        <v>59</v>
      </c>
      <c r="S41" s="341" t="s">
        <v>60</v>
      </c>
      <c r="T41" s="341" t="s">
        <v>61</v>
      </c>
      <c r="U41" s="341" t="s">
        <v>1</v>
      </c>
      <c r="V41" s="341" t="s">
        <v>62</v>
      </c>
      <c r="W41" s="341" t="s">
        <v>63</v>
      </c>
    </row>
    <row r="42" spans="1:23" ht="15.75" customHeight="1" thickBot="1">
      <c r="A42" s="564" t="s">
        <v>183</v>
      </c>
      <c r="B42" s="565"/>
      <c r="C42" s="355" t="s">
        <v>227</v>
      </c>
      <c r="D42" s="349">
        <v>6371</v>
      </c>
      <c r="E42" s="350">
        <v>776</v>
      </c>
      <c r="F42" s="351">
        <v>1497</v>
      </c>
      <c r="G42" s="350">
        <v>924</v>
      </c>
      <c r="H42" s="350">
        <v>309</v>
      </c>
      <c r="I42" s="350">
        <v>64</v>
      </c>
      <c r="J42" s="350">
        <v>127</v>
      </c>
      <c r="K42" s="351">
        <v>1943</v>
      </c>
      <c r="L42" s="352">
        <v>84</v>
      </c>
      <c r="M42" s="352">
        <v>22</v>
      </c>
      <c r="N42" s="352">
        <v>118</v>
      </c>
      <c r="O42" s="352">
        <v>62</v>
      </c>
      <c r="P42" s="352">
        <v>6</v>
      </c>
      <c r="Q42" s="353">
        <v>88</v>
      </c>
      <c r="R42" s="353">
        <v>23</v>
      </c>
      <c r="S42" s="353">
        <v>629</v>
      </c>
      <c r="T42" s="353">
        <v>23</v>
      </c>
      <c r="U42" s="349">
        <v>1102</v>
      </c>
      <c r="V42" s="332">
        <v>6</v>
      </c>
      <c r="W42" s="332">
        <v>10</v>
      </c>
    </row>
    <row r="43" spans="1:23" ht="19.5" thickBot="1">
      <c r="A43" s="568" t="s">
        <v>226</v>
      </c>
      <c r="B43" s="382">
        <v>1</v>
      </c>
      <c r="C43" s="342">
        <v>0.6</v>
      </c>
      <c r="D43" s="343">
        <v>6055</v>
      </c>
      <c r="E43" s="344">
        <v>749</v>
      </c>
      <c r="F43" s="345">
        <v>1027</v>
      </c>
      <c r="G43" s="344">
        <v>878</v>
      </c>
      <c r="H43" s="344">
        <v>742</v>
      </c>
      <c r="I43" s="344">
        <v>61</v>
      </c>
      <c r="J43" s="344">
        <v>121</v>
      </c>
      <c r="K43" s="345">
        <v>1847</v>
      </c>
      <c r="L43" s="346">
        <v>200</v>
      </c>
      <c r="M43" s="346">
        <v>52</v>
      </c>
      <c r="N43" s="346">
        <v>282</v>
      </c>
      <c r="O43" s="346">
        <v>148</v>
      </c>
      <c r="P43" s="346">
        <v>15</v>
      </c>
      <c r="Q43" s="347">
        <v>85</v>
      </c>
      <c r="R43" s="347">
        <v>22</v>
      </c>
      <c r="S43" s="347">
        <v>606</v>
      </c>
      <c r="T43" s="347">
        <v>22</v>
      </c>
      <c r="U43" s="348">
        <v>959</v>
      </c>
      <c r="V43" s="348">
        <v>5</v>
      </c>
      <c r="W43" s="348">
        <v>9</v>
      </c>
    </row>
    <row r="44" spans="1:23" ht="19.5" thickBot="1">
      <c r="A44" s="569"/>
      <c r="B44" s="382">
        <v>2</v>
      </c>
      <c r="C44" s="342">
        <v>0.7</v>
      </c>
      <c r="D44" s="343">
        <v>5039</v>
      </c>
      <c r="E44" s="344">
        <v>655</v>
      </c>
      <c r="F44" s="344">
        <v>786</v>
      </c>
      <c r="G44" s="344">
        <v>731</v>
      </c>
      <c r="H44" s="344">
        <v>756</v>
      </c>
      <c r="I44" s="344">
        <v>50</v>
      </c>
      <c r="J44" s="344">
        <v>101</v>
      </c>
      <c r="K44" s="345">
        <v>1537</v>
      </c>
      <c r="L44" s="346">
        <v>204</v>
      </c>
      <c r="M44" s="346">
        <v>53</v>
      </c>
      <c r="N44" s="346">
        <v>287</v>
      </c>
      <c r="O44" s="346">
        <v>151</v>
      </c>
      <c r="P44" s="346">
        <v>15</v>
      </c>
      <c r="Q44" s="347">
        <v>74</v>
      </c>
      <c r="R44" s="347">
        <v>20</v>
      </c>
      <c r="S44" s="347">
        <v>531</v>
      </c>
      <c r="T44" s="347">
        <v>0</v>
      </c>
      <c r="U44" s="348">
        <v>787</v>
      </c>
      <c r="V44" s="348">
        <v>4</v>
      </c>
      <c r="W44" s="348">
        <v>7</v>
      </c>
    </row>
    <row r="45" spans="1:23" ht="19.5" thickBot="1">
      <c r="A45" s="569"/>
      <c r="B45" s="382">
        <v>3</v>
      </c>
      <c r="C45" s="342">
        <v>0.8</v>
      </c>
      <c r="D45" s="343">
        <v>4776</v>
      </c>
      <c r="E45" s="344">
        <v>621</v>
      </c>
      <c r="F45" s="344">
        <v>283</v>
      </c>
      <c r="G45" s="344">
        <v>693</v>
      </c>
      <c r="H45" s="344">
        <v>716</v>
      </c>
      <c r="I45" s="344">
        <v>48</v>
      </c>
      <c r="J45" s="344">
        <v>96</v>
      </c>
      <c r="K45" s="345">
        <v>1457</v>
      </c>
      <c r="L45" s="346">
        <v>193</v>
      </c>
      <c r="M45" s="346">
        <v>50</v>
      </c>
      <c r="N45" s="346">
        <v>272</v>
      </c>
      <c r="O45" s="346">
        <v>143</v>
      </c>
      <c r="P45" s="346">
        <v>14</v>
      </c>
      <c r="Q45" s="347">
        <v>70</v>
      </c>
      <c r="R45" s="347">
        <v>19</v>
      </c>
      <c r="S45" s="347">
        <v>503</v>
      </c>
      <c r="T45" s="347">
        <v>19</v>
      </c>
      <c r="U45" s="348">
        <v>466</v>
      </c>
      <c r="V45" s="348">
        <v>2</v>
      </c>
      <c r="W45" s="348">
        <v>4</v>
      </c>
    </row>
    <row r="46" spans="1:23" ht="19.5" thickBot="1">
      <c r="A46" s="570"/>
      <c r="B46" s="382">
        <v>4</v>
      </c>
      <c r="C46" s="342">
        <v>0.9</v>
      </c>
      <c r="D46" s="343">
        <v>4689</v>
      </c>
      <c r="E46" s="344">
        <v>610</v>
      </c>
      <c r="F46" s="344">
        <v>273</v>
      </c>
      <c r="G46" s="344">
        <v>680</v>
      </c>
      <c r="H46" s="344">
        <v>537</v>
      </c>
      <c r="I46" s="344">
        <v>47</v>
      </c>
      <c r="J46" s="344">
        <v>94</v>
      </c>
      <c r="K46" s="345">
        <v>1430</v>
      </c>
      <c r="L46" s="346">
        <v>145</v>
      </c>
      <c r="M46" s="346">
        <v>38</v>
      </c>
      <c r="N46" s="346">
        <v>204</v>
      </c>
      <c r="O46" s="346">
        <v>107</v>
      </c>
      <c r="P46" s="346">
        <v>11</v>
      </c>
      <c r="Q46" s="347">
        <v>69</v>
      </c>
      <c r="R46" s="347">
        <v>18</v>
      </c>
      <c r="S46" s="347">
        <v>494</v>
      </c>
      <c r="T46" s="347">
        <v>18</v>
      </c>
      <c r="U46" s="348">
        <v>392</v>
      </c>
      <c r="V46" s="348">
        <v>2</v>
      </c>
      <c r="W46" s="348">
        <v>4</v>
      </c>
    </row>
    <row r="47" spans="1:23" ht="19.5" thickBot="1">
      <c r="C47" s="342">
        <v>0.6</v>
      </c>
      <c r="D47">
        <f>(D43-D$42)/D$42*100</f>
        <v>-4.9599748862031081</v>
      </c>
      <c r="E47">
        <f t="shared" ref="E47:W47" si="1">(E43-E$42)/E$42*100</f>
        <v>-3.4793814432989691</v>
      </c>
      <c r="F47">
        <f t="shared" si="1"/>
        <v>-31.396125584502339</v>
      </c>
      <c r="G47">
        <f t="shared" si="1"/>
        <v>-4.9783549783549788</v>
      </c>
      <c r="H47">
        <f t="shared" si="1"/>
        <v>140.1294498381877</v>
      </c>
      <c r="I47">
        <f t="shared" si="1"/>
        <v>-4.6875</v>
      </c>
      <c r="J47">
        <f t="shared" si="1"/>
        <v>-4.7244094488188972</v>
      </c>
      <c r="K47">
        <f t="shared" si="1"/>
        <v>-4.9408131755018019</v>
      </c>
      <c r="L47">
        <f t="shared" si="1"/>
        <v>138.0952380952381</v>
      </c>
      <c r="M47">
        <f t="shared" si="1"/>
        <v>136.36363636363635</v>
      </c>
      <c r="N47">
        <f t="shared" si="1"/>
        <v>138.98305084745763</v>
      </c>
      <c r="O47">
        <f t="shared" si="1"/>
        <v>138.70967741935485</v>
      </c>
      <c r="P47">
        <f t="shared" si="1"/>
        <v>150</v>
      </c>
      <c r="Q47">
        <f t="shared" si="1"/>
        <v>-3.4090909090909087</v>
      </c>
      <c r="R47">
        <f t="shared" si="1"/>
        <v>-4.3478260869565215</v>
      </c>
      <c r="S47">
        <f t="shared" si="1"/>
        <v>-3.6565977742448332</v>
      </c>
      <c r="T47">
        <f t="shared" si="1"/>
        <v>-4.3478260869565215</v>
      </c>
      <c r="U47">
        <f t="shared" si="1"/>
        <v>-12.976406533575318</v>
      </c>
      <c r="V47">
        <f t="shared" si="1"/>
        <v>-16.666666666666664</v>
      </c>
      <c r="W47">
        <f t="shared" si="1"/>
        <v>-10</v>
      </c>
    </row>
    <row r="48" spans="1:23" ht="19.5" thickBot="1">
      <c r="C48" s="342">
        <v>0.7</v>
      </c>
      <c r="D48">
        <f t="shared" ref="D48:W48" si="2">(D44-D$42)/D$42*100</f>
        <v>-20.907235912729554</v>
      </c>
      <c r="E48">
        <f t="shared" si="2"/>
        <v>-15.592783505154639</v>
      </c>
      <c r="F48">
        <f t="shared" si="2"/>
        <v>-47.494989979959918</v>
      </c>
      <c r="G48">
        <f t="shared" si="2"/>
        <v>-20.887445887445889</v>
      </c>
      <c r="H48">
        <f t="shared" si="2"/>
        <v>144.66019417475729</v>
      </c>
      <c r="I48">
        <f t="shared" si="2"/>
        <v>-21.875</v>
      </c>
      <c r="J48">
        <f t="shared" si="2"/>
        <v>-20.472440944881889</v>
      </c>
      <c r="K48">
        <f t="shared" si="2"/>
        <v>-20.8955223880597</v>
      </c>
      <c r="L48">
        <f t="shared" si="2"/>
        <v>142.85714285714286</v>
      </c>
      <c r="M48">
        <f t="shared" si="2"/>
        <v>140.90909090909091</v>
      </c>
      <c r="N48">
        <f t="shared" si="2"/>
        <v>143.22033898305085</v>
      </c>
      <c r="O48">
        <f t="shared" si="2"/>
        <v>143.54838709677421</v>
      </c>
      <c r="P48">
        <f t="shared" si="2"/>
        <v>150</v>
      </c>
      <c r="Q48">
        <f t="shared" si="2"/>
        <v>-15.909090909090908</v>
      </c>
      <c r="R48">
        <f t="shared" si="2"/>
        <v>-13.043478260869565</v>
      </c>
      <c r="S48">
        <f t="shared" si="2"/>
        <v>-15.580286168521463</v>
      </c>
      <c r="T48">
        <f t="shared" si="2"/>
        <v>-100</v>
      </c>
      <c r="U48">
        <f t="shared" si="2"/>
        <v>-28.584392014519054</v>
      </c>
      <c r="V48">
        <f t="shared" si="2"/>
        <v>-33.333333333333329</v>
      </c>
      <c r="W48">
        <f t="shared" si="2"/>
        <v>-30</v>
      </c>
    </row>
    <row r="49" spans="3:23" ht="15.75" customHeight="1" thickBot="1">
      <c r="C49" s="342">
        <v>0.8</v>
      </c>
      <c r="D49">
        <f t="shared" ref="D49:W49" si="3">(D45-D$42)/D$42*100</f>
        <v>-25.035316276879609</v>
      </c>
      <c r="E49">
        <f t="shared" si="3"/>
        <v>-19.974226804123713</v>
      </c>
      <c r="F49">
        <f t="shared" si="3"/>
        <v>-81.095524382097523</v>
      </c>
      <c r="G49">
        <f t="shared" si="3"/>
        <v>-25</v>
      </c>
      <c r="H49">
        <f t="shared" si="3"/>
        <v>131.71521035598707</v>
      </c>
      <c r="I49">
        <f t="shared" si="3"/>
        <v>-25</v>
      </c>
      <c r="J49">
        <f t="shared" si="3"/>
        <v>-24.409448818897637</v>
      </c>
      <c r="K49">
        <f t="shared" si="3"/>
        <v>-25.01286670097787</v>
      </c>
      <c r="L49">
        <f t="shared" si="3"/>
        <v>129.76190476190476</v>
      </c>
      <c r="M49">
        <f t="shared" si="3"/>
        <v>127.27272727272727</v>
      </c>
      <c r="N49">
        <f t="shared" si="3"/>
        <v>130.5084745762712</v>
      </c>
      <c r="O49">
        <f t="shared" si="3"/>
        <v>130.64516129032256</v>
      </c>
      <c r="P49">
        <f t="shared" si="3"/>
        <v>133.33333333333331</v>
      </c>
      <c r="Q49">
        <f t="shared" si="3"/>
        <v>-20.454545454545457</v>
      </c>
      <c r="R49">
        <f t="shared" si="3"/>
        <v>-17.391304347826086</v>
      </c>
      <c r="S49">
        <f t="shared" si="3"/>
        <v>-20.03179650238474</v>
      </c>
      <c r="T49">
        <f t="shared" si="3"/>
        <v>-17.391304347826086</v>
      </c>
      <c r="U49">
        <f t="shared" si="3"/>
        <v>-57.713248638838479</v>
      </c>
      <c r="V49">
        <f t="shared" si="3"/>
        <v>-66.666666666666657</v>
      </c>
      <c r="W49">
        <f t="shared" si="3"/>
        <v>-60</v>
      </c>
    </row>
    <row r="50" spans="3:23" ht="16.5" customHeight="1" thickBot="1">
      <c r="C50" s="342">
        <v>0.9</v>
      </c>
      <c r="D50">
        <f t="shared" ref="D50:W50" si="4">(D46-D$42)/D$42*100</f>
        <v>-26.400878982891225</v>
      </c>
      <c r="E50">
        <f t="shared" si="4"/>
        <v>-21.391752577319586</v>
      </c>
      <c r="F50">
        <f t="shared" si="4"/>
        <v>-81.763527054108224</v>
      </c>
      <c r="G50">
        <f t="shared" si="4"/>
        <v>-26.406926406926406</v>
      </c>
      <c r="H50">
        <f t="shared" si="4"/>
        <v>73.786407766990294</v>
      </c>
      <c r="I50">
        <f t="shared" si="4"/>
        <v>-26.5625</v>
      </c>
      <c r="J50">
        <f t="shared" si="4"/>
        <v>-25.984251968503933</v>
      </c>
      <c r="K50">
        <f t="shared" si="4"/>
        <v>-26.402470406587753</v>
      </c>
      <c r="L50">
        <f t="shared" si="4"/>
        <v>72.61904761904762</v>
      </c>
      <c r="M50">
        <f t="shared" si="4"/>
        <v>72.727272727272734</v>
      </c>
      <c r="N50">
        <f t="shared" si="4"/>
        <v>72.881355932203391</v>
      </c>
      <c r="O50">
        <f t="shared" si="4"/>
        <v>72.58064516129032</v>
      </c>
      <c r="P50">
        <f t="shared" si="4"/>
        <v>83.333333333333343</v>
      </c>
      <c r="Q50">
        <f t="shared" si="4"/>
        <v>-21.59090909090909</v>
      </c>
      <c r="R50">
        <f t="shared" si="4"/>
        <v>-21.739130434782609</v>
      </c>
      <c r="S50">
        <f t="shared" si="4"/>
        <v>-21.462639109697935</v>
      </c>
      <c r="T50">
        <f t="shared" si="4"/>
        <v>-21.739130434782609</v>
      </c>
      <c r="U50">
        <f t="shared" si="4"/>
        <v>-64.42831215970962</v>
      </c>
      <c r="V50">
        <f t="shared" si="4"/>
        <v>-66.666666666666657</v>
      </c>
      <c r="W50">
        <f t="shared" si="4"/>
        <v>-60</v>
      </c>
    </row>
    <row r="51" spans="3:23" ht="19.5" customHeight="1"/>
    <row r="94" spans="1:13" ht="13.5" thickBot="1">
      <c r="D94">
        <v>1</v>
      </c>
      <c r="E94">
        <v>2</v>
      </c>
      <c r="F94">
        <v>3</v>
      </c>
      <c r="G94">
        <v>4</v>
      </c>
      <c r="H94">
        <v>5</v>
      </c>
      <c r="I94">
        <v>6</v>
      </c>
      <c r="J94">
        <v>7</v>
      </c>
      <c r="K94">
        <v>8</v>
      </c>
      <c r="L94">
        <v>9</v>
      </c>
      <c r="M94">
        <v>10</v>
      </c>
    </row>
    <row r="95" spans="1:13" ht="48" thickBot="1">
      <c r="A95" s="356" t="s">
        <v>224</v>
      </c>
      <c r="B95" s="381"/>
      <c r="C95" s="357"/>
      <c r="D95" s="282" t="s">
        <v>150</v>
      </c>
      <c r="E95" s="282" t="s">
        <v>168</v>
      </c>
      <c r="F95" s="282" t="s">
        <v>198</v>
      </c>
      <c r="G95" s="282" t="s">
        <v>145</v>
      </c>
      <c r="H95" s="297" t="s">
        <v>166</v>
      </c>
      <c r="I95" s="297" t="s">
        <v>169</v>
      </c>
      <c r="J95" s="309" t="s">
        <v>199</v>
      </c>
      <c r="K95" s="309" t="s">
        <v>165</v>
      </c>
      <c r="L95" s="321" t="s">
        <v>167</v>
      </c>
      <c r="M95" s="321" t="s">
        <v>170</v>
      </c>
    </row>
    <row r="96" spans="1:13" ht="19.5" thickBot="1">
      <c r="A96" s="562" t="s">
        <v>182</v>
      </c>
      <c r="B96" s="563"/>
      <c r="C96" s="354" t="s">
        <v>225</v>
      </c>
      <c r="D96" s="341" t="s">
        <v>0</v>
      </c>
      <c r="E96" s="341" t="s">
        <v>48</v>
      </c>
      <c r="F96" s="341" t="s">
        <v>50</v>
      </c>
      <c r="G96" s="341" t="s">
        <v>52</v>
      </c>
      <c r="H96" s="341" t="s">
        <v>53</v>
      </c>
      <c r="I96" s="341" t="s">
        <v>54</v>
      </c>
      <c r="J96" s="341" t="s">
        <v>59</v>
      </c>
      <c r="K96" s="341" t="s">
        <v>60</v>
      </c>
      <c r="L96" s="341" t="s">
        <v>1</v>
      </c>
      <c r="M96" s="341" t="s">
        <v>63</v>
      </c>
    </row>
    <row r="97" spans="1:13" ht="15.75" customHeight="1" thickBot="1">
      <c r="A97" s="564" t="s">
        <v>183</v>
      </c>
      <c r="B97" s="565"/>
      <c r="C97" s="355" t="s">
        <v>227</v>
      </c>
      <c r="D97" s="351">
        <v>1497</v>
      </c>
      <c r="E97" s="350">
        <v>924</v>
      </c>
      <c r="F97" s="350">
        <v>64</v>
      </c>
      <c r="G97" s="351">
        <v>1943</v>
      </c>
      <c r="H97" s="352">
        <v>84</v>
      </c>
      <c r="I97" s="352">
        <v>22</v>
      </c>
      <c r="J97" s="353">
        <v>23</v>
      </c>
      <c r="K97" s="353">
        <v>629</v>
      </c>
      <c r="L97" s="349">
        <v>1102</v>
      </c>
      <c r="M97" s="332">
        <v>10</v>
      </c>
    </row>
    <row r="98" spans="1:13" ht="19.5" thickBot="1">
      <c r="A98" s="568" t="s">
        <v>226</v>
      </c>
      <c r="B98" s="382">
        <v>1</v>
      </c>
      <c r="C98" s="342">
        <v>0.6</v>
      </c>
      <c r="D98" s="345">
        <v>1027</v>
      </c>
      <c r="E98" s="344">
        <v>878</v>
      </c>
      <c r="F98" s="344">
        <v>61</v>
      </c>
      <c r="G98" s="345">
        <v>1847</v>
      </c>
      <c r="H98" s="346">
        <v>200</v>
      </c>
      <c r="I98" s="346">
        <v>52</v>
      </c>
      <c r="J98" s="347">
        <v>22</v>
      </c>
      <c r="K98" s="347">
        <v>606</v>
      </c>
      <c r="L98" s="348">
        <v>959</v>
      </c>
      <c r="M98" s="348">
        <v>9</v>
      </c>
    </row>
    <row r="99" spans="1:13" ht="19.5" thickBot="1">
      <c r="A99" s="569"/>
      <c r="B99" s="382">
        <v>2</v>
      </c>
      <c r="C99" s="342">
        <v>0.7</v>
      </c>
      <c r="D99" s="344">
        <v>786</v>
      </c>
      <c r="E99" s="344">
        <v>731</v>
      </c>
      <c r="F99" s="344">
        <v>50</v>
      </c>
      <c r="G99" s="345">
        <v>1537</v>
      </c>
      <c r="H99" s="346">
        <v>204</v>
      </c>
      <c r="I99" s="346">
        <v>53</v>
      </c>
      <c r="J99" s="347">
        <v>20</v>
      </c>
      <c r="K99" s="347">
        <v>531</v>
      </c>
      <c r="L99" s="348">
        <v>787</v>
      </c>
      <c r="M99" s="348">
        <v>7</v>
      </c>
    </row>
    <row r="100" spans="1:13" ht="19.5" thickBot="1">
      <c r="A100" s="569"/>
      <c r="B100" s="382">
        <v>3</v>
      </c>
      <c r="C100" s="342">
        <v>0.8</v>
      </c>
      <c r="D100" s="344">
        <v>283</v>
      </c>
      <c r="E100" s="344">
        <v>693</v>
      </c>
      <c r="F100" s="344">
        <v>48</v>
      </c>
      <c r="G100" s="345">
        <v>1457</v>
      </c>
      <c r="H100" s="346">
        <v>193</v>
      </c>
      <c r="I100" s="346">
        <v>50</v>
      </c>
      <c r="J100" s="347">
        <v>19</v>
      </c>
      <c r="K100" s="347">
        <v>503</v>
      </c>
      <c r="L100" s="348">
        <v>466</v>
      </c>
      <c r="M100" s="348">
        <v>4</v>
      </c>
    </row>
    <row r="101" spans="1:13" ht="19.5" thickBot="1">
      <c r="A101" s="570"/>
      <c r="B101" s="382">
        <v>4</v>
      </c>
      <c r="C101" s="342">
        <v>0.9</v>
      </c>
      <c r="D101" s="344">
        <v>273</v>
      </c>
      <c r="E101" s="344">
        <v>680</v>
      </c>
      <c r="F101" s="344">
        <v>47</v>
      </c>
      <c r="G101" s="345">
        <v>1430</v>
      </c>
      <c r="H101" s="346">
        <v>145</v>
      </c>
      <c r="I101" s="346">
        <v>38</v>
      </c>
      <c r="J101" s="347">
        <v>18</v>
      </c>
      <c r="K101" s="347">
        <v>494</v>
      </c>
      <c r="L101" s="348">
        <v>392</v>
      </c>
      <c r="M101" s="348">
        <v>4</v>
      </c>
    </row>
    <row r="102" spans="1:13" ht="19.5" thickBot="1">
      <c r="C102" s="342">
        <v>0.6</v>
      </c>
      <c r="D102">
        <f t="shared" ref="D102:E105" si="5">(D98-F$42)/F$42*100</f>
        <v>-31.396125584502339</v>
      </c>
      <c r="E102">
        <f t="shared" si="5"/>
        <v>-4.9783549783549788</v>
      </c>
      <c r="F102">
        <f>(F98-I$42)/I$42*100</f>
        <v>-4.6875</v>
      </c>
      <c r="G102">
        <f t="shared" ref="G102:I105" si="6">(G98-K$42)/K$42*100</f>
        <v>-4.9408131755018019</v>
      </c>
      <c r="H102">
        <f t="shared" si="6"/>
        <v>138.0952380952381</v>
      </c>
      <c r="I102">
        <f t="shared" si="6"/>
        <v>136.36363636363635</v>
      </c>
      <c r="J102">
        <f t="shared" ref="J102:K105" si="7">(J98-R$42)/R$42*100</f>
        <v>-4.3478260869565215</v>
      </c>
      <c r="K102">
        <f t="shared" si="7"/>
        <v>-3.6565977742448332</v>
      </c>
      <c r="L102">
        <f>(L98-U$42)/U$42*100</f>
        <v>-12.976406533575318</v>
      </c>
      <c r="M102">
        <f>(M98-W$42)/W$42*100</f>
        <v>-10</v>
      </c>
    </row>
    <row r="103" spans="1:13" ht="19.5" thickBot="1">
      <c r="C103" s="342">
        <v>0.7</v>
      </c>
      <c r="D103">
        <f t="shared" si="5"/>
        <v>-47.494989979959918</v>
      </c>
      <c r="E103">
        <f t="shared" si="5"/>
        <v>-20.887445887445889</v>
      </c>
      <c r="F103">
        <f>(F99-I$42)/I$42*100</f>
        <v>-21.875</v>
      </c>
      <c r="G103">
        <f t="shared" si="6"/>
        <v>-20.8955223880597</v>
      </c>
      <c r="H103">
        <f t="shared" si="6"/>
        <v>142.85714285714286</v>
      </c>
      <c r="I103">
        <f t="shared" si="6"/>
        <v>140.90909090909091</v>
      </c>
      <c r="J103">
        <f t="shared" si="7"/>
        <v>-13.043478260869565</v>
      </c>
      <c r="K103">
        <f t="shared" si="7"/>
        <v>-15.580286168521463</v>
      </c>
      <c r="L103">
        <f>(L99-U$42)/U$42*100</f>
        <v>-28.584392014519054</v>
      </c>
      <c r="M103">
        <f>(M99-W$42)/W$42*100</f>
        <v>-30</v>
      </c>
    </row>
    <row r="104" spans="1:13" ht="15.75" customHeight="1" thickBot="1">
      <c r="C104" s="342">
        <v>0.8</v>
      </c>
      <c r="D104">
        <f t="shared" si="5"/>
        <v>-81.095524382097523</v>
      </c>
      <c r="E104">
        <f t="shared" si="5"/>
        <v>-25</v>
      </c>
      <c r="F104">
        <f>(F100-I$42)/I$42*100</f>
        <v>-25</v>
      </c>
      <c r="G104">
        <f t="shared" si="6"/>
        <v>-25.01286670097787</v>
      </c>
      <c r="H104">
        <f t="shared" si="6"/>
        <v>129.76190476190476</v>
      </c>
      <c r="I104">
        <f t="shared" si="6"/>
        <v>127.27272727272727</v>
      </c>
      <c r="J104">
        <f t="shared" si="7"/>
        <v>-17.391304347826086</v>
      </c>
      <c r="K104">
        <f t="shared" si="7"/>
        <v>-20.03179650238474</v>
      </c>
      <c r="L104">
        <f>(L100-U$42)/U$42*100</f>
        <v>-57.713248638838479</v>
      </c>
      <c r="M104">
        <f>(M100-W$42)/W$42*100</f>
        <v>-60</v>
      </c>
    </row>
    <row r="105" spans="1:13" ht="16.5" customHeight="1" thickBot="1">
      <c r="C105" s="342">
        <v>0.9</v>
      </c>
      <c r="D105">
        <f t="shared" si="5"/>
        <v>-81.763527054108224</v>
      </c>
      <c r="E105">
        <f t="shared" si="5"/>
        <v>-26.406926406926406</v>
      </c>
      <c r="F105">
        <f>(F101-I$42)/I$42*100</f>
        <v>-26.5625</v>
      </c>
      <c r="G105">
        <f t="shared" si="6"/>
        <v>-26.402470406587753</v>
      </c>
      <c r="H105">
        <f t="shared" si="6"/>
        <v>72.61904761904762</v>
      </c>
      <c r="I105">
        <f t="shared" si="6"/>
        <v>72.727272727272734</v>
      </c>
      <c r="J105">
        <f t="shared" si="7"/>
        <v>-21.739130434782609</v>
      </c>
      <c r="K105">
        <f t="shared" si="7"/>
        <v>-21.462639109697935</v>
      </c>
      <c r="L105">
        <f>(L101-U$42)/U$42*100</f>
        <v>-64.42831215970962</v>
      </c>
      <c r="M105">
        <f>(M101-W$42)/W$42*100</f>
        <v>-60</v>
      </c>
    </row>
    <row r="112" spans="1:13" ht="13.5" thickBot="1">
      <c r="C112" t="s">
        <v>260</v>
      </c>
    </row>
    <row r="113" spans="1:6" ht="16.5" customHeight="1" thickBot="1">
      <c r="A113" s="571" t="s">
        <v>222</v>
      </c>
      <c r="B113" s="383" t="s">
        <v>183</v>
      </c>
      <c r="C113" s="576" t="s">
        <v>223</v>
      </c>
      <c r="D113" s="577"/>
      <c r="E113" s="577"/>
      <c r="F113" s="578"/>
    </row>
    <row r="114" spans="1:6" ht="16.5" thickBot="1">
      <c r="A114" s="572"/>
      <c r="B114" s="384"/>
      <c r="C114" s="579" t="s">
        <v>229</v>
      </c>
      <c r="D114" s="580"/>
      <c r="E114" s="580"/>
      <c r="F114" s="581"/>
    </row>
    <row r="115" spans="1:6" ht="16.5" thickBot="1">
      <c r="A115" s="573"/>
      <c r="B115" s="385" t="s">
        <v>230</v>
      </c>
      <c r="C115" s="358">
        <v>0.6</v>
      </c>
      <c r="D115" s="358">
        <v>0.7</v>
      </c>
      <c r="E115" s="358">
        <v>0.8</v>
      </c>
      <c r="F115" s="358">
        <v>0.9</v>
      </c>
    </row>
    <row r="116" spans="1:6" ht="19.5" thickBot="1">
      <c r="A116" s="359" t="s">
        <v>42</v>
      </c>
      <c r="B116" s="386">
        <v>15638965</v>
      </c>
      <c r="C116" s="361">
        <v>14310387</v>
      </c>
      <c r="D116" s="361">
        <v>11877991</v>
      </c>
      <c r="E116" s="361">
        <v>8892859</v>
      </c>
      <c r="F116" s="361">
        <v>8343518</v>
      </c>
    </row>
    <row r="117" spans="1:6" ht="19.5" thickBot="1">
      <c r="A117" s="359" t="s">
        <v>15</v>
      </c>
      <c r="B117" s="386">
        <v>6975421</v>
      </c>
      <c r="C117" s="361">
        <v>6855642</v>
      </c>
      <c r="D117" s="361">
        <v>5728836</v>
      </c>
      <c r="E117" s="361">
        <v>5393971</v>
      </c>
      <c r="F117" s="361">
        <v>5262173</v>
      </c>
    </row>
    <row r="118" spans="1:6" ht="19.5" thickBot="1">
      <c r="A118" s="359" t="s">
        <v>45</v>
      </c>
      <c r="B118" s="386">
        <v>8663544</v>
      </c>
      <c r="C118" s="361">
        <v>7454744</v>
      </c>
      <c r="D118" s="361">
        <v>6149155</v>
      </c>
      <c r="E118" s="361">
        <v>3498888</v>
      </c>
      <c r="F118" s="361">
        <v>3081346</v>
      </c>
    </row>
    <row r="119" spans="1:6" ht="19.5" thickBot="1">
      <c r="A119" s="359" t="s">
        <v>228</v>
      </c>
      <c r="B119" s="387">
        <v>0</v>
      </c>
      <c r="C119" s="362">
        <f>(C118-$B$118)/$B$118*100</f>
        <v>-13.952719579885553</v>
      </c>
      <c r="D119" s="362">
        <f>(D118-$B$118)/$B$118*100</f>
        <v>-29.022637848898786</v>
      </c>
      <c r="E119" s="362">
        <f>(E118-$B$118)/$B$118*100</f>
        <v>-59.613663877046164</v>
      </c>
      <c r="F119" s="362">
        <f>(F118-$B$118)/$B$118*100</f>
        <v>-64.433192698045971</v>
      </c>
    </row>
    <row r="132" spans="1:7" ht="16.5" customHeight="1">
      <c r="A132" s="574"/>
      <c r="B132" s="582" t="s">
        <v>182</v>
      </c>
      <c r="C132" s="575" t="s">
        <v>183</v>
      </c>
      <c r="D132" s="574" t="s">
        <v>231</v>
      </c>
      <c r="E132" s="574"/>
      <c r="F132" s="574"/>
      <c r="G132" s="574"/>
    </row>
    <row r="133" spans="1:7" ht="15.75">
      <c r="A133" s="574"/>
      <c r="B133" s="582"/>
      <c r="C133" s="575"/>
      <c r="D133" s="340">
        <v>1</v>
      </c>
      <c r="E133" s="340">
        <v>2</v>
      </c>
      <c r="F133" s="340">
        <v>3</v>
      </c>
      <c r="G133" s="340">
        <v>4</v>
      </c>
    </row>
    <row r="134" spans="1:7" ht="15.75">
      <c r="A134" s="574"/>
      <c r="B134" s="582"/>
      <c r="C134" s="575"/>
      <c r="D134" s="574" t="s">
        <v>232</v>
      </c>
      <c r="E134" s="574"/>
      <c r="F134" s="574"/>
      <c r="G134" s="574"/>
    </row>
    <row r="135" spans="1:7" ht="15.75">
      <c r="A135" s="574"/>
      <c r="B135" s="388" t="s">
        <v>225</v>
      </c>
      <c r="C135" s="340" t="s">
        <v>230</v>
      </c>
      <c r="D135" s="340">
        <v>0.6</v>
      </c>
      <c r="E135" s="340">
        <v>0.7</v>
      </c>
      <c r="F135" s="340">
        <v>0.8</v>
      </c>
      <c r="G135" s="340">
        <v>0.9</v>
      </c>
    </row>
    <row r="136" spans="1:7" ht="15.75">
      <c r="A136" s="340">
        <v>0</v>
      </c>
      <c r="B136" s="388" t="s">
        <v>95</v>
      </c>
      <c r="C136" s="363">
        <v>6996</v>
      </c>
      <c r="D136" s="372">
        <v>1.7000000000000001E-2</v>
      </c>
      <c r="E136" s="372">
        <v>3.4000000000000002E-2</v>
      </c>
      <c r="F136" s="372">
        <v>5.2999999999999999E-2</v>
      </c>
      <c r="G136" s="372">
        <v>7.9000000000000001E-2</v>
      </c>
    </row>
    <row r="137" spans="1:7" ht="47.25">
      <c r="A137" s="340">
        <v>1</v>
      </c>
      <c r="B137" s="388" t="s">
        <v>3</v>
      </c>
      <c r="C137" s="363">
        <v>1299</v>
      </c>
      <c r="D137" s="372">
        <v>0.108</v>
      </c>
      <c r="E137" s="372">
        <v>0.223</v>
      </c>
      <c r="F137" s="372">
        <v>0.35699999999999998</v>
      </c>
      <c r="G137" s="372">
        <v>0.63</v>
      </c>
    </row>
    <row r="138" spans="1:7" ht="15.75">
      <c r="A138" s="340">
        <v>2</v>
      </c>
      <c r="B138" s="388" t="s">
        <v>4</v>
      </c>
      <c r="C138" s="365">
        <v>376</v>
      </c>
      <c r="D138" s="372">
        <v>0.126</v>
      </c>
      <c r="E138" s="372">
        <v>0.14399999999999999</v>
      </c>
      <c r="F138" s="372">
        <v>0.24199999999999999</v>
      </c>
      <c r="G138" s="372">
        <v>0.35099999999999998</v>
      </c>
    </row>
    <row r="139" spans="1:7" ht="15.75">
      <c r="A139" s="340">
        <v>3</v>
      </c>
      <c r="B139" s="388" t="s">
        <v>11</v>
      </c>
      <c r="C139" s="363">
        <v>34821</v>
      </c>
      <c r="D139" s="372">
        <v>2.1999999999999999E-2</v>
      </c>
      <c r="E139" s="372">
        <v>3.5999999999999997E-2</v>
      </c>
      <c r="F139" s="372">
        <v>6.2E-2</v>
      </c>
      <c r="G139" s="372">
        <v>0.111</v>
      </c>
    </row>
    <row r="140" spans="1:7" ht="31.5">
      <c r="A140" s="340">
        <v>4</v>
      </c>
      <c r="B140" s="388" t="s">
        <v>12</v>
      </c>
      <c r="C140" s="363">
        <v>63685</v>
      </c>
      <c r="D140" s="372">
        <v>7.0000000000000001E-3</v>
      </c>
      <c r="E140" s="372">
        <v>0.01</v>
      </c>
      <c r="F140" s="372">
        <v>1.9E-2</v>
      </c>
      <c r="G140" s="372">
        <v>3.4000000000000002E-2</v>
      </c>
    </row>
    <row r="141" spans="1:7" ht="31.5">
      <c r="A141" s="340">
        <v>5</v>
      </c>
      <c r="B141" s="388" t="s">
        <v>13</v>
      </c>
      <c r="C141" s="363">
        <v>15922</v>
      </c>
      <c r="D141" s="372">
        <v>4.4999999999999998E-2</v>
      </c>
      <c r="E141" s="372">
        <v>7.1999999999999995E-2</v>
      </c>
      <c r="F141" s="372">
        <v>0.11799999999999999</v>
      </c>
      <c r="G141" s="372">
        <v>0.192</v>
      </c>
    </row>
    <row r="142" spans="1:7" ht="15.75">
      <c r="A142" s="340">
        <v>6</v>
      </c>
      <c r="B142" s="388" t="s">
        <v>5</v>
      </c>
      <c r="C142" s="363">
        <v>95077</v>
      </c>
      <c r="D142" s="372">
        <v>1.0999999999999999E-2</v>
      </c>
      <c r="E142" s="372">
        <v>1.7999999999999999E-2</v>
      </c>
      <c r="F142" s="372">
        <v>3.1E-2</v>
      </c>
      <c r="G142" s="372">
        <v>5.8999999999999997E-2</v>
      </c>
    </row>
    <row r="143" spans="1:7" ht="31.5">
      <c r="A143" s="340">
        <v>7</v>
      </c>
      <c r="B143" s="388" t="s">
        <v>2</v>
      </c>
      <c r="C143" s="365">
        <v>204</v>
      </c>
      <c r="D143" s="372">
        <v>7.0000000000000001E-3</v>
      </c>
      <c r="E143" s="372">
        <v>1.4999999999999999E-2</v>
      </c>
      <c r="F143" s="372">
        <v>2.4E-2</v>
      </c>
      <c r="G143" s="372">
        <v>3.6999999999999998E-2</v>
      </c>
    </row>
    <row r="144" spans="1:7" ht="94.5">
      <c r="A144" s="340">
        <v>8</v>
      </c>
      <c r="B144" s="388" t="s">
        <v>130</v>
      </c>
      <c r="C144" s="365">
        <v>76</v>
      </c>
      <c r="D144" s="372">
        <v>2.3E-2</v>
      </c>
      <c r="E144" s="372">
        <v>4.2999999999999997E-2</v>
      </c>
      <c r="F144" s="372">
        <v>7.0000000000000007E-2</v>
      </c>
      <c r="G144" s="372">
        <v>0.12</v>
      </c>
    </row>
    <row r="145" spans="1:13" ht="31.5">
      <c r="A145" s="340">
        <v>9</v>
      </c>
      <c r="B145" s="388" t="s">
        <v>6</v>
      </c>
      <c r="C145" s="365">
        <v>912</v>
      </c>
      <c r="D145" s="372">
        <v>7.8E-2</v>
      </c>
      <c r="E145" s="372">
        <v>6.0000000000000001E-3</v>
      </c>
      <c r="F145" s="372">
        <v>1.2999999999999999E-2</v>
      </c>
      <c r="G145" s="372">
        <v>0.02</v>
      </c>
    </row>
    <row r="146" spans="1:13" ht="31.5">
      <c r="A146" s="340">
        <v>10</v>
      </c>
      <c r="B146" s="388" t="s">
        <v>7</v>
      </c>
      <c r="C146" s="365">
        <v>19</v>
      </c>
      <c r="D146" s="372">
        <v>8.3000000000000004E-2</v>
      </c>
      <c r="E146" s="372">
        <v>7.2999999999999995E-2</v>
      </c>
      <c r="F146" s="372">
        <v>0.11799999999999999</v>
      </c>
      <c r="G146" s="372">
        <v>0.17899999999999999</v>
      </c>
    </row>
    <row r="147" spans="1:13" ht="31.5">
      <c r="A147" s="340">
        <v>11</v>
      </c>
      <c r="B147" s="388" t="s">
        <v>8</v>
      </c>
      <c r="C147" s="363">
        <v>2693</v>
      </c>
      <c r="D147" s="372">
        <v>2.3E-2</v>
      </c>
      <c r="E147" s="372">
        <v>4.1000000000000002E-2</v>
      </c>
      <c r="F147" s="372">
        <v>7.5999999999999998E-2</v>
      </c>
      <c r="G147" s="372">
        <v>0.184</v>
      </c>
    </row>
    <row r="148" spans="1:13" ht="31.5">
      <c r="A148" s="340">
        <v>12</v>
      </c>
      <c r="B148" s="388" t="s">
        <v>9</v>
      </c>
      <c r="C148" s="365">
        <v>86</v>
      </c>
      <c r="D148" s="372">
        <v>3.4000000000000002E-2</v>
      </c>
      <c r="E148" s="372">
        <v>6.8000000000000005E-2</v>
      </c>
      <c r="F148" s="372">
        <v>0.127</v>
      </c>
      <c r="G148" s="372">
        <v>0.34</v>
      </c>
    </row>
    <row r="149" spans="1:13" ht="31.5">
      <c r="A149" s="340">
        <v>13</v>
      </c>
      <c r="B149" s="388" t="s">
        <v>10</v>
      </c>
      <c r="C149" s="365">
        <v>190</v>
      </c>
      <c r="D149" s="372">
        <v>4.8000000000000001E-2</v>
      </c>
      <c r="E149" s="372">
        <v>4.2999999999999997E-2</v>
      </c>
      <c r="F149" s="372">
        <v>7.0000000000000007E-2</v>
      </c>
      <c r="G149" s="372">
        <v>0.11</v>
      </c>
    </row>
    <row r="150" spans="1:13" ht="15.75">
      <c r="A150" s="340">
        <v>14</v>
      </c>
      <c r="B150" s="388" t="s">
        <v>93</v>
      </c>
      <c r="C150" s="365">
        <v>82</v>
      </c>
      <c r="D150" s="372">
        <v>2.1000000000000001E-2</v>
      </c>
      <c r="E150" s="372">
        <v>4.1000000000000002E-2</v>
      </c>
      <c r="F150" s="372">
        <v>6.5000000000000002E-2</v>
      </c>
      <c r="G150" s="372">
        <v>0.113</v>
      </c>
    </row>
    <row r="154" spans="1:13" ht="15.75">
      <c r="A154" s="574"/>
      <c r="B154" s="582" t="s">
        <v>182</v>
      </c>
      <c r="C154" s="575" t="s">
        <v>183</v>
      </c>
      <c r="D154" s="574" t="s">
        <v>231</v>
      </c>
      <c r="E154" s="574"/>
      <c r="F154" s="574"/>
      <c r="G154" s="574"/>
      <c r="J154" s="368" t="s">
        <v>231</v>
      </c>
      <c r="K154" s="369"/>
      <c r="L154" s="369"/>
      <c r="M154" s="370"/>
    </row>
    <row r="155" spans="1:13" ht="15.75">
      <c r="A155" s="574"/>
      <c r="B155" s="582"/>
      <c r="C155" s="575"/>
      <c r="D155" s="340">
        <v>1</v>
      </c>
      <c r="E155" s="340">
        <v>2</v>
      </c>
      <c r="F155" s="340">
        <v>3</v>
      </c>
      <c r="G155" s="340">
        <v>4</v>
      </c>
      <c r="J155" s="340">
        <v>1</v>
      </c>
      <c r="K155" s="340">
        <v>2</v>
      </c>
      <c r="L155" s="340">
        <v>3</v>
      </c>
      <c r="M155" s="340">
        <v>4</v>
      </c>
    </row>
    <row r="156" spans="1:13" ht="15.75">
      <c r="A156" s="574"/>
      <c r="B156" s="582"/>
      <c r="C156" s="575"/>
      <c r="D156" s="574" t="s">
        <v>232</v>
      </c>
      <c r="E156" s="574"/>
      <c r="F156" s="574"/>
      <c r="G156" s="574"/>
      <c r="J156" s="340" t="s">
        <v>232</v>
      </c>
      <c r="K156" s="340"/>
      <c r="L156" s="340"/>
      <c r="M156" s="340"/>
    </row>
    <row r="157" spans="1:13" ht="15.75">
      <c r="A157" s="574"/>
      <c r="B157" s="388" t="s">
        <v>225</v>
      </c>
      <c r="C157" s="340" t="s">
        <v>230</v>
      </c>
      <c r="D157" s="340">
        <v>0.6</v>
      </c>
      <c r="E157" s="340">
        <v>0.7</v>
      </c>
      <c r="F157" s="340">
        <v>0.8</v>
      </c>
      <c r="G157" s="340">
        <v>0.9</v>
      </c>
      <c r="J157" s="340">
        <v>0.6</v>
      </c>
      <c r="K157" s="340">
        <v>0.7</v>
      </c>
      <c r="L157" s="340">
        <v>0.8</v>
      </c>
      <c r="M157" s="340">
        <v>0.9</v>
      </c>
    </row>
    <row r="158" spans="1:13" ht="15.75">
      <c r="A158" s="340">
        <v>0</v>
      </c>
      <c r="B158" s="388" t="s">
        <v>95</v>
      </c>
      <c r="C158" s="363">
        <v>6996</v>
      </c>
      <c r="D158" s="364">
        <f>$C158*D136</f>
        <v>118.932</v>
      </c>
      <c r="E158" s="364">
        <f t="shared" ref="E158:G158" si="8">$C158*E136</f>
        <v>237.864</v>
      </c>
      <c r="F158" s="364">
        <f t="shared" si="8"/>
        <v>370.78800000000001</v>
      </c>
      <c r="G158" s="364">
        <f t="shared" si="8"/>
        <v>552.68399999999997</v>
      </c>
      <c r="H158" s="153">
        <v>10500</v>
      </c>
      <c r="I158" s="366">
        <f>C158*$H158/10</f>
        <v>7345800</v>
      </c>
      <c r="J158" s="371">
        <f>D158*$H158/10</f>
        <v>124878.6</v>
      </c>
      <c r="K158" s="371">
        <f t="shared" ref="K158:M172" si="9">E158*$H158/10</f>
        <v>249757.2</v>
      </c>
      <c r="L158" s="371">
        <f t="shared" si="9"/>
        <v>389327.4</v>
      </c>
      <c r="M158" s="371">
        <f t="shared" si="9"/>
        <v>580318.19999999995</v>
      </c>
    </row>
    <row r="159" spans="1:13" ht="47.25">
      <c r="A159" s="340">
        <v>1</v>
      </c>
      <c r="B159" s="388" t="s">
        <v>3</v>
      </c>
      <c r="C159" s="363">
        <v>1299</v>
      </c>
      <c r="D159" s="364">
        <f t="shared" ref="D159:G172" si="10">$C159*D137</f>
        <v>140.292</v>
      </c>
      <c r="E159" s="364">
        <f t="shared" si="10"/>
        <v>289.67700000000002</v>
      </c>
      <c r="F159" s="364">
        <f t="shared" si="10"/>
        <v>463.74299999999999</v>
      </c>
      <c r="G159" s="364">
        <f t="shared" si="10"/>
        <v>818.37</v>
      </c>
      <c r="H159" s="144">
        <v>17</v>
      </c>
      <c r="I159" s="366">
        <f t="shared" ref="I159:I172" si="11">C159*$H159/10</f>
        <v>2208.3000000000002</v>
      </c>
      <c r="J159" s="371">
        <f t="shared" ref="J159:J172" si="12">D159*$H159/10</f>
        <v>238.49639999999999</v>
      </c>
      <c r="K159" s="371">
        <f t="shared" si="9"/>
        <v>492.45089999999999</v>
      </c>
      <c r="L159" s="371">
        <f t="shared" si="9"/>
        <v>788.36310000000003</v>
      </c>
      <c r="M159" s="371">
        <f t="shared" si="9"/>
        <v>1391.229</v>
      </c>
    </row>
    <row r="160" spans="1:13" ht="15.75">
      <c r="A160" s="340">
        <v>2</v>
      </c>
      <c r="B160" s="388" t="s">
        <v>4</v>
      </c>
      <c r="C160" s="365">
        <v>376</v>
      </c>
      <c r="D160" s="364">
        <f t="shared" si="10"/>
        <v>47.375999999999998</v>
      </c>
      <c r="E160" s="364">
        <f t="shared" si="10"/>
        <v>54.143999999999998</v>
      </c>
      <c r="F160" s="364">
        <f t="shared" si="10"/>
        <v>90.99199999999999</v>
      </c>
      <c r="G160" s="364">
        <f t="shared" si="10"/>
        <v>131.976</v>
      </c>
      <c r="H160" s="144">
        <v>11</v>
      </c>
      <c r="I160" s="366">
        <f t="shared" si="11"/>
        <v>413.6</v>
      </c>
      <c r="J160" s="371">
        <f t="shared" si="12"/>
        <v>52.113599999999998</v>
      </c>
      <c r="K160" s="371">
        <f t="shared" si="9"/>
        <v>59.558399999999992</v>
      </c>
      <c r="L160" s="371">
        <f t="shared" si="9"/>
        <v>100.09119999999999</v>
      </c>
      <c r="M160" s="371">
        <f t="shared" si="9"/>
        <v>145.17359999999999</v>
      </c>
    </row>
    <row r="161" spans="1:13" ht="15.75">
      <c r="A161" s="340">
        <v>3</v>
      </c>
      <c r="B161" s="388" t="s">
        <v>11</v>
      </c>
      <c r="C161" s="363">
        <v>34821</v>
      </c>
      <c r="D161" s="364">
        <f t="shared" si="10"/>
        <v>766.06200000000001</v>
      </c>
      <c r="E161" s="364">
        <f t="shared" si="10"/>
        <v>1253.5559999999998</v>
      </c>
      <c r="F161" s="364">
        <f t="shared" si="10"/>
        <v>2158.902</v>
      </c>
      <c r="G161" s="364">
        <f t="shared" si="10"/>
        <v>3865.1309999999999</v>
      </c>
      <c r="H161" s="144">
        <v>40.39</v>
      </c>
      <c r="I161" s="366">
        <f t="shared" si="11"/>
        <v>140642.019</v>
      </c>
      <c r="J161" s="371">
        <f t="shared" si="12"/>
        <v>3094.1244180000003</v>
      </c>
      <c r="K161" s="371">
        <f t="shared" si="9"/>
        <v>5063.1126839999988</v>
      </c>
      <c r="L161" s="371">
        <f t="shared" si="9"/>
        <v>8719.8051780000005</v>
      </c>
      <c r="M161" s="371">
        <f t="shared" si="9"/>
        <v>15611.264109</v>
      </c>
    </row>
    <row r="162" spans="1:13" ht="31.5">
      <c r="A162" s="340">
        <v>4</v>
      </c>
      <c r="B162" s="388" t="s">
        <v>12</v>
      </c>
      <c r="C162" s="363">
        <v>63685</v>
      </c>
      <c r="D162" s="364">
        <f t="shared" si="10"/>
        <v>445.79500000000002</v>
      </c>
      <c r="E162" s="364">
        <f t="shared" si="10"/>
        <v>636.85</v>
      </c>
      <c r="F162" s="364">
        <f t="shared" si="10"/>
        <v>1210.0149999999999</v>
      </c>
      <c r="G162" s="364">
        <f t="shared" si="10"/>
        <v>2165.29</v>
      </c>
      <c r="H162" s="144">
        <v>1.59</v>
      </c>
      <c r="I162" s="366">
        <f t="shared" si="11"/>
        <v>10125.915000000001</v>
      </c>
      <c r="J162" s="371">
        <f t="shared" si="12"/>
        <v>70.881405000000001</v>
      </c>
      <c r="K162" s="371">
        <f t="shared" si="9"/>
        <v>101.25915000000001</v>
      </c>
      <c r="L162" s="371">
        <f t="shared" si="9"/>
        <v>192.39238499999999</v>
      </c>
      <c r="M162" s="371">
        <f t="shared" si="9"/>
        <v>344.28111000000001</v>
      </c>
    </row>
    <row r="163" spans="1:13" ht="31.5">
      <c r="A163" s="340">
        <v>5</v>
      </c>
      <c r="B163" s="388" t="s">
        <v>13</v>
      </c>
      <c r="C163" s="363">
        <v>15922</v>
      </c>
      <c r="D163" s="364">
        <f t="shared" si="10"/>
        <v>716.49</v>
      </c>
      <c r="E163" s="364">
        <f t="shared" si="10"/>
        <v>1146.384</v>
      </c>
      <c r="F163" s="364">
        <f t="shared" si="10"/>
        <v>1878.7959999999998</v>
      </c>
      <c r="G163" s="364">
        <f t="shared" si="10"/>
        <v>3057.0239999999999</v>
      </c>
      <c r="H163" s="144">
        <v>0.57799999999999996</v>
      </c>
      <c r="I163" s="366">
        <f t="shared" si="11"/>
        <v>920.2915999999999</v>
      </c>
      <c r="J163" s="371">
        <f t="shared" si="12"/>
        <v>41.413122000000001</v>
      </c>
      <c r="K163" s="371">
        <f t="shared" si="9"/>
        <v>66.260995199999996</v>
      </c>
      <c r="L163" s="371">
        <f t="shared" si="9"/>
        <v>108.59440879999997</v>
      </c>
      <c r="M163" s="371">
        <f t="shared" si="9"/>
        <v>176.69598719999999</v>
      </c>
    </row>
    <row r="164" spans="1:13" ht="15.75">
      <c r="A164" s="340">
        <v>6</v>
      </c>
      <c r="B164" s="388" t="s">
        <v>5</v>
      </c>
      <c r="C164" s="363">
        <v>95077</v>
      </c>
      <c r="D164" s="364">
        <f t="shared" si="10"/>
        <v>1045.847</v>
      </c>
      <c r="E164" s="364">
        <f t="shared" si="10"/>
        <v>1711.386</v>
      </c>
      <c r="F164" s="364">
        <f t="shared" si="10"/>
        <v>2947.3870000000002</v>
      </c>
      <c r="G164" s="364">
        <f t="shared" si="10"/>
        <v>5609.5429999999997</v>
      </c>
      <c r="H164" s="144">
        <v>2.83</v>
      </c>
      <c r="I164" s="366">
        <f t="shared" si="11"/>
        <v>26906.791000000005</v>
      </c>
      <c r="J164" s="371">
        <f t="shared" si="12"/>
        <v>295.97470099999998</v>
      </c>
      <c r="K164" s="371">
        <f t="shared" si="9"/>
        <v>484.32223800000003</v>
      </c>
      <c r="L164" s="371">
        <f t="shared" si="9"/>
        <v>834.11052100000018</v>
      </c>
      <c r="M164" s="371">
        <f t="shared" si="9"/>
        <v>1587.500669</v>
      </c>
    </row>
    <row r="165" spans="1:13" ht="31.5">
      <c r="A165" s="340">
        <v>7</v>
      </c>
      <c r="B165" s="388" t="s">
        <v>2</v>
      </c>
      <c r="C165" s="365">
        <v>204</v>
      </c>
      <c r="D165" s="364">
        <f t="shared" si="10"/>
        <v>1.4279999999999999</v>
      </c>
      <c r="E165" s="364">
        <f t="shared" si="10"/>
        <v>3.06</v>
      </c>
      <c r="F165" s="364">
        <f t="shared" si="10"/>
        <v>4.8959999999999999</v>
      </c>
      <c r="G165" s="364">
        <f t="shared" si="10"/>
        <v>7.548</v>
      </c>
      <c r="H165" s="144">
        <v>100</v>
      </c>
      <c r="I165" s="366">
        <f t="shared" si="11"/>
        <v>2040</v>
      </c>
      <c r="J165" s="371">
        <f t="shared" si="12"/>
        <v>14.279999999999998</v>
      </c>
      <c r="K165" s="371">
        <f t="shared" si="9"/>
        <v>30.6</v>
      </c>
      <c r="L165" s="371">
        <f t="shared" si="9"/>
        <v>48.959999999999994</v>
      </c>
      <c r="M165" s="371">
        <f t="shared" si="9"/>
        <v>75.47999999999999</v>
      </c>
    </row>
    <row r="166" spans="1:13" ht="94.5">
      <c r="A166" s="340">
        <v>8</v>
      </c>
      <c r="B166" s="388" t="s">
        <v>130</v>
      </c>
      <c r="C166" s="365">
        <v>76</v>
      </c>
      <c r="D166" s="364">
        <f t="shared" si="10"/>
        <v>1.748</v>
      </c>
      <c r="E166" s="364">
        <f t="shared" si="10"/>
        <v>3.2679999999999998</v>
      </c>
      <c r="F166" s="364">
        <f t="shared" si="10"/>
        <v>5.32</v>
      </c>
      <c r="G166" s="364">
        <f t="shared" si="10"/>
        <v>9.1199999999999992</v>
      </c>
      <c r="H166" s="145">
        <v>2.5</v>
      </c>
      <c r="I166" s="366">
        <f t="shared" si="11"/>
        <v>19</v>
      </c>
      <c r="J166" s="371">
        <f t="shared" si="12"/>
        <v>0.437</v>
      </c>
      <c r="K166" s="371">
        <f t="shared" si="9"/>
        <v>0.81699999999999995</v>
      </c>
      <c r="L166" s="371">
        <f t="shared" si="9"/>
        <v>1.33</v>
      </c>
      <c r="M166" s="371">
        <f t="shared" si="9"/>
        <v>2.2799999999999998</v>
      </c>
    </row>
    <row r="167" spans="1:13" ht="31.5">
      <c r="A167" s="340">
        <v>9</v>
      </c>
      <c r="B167" s="388" t="s">
        <v>6</v>
      </c>
      <c r="C167" s="365">
        <v>912</v>
      </c>
      <c r="D167" s="364">
        <f t="shared" si="10"/>
        <v>71.135999999999996</v>
      </c>
      <c r="E167" s="364">
        <f t="shared" si="10"/>
        <v>5.4720000000000004</v>
      </c>
      <c r="F167" s="364">
        <f t="shared" si="10"/>
        <v>11.856</v>
      </c>
      <c r="G167" s="364">
        <f t="shared" si="10"/>
        <v>18.240000000000002</v>
      </c>
      <c r="H167" s="144">
        <v>145</v>
      </c>
      <c r="I167" s="366">
        <f t="shared" si="11"/>
        <v>13224</v>
      </c>
      <c r="J167" s="371">
        <f t="shared" si="12"/>
        <v>1031.472</v>
      </c>
      <c r="K167" s="371">
        <f t="shared" si="9"/>
        <v>79.344000000000008</v>
      </c>
      <c r="L167" s="371">
        <f t="shared" si="9"/>
        <v>171.91199999999998</v>
      </c>
      <c r="M167" s="371">
        <f t="shared" si="9"/>
        <v>264.48</v>
      </c>
    </row>
    <row r="168" spans="1:13" ht="31.5">
      <c r="A168" s="340">
        <v>10</v>
      </c>
      <c r="B168" s="388" t="s">
        <v>7</v>
      </c>
      <c r="C168" s="365">
        <v>19</v>
      </c>
      <c r="D168" s="364">
        <f t="shared" si="10"/>
        <v>1.5770000000000002</v>
      </c>
      <c r="E168" s="364">
        <f t="shared" si="10"/>
        <v>1.387</v>
      </c>
      <c r="F168" s="364">
        <f t="shared" si="10"/>
        <v>2.242</v>
      </c>
      <c r="G168" s="364">
        <f t="shared" si="10"/>
        <v>3.4009999999999998</v>
      </c>
      <c r="H168" s="144">
        <v>341.88</v>
      </c>
      <c r="I168" s="366">
        <f t="shared" si="11"/>
        <v>649.572</v>
      </c>
      <c r="J168" s="371">
        <f t="shared" si="12"/>
        <v>53.914476000000001</v>
      </c>
      <c r="K168" s="371">
        <f t="shared" si="9"/>
        <v>47.418756000000002</v>
      </c>
      <c r="L168" s="371">
        <f t="shared" si="9"/>
        <v>76.649495999999999</v>
      </c>
      <c r="M168" s="371">
        <f t="shared" si="9"/>
        <v>116.273388</v>
      </c>
    </row>
    <row r="169" spans="1:13" ht="31.5">
      <c r="A169" s="340">
        <v>11</v>
      </c>
      <c r="B169" s="388" t="s">
        <v>8</v>
      </c>
      <c r="C169" s="363">
        <v>2693</v>
      </c>
      <c r="D169" s="364">
        <f t="shared" si="10"/>
        <v>61.939</v>
      </c>
      <c r="E169" s="364">
        <f t="shared" si="10"/>
        <v>110.41300000000001</v>
      </c>
      <c r="F169" s="364">
        <f t="shared" si="10"/>
        <v>204.66800000000001</v>
      </c>
      <c r="G169" s="364">
        <f t="shared" si="10"/>
        <v>495.512</v>
      </c>
      <c r="H169" s="144">
        <v>210</v>
      </c>
      <c r="I169" s="366">
        <f t="shared" si="11"/>
        <v>56553</v>
      </c>
      <c r="J169" s="371">
        <f t="shared" si="12"/>
        <v>1300.7190000000001</v>
      </c>
      <c r="K169" s="371">
        <f t="shared" si="9"/>
        <v>2318.6730000000002</v>
      </c>
      <c r="L169" s="371">
        <f t="shared" si="9"/>
        <v>4298.0280000000002</v>
      </c>
      <c r="M169" s="371">
        <f t="shared" si="9"/>
        <v>10405.752</v>
      </c>
    </row>
    <row r="170" spans="1:13" ht="31.5">
      <c r="A170" s="340">
        <v>12</v>
      </c>
      <c r="B170" s="388" t="s">
        <v>9</v>
      </c>
      <c r="C170" s="365">
        <v>86</v>
      </c>
      <c r="D170" s="364">
        <f t="shared" si="10"/>
        <v>2.9240000000000004</v>
      </c>
      <c r="E170" s="364">
        <f t="shared" si="10"/>
        <v>5.8480000000000008</v>
      </c>
      <c r="F170" s="364">
        <f t="shared" si="10"/>
        <v>10.922000000000001</v>
      </c>
      <c r="G170" s="364">
        <f t="shared" si="10"/>
        <v>29.240000000000002</v>
      </c>
      <c r="H170" s="144">
        <v>80</v>
      </c>
      <c r="I170" s="366">
        <f t="shared" si="11"/>
        <v>688</v>
      </c>
      <c r="J170" s="371">
        <f t="shared" si="12"/>
        <v>23.392000000000003</v>
      </c>
      <c r="K170" s="371">
        <f t="shared" si="9"/>
        <v>46.784000000000006</v>
      </c>
      <c r="L170" s="371">
        <f t="shared" si="9"/>
        <v>87.376000000000005</v>
      </c>
      <c r="M170" s="371">
        <f t="shared" si="9"/>
        <v>233.92000000000002</v>
      </c>
    </row>
    <row r="171" spans="1:13" ht="31.5">
      <c r="A171" s="340">
        <v>13</v>
      </c>
      <c r="B171" s="388" t="s">
        <v>10</v>
      </c>
      <c r="C171" s="365">
        <v>190</v>
      </c>
      <c r="D171" s="364">
        <f t="shared" si="10"/>
        <v>9.120000000000001</v>
      </c>
      <c r="E171" s="364">
        <f t="shared" si="10"/>
        <v>8.17</v>
      </c>
      <c r="F171" s="364">
        <f t="shared" si="10"/>
        <v>13.3</v>
      </c>
      <c r="G171" s="364">
        <f t="shared" si="10"/>
        <v>20.9</v>
      </c>
      <c r="H171" s="144">
        <v>85</v>
      </c>
      <c r="I171" s="366">
        <f t="shared" si="11"/>
        <v>1615</v>
      </c>
      <c r="J171" s="371">
        <f t="shared" si="12"/>
        <v>77.52000000000001</v>
      </c>
      <c r="K171" s="371">
        <f t="shared" si="9"/>
        <v>69.445000000000007</v>
      </c>
      <c r="L171" s="371">
        <f t="shared" si="9"/>
        <v>113.05</v>
      </c>
      <c r="M171" s="371">
        <f t="shared" si="9"/>
        <v>177.64999999999998</v>
      </c>
    </row>
    <row r="172" spans="1:13" ht="15.75">
      <c r="A172" s="340">
        <v>14</v>
      </c>
      <c r="B172" s="388" t="s">
        <v>93</v>
      </c>
      <c r="C172" s="365">
        <v>82</v>
      </c>
      <c r="D172" s="364">
        <f t="shared" si="10"/>
        <v>1.7220000000000002</v>
      </c>
      <c r="E172" s="364">
        <f t="shared" si="10"/>
        <v>3.3620000000000001</v>
      </c>
      <c r="F172" s="364">
        <f t="shared" si="10"/>
        <v>5.33</v>
      </c>
      <c r="G172" s="364">
        <f t="shared" si="10"/>
        <v>9.266</v>
      </c>
      <c r="H172" s="144">
        <v>16.5</v>
      </c>
      <c r="I172" s="366">
        <f t="shared" si="11"/>
        <v>135.30000000000001</v>
      </c>
      <c r="J172" s="371">
        <f t="shared" si="12"/>
        <v>2.8413000000000004</v>
      </c>
      <c r="K172" s="371">
        <f t="shared" si="9"/>
        <v>5.5472999999999999</v>
      </c>
      <c r="L172" s="371">
        <f t="shared" si="9"/>
        <v>8.7945000000000011</v>
      </c>
      <c r="M172" s="371">
        <f t="shared" si="9"/>
        <v>15.288900000000002</v>
      </c>
    </row>
    <row r="173" spans="1:13" ht="18.75">
      <c r="C173" s="367">
        <v>15638965</v>
      </c>
      <c r="I173">
        <v>0</v>
      </c>
      <c r="J173" s="360">
        <f>SUM(J158:J172)</f>
        <v>131176.17942199999</v>
      </c>
      <c r="K173" s="360">
        <f t="shared" ref="K173:M173" si="13">SUM(K158:K172)</f>
        <v>258622.79342320006</v>
      </c>
      <c r="L173" s="360">
        <f t="shared" si="13"/>
        <v>404876.85678880016</v>
      </c>
      <c r="M173" s="360">
        <f t="shared" si="13"/>
        <v>610865.46876319998</v>
      </c>
    </row>
    <row r="174" spans="1:13" ht="19.5" thickBot="1">
      <c r="C174" s="367">
        <v>6975421</v>
      </c>
      <c r="I174" s="360">
        <f>SUM(I158:I172)</f>
        <v>7601940.7885999996</v>
      </c>
      <c r="J174" s="361">
        <f>$C$174+J173</f>
        <v>7106597.1794220004</v>
      </c>
      <c r="K174" s="361">
        <f t="shared" ref="K174:M174" si="14">$C$174+K173</f>
        <v>7234043.7934232</v>
      </c>
      <c r="L174" s="361">
        <f t="shared" si="14"/>
        <v>7380297.8567888001</v>
      </c>
      <c r="M174" s="361">
        <f t="shared" si="14"/>
        <v>7586286.4687631996</v>
      </c>
    </row>
    <row r="175" spans="1:13" ht="18.75">
      <c r="C175" s="367">
        <f>C173-C174</f>
        <v>8663544</v>
      </c>
      <c r="J175" s="360">
        <f>$C$173-J174</f>
        <v>8532367.8205779996</v>
      </c>
      <c r="K175" s="360">
        <f t="shared" ref="K175:M175" si="15">$C$173-K174</f>
        <v>8404921.2065768</v>
      </c>
      <c r="L175" s="360">
        <f t="shared" si="15"/>
        <v>8258667.1432111999</v>
      </c>
      <c r="M175" s="360">
        <f t="shared" si="15"/>
        <v>8052678.5312368004</v>
      </c>
    </row>
  </sheetData>
  <mergeCells count="22">
    <mergeCell ref="A154:A157"/>
    <mergeCell ref="B154:B156"/>
    <mergeCell ref="C154:C156"/>
    <mergeCell ref="D154:G154"/>
    <mergeCell ref="D156:G156"/>
    <mergeCell ref="D134:G134"/>
    <mergeCell ref="C132:C134"/>
    <mergeCell ref="C113:F113"/>
    <mergeCell ref="C114:F114"/>
    <mergeCell ref="A132:A135"/>
    <mergeCell ref="B132:B134"/>
    <mergeCell ref="D132:G132"/>
    <mergeCell ref="A96:B96"/>
    <mergeCell ref="A97:B97"/>
    <mergeCell ref="A98:A101"/>
    <mergeCell ref="A113:A115"/>
    <mergeCell ref="A43:A46"/>
    <mergeCell ref="A30:A32"/>
    <mergeCell ref="A41:B41"/>
    <mergeCell ref="A42:B42"/>
    <mergeCell ref="C30:F30"/>
    <mergeCell ref="B30:B32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66"/>
  <sheetViews>
    <sheetView topLeftCell="A34" zoomScale="75" zoomScaleNormal="75" workbookViewId="0">
      <selection activeCell="N48" sqref="N48"/>
    </sheetView>
  </sheetViews>
  <sheetFormatPr defaultRowHeight="12.75"/>
  <cols>
    <col min="2" max="2" width="31.28515625" customWidth="1"/>
    <col min="4" max="6" width="9.42578125" bestFit="1" customWidth="1"/>
    <col min="13" max="13" width="11.7109375" bestFit="1" customWidth="1"/>
    <col min="14" max="14" width="12.140625" bestFit="1" customWidth="1"/>
    <col min="15" max="17" width="12.85546875" customWidth="1"/>
  </cols>
  <sheetData>
    <row r="1" spans="1:7" ht="15.75">
      <c r="A1" s="589"/>
      <c r="B1" s="411" t="s">
        <v>182</v>
      </c>
      <c r="C1" s="592" t="s">
        <v>183</v>
      </c>
      <c r="D1" s="411" t="s">
        <v>184</v>
      </c>
      <c r="E1" s="411"/>
      <c r="F1" s="411"/>
      <c r="G1" s="412"/>
    </row>
    <row r="2" spans="1:7" ht="15.75">
      <c r="A2" s="590"/>
      <c r="B2" s="591"/>
      <c r="C2" s="593"/>
      <c r="D2" s="69">
        <v>1</v>
      </c>
      <c r="E2" s="69">
        <v>2</v>
      </c>
      <c r="F2" s="69">
        <v>3</v>
      </c>
      <c r="G2" s="65">
        <v>4</v>
      </c>
    </row>
    <row r="3" spans="1:7" ht="15.75">
      <c r="A3" s="590"/>
      <c r="B3" s="212" t="s">
        <v>185</v>
      </c>
      <c r="C3" s="69"/>
      <c r="D3" s="69">
        <v>0.6</v>
      </c>
      <c r="E3" s="69">
        <v>0.7</v>
      </c>
      <c r="F3" s="69">
        <v>0.8</v>
      </c>
      <c r="G3" s="65">
        <v>0.9</v>
      </c>
    </row>
    <row r="4" spans="1:7" ht="15.75">
      <c r="A4" s="186">
        <v>0</v>
      </c>
      <c r="B4" s="212" t="s">
        <v>95</v>
      </c>
      <c r="C4" s="69">
        <v>6928.4009999999998</v>
      </c>
      <c r="D4" s="213">
        <v>3.2300000000000002E-2</v>
      </c>
      <c r="E4" s="214">
        <v>6.4600000000000005E-2</v>
      </c>
      <c r="F4" s="214">
        <v>9.9699999999999997E-2</v>
      </c>
      <c r="G4" s="215">
        <v>0.14430000000000001</v>
      </c>
    </row>
    <row r="5" spans="1:7" ht="15.75">
      <c r="A5" s="186">
        <v>1</v>
      </c>
      <c r="B5" s="212" t="s">
        <v>3</v>
      </c>
      <c r="C5" s="69">
        <v>834.56667536580221</v>
      </c>
      <c r="D5" s="213">
        <v>0.14345303736283546</v>
      </c>
      <c r="E5" s="214">
        <v>0.25740000000000002</v>
      </c>
      <c r="F5" s="214">
        <v>0.35749999999999998</v>
      </c>
      <c r="G5" s="215">
        <v>0.45863596725530176</v>
      </c>
    </row>
    <row r="6" spans="1:7" ht="15.75">
      <c r="A6" s="186">
        <v>2</v>
      </c>
      <c r="B6" s="212" t="s">
        <v>4</v>
      </c>
      <c r="C6" s="69">
        <v>266.65378909650667</v>
      </c>
      <c r="D6" s="213">
        <v>8.2814279219250803E-2</v>
      </c>
      <c r="E6" s="214">
        <v>0.1575</v>
      </c>
      <c r="F6" s="214">
        <v>0.23069999999999999</v>
      </c>
      <c r="G6" s="215">
        <v>0.31353522559416813</v>
      </c>
    </row>
    <row r="7" spans="1:7" ht="15.75">
      <c r="A7" s="186">
        <v>3</v>
      </c>
      <c r="B7" s="212" t="s">
        <v>11</v>
      </c>
      <c r="C7" s="69">
        <v>25726.544909994795</v>
      </c>
      <c r="D7" s="213">
        <v>2.0126176323369025E-2</v>
      </c>
      <c r="E7" s="214">
        <v>4.0800000000000003E-2</v>
      </c>
      <c r="F7" s="214">
        <v>6.3899999999999998E-2</v>
      </c>
      <c r="G7" s="215">
        <v>9.4120002498648672E-2</v>
      </c>
    </row>
    <row r="8" spans="1:7" ht="15.75">
      <c r="A8" s="186">
        <v>4</v>
      </c>
      <c r="B8" s="212" t="s">
        <v>12</v>
      </c>
      <c r="C8" s="69">
        <v>44739.824004382142</v>
      </c>
      <c r="D8" s="213">
        <v>5.6264630546377439E-3</v>
      </c>
      <c r="E8" s="214">
        <v>1.1599999999999999E-2</v>
      </c>
      <c r="F8" s="214">
        <v>1.8499999999999999E-2</v>
      </c>
      <c r="G8" s="215">
        <v>2.7825954993608806E-2</v>
      </c>
    </row>
    <row r="9" spans="1:7" ht="15.75">
      <c r="A9" s="186">
        <v>5</v>
      </c>
      <c r="B9" s="212" t="s">
        <v>13</v>
      </c>
      <c r="C9" s="69">
        <v>12728.769781890962</v>
      </c>
      <c r="D9" s="213">
        <v>4.0096849094457758E-2</v>
      </c>
      <c r="E9" s="214">
        <v>7.9600000000000004E-2</v>
      </c>
      <c r="F9" s="214">
        <v>0.12189999999999999</v>
      </c>
      <c r="G9" s="215">
        <v>0.17444183569712696</v>
      </c>
    </row>
    <row r="10" spans="1:7" ht="15.75">
      <c r="A10" s="186">
        <v>6</v>
      </c>
      <c r="B10" s="212" t="s">
        <v>5</v>
      </c>
      <c r="C10" s="69">
        <v>69252.584237670366</v>
      </c>
      <c r="D10" s="213">
        <v>9.953777900603724E-3</v>
      </c>
      <c r="E10" s="214">
        <v>2.0400000000000001E-2</v>
      </c>
      <c r="F10" s="214">
        <v>3.2300000000000002E-2</v>
      </c>
      <c r="G10" s="215">
        <v>4.8395937301107542E-2</v>
      </c>
    </row>
    <row r="11" spans="1:7" ht="15.75">
      <c r="A11" s="186">
        <v>7</v>
      </c>
      <c r="B11" s="212" t="s">
        <v>2</v>
      </c>
      <c r="C11" s="69">
        <v>191.81654490875795</v>
      </c>
      <c r="D11" s="213">
        <v>7.6668258466896649E-3</v>
      </c>
      <c r="E11" s="214">
        <v>1.5699999999999999E-2</v>
      </c>
      <c r="F11" s="214">
        <v>2.5000000000000001E-2</v>
      </c>
      <c r="G11" s="215">
        <v>3.7612166901309085E-2</v>
      </c>
    </row>
    <row r="12" spans="1:7" ht="47.25">
      <c r="A12" s="186">
        <v>8</v>
      </c>
      <c r="B12" s="216" t="s">
        <v>130</v>
      </c>
      <c r="C12" s="71">
        <v>68.991208442325913</v>
      </c>
      <c r="D12" s="213">
        <v>2.5308656902105632E-2</v>
      </c>
      <c r="E12" s="213">
        <v>5.0999999999999997E-2</v>
      </c>
      <c r="F12" s="213">
        <v>7.9399999999999998E-2</v>
      </c>
      <c r="G12" s="217">
        <v>0.11609835691987713</v>
      </c>
    </row>
    <row r="13" spans="1:7" ht="15.75">
      <c r="A13" s="186">
        <v>9</v>
      </c>
      <c r="B13" s="212" t="s">
        <v>6</v>
      </c>
      <c r="C13" s="69">
        <v>439.71798020802402</v>
      </c>
      <c r="D13" s="213">
        <v>3.0760241823611285E-3</v>
      </c>
      <c r="E13" s="214">
        <v>6.3E-3</v>
      </c>
      <c r="F13" s="214">
        <v>1.01E-2</v>
      </c>
      <c r="G13" s="215">
        <v>1.5368154750395961E-2</v>
      </c>
    </row>
    <row r="14" spans="1:7" ht="15.75">
      <c r="A14" s="186">
        <v>10</v>
      </c>
      <c r="B14" s="212" t="s">
        <v>7</v>
      </c>
      <c r="C14" s="69">
        <v>16.937878503295337</v>
      </c>
      <c r="D14" s="213">
        <v>3.8656018179305078E-2</v>
      </c>
      <c r="E14" s="214">
        <v>7.6799999999999993E-2</v>
      </c>
      <c r="F14" s="214">
        <v>0.1178</v>
      </c>
      <c r="G14" s="215">
        <v>0.1690235321216586</v>
      </c>
    </row>
    <row r="15" spans="1:7" ht="15.75">
      <c r="A15" s="186">
        <v>11</v>
      </c>
      <c r="B15" s="212" t="s">
        <v>8</v>
      </c>
      <c r="C15" s="69">
        <v>1578.4154306605624</v>
      </c>
      <c r="D15" s="213">
        <v>2.4063572449433586E-2</v>
      </c>
      <c r="E15" s="214">
        <v>4.8599999999999997E-2</v>
      </c>
      <c r="F15" s="214">
        <v>7.5700000000000003E-2</v>
      </c>
      <c r="G15" s="215">
        <v>0.11089495550289817</v>
      </c>
    </row>
    <row r="16" spans="1:7" ht="15.75">
      <c r="A16" s="186">
        <v>12</v>
      </c>
      <c r="B16" s="212" t="s">
        <v>9</v>
      </c>
      <c r="C16" s="69">
        <v>46.922917981464622</v>
      </c>
      <c r="D16" s="213">
        <v>4.1408664509135065E-2</v>
      </c>
      <c r="E16" s="214">
        <v>8.2100000000000006E-2</v>
      </c>
      <c r="F16" s="214">
        <v>0.1255</v>
      </c>
      <c r="G16" s="215">
        <v>0.17932778954578066</v>
      </c>
    </row>
    <row r="17" spans="1:7" ht="15.75">
      <c r="A17" s="186">
        <v>13</v>
      </c>
      <c r="B17" s="212" t="s">
        <v>10</v>
      </c>
      <c r="C17" s="69">
        <v>159.41532708983848</v>
      </c>
      <c r="D17" s="213">
        <v>2.2177574274770195E-2</v>
      </c>
      <c r="E17" s="214">
        <v>4.48E-2</v>
      </c>
      <c r="F17" s="214">
        <v>7.0099999999999996E-2</v>
      </c>
      <c r="G17" s="215">
        <v>0.10292118811279664</v>
      </c>
    </row>
    <row r="18" spans="1:7" ht="16.5" thickBot="1">
      <c r="A18" s="188">
        <v>14</v>
      </c>
      <c r="B18" s="218" t="s">
        <v>93</v>
      </c>
      <c r="C18" s="219">
        <v>72.75436526645278</v>
      </c>
      <c r="D18" s="220">
        <v>2.3756687919329614E-2</v>
      </c>
      <c r="E18" s="221">
        <v>4.8000000000000001E-2</v>
      </c>
      <c r="F18" s="221">
        <v>7.4800000000000005E-2</v>
      </c>
      <c r="G18" s="222">
        <v>0.1096050696139856</v>
      </c>
    </row>
    <row r="22" spans="1:7" ht="13.5" thickBot="1"/>
    <row r="23" spans="1:7" ht="36" customHeight="1" thickBot="1">
      <c r="B23" s="583" t="s">
        <v>182</v>
      </c>
      <c r="C23" s="583" t="s">
        <v>183</v>
      </c>
      <c r="D23" s="586" t="s">
        <v>184</v>
      </c>
      <c r="E23" s="587"/>
      <c r="F23" s="587"/>
      <c r="G23" s="588"/>
    </row>
    <row r="24" spans="1:7" ht="19.5" thickBot="1">
      <c r="B24" s="584"/>
      <c r="C24" s="584"/>
      <c r="D24" s="409">
        <v>1</v>
      </c>
      <c r="E24" s="409">
        <v>2</v>
      </c>
      <c r="F24" s="409">
        <v>3</v>
      </c>
      <c r="G24" s="409">
        <v>4</v>
      </c>
    </row>
    <row r="25" spans="1:7" ht="19.5" thickBot="1">
      <c r="B25" s="585"/>
      <c r="C25" s="585"/>
      <c r="D25" s="586" t="s">
        <v>244</v>
      </c>
      <c r="E25" s="587"/>
      <c r="F25" s="587"/>
      <c r="G25" s="588"/>
    </row>
    <row r="26" spans="1:7" ht="19.5" thickBot="1">
      <c r="B26" s="165" t="s">
        <v>225</v>
      </c>
      <c r="C26" s="409" t="s">
        <v>230</v>
      </c>
      <c r="D26" s="409">
        <v>0.6</v>
      </c>
      <c r="E26" s="409">
        <v>0.7</v>
      </c>
      <c r="F26" s="409">
        <v>0.8</v>
      </c>
      <c r="G26" s="409">
        <v>0.9</v>
      </c>
    </row>
    <row r="27" spans="1:7" ht="19.5" thickBot="1">
      <c r="A27">
        <v>0</v>
      </c>
      <c r="B27" s="165" t="s">
        <v>95</v>
      </c>
      <c r="C27" s="361">
        <v>6996</v>
      </c>
      <c r="D27" s="410">
        <v>1.7000000000000001E-2</v>
      </c>
      <c r="E27" s="410">
        <v>3.4000000000000002E-2</v>
      </c>
      <c r="F27" s="410">
        <v>5.2999999999999999E-2</v>
      </c>
      <c r="G27" s="410">
        <v>7.9000000000000001E-2</v>
      </c>
    </row>
    <row r="28" spans="1:7" ht="19.5" thickBot="1">
      <c r="A28">
        <v>1</v>
      </c>
      <c r="B28" s="165" t="s">
        <v>3</v>
      </c>
      <c r="C28" s="361">
        <v>1299</v>
      </c>
      <c r="D28" s="410">
        <v>0.108</v>
      </c>
      <c r="E28" s="410">
        <v>0.223</v>
      </c>
      <c r="F28" s="410">
        <v>0.35699999999999998</v>
      </c>
      <c r="G28" s="410">
        <v>0.63</v>
      </c>
    </row>
    <row r="29" spans="1:7" ht="19.5" thickBot="1">
      <c r="A29">
        <v>2</v>
      </c>
      <c r="B29" s="165" t="s">
        <v>4</v>
      </c>
      <c r="C29" s="409">
        <v>376</v>
      </c>
      <c r="D29" s="410">
        <v>0.126</v>
      </c>
      <c r="E29" s="410">
        <v>0.14399999999999999</v>
      </c>
      <c r="F29" s="410">
        <v>0.24199999999999999</v>
      </c>
      <c r="G29" s="410">
        <v>0.35099999999999998</v>
      </c>
    </row>
    <row r="30" spans="1:7" ht="19.5" thickBot="1">
      <c r="A30">
        <v>3</v>
      </c>
      <c r="B30" s="165" t="s">
        <v>11</v>
      </c>
      <c r="C30" s="361">
        <v>34821</v>
      </c>
      <c r="D30" s="410">
        <v>2.1999999999999999E-2</v>
      </c>
      <c r="E30" s="410">
        <v>3.5999999999999997E-2</v>
      </c>
      <c r="F30" s="410">
        <v>6.2E-2</v>
      </c>
      <c r="G30" s="410">
        <v>0.111</v>
      </c>
    </row>
    <row r="31" spans="1:7" ht="19.5" thickBot="1">
      <c r="A31">
        <v>4</v>
      </c>
      <c r="B31" s="165" t="s">
        <v>12</v>
      </c>
      <c r="C31" s="361">
        <v>63685</v>
      </c>
      <c r="D31" s="410">
        <v>7.0000000000000001E-3</v>
      </c>
      <c r="E31" s="410">
        <v>0.01</v>
      </c>
      <c r="F31" s="410">
        <v>1.9E-2</v>
      </c>
      <c r="G31" s="410">
        <v>3.4000000000000002E-2</v>
      </c>
    </row>
    <row r="32" spans="1:7" ht="19.5" thickBot="1">
      <c r="A32">
        <v>5</v>
      </c>
      <c r="B32" s="165" t="s">
        <v>13</v>
      </c>
      <c r="C32" s="361">
        <v>15922</v>
      </c>
      <c r="D32" s="410">
        <v>4.4999999999999998E-2</v>
      </c>
      <c r="E32" s="410">
        <v>7.1999999999999995E-2</v>
      </c>
      <c r="F32" s="410">
        <v>0.11799999999999999</v>
      </c>
      <c r="G32" s="410">
        <v>0.192</v>
      </c>
    </row>
    <row r="33" spans="1:17" ht="19.5" thickBot="1">
      <c r="A33">
        <v>6</v>
      </c>
      <c r="B33" s="165" t="s">
        <v>5</v>
      </c>
      <c r="C33" s="361">
        <v>95077</v>
      </c>
      <c r="D33" s="410">
        <v>1.0999999999999999E-2</v>
      </c>
      <c r="E33" s="410">
        <v>1.7999999999999999E-2</v>
      </c>
      <c r="F33" s="410">
        <v>3.1E-2</v>
      </c>
      <c r="G33" s="410">
        <v>5.8999999999999997E-2</v>
      </c>
    </row>
    <row r="34" spans="1:17" ht="19.5" thickBot="1">
      <c r="A34">
        <v>7</v>
      </c>
      <c r="B34" s="165" t="s">
        <v>2</v>
      </c>
      <c r="C34" s="409">
        <v>204</v>
      </c>
      <c r="D34" s="410">
        <v>7.0000000000000001E-3</v>
      </c>
      <c r="E34" s="410">
        <v>1.4999999999999999E-2</v>
      </c>
      <c r="F34" s="410">
        <v>2.4E-2</v>
      </c>
      <c r="G34" s="410">
        <v>3.6999999999999998E-2</v>
      </c>
    </row>
    <row r="35" spans="1:17" ht="57" thickBot="1">
      <c r="A35">
        <v>8</v>
      </c>
      <c r="B35" s="165" t="s">
        <v>245</v>
      </c>
      <c r="C35" s="409">
        <v>76</v>
      </c>
      <c r="D35" s="410">
        <v>2.3E-2</v>
      </c>
      <c r="E35" s="410">
        <v>4.2999999999999997E-2</v>
      </c>
      <c r="F35" s="410">
        <v>7.0000000000000007E-2</v>
      </c>
      <c r="G35" s="410">
        <v>0.12</v>
      </c>
    </row>
    <row r="36" spans="1:17" ht="19.5" thickBot="1">
      <c r="A36">
        <v>9</v>
      </c>
      <c r="B36" s="165" t="s">
        <v>6</v>
      </c>
      <c r="C36" s="409">
        <v>912</v>
      </c>
      <c r="D36" s="410">
        <v>7.8E-2</v>
      </c>
      <c r="E36" s="410">
        <v>6.0000000000000001E-3</v>
      </c>
      <c r="F36" s="410">
        <v>1.2999999999999999E-2</v>
      </c>
      <c r="G36" s="410">
        <v>0.02</v>
      </c>
    </row>
    <row r="37" spans="1:17" ht="19.5" thickBot="1">
      <c r="A37">
        <v>10</v>
      </c>
      <c r="B37" s="165" t="s">
        <v>7</v>
      </c>
      <c r="C37" s="409">
        <v>19</v>
      </c>
      <c r="D37" s="410">
        <v>8.3000000000000004E-2</v>
      </c>
      <c r="E37" s="410">
        <v>7.2999999999999995E-2</v>
      </c>
      <c r="F37" s="410">
        <v>0.11799999999999999</v>
      </c>
      <c r="G37" s="410">
        <v>0.17899999999999999</v>
      </c>
    </row>
    <row r="38" spans="1:17" ht="19.5" thickBot="1">
      <c r="A38">
        <v>11</v>
      </c>
      <c r="B38" s="165" t="s">
        <v>8</v>
      </c>
      <c r="C38" s="361">
        <v>2693</v>
      </c>
      <c r="D38" s="410">
        <v>2.3E-2</v>
      </c>
      <c r="E38" s="410">
        <v>4.1000000000000002E-2</v>
      </c>
      <c r="F38" s="410">
        <v>7.5999999999999998E-2</v>
      </c>
      <c r="G38" s="410">
        <v>0.184</v>
      </c>
    </row>
    <row r="39" spans="1:17" ht="19.5" thickBot="1">
      <c r="A39">
        <v>12</v>
      </c>
      <c r="B39" s="165" t="s">
        <v>9</v>
      </c>
      <c r="C39" s="409">
        <v>86</v>
      </c>
      <c r="D39" s="410">
        <v>3.4000000000000002E-2</v>
      </c>
      <c r="E39" s="410">
        <v>6.8000000000000005E-2</v>
      </c>
      <c r="F39" s="410">
        <v>0.127</v>
      </c>
      <c r="G39" s="410">
        <v>0.34</v>
      </c>
    </row>
    <row r="40" spans="1:17" ht="19.5" thickBot="1">
      <c r="A40">
        <v>13</v>
      </c>
      <c r="B40" s="165" t="s">
        <v>10</v>
      </c>
      <c r="C40" s="409">
        <v>190</v>
      </c>
      <c r="D40" s="410">
        <v>4.8000000000000001E-2</v>
      </c>
      <c r="E40" s="410">
        <v>4.2999999999999997E-2</v>
      </c>
      <c r="F40" s="410">
        <v>7.0000000000000007E-2</v>
      </c>
      <c r="G40" s="410">
        <v>0.11</v>
      </c>
    </row>
    <row r="41" spans="1:17" ht="19.5" thickBot="1">
      <c r="A41">
        <v>14</v>
      </c>
      <c r="B41" s="165" t="s">
        <v>93</v>
      </c>
      <c r="C41" s="409">
        <v>82</v>
      </c>
      <c r="D41" s="410">
        <v>2.1000000000000001E-2</v>
      </c>
      <c r="E41" s="410">
        <v>4.1000000000000002E-2</v>
      </c>
      <c r="F41" s="410">
        <v>6.5000000000000002E-2</v>
      </c>
      <c r="G41" s="410">
        <v>0.113</v>
      </c>
    </row>
    <row r="44" spans="1:17" ht="13.5" thickBot="1"/>
    <row r="45" spans="1:17" ht="19.5" thickBot="1">
      <c r="B45" s="583" t="s">
        <v>182</v>
      </c>
      <c r="C45" s="583" t="s">
        <v>183</v>
      </c>
      <c r="D45" s="586" t="s">
        <v>184</v>
      </c>
      <c r="E45" s="587"/>
      <c r="F45" s="587"/>
      <c r="G45" s="588"/>
    </row>
    <row r="46" spans="1:17" ht="19.5" thickBot="1">
      <c r="B46" s="584"/>
      <c r="C46" s="584"/>
      <c r="D46" s="409">
        <v>1</v>
      </c>
      <c r="E46" s="409">
        <v>2</v>
      </c>
      <c r="F46" s="409">
        <v>3</v>
      </c>
      <c r="G46" s="409">
        <v>4</v>
      </c>
    </row>
    <row r="47" spans="1:17" ht="19.5" thickBot="1">
      <c r="B47" s="585"/>
      <c r="C47" s="585"/>
      <c r="D47" s="586" t="s">
        <v>244</v>
      </c>
      <c r="E47" s="587"/>
      <c r="F47" s="587"/>
      <c r="G47" s="588"/>
      <c r="N47" t="s">
        <v>261</v>
      </c>
    </row>
    <row r="48" spans="1:17" ht="19.5" thickBot="1">
      <c r="B48" s="165" t="s">
        <v>225</v>
      </c>
      <c r="C48" s="409" t="s">
        <v>230</v>
      </c>
      <c r="D48" s="409">
        <v>0.6</v>
      </c>
      <c r="E48" s="409">
        <v>0.7</v>
      </c>
      <c r="F48" s="409">
        <v>0.8</v>
      </c>
      <c r="G48" s="409">
        <v>0.9</v>
      </c>
      <c r="H48" s="409">
        <v>0.6</v>
      </c>
      <c r="I48" s="409">
        <v>0.7</v>
      </c>
      <c r="J48" s="409">
        <v>0.8</v>
      </c>
      <c r="K48" s="409">
        <v>0.9</v>
      </c>
      <c r="N48" s="409">
        <v>0.6</v>
      </c>
      <c r="O48" s="409">
        <v>0.7</v>
      </c>
      <c r="P48" s="409">
        <v>0.8</v>
      </c>
      <c r="Q48" s="409">
        <v>0.9</v>
      </c>
    </row>
    <row r="49" spans="1:17" ht="19.5" thickBot="1">
      <c r="A49">
        <v>0</v>
      </c>
      <c r="B49" s="165" t="s">
        <v>95</v>
      </c>
      <c r="C49" s="361">
        <v>6996</v>
      </c>
      <c r="D49" s="362">
        <f>D27*100</f>
        <v>1.7000000000000002</v>
      </c>
      <c r="E49" s="362">
        <f t="shared" ref="E49:G49" si="0">E27*100</f>
        <v>3.4000000000000004</v>
      </c>
      <c r="F49" s="362">
        <f t="shared" si="0"/>
        <v>5.3</v>
      </c>
      <c r="G49" s="362">
        <f t="shared" si="0"/>
        <v>7.9</v>
      </c>
      <c r="H49" s="362">
        <f>D27*100</f>
        <v>1.7000000000000002</v>
      </c>
      <c r="I49" s="362">
        <f>E49-D49</f>
        <v>1.7000000000000002</v>
      </c>
      <c r="J49" s="362">
        <f t="shared" ref="J49:K49" si="1">F49-E49</f>
        <v>1.8999999999999995</v>
      </c>
      <c r="K49" s="362">
        <f t="shared" si="1"/>
        <v>2.6000000000000005</v>
      </c>
      <c r="L49" s="153">
        <v>10500</v>
      </c>
      <c r="M49" s="360">
        <f>L49*C49</f>
        <v>73458000</v>
      </c>
      <c r="N49" s="360">
        <f>D49/100*$C49/(1-D49/100)*$L49</f>
        <v>1270382.502543235</v>
      </c>
      <c r="O49" s="360">
        <f t="shared" ref="O49:Q49" si="2">E49/100*$C49/(1-E49/100)*$L49</f>
        <v>2585478.2608695654</v>
      </c>
      <c r="P49" s="360">
        <f t="shared" si="2"/>
        <v>4111165.7866948261</v>
      </c>
      <c r="Q49" s="360">
        <f t="shared" si="2"/>
        <v>6300957.6547231264</v>
      </c>
    </row>
    <row r="50" spans="1:17" ht="19.5" thickBot="1">
      <c r="A50">
        <v>1</v>
      </c>
      <c r="B50" s="165" t="s">
        <v>246</v>
      </c>
      <c r="C50" s="361">
        <v>1299</v>
      </c>
      <c r="D50" s="362">
        <f t="shared" ref="D50:G50" si="3">D28*100</f>
        <v>10.8</v>
      </c>
      <c r="E50" s="362">
        <f t="shared" si="3"/>
        <v>22.3</v>
      </c>
      <c r="F50" s="362">
        <f t="shared" si="3"/>
        <v>35.699999999999996</v>
      </c>
      <c r="G50" s="362">
        <f t="shared" si="3"/>
        <v>63</v>
      </c>
      <c r="H50" s="362">
        <f t="shared" ref="H50:H63" si="4">D28*100</f>
        <v>10.8</v>
      </c>
      <c r="I50" s="362">
        <f t="shared" ref="I50:I63" si="5">E50-D50</f>
        <v>11.5</v>
      </c>
      <c r="J50" s="362">
        <f t="shared" ref="J50:J63" si="6">F50-E50</f>
        <v>13.399999999999995</v>
      </c>
      <c r="K50" s="362">
        <f t="shared" ref="K50:K63" si="7">G50-F50</f>
        <v>27.300000000000004</v>
      </c>
      <c r="L50" s="144">
        <v>17</v>
      </c>
      <c r="M50" s="360">
        <f t="shared" ref="M50:M63" si="8">L50*C50</f>
        <v>22083</v>
      </c>
      <c r="N50" s="360">
        <f t="shared" ref="N50:N63" si="9">D50/100*$C50/(1-D50/100)*$L50</f>
        <v>2673.7264573991033</v>
      </c>
      <c r="O50" s="360">
        <f t="shared" ref="O50:O63" si="10">E50/100*$C50/(1-E50/100)*$L50</f>
        <v>6337.8494208494212</v>
      </c>
      <c r="P50" s="360">
        <f t="shared" ref="P50:P63" si="11">F50/100*$C50/(1-F50/100)*$L50</f>
        <v>12260.701399688956</v>
      </c>
      <c r="Q50" s="360">
        <f t="shared" ref="Q50:Q63" si="12">G50/100*$C50/(1-G50/100)*$L50</f>
        <v>37600.783783783787</v>
      </c>
    </row>
    <row r="51" spans="1:17" ht="19.5" thickBot="1">
      <c r="A51">
        <v>2</v>
      </c>
      <c r="B51" s="165" t="s">
        <v>247</v>
      </c>
      <c r="C51" s="409">
        <v>376</v>
      </c>
      <c r="D51" s="362">
        <f t="shared" ref="D51:G51" si="13">D29*100</f>
        <v>12.6</v>
      </c>
      <c r="E51" s="362">
        <f t="shared" si="13"/>
        <v>14.399999999999999</v>
      </c>
      <c r="F51" s="362">
        <f t="shared" si="13"/>
        <v>24.2</v>
      </c>
      <c r="G51" s="362">
        <f t="shared" si="13"/>
        <v>35.099999999999994</v>
      </c>
      <c r="H51" s="362">
        <f t="shared" si="4"/>
        <v>12.6</v>
      </c>
      <c r="I51" s="362">
        <f t="shared" si="5"/>
        <v>1.7999999999999989</v>
      </c>
      <c r="J51" s="362">
        <f t="shared" si="6"/>
        <v>9.8000000000000007</v>
      </c>
      <c r="K51" s="362">
        <f t="shared" si="7"/>
        <v>10.899999999999995</v>
      </c>
      <c r="L51" s="144">
        <v>11</v>
      </c>
      <c r="M51" s="360">
        <f t="shared" si="8"/>
        <v>4136</v>
      </c>
      <c r="N51" s="360">
        <f t="shared" si="9"/>
        <v>596.26544622425627</v>
      </c>
      <c r="O51" s="360">
        <f t="shared" si="10"/>
        <v>695.77570093457939</v>
      </c>
      <c r="P51" s="360">
        <f t="shared" si="11"/>
        <v>1320.4643799472294</v>
      </c>
      <c r="Q51" s="360">
        <f t="shared" si="12"/>
        <v>2236.8813559322025</v>
      </c>
    </row>
    <row r="52" spans="1:17" ht="19.5" thickBot="1">
      <c r="A52">
        <v>3</v>
      </c>
      <c r="B52" s="165" t="s">
        <v>248</v>
      </c>
      <c r="C52" s="361">
        <v>34821</v>
      </c>
      <c r="D52" s="362">
        <f t="shared" ref="D52:G52" si="14">D30*100</f>
        <v>2.1999999999999997</v>
      </c>
      <c r="E52" s="362">
        <f t="shared" si="14"/>
        <v>3.5999999999999996</v>
      </c>
      <c r="F52" s="362">
        <f t="shared" si="14"/>
        <v>6.2</v>
      </c>
      <c r="G52" s="362">
        <f t="shared" si="14"/>
        <v>11.1</v>
      </c>
      <c r="H52" s="362">
        <f t="shared" si="4"/>
        <v>2.1999999999999997</v>
      </c>
      <c r="I52" s="362">
        <f t="shared" si="5"/>
        <v>1.4</v>
      </c>
      <c r="J52" s="362">
        <f t="shared" si="6"/>
        <v>2.6000000000000005</v>
      </c>
      <c r="K52" s="362">
        <f t="shared" si="7"/>
        <v>4.8999999999999995</v>
      </c>
      <c r="L52" s="144">
        <v>40.39</v>
      </c>
      <c r="M52" s="360">
        <f t="shared" si="8"/>
        <v>1406420.19</v>
      </c>
      <c r="N52" s="360">
        <f t="shared" si="9"/>
        <v>31637.263987730061</v>
      </c>
      <c r="O52" s="360">
        <f t="shared" si="10"/>
        <v>52521.91580912863</v>
      </c>
      <c r="P52" s="360">
        <f t="shared" si="11"/>
        <v>92961.675671641802</v>
      </c>
      <c r="Q52" s="360">
        <f t="shared" si="12"/>
        <v>175604.77062992126</v>
      </c>
    </row>
    <row r="53" spans="1:17" ht="19.5" thickBot="1">
      <c r="A53">
        <v>4</v>
      </c>
      <c r="B53" s="165" t="s">
        <v>249</v>
      </c>
      <c r="C53" s="361">
        <v>63685</v>
      </c>
      <c r="D53" s="362">
        <f t="shared" ref="D53:G53" si="15">D31*100</f>
        <v>0.70000000000000007</v>
      </c>
      <c r="E53" s="362">
        <f t="shared" si="15"/>
        <v>1</v>
      </c>
      <c r="F53" s="362">
        <f t="shared" si="15"/>
        <v>1.9</v>
      </c>
      <c r="G53" s="362">
        <f t="shared" si="15"/>
        <v>3.4000000000000004</v>
      </c>
      <c r="H53" s="362">
        <f t="shared" si="4"/>
        <v>0.70000000000000007</v>
      </c>
      <c r="I53" s="362">
        <f t="shared" si="5"/>
        <v>0.29999999999999993</v>
      </c>
      <c r="J53" s="362">
        <f t="shared" si="6"/>
        <v>0.89999999999999991</v>
      </c>
      <c r="K53" s="362">
        <f t="shared" si="7"/>
        <v>1.5000000000000004</v>
      </c>
      <c r="L53" s="144">
        <v>1.59</v>
      </c>
      <c r="M53" s="360">
        <f t="shared" si="8"/>
        <v>101259.15000000001</v>
      </c>
      <c r="N53" s="360">
        <f t="shared" si="9"/>
        <v>713.81072507552881</v>
      </c>
      <c r="O53" s="360">
        <f t="shared" si="10"/>
        <v>1022.819696969697</v>
      </c>
      <c r="P53" s="360">
        <f t="shared" si="11"/>
        <v>1961.1863914373087</v>
      </c>
      <c r="Q53" s="360">
        <f t="shared" si="12"/>
        <v>3563.9866459627333</v>
      </c>
    </row>
    <row r="54" spans="1:17" ht="19.5" thickBot="1">
      <c r="A54">
        <v>5</v>
      </c>
      <c r="B54" s="165" t="s">
        <v>250</v>
      </c>
      <c r="C54" s="361">
        <v>15922</v>
      </c>
      <c r="D54" s="362">
        <f t="shared" ref="D54:G54" si="16">D32*100</f>
        <v>4.5</v>
      </c>
      <c r="E54" s="362">
        <f t="shared" si="16"/>
        <v>7.1999999999999993</v>
      </c>
      <c r="F54" s="362">
        <f t="shared" si="16"/>
        <v>11.799999999999999</v>
      </c>
      <c r="G54" s="362">
        <f t="shared" si="16"/>
        <v>19.2</v>
      </c>
      <c r="H54" s="362">
        <f t="shared" si="4"/>
        <v>4.5</v>
      </c>
      <c r="I54" s="362">
        <f t="shared" si="5"/>
        <v>2.6999999999999993</v>
      </c>
      <c r="J54" s="362">
        <f t="shared" si="6"/>
        <v>4.5999999999999996</v>
      </c>
      <c r="K54" s="362">
        <f t="shared" si="7"/>
        <v>7.4</v>
      </c>
      <c r="L54" s="144">
        <v>0.57799999999999996</v>
      </c>
      <c r="M54" s="360">
        <f t="shared" si="8"/>
        <v>9202.9159999999993</v>
      </c>
      <c r="N54" s="360">
        <f t="shared" si="9"/>
        <v>433.64525654450256</v>
      </c>
      <c r="O54" s="360">
        <f t="shared" si="10"/>
        <v>714.01934482758611</v>
      </c>
      <c r="P54" s="360">
        <f t="shared" si="11"/>
        <v>1231.2291247165531</v>
      </c>
      <c r="Q54" s="360">
        <f t="shared" si="12"/>
        <v>2186.8315247524747</v>
      </c>
    </row>
    <row r="55" spans="1:17" ht="19.5" thickBot="1">
      <c r="A55">
        <v>6</v>
      </c>
      <c r="B55" s="165" t="s">
        <v>251</v>
      </c>
      <c r="C55" s="361">
        <v>95077</v>
      </c>
      <c r="D55" s="362">
        <f t="shared" ref="D55:G55" si="17">D33*100</f>
        <v>1.0999999999999999</v>
      </c>
      <c r="E55" s="362">
        <f t="shared" si="17"/>
        <v>1.7999999999999998</v>
      </c>
      <c r="F55" s="362">
        <f t="shared" si="17"/>
        <v>3.1</v>
      </c>
      <c r="G55" s="362">
        <f t="shared" si="17"/>
        <v>5.8999999999999995</v>
      </c>
      <c r="H55" s="362">
        <f t="shared" si="4"/>
        <v>1.0999999999999999</v>
      </c>
      <c r="I55" s="362">
        <f t="shared" si="5"/>
        <v>0.7</v>
      </c>
      <c r="J55" s="362">
        <f t="shared" si="6"/>
        <v>1.3000000000000003</v>
      </c>
      <c r="K55" s="362">
        <f t="shared" si="7"/>
        <v>2.7999999999999994</v>
      </c>
      <c r="L55" s="144">
        <v>2.83</v>
      </c>
      <c r="M55" s="360">
        <f t="shared" si="8"/>
        <v>269067.91000000003</v>
      </c>
      <c r="N55" s="360">
        <f t="shared" si="9"/>
        <v>2992.666339737108</v>
      </c>
      <c r="O55" s="360">
        <f t="shared" si="10"/>
        <v>4931.9983503054991</v>
      </c>
      <c r="P55" s="360">
        <f t="shared" si="11"/>
        <v>8607.9517131062967</v>
      </c>
      <c r="Q55" s="360">
        <f t="shared" si="12"/>
        <v>16870.357800212536</v>
      </c>
    </row>
    <row r="56" spans="1:17" ht="19.5" thickBot="1">
      <c r="A56">
        <v>7</v>
      </c>
      <c r="B56" s="165" t="s">
        <v>252</v>
      </c>
      <c r="C56" s="409">
        <v>204</v>
      </c>
      <c r="D56" s="362">
        <f t="shared" ref="D56:G56" si="18">D34*100</f>
        <v>0.70000000000000007</v>
      </c>
      <c r="E56" s="362">
        <f t="shared" si="18"/>
        <v>1.5</v>
      </c>
      <c r="F56" s="362">
        <f t="shared" si="18"/>
        <v>2.4</v>
      </c>
      <c r="G56" s="362">
        <f t="shared" si="18"/>
        <v>3.6999999999999997</v>
      </c>
      <c r="H56" s="362">
        <f t="shared" si="4"/>
        <v>0.70000000000000007</v>
      </c>
      <c r="I56" s="362">
        <f t="shared" si="5"/>
        <v>0.79999999999999993</v>
      </c>
      <c r="J56" s="362">
        <f t="shared" si="6"/>
        <v>0.89999999999999991</v>
      </c>
      <c r="K56" s="362">
        <f t="shared" si="7"/>
        <v>1.2999999999999998</v>
      </c>
      <c r="L56" s="144">
        <v>100</v>
      </c>
      <c r="M56" s="360">
        <f t="shared" si="8"/>
        <v>20400</v>
      </c>
      <c r="N56" s="360">
        <f t="shared" si="9"/>
        <v>143.80664652567978</v>
      </c>
      <c r="O56" s="360">
        <f t="shared" si="10"/>
        <v>310.65989847715736</v>
      </c>
      <c r="P56" s="360">
        <f t="shared" si="11"/>
        <v>501.63934426229508</v>
      </c>
      <c r="Q56" s="360">
        <f t="shared" si="12"/>
        <v>783.80062305295951</v>
      </c>
    </row>
    <row r="57" spans="1:17" ht="19.5" thickBot="1">
      <c r="A57">
        <v>8</v>
      </c>
      <c r="B57" s="165" t="s">
        <v>253</v>
      </c>
      <c r="C57" s="409">
        <v>76</v>
      </c>
      <c r="D57" s="362">
        <f t="shared" ref="D57:G57" si="19">D35*100</f>
        <v>2.2999999999999998</v>
      </c>
      <c r="E57" s="362">
        <f t="shared" si="19"/>
        <v>4.3</v>
      </c>
      <c r="F57" s="362">
        <f t="shared" si="19"/>
        <v>7.0000000000000009</v>
      </c>
      <c r="G57" s="362">
        <f t="shared" si="19"/>
        <v>12</v>
      </c>
      <c r="H57" s="362">
        <f t="shared" si="4"/>
        <v>2.2999999999999998</v>
      </c>
      <c r="I57" s="362">
        <f t="shared" si="5"/>
        <v>2</v>
      </c>
      <c r="J57" s="362">
        <f t="shared" si="6"/>
        <v>2.7000000000000011</v>
      </c>
      <c r="K57" s="362">
        <f t="shared" si="7"/>
        <v>4.9999999999999991</v>
      </c>
      <c r="L57" s="145">
        <v>2.5</v>
      </c>
      <c r="M57" s="360">
        <f t="shared" si="8"/>
        <v>190</v>
      </c>
      <c r="N57" s="360">
        <f t="shared" si="9"/>
        <v>4.4728761514841349</v>
      </c>
      <c r="O57" s="360">
        <f t="shared" si="10"/>
        <v>8.5370950888192265</v>
      </c>
      <c r="P57" s="360">
        <f t="shared" si="11"/>
        <v>14.301075268817204</v>
      </c>
      <c r="Q57" s="360">
        <f t="shared" si="12"/>
        <v>25.909090909090907</v>
      </c>
    </row>
    <row r="58" spans="1:17" ht="19.5" thickBot="1">
      <c r="A58">
        <v>9</v>
      </c>
      <c r="B58" s="165" t="s">
        <v>254</v>
      </c>
      <c r="C58" s="409">
        <v>912</v>
      </c>
      <c r="D58" s="362">
        <f t="shared" ref="D58:G58" si="20">D36*100</f>
        <v>7.8</v>
      </c>
      <c r="E58" s="362">
        <f t="shared" si="20"/>
        <v>0.6</v>
      </c>
      <c r="F58" s="362">
        <f t="shared" si="20"/>
        <v>1.3</v>
      </c>
      <c r="G58" s="362">
        <f t="shared" si="20"/>
        <v>2</v>
      </c>
      <c r="H58" s="362">
        <f t="shared" si="4"/>
        <v>7.8</v>
      </c>
      <c r="I58" s="362">
        <f t="shared" si="5"/>
        <v>-7.2</v>
      </c>
      <c r="J58" s="362">
        <f t="shared" si="6"/>
        <v>0.70000000000000007</v>
      </c>
      <c r="K58" s="362">
        <f t="shared" si="7"/>
        <v>0.7</v>
      </c>
      <c r="L58" s="144">
        <v>145</v>
      </c>
      <c r="M58" s="360">
        <f t="shared" si="8"/>
        <v>132240</v>
      </c>
      <c r="N58" s="360">
        <f t="shared" si="9"/>
        <v>11187.331887201735</v>
      </c>
      <c r="O58" s="360">
        <f t="shared" si="10"/>
        <v>798.22937625754537</v>
      </c>
      <c r="P58" s="360">
        <f t="shared" si="11"/>
        <v>1741.7629179331309</v>
      </c>
      <c r="Q58" s="360">
        <f t="shared" si="12"/>
        <v>2698.7755102040819</v>
      </c>
    </row>
    <row r="59" spans="1:17" ht="19.5" thickBot="1">
      <c r="A59">
        <v>10</v>
      </c>
      <c r="B59" s="165" t="s">
        <v>255</v>
      </c>
      <c r="C59" s="409">
        <v>19</v>
      </c>
      <c r="D59" s="362">
        <f t="shared" ref="D59:G59" si="21">D37*100</f>
        <v>8.3000000000000007</v>
      </c>
      <c r="E59" s="362">
        <f t="shared" si="21"/>
        <v>7.3</v>
      </c>
      <c r="F59" s="362">
        <f t="shared" si="21"/>
        <v>11.799999999999999</v>
      </c>
      <c r="G59" s="362">
        <f t="shared" si="21"/>
        <v>17.899999999999999</v>
      </c>
      <c r="H59" s="362">
        <f t="shared" si="4"/>
        <v>8.3000000000000007</v>
      </c>
      <c r="I59" s="362">
        <f t="shared" si="5"/>
        <v>-1.0000000000000009</v>
      </c>
      <c r="J59" s="362">
        <f t="shared" si="6"/>
        <v>4.4999999999999991</v>
      </c>
      <c r="K59" s="362">
        <f t="shared" si="7"/>
        <v>6.1</v>
      </c>
      <c r="L59" s="144">
        <v>341.88</v>
      </c>
      <c r="M59" s="360">
        <f t="shared" si="8"/>
        <v>6495.72</v>
      </c>
      <c r="N59" s="360">
        <f t="shared" si="9"/>
        <v>587.94412213740463</v>
      </c>
      <c r="O59" s="360">
        <f t="shared" si="10"/>
        <v>511.52919093851131</v>
      </c>
      <c r="P59" s="360">
        <f t="shared" si="11"/>
        <v>869.04190476190468</v>
      </c>
      <c r="Q59" s="360">
        <f t="shared" si="12"/>
        <v>1416.2410231425092</v>
      </c>
    </row>
    <row r="60" spans="1:17" ht="19.5" thickBot="1">
      <c r="A60">
        <v>11</v>
      </c>
      <c r="B60" s="165" t="s">
        <v>256</v>
      </c>
      <c r="C60" s="361">
        <v>2693</v>
      </c>
      <c r="D60" s="362">
        <f t="shared" ref="D60:G60" si="22">D38*100</f>
        <v>2.2999999999999998</v>
      </c>
      <c r="E60" s="362">
        <f t="shared" si="22"/>
        <v>4.1000000000000005</v>
      </c>
      <c r="F60" s="362">
        <f t="shared" si="22"/>
        <v>7.6</v>
      </c>
      <c r="G60" s="362">
        <f t="shared" si="22"/>
        <v>18.399999999999999</v>
      </c>
      <c r="H60" s="362">
        <f t="shared" si="4"/>
        <v>2.2999999999999998</v>
      </c>
      <c r="I60" s="362">
        <f t="shared" si="5"/>
        <v>1.8000000000000007</v>
      </c>
      <c r="J60" s="362">
        <f t="shared" si="6"/>
        <v>3.4999999999999991</v>
      </c>
      <c r="K60" s="362">
        <f t="shared" si="7"/>
        <v>10.799999999999999</v>
      </c>
      <c r="L60" s="144">
        <v>210</v>
      </c>
      <c r="M60" s="360">
        <f t="shared" si="8"/>
        <v>565530</v>
      </c>
      <c r="N60" s="360">
        <f t="shared" si="9"/>
        <v>13313.398157625385</v>
      </c>
      <c r="O60" s="360">
        <f t="shared" si="10"/>
        <v>24178.029197080297</v>
      </c>
      <c r="P60" s="360">
        <f t="shared" si="11"/>
        <v>46515.454545454544</v>
      </c>
      <c r="Q60" s="360">
        <f t="shared" si="12"/>
        <v>127521.4705882353</v>
      </c>
    </row>
    <row r="61" spans="1:17" ht="19.5" thickBot="1">
      <c r="A61">
        <v>12</v>
      </c>
      <c r="B61" s="165" t="s">
        <v>257</v>
      </c>
      <c r="C61" s="409">
        <v>86</v>
      </c>
      <c r="D61" s="362">
        <f t="shared" ref="D61:G61" si="23">D39*100</f>
        <v>3.4000000000000004</v>
      </c>
      <c r="E61" s="362">
        <f t="shared" si="23"/>
        <v>6.8000000000000007</v>
      </c>
      <c r="F61" s="362">
        <f t="shared" si="23"/>
        <v>12.7</v>
      </c>
      <c r="G61" s="362">
        <f t="shared" si="23"/>
        <v>34</v>
      </c>
      <c r="H61" s="362">
        <f t="shared" si="4"/>
        <v>3.4000000000000004</v>
      </c>
      <c r="I61" s="362">
        <f t="shared" si="5"/>
        <v>3.4000000000000004</v>
      </c>
      <c r="J61" s="362">
        <f t="shared" si="6"/>
        <v>5.8999999999999986</v>
      </c>
      <c r="K61" s="362">
        <f t="shared" si="7"/>
        <v>21.3</v>
      </c>
      <c r="L61" s="144">
        <v>80</v>
      </c>
      <c r="M61" s="360">
        <f t="shared" si="8"/>
        <v>6880</v>
      </c>
      <c r="N61" s="360">
        <f t="shared" si="9"/>
        <v>242.15320910973088</v>
      </c>
      <c r="O61" s="360">
        <f t="shared" si="10"/>
        <v>501.97424892703873</v>
      </c>
      <c r="P61" s="360">
        <f t="shared" si="11"/>
        <v>1000.8705612829324</v>
      </c>
      <c r="Q61" s="360">
        <f t="shared" si="12"/>
        <v>3544.2424242424249</v>
      </c>
    </row>
    <row r="62" spans="1:17" ht="19.5" thickBot="1">
      <c r="A62">
        <v>13</v>
      </c>
      <c r="B62" s="165" t="s">
        <v>258</v>
      </c>
      <c r="C62" s="409">
        <v>190</v>
      </c>
      <c r="D62" s="362">
        <f t="shared" ref="D62:G63" si="24">D40*100</f>
        <v>4.8</v>
      </c>
      <c r="E62" s="362">
        <f t="shared" si="24"/>
        <v>4.3</v>
      </c>
      <c r="F62" s="362">
        <f t="shared" si="24"/>
        <v>7.0000000000000009</v>
      </c>
      <c r="G62" s="362">
        <f t="shared" si="24"/>
        <v>11</v>
      </c>
      <c r="H62" s="362">
        <f t="shared" si="4"/>
        <v>4.8</v>
      </c>
      <c r="I62" s="362">
        <f t="shared" si="5"/>
        <v>-0.5</v>
      </c>
      <c r="J62" s="362">
        <f t="shared" si="6"/>
        <v>2.7000000000000011</v>
      </c>
      <c r="K62" s="362">
        <f t="shared" si="7"/>
        <v>3.9999999999999991</v>
      </c>
      <c r="L62" s="144">
        <v>85</v>
      </c>
      <c r="M62" s="360">
        <f t="shared" si="8"/>
        <v>16150</v>
      </c>
      <c r="N62" s="360">
        <f t="shared" si="9"/>
        <v>814.28571428571445</v>
      </c>
      <c r="O62" s="360">
        <f t="shared" si="10"/>
        <v>725.65308254963429</v>
      </c>
      <c r="P62" s="360">
        <f t="shared" si="11"/>
        <v>1215.5913978494625</v>
      </c>
      <c r="Q62" s="360">
        <f t="shared" si="12"/>
        <v>1996.067415730337</v>
      </c>
    </row>
    <row r="63" spans="1:17" ht="19.5" thickBot="1">
      <c r="A63">
        <v>14</v>
      </c>
      <c r="B63" s="165" t="s">
        <v>259</v>
      </c>
      <c r="C63" s="409">
        <v>82</v>
      </c>
      <c r="D63" s="362">
        <f t="shared" si="24"/>
        <v>2.1</v>
      </c>
      <c r="E63" s="362">
        <f t="shared" si="24"/>
        <v>4.1000000000000005</v>
      </c>
      <c r="F63" s="362">
        <f t="shared" si="24"/>
        <v>6.5</v>
      </c>
      <c r="G63" s="362">
        <f t="shared" si="24"/>
        <v>11.3</v>
      </c>
      <c r="H63" s="362">
        <f t="shared" si="4"/>
        <v>2.1</v>
      </c>
      <c r="I63" s="362">
        <f t="shared" si="5"/>
        <v>2.0000000000000004</v>
      </c>
      <c r="J63" s="362">
        <f t="shared" si="6"/>
        <v>2.3999999999999995</v>
      </c>
      <c r="K63" s="362">
        <f t="shared" si="7"/>
        <v>4.8000000000000007</v>
      </c>
      <c r="L63" s="144">
        <v>16.5</v>
      </c>
      <c r="M63" s="360">
        <f t="shared" si="8"/>
        <v>1353</v>
      </c>
      <c r="N63" s="360">
        <f t="shared" si="9"/>
        <v>29.022471910112365</v>
      </c>
      <c r="O63" s="360">
        <f t="shared" si="10"/>
        <v>57.844629822732024</v>
      </c>
      <c r="P63" s="360">
        <f t="shared" si="11"/>
        <v>94.058823529411754</v>
      </c>
      <c r="Q63" s="360">
        <f t="shared" si="12"/>
        <v>172.36640360766629</v>
      </c>
    </row>
    <row r="64" spans="1:17">
      <c r="M64" s="360">
        <f>SUM(M49:M63)</f>
        <v>76019407.885999992</v>
      </c>
      <c r="N64" s="360">
        <f t="shared" ref="N64:Q64" si="25">SUM(N49:N63)</f>
        <v>1335752.2958408927</v>
      </c>
      <c r="O64" s="360">
        <f t="shared" si="25"/>
        <v>2678795.0959117226</v>
      </c>
      <c r="P64" s="360">
        <f t="shared" si="25"/>
        <v>4281461.7159457067</v>
      </c>
      <c r="Q64" s="360">
        <f t="shared" si="25"/>
        <v>6677180.1395428153</v>
      </c>
    </row>
    <row r="65" spans="13:17">
      <c r="M65" s="360">
        <v>0</v>
      </c>
      <c r="N65" s="20">
        <f>N64/($M$64+N64)*100</f>
        <v>1.7267785273805953</v>
      </c>
      <c r="O65" s="20">
        <f t="shared" ref="O65:Q65" si="26">O64/($M$64+O64)*100</f>
        <v>3.4038834362297021</v>
      </c>
      <c r="P65" s="20">
        <f t="shared" si="26"/>
        <v>5.3317750320377177</v>
      </c>
      <c r="Q65" s="20">
        <f t="shared" si="26"/>
        <v>8.0743115271943378</v>
      </c>
    </row>
    <row r="66" spans="13:17">
      <c r="M66" s="360"/>
      <c r="N66" s="360"/>
      <c r="O66" s="360">
        <f>O65-N65</f>
        <v>1.6771049088491068</v>
      </c>
      <c r="P66" s="360">
        <f t="shared" ref="P66:Q66" si="27">P65-O65</f>
        <v>1.9278915958080156</v>
      </c>
      <c r="Q66" s="360">
        <f t="shared" si="27"/>
        <v>2.74253649515662</v>
      </c>
    </row>
  </sheetData>
  <mergeCells count="12">
    <mergeCell ref="B45:B47"/>
    <mergeCell ref="C45:C47"/>
    <mergeCell ref="D45:G45"/>
    <mergeCell ref="D47:G47"/>
    <mergeCell ref="A1:A3"/>
    <mergeCell ref="B1:B2"/>
    <mergeCell ref="C1:C2"/>
    <mergeCell ref="D1:G1"/>
    <mergeCell ref="B23:B25"/>
    <mergeCell ref="C23:C25"/>
    <mergeCell ref="D23:G23"/>
    <mergeCell ref="D25:G2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Удельные затраты (на ед.)</vt:lpstr>
      <vt:lpstr>Цена на товарную продукцию</vt:lpstr>
      <vt:lpstr>Решение задачи</vt:lpstr>
      <vt:lpstr>Лист1</vt:lpstr>
      <vt:lpstr>Лист9</vt:lpstr>
      <vt:lpstr>Лист5</vt:lpstr>
      <vt:lpstr>Решение</vt:lpstr>
      <vt:lpstr>ЦФ</vt:lpstr>
      <vt:lpstr>Лист2</vt:lpstr>
    </vt:vector>
  </TitlesOfParts>
  <Company>УГАТУ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ЦТ</dc:creator>
  <cp:lastModifiedBy>home_pc</cp:lastModifiedBy>
  <dcterms:created xsi:type="dcterms:W3CDTF">2013-05-13T09:47:10Z</dcterms:created>
  <dcterms:modified xsi:type="dcterms:W3CDTF">2013-06-03T06:33:52Z</dcterms:modified>
</cp:coreProperties>
</file>