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3560" windowHeight="19480" tabRatio="500"/>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2" i="2"/>
  <c r="B22"/>
  <c r="A22"/>
  <c r="S1"/>
  <c r="T1"/>
  <c r="U1"/>
  <c r="V1"/>
  <c r="W1"/>
  <c r="X1"/>
  <c r="Y1"/>
  <c r="Z1"/>
  <c r="AA1"/>
  <c r="AB1"/>
  <c r="AC1"/>
  <c r="AD1"/>
  <c r="AE1"/>
  <c r="AF1"/>
  <c r="S2"/>
  <c r="T2"/>
  <c r="U2"/>
  <c r="V2"/>
  <c r="W2"/>
  <c r="X2"/>
  <c r="Y2"/>
  <c r="Z2"/>
  <c r="AA2"/>
  <c r="AB2"/>
  <c r="AC2"/>
  <c r="AD2"/>
  <c r="AE2"/>
  <c r="AF2"/>
  <c r="S3"/>
  <c r="T3"/>
  <c r="U3"/>
  <c r="V3"/>
  <c r="W3"/>
  <c r="X3"/>
  <c r="Y3"/>
  <c r="Z3"/>
  <c r="AA3"/>
  <c r="AB3"/>
  <c r="AC3"/>
  <c r="AD3"/>
  <c r="AE3"/>
  <c r="AF3"/>
  <c r="S4"/>
  <c r="T4"/>
  <c r="U4"/>
  <c r="V4"/>
  <c r="W4"/>
  <c r="X4"/>
  <c r="Y4"/>
  <c r="Z4"/>
  <c r="AA4"/>
  <c r="AB4"/>
  <c r="AC4"/>
  <c r="AD4"/>
  <c r="AE4"/>
  <c r="AF4"/>
  <c r="S5"/>
  <c r="T5"/>
  <c r="U5"/>
  <c r="V5"/>
  <c r="W5"/>
  <c r="X5"/>
  <c r="Y5"/>
  <c r="Z5"/>
  <c r="AA5"/>
  <c r="AB5"/>
  <c r="AC5"/>
  <c r="AD5"/>
  <c r="AE5"/>
  <c r="AF5"/>
  <c r="S6"/>
  <c r="T6"/>
  <c r="U6"/>
  <c r="V6"/>
  <c r="W6"/>
  <c r="X6"/>
  <c r="Y6"/>
  <c r="Z6"/>
  <c r="AA6"/>
  <c r="AB6"/>
  <c r="AC6"/>
  <c r="AD6"/>
  <c r="AE6"/>
  <c r="AF6"/>
  <c r="S7"/>
  <c r="T7"/>
  <c r="U7"/>
  <c r="V7"/>
  <c r="W7"/>
  <c r="X7"/>
  <c r="Y7"/>
  <c r="Z7"/>
  <c r="AA7"/>
  <c r="AB7"/>
  <c r="AC7"/>
  <c r="AD7"/>
  <c r="AE7"/>
  <c r="AF7"/>
  <c r="S8"/>
  <c r="T8"/>
  <c r="U8"/>
  <c r="V8"/>
  <c r="W8"/>
  <c r="X8"/>
  <c r="Y8"/>
  <c r="Z8"/>
  <c r="AA8"/>
  <c r="AB8"/>
  <c r="AC8"/>
  <c r="AD8"/>
  <c r="AE8"/>
  <c r="AF8"/>
  <c r="S9"/>
  <c r="T9"/>
  <c r="U9"/>
  <c r="V9"/>
  <c r="W9"/>
  <c r="X9"/>
  <c r="Y9"/>
  <c r="Z9"/>
  <c r="AA9"/>
  <c r="AB9"/>
  <c r="AC9"/>
  <c r="AD9"/>
  <c r="AE9"/>
  <c r="AF9"/>
  <c r="S10"/>
  <c r="T10"/>
  <c r="U10"/>
  <c r="V10"/>
  <c r="W10"/>
  <c r="X10"/>
  <c r="Y10"/>
  <c r="Z10"/>
  <c r="AA10"/>
  <c r="AB10"/>
  <c r="AC10"/>
  <c r="AD10"/>
  <c r="AE10"/>
  <c r="AF10"/>
  <c r="S11"/>
  <c r="T11"/>
  <c r="U11"/>
  <c r="V11"/>
  <c r="W11"/>
  <c r="X11"/>
  <c r="Y11"/>
  <c r="Z11"/>
  <c r="AA11"/>
  <c r="AB11"/>
  <c r="AC11"/>
  <c r="AD11"/>
  <c r="AE11"/>
  <c r="AF11"/>
  <c r="S12"/>
  <c r="T12"/>
  <c r="U12"/>
  <c r="V12"/>
  <c r="W12"/>
  <c r="X12"/>
  <c r="Y12"/>
  <c r="Z12"/>
  <c r="AA12"/>
  <c r="AB12"/>
  <c r="AC12"/>
  <c r="AD12"/>
  <c r="AE12"/>
  <c r="AF12"/>
  <c r="S13"/>
  <c r="T13"/>
  <c r="U13"/>
  <c r="V13"/>
  <c r="W13"/>
  <c r="X13"/>
  <c r="Y13"/>
  <c r="Z13"/>
  <c r="AA13"/>
  <c r="AB13"/>
  <c r="AC13"/>
  <c r="AD13"/>
  <c r="AE13"/>
  <c r="AF13"/>
  <c r="S14"/>
  <c r="T14"/>
  <c r="U14"/>
  <c r="V14"/>
  <c r="W14"/>
  <c r="X14"/>
  <c r="Y14"/>
  <c r="Z14"/>
  <c r="AA14"/>
  <c r="AB14"/>
  <c r="AC14"/>
  <c r="AD14"/>
  <c r="AE14"/>
  <c r="AF14"/>
  <c r="S15"/>
  <c r="T15"/>
  <c r="U15"/>
  <c r="V15"/>
  <c r="W15"/>
  <c r="X15"/>
  <c r="Y15"/>
  <c r="Z15"/>
  <c r="AA15"/>
  <c r="AB15"/>
  <c r="AC15"/>
  <c r="AD15"/>
  <c r="AE15"/>
  <c r="AF15"/>
  <c r="S16"/>
  <c r="T16"/>
  <c r="U16"/>
  <c r="V16"/>
  <c r="W16"/>
  <c r="X16"/>
  <c r="Y16"/>
  <c r="Z16"/>
  <c r="AA16"/>
  <c r="AB16"/>
  <c r="AC16"/>
  <c r="AD16"/>
  <c r="AE16"/>
  <c r="AF16"/>
  <c r="S17"/>
  <c r="T17"/>
  <c r="U17"/>
  <c r="V17"/>
  <c r="W17"/>
  <c r="X17"/>
  <c r="Y17"/>
  <c r="Z17"/>
  <c r="AA17"/>
  <c r="AB17"/>
  <c r="AC17"/>
  <c r="AD17"/>
  <c r="AE17"/>
  <c r="AF17"/>
  <c r="S18"/>
  <c r="T18"/>
  <c r="U18"/>
  <c r="V18"/>
  <c r="W18"/>
  <c r="X18"/>
  <c r="Y18"/>
  <c r="Z18"/>
  <c r="AA18"/>
  <c r="AB18"/>
  <c r="AC18"/>
  <c r="AD18"/>
  <c r="AE18"/>
  <c r="AF18"/>
  <c r="S19"/>
  <c r="T19"/>
  <c r="U19"/>
  <c r="V19"/>
  <c r="W19"/>
  <c r="X19"/>
  <c r="Y19"/>
  <c r="Z19"/>
  <c r="AA19"/>
  <c r="AB19"/>
  <c r="AC19"/>
  <c r="AD19"/>
  <c r="AE19"/>
  <c r="AF19"/>
  <c r="S20"/>
  <c r="T20"/>
  <c r="U20"/>
  <c r="V20"/>
  <c r="W20"/>
  <c r="X20"/>
  <c r="Y20"/>
  <c r="Z20"/>
  <c r="AA20"/>
  <c r="AB20"/>
  <c r="AC20"/>
  <c r="AD20"/>
  <c r="AE20"/>
  <c r="AF20"/>
  <c r="S21"/>
  <c r="T21"/>
  <c r="U21"/>
  <c r="V21"/>
  <c r="W21"/>
  <c r="X21"/>
  <c r="Y21"/>
  <c r="Z21"/>
  <c r="AA21"/>
  <c r="AB21"/>
  <c r="AC21"/>
  <c r="AD21"/>
  <c r="AE21"/>
  <c r="AF21"/>
  <c r="S22"/>
  <c r="T22"/>
  <c r="U22"/>
  <c r="V22"/>
  <c r="W22"/>
  <c r="X22"/>
  <c r="Y22"/>
  <c r="Z22"/>
  <c r="AA22"/>
  <c r="AB22"/>
  <c r="AC22"/>
  <c r="AD22"/>
  <c r="AE22"/>
  <c r="AF22"/>
  <c r="S23"/>
  <c r="T23"/>
  <c r="U23"/>
  <c r="V23"/>
  <c r="W23"/>
  <c r="X23"/>
  <c r="Y23"/>
  <c r="Z23"/>
  <c r="AA23"/>
  <c r="AB23"/>
  <c r="AC23"/>
  <c r="AD23"/>
  <c r="AE23"/>
  <c r="AF23"/>
  <c r="S24"/>
  <c r="T24"/>
  <c r="U24"/>
  <c r="V24"/>
  <c r="W24"/>
  <c r="X24"/>
  <c r="Y24"/>
  <c r="Z24"/>
  <c r="AA24"/>
  <c r="AB24"/>
  <c r="AC24"/>
  <c r="AD24"/>
  <c r="AE24"/>
  <c r="AF24"/>
  <c r="S25"/>
  <c r="T25"/>
  <c r="U25"/>
  <c r="V25"/>
  <c r="W25"/>
  <c r="X25"/>
  <c r="Y25"/>
  <c r="Z25"/>
  <c r="AA25"/>
  <c r="AB25"/>
  <c r="AC25"/>
  <c r="AD25"/>
  <c r="AE25"/>
  <c r="AF25"/>
  <c r="S26"/>
  <c r="T26"/>
  <c r="U26"/>
  <c r="V26"/>
  <c r="W26"/>
  <c r="X26"/>
  <c r="Y26"/>
  <c r="Z26"/>
  <c r="AA26"/>
  <c r="AB26"/>
  <c r="AC26"/>
  <c r="AD26"/>
  <c r="AE26"/>
  <c r="AF26"/>
  <c r="S27"/>
  <c r="T27"/>
  <c r="U27"/>
  <c r="V27"/>
  <c r="W27"/>
  <c r="X27"/>
  <c r="Y27"/>
  <c r="Z27"/>
  <c r="AA27"/>
  <c r="AB27"/>
  <c r="AC27"/>
  <c r="AD27"/>
  <c r="AE27"/>
  <c r="AF27"/>
  <c r="S28"/>
  <c r="T28"/>
  <c r="U28"/>
  <c r="V28"/>
  <c r="W28"/>
  <c r="X28"/>
  <c r="Y28"/>
  <c r="Z28"/>
  <c r="AA28"/>
  <c r="AB28"/>
  <c r="AC28"/>
  <c r="AD28"/>
  <c r="AE28"/>
  <c r="AF28"/>
  <c r="S29"/>
  <c r="T29"/>
  <c r="U29"/>
  <c r="V29"/>
  <c r="W29"/>
  <c r="X29"/>
  <c r="Y29"/>
  <c r="Z29"/>
  <c r="AA29"/>
  <c r="AB29"/>
  <c r="AC29"/>
  <c r="AD29"/>
  <c r="AE29"/>
  <c r="AF29"/>
  <c r="S30"/>
  <c r="V30"/>
  <c r="W30"/>
  <c r="X30"/>
  <c r="Y30"/>
  <c r="Z30"/>
  <c r="AA30"/>
  <c r="AB30"/>
  <c r="AC30"/>
  <c r="AD30"/>
  <c r="AE30"/>
  <c r="AF30"/>
  <c r="S31"/>
  <c r="V31"/>
  <c r="W31"/>
  <c r="X31"/>
  <c r="Y31"/>
  <c r="Z31"/>
  <c r="AA31"/>
  <c r="AB31"/>
  <c r="AC31"/>
  <c r="AD31"/>
  <c r="AE31"/>
  <c r="AF31"/>
  <c r="S32"/>
  <c r="V32"/>
  <c r="W32"/>
  <c r="X32"/>
  <c r="Y32"/>
  <c r="Z32"/>
  <c r="AA32"/>
  <c r="AB32"/>
  <c r="AC32"/>
  <c r="AD32"/>
  <c r="AE32"/>
  <c r="AF32"/>
  <c r="S33"/>
  <c r="V33"/>
  <c r="W33"/>
  <c r="X33"/>
  <c r="Y33"/>
  <c r="Z33"/>
  <c r="AA33"/>
  <c r="AB33"/>
  <c r="AC33"/>
  <c r="AD33"/>
  <c r="AE33"/>
  <c r="AF33"/>
  <c r="S34"/>
  <c r="T34"/>
  <c r="U34"/>
  <c r="V34"/>
  <c r="W34"/>
  <c r="X34"/>
  <c r="Y34"/>
  <c r="Z34"/>
  <c r="AA34"/>
  <c r="AB34"/>
  <c r="AC34"/>
  <c r="AD34"/>
  <c r="AE34"/>
  <c r="AF34"/>
  <c r="S35"/>
  <c r="T35"/>
  <c r="U35"/>
  <c r="V35"/>
  <c r="W35"/>
  <c r="X35"/>
  <c r="Y35"/>
  <c r="Z35"/>
  <c r="AA35"/>
  <c r="AB35"/>
  <c r="AC35"/>
  <c r="AD35"/>
  <c r="AE35"/>
  <c r="AF35"/>
  <c r="S36"/>
  <c r="T36"/>
  <c r="U36"/>
  <c r="V36"/>
  <c r="W36"/>
  <c r="X36"/>
  <c r="Y36"/>
  <c r="Z36"/>
  <c r="AA36"/>
  <c r="AB36"/>
  <c r="AC36"/>
  <c r="AD36"/>
  <c r="AE36"/>
  <c r="AF36"/>
  <c r="S37"/>
  <c r="T37"/>
  <c r="U37"/>
  <c r="V37"/>
  <c r="W37"/>
  <c r="X37"/>
  <c r="Y37"/>
  <c r="Z37"/>
  <c r="AA37"/>
  <c r="AB37"/>
  <c r="AC37"/>
  <c r="AD37"/>
  <c r="AE37"/>
  <c r="AF37"/>
  <c r="S38"/>
  <c r="T38"/>
  <c r="U38"/>
  <c r="V38"/>
  <c r="W38"/>
  <c r="X38"/>
  <c r="Y38"/>
  <c r="Z38"/>
  <c r="AA38"/>
  <c r="AB38"/>
  <c r="AC38"/>
  <c r="AD38"/>
  <c r="AE38"/>
  <c r="AF38"/>
  <c r="S39"/>
  <c r="T39"/>
  <c r="U39"/>
  <c r="V39"/>
  <c r="W39"/>
  <c r="X39"/>
  <c r="Y39"/>
  <c r="Z39"/>
  <c r="AA39"/>
  <c r="AB39"/>
  <c r="AC39"/>
  <c r="AD39"/>
  <c r="AE39"/>
  <c r="AF39"/>
  <c r="S40"/>
  <c r="T40"/>
  <c r="U40"/>
  <c r="V40"/>
  <c r="W40"/>
  <c r="X40"/>
  <c r="Y40"/>
  <c r="Z40"/>
  <c r="AA40"/>
  <c r="AB40"/>
  <c r="AC40"/>
  <c r="AD40"/>
  <c r="AE40"/>
  <c r="AF40"/>
  <c r="S41"/>
  <c r="V41"/>
  <c r="W41"/>
  <c r="X41"/>
  <c r="Y41"/>
  <c r="Z41"/>
  <c r="AA41"/>
  <c r="AB41"/>
  <c r="AC41"/>
  <c r="AD41"/>
  <c r="AE41"/>
  <c r="AF41"/>
  <c r="S42"/>
  <c r="U42"/>
  <c r="V42"/>
  <c r="W42"/>
  <c r="X42"/>
  <c r="Y42"/>
  <c r="Z42"/>
  <c r="AA42"/>
  <c r="AB42"/>
  <c r="AC42"/>
  <c r="AD42"/>
  <c r="AE42"/>
  <c r="AF42"/>
  <c r="S43"/>
  <c r="T43"/>
  <c r="U43"/>
  <c r="V43"/>
  <c r="W43"/>
  <c r="X43"/>
  <c r="Y43"/>
  <c r="Z43"/>
  <c r="AA43"/>
  <c r="AB43"/>
  <c r="AC43"/>
  <c r="AD43"/>
  <c r="AE43"/>
  <c r="AF43"/>
  <c r="S44"/>
  <c r="T44"/>
  <c r="U44"/>
  <c r="V44"/>
  <c r="W44"/>
  <c r="X44"/>
  <c r="Y44"/>
  <c r="Z44"/>
  <c r="AA44"/>
  <c r="AB44"/>
  <c r="AC44"/>
  <c r="AD44"/>
  <c r="AE44"/>
  <c r="AF44"/>
  <c r="S45"/>
  <c r="T45"/>
  <c r="U45"/>
  <c r="V45"/>
  <c r="W45"/>
  <c r="X45"/>
  <c r="Y45"/>
  <c r="Z45"/>
  <c r="AA45"/>
  <c r="AB45"/>
  <c r="AC45"/>
  <c r="AD45"/>
  <c r="AE45"/>
  <c r="AF45"/>
  <c r="S46"/>
  <c r="V46"/>
  <c r="W46"/>
  <c r="X46"/>
  <c r="Y46"/>
  <c r="Z46"/>
  <c r="AA46"/>
  <c r="AB46"/>
  <c r="AC46"/>
  <c r="AD46"/>
  <c r="AE46"/>
  <c r="AF46"/>
  <c r="S47"/>
  <c r="V47"/>
  <c r="W47"/>
  <c r="X47"/>
  <c r="Y47"/>
  <c r="Z47"/>
  <c r="AA47"/>
  <c r="AB47"/>
  <c r="AC47"/>
  <c r="AD47"/>
  <c r="AE47"/>
  <c r="AF47"/>
  <c r="S48"/>
  <c r="V48"/>
  <c r="W48"/>
  <c r="X48"/>
  <c r="Y48"/>
  <c r="Z48"/>
  <c r="AA48"/>
  <c r="AB48"/>
  <c r="AC48"/>
  <c r="AD48"/>
  <c r="AE48"/>
  <c r="AF48"/>
  <c r="S49"/>
  <c r="V49"/>
  <c r="W49"/>
  <c r="X49"/>
  <c r="Y49"/>
  <c r="Z49"/>
  <c r="AA49"/>
  <c r="AB49"/>
  <c r="AC49"/>
  <c r="AD49"/>
  <c r="AE49"/>
  <c r="AF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T30"/>
  <c r="U30"/>
  <c r="T31"/>
  <c r="U31"/>
  <c r="T32"/>
  <c r="U32"/>
  <c r="T33"/>
  <c r="U33"/>
  <c r="T41"/>
  <c r="U41"/>
  <c r="T42"/>
  <c r="T46"/>
  <c r="U46"/>
  <c r="T47"/>
  <c r="U47"/>
  <c r="T48"/>
  <c r="U48"/>
  <c r="T49"/>
  <c r="U49"/>
  <c r="K35"/>
  <c r="K36"/>
  <c r="K37"/>
  <c r="K38"/>
  <c r="K40"/>
  <c r="K44"/>
  <c r="K46"/>
  <c r="K47"/>
  <c r="K48"/>
  <c r="K49"/>
  <c r="I49"/>
  <c r="I4"/>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H42"/>
  <c r="H43"/>
  <c r="H44"/>
  <c r="H45"/>
  <c r="H46"/>
  <c r="H47"/>
  <c r="H48"/>
  <c r="H49"/>
  <c r="G2"/>
  <c r="G3"/>
  <c r="G4"/>
  <c r="G5"/>
  <c r="G6"/>
  <c r="G7"/>
  <c r="G9"/>
  <c r="G10"/>
  <c r="G11"/>
  <c r="G12"/>
  <c r="G13"/>
  <c r="G14"/>
  <c r="G15"/>
  <c r="G18"/>
  <c r="G19"/>
  <c r="G20"/>
  <c r="G21"/>
  <c r="G22"/>
  <c r="G23"/>
  <c r="G24"/>
  <c r="G25"/>
  <c r="G26"/>
  <c r="G27"/>
  <c r="G29"/>
  <c r="G30"/>
  <c r="G31"/>
  <c r="G32"/>
  <c r="G33"/>
  <c r="G34"/>
  <c r="G35"/>
  <c r="G36"/>
  <c r="G37"/>
  <c r="G38"/>
  <c r="G39"/>
  <c r="G40"/>
  <c r="G42"/>
  <c r="G43"/>
  <c r="G44"/>
  <c r="G45"/>
  <c r="G46"/>
  <c r="G47"/>
  <c r="G48"/>
  <c r="G49"/>
  <c r="F2"/>
  <c r="F3"/>
  <c r="F4"/>
  <c r="F5"/>
  <c r="F6"/>
  <c r="F7"/>
  <c r="F9"/>
  <c r="F10"/>
  <c r="F11"/>
  <c r="F12"/>
  <c r="F13"/>
  <c r="F14"/>
  <c r="F18"/>
  <c r="F19"/>
  <c r="F20"/>
  <c r="F21"/>
  <c r="F22"/>
  <c r="F23"/>
  <c r="F24"/>
  <c r="F25"/>
  <c r="F26"/>
  <c r="F27"/>
  <c r="F29"/>
  <c r="F30"/>
  <c r="F31"/>
  <c r="F32"/>
  <c r="F33"/>
  <c r="F34"/>
  <c r="F35"/>
  <c r="F36"/>
  <c r="F37"/>
  <c r="F38"/>
  <c r="F39"/>
  <c r="F40"/>
  <c r="F41"/>
  <c r="F42"/>
  <c r="F43"/>
  <c r="F44"/>
  <c r="F45"/>
  <c r="F46"/>
  <c r="F47"/>
  <c r="F48"/>
  <c r="F49"/>
  <c r="H17"/>
  <c r="F15"/>
  <c r="G16"/>
  <c r="G17"/>
  <c r="H16"/>
  <c r="F16"/>
  <c r="F17"/>
  <c r="G8"/>
  <c r="F8"/>
  <c r="G28"/>
  <c r="F28"/>
  <c r="A23" i="6"/>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8"/>
  <c r="E8"/>
  <c r="D8"/>
  <c r="C8"/>
  <c r="B8"/>
  <c r="F7"/>
  <c r="E7"/>
  <c r="D7"/>
  <c r="C7"/>
  <c r="B7"/>
  <c r="F6"/>
  <c r="E6"/>
  <c r="D6"/>
  <c r="C6"/>
  <c r="B6"/>
  <c r="G5"/>
  <c r="F5"/>
  <c r="E5"/>
  <c r="D5"/>
  <c r="C5"/>
  <c r="B5"/>
  <c r="F4"/>
  <c r="E4"/>
  <c r="D4"/>
  <c r="C4"/>
  <c r="B4"/>
  <c r="F3"/>
  <c r="E3"/>
  <c r="D3"/>
  <c r="C3"/>
  <c r="B3"/>
  <c r="F16"/>
  <c r="E16"/>
  <c r="D16"/>
  <c r="C16"/>
  <c r="B16"/>
  <c r="F17"/>
  <c r="E17"/>
  <c r="D17"/>
  <c r="C17"/>
  <c r="B17"/>
  <c r="B18"/>
  <c r="C18"/>
  <c r="D18"/>
  <c r="E18"/>
  <c r="F18"/>
  <c r="F9"/>
  <c r="E9"/>
  <c r="D9"/>
  <c r="C9"/>
  <c r="B9"/>
  <c r="F29"/>
  <c r="E29"/>
  <c r="D29"/>
  <c r="C29"/>
  <c r="B29"/>
  <c r="D6" i="5"/>
  <c r="AN24" i="1"/>
  <c r="AB43"/>
  <c r="AA43"/>
  <c r="AB35"/>
  <c r="AB34"/>
  <c r="AB33"/>
  <c r="AB32"/>
  <c r="AA35"/>
  <c r="AA34"/>
  <c r="AA33"/>
  <c r="AA32"/>
  <c r="AN43"/>
  <c r="AN27"/>
  <c r="L33"/>
  <c r="O33"/>
  <c r="L34"/>
  <c r="O34"/>
  <c r="L35"/>
  <c r="O35"/>
  <c r="L32"/>
  <c r="O32"/>
  <c r="L43"/>
  <c r="O43"/>
  <c r="O20"/>
  <c r="O21"/>
  <c r="O22"/>
  <c r="O23"/>
  <c r="O24"/>
  <c r="O25"/>
  <c r="O26"/>
  <c r="O27"/>
  <c r="K33"/>
  <c r="N33"/>
  <c r="K34"/>
  <c r="N34"/>
  <c r="K35"/>
  <c r="N35"/>
  <c r="K32"/>
  <c r="N32"/>
  <c r="N20"/>
  <c r="N21"/>
  <c r="N22"/>
  <c r="N23"/>
  <c r="N24"/>
  <c r="N25"/>
  <c r="N26"/>
  <c r="N27"/>
  <c r="I43"/>
  <c r="M43"/>
  <c r="I33"/>
  <c r="M33"/>
  <c r="I34"/>
  <c r="M34"/>
  <c r="I35"/>
  <c r="M35"/>
  <c r="I32"/>
  <c r="M32"/>
  <c r="K43"/>
  <c r="M20"/>
  <c r="M21"/>
  <c r="M22"/>
  <c r="M23"/>
  <c r="M24"/>
  <c r="M25"/>
  <c r="M26"/>
  <c r="M27"/>
  <c r="P38"/>
  <c r="P44"/>
  <c r="M44"/>
  <c r="P42"/>
  <c r="P45"/>
  <c r="M45"/>
  <c r="P47"/>
  <c r="P46"/>
  <c r="M46"/>
  <c r="M47"/>
  <c r="P48"/>
  <c r="M48"/>
  <c r="P49"/>
  <c r="M49"/>
  <c r="P50"/>
  <c r="M50"/>
  <c r="P51"/>
  <c r="M51"/>
  <c r="AN37"/>
  <c r="AN38"/>
  <c r="AN39"/>
  <c r="AN40"/>
  <c r="AN41"/>
  <c r="AN42"/>
  <c r="AB48"/>
  <c r="AB49"/>
  <c r="AB50"/>
  <c r="AB51"/>
  <c r="AA50"/>
  <c r="AA49"/>
  <c r="AA44"/>
  <c r="AA48"/>
  <c r="AA51"/>
  <c r="R46"/>
  <c r="R50"/>
  <c r="R51"/>
  <c r="R37"/>
  <c r="R49"/>
  <c r="R42"/>
  <c r="R48"/>
  <c r="L44"/>
  <c r="O44"/>
  <c r="L45"/>
  <c r="O45"/>
  <c r="L46"/>
  <c r="O46"/>
  <c r="L47"/>
  <c r="O47"/>
  <c r="L48"/>
  <c r="O48"/>
  <c r="L49"/>
  <c r="O49"/>
  <c r="L50"/>
  <c r="O50"/>
  <c r="L51"/>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AN36"/>
  <c r="P6"/>
  <c r="M6"/>
  <c r="AN35"/>
  <c r="AN5"/>
  <c r="AN6"/>
  <c r="AN7"/>
  <c r="AN8"/>
  <c r="AN9"/>
  <c r="AN10"/>
  <c r="AN11"/>
  <c r="AN12"/>
  <c r="AN13"/>
  <c r="AN14"/>
  <c r="AN15"/>
  <c r="AN16"/>
  <c r="AN17"/>
  <c r="AN18"/>
  <c r="AN19"/>
  <c r="AN20"/>
  <c r="AN21"/>
  <c r="AN22"/>
  <c r="AN23"/>
  <c r="AN25"/>
  <c r="AN26"/>
  <c r="AN28"/>
  <c r="AN29"/>
  <c r="AN30"/>
  <c r="AN31"/>
  <c r="AN32"/>
  <c r="AN33"/>
  <c r="AN34"/>
  <c r="O6"/>
  <c r="N6"/>
  <c r="M8"/>
  <c r="M28"/>
  <c r="M29"/>
  <c r="M30"/>
  <c r="M31"/>
  <c r="I9"/>
  <c r="M9"/>
  <c r="M10"/>
  <c r="M11"/>
  <c r="M12"/>
  <c r="M13"/>
  <c r="M14"/>
  <c r="M15"/>
  <c r="M16"/>
  <c r="M17"/>
  <c r="M18"/>
  <c r="M19"/>
  <c r="M7"/>
  <c r="M5"/>
  <c r="M4"/>
  <c r="N31"/>
  <c r="O10"/>
  <c r="N10"/>
  <c r="O5"/>
  <c r="O7"/>
  <c r="O8"/>
  <c r="O9"/>
  <c r="O11"/>
  <c r="O12"/>
  <c r="O13"/>
  <c r="O14"/>
  <c r="O15"/>
  <c r="O16"/>
  <c r="O17"/>
  <c r="O18"/>
  <c r="O19"/>
  <c r="O28"/>
  <c r="O29"/>
  <c r="O30"/>
  <c r="O4"/>
  <c r="N5"/>
  <c r="N7"/>
  <c r="N8"/>
  <c r="N9"/>
  <c r="N11"/>
  <c r="N12"/>
  <c r="N13"/>
  <c r="N14"/>
  <c r="N15"/>
  <c r="N16"/>
  <c r="N17"/>
  <c r="N18"/>
  <c r="N19"/>
  <c r="N28"/>
  <c r="N29"/>
  <c r="N30"/>
  <c r="N4"/>
  <c r="AN4"/>
</calcChain>
</file>

<file path=xl/sharedStrings.xml><?xml version="1.0" encoding="utf-8"?>
<sst xmlns="http://schemas.openxmlformats.org/spreadsheetml/2006/main" count="201" uniqueCount="149">
  <si>
    <t>CapEx from SAM with Solar Field area = 600000m^2, construction cost mulitplier and yearly cost fraction from ReEDs sheet, cost declination rate and fixed OM from Black and Veach on ReEDs sheet.  Most places put VarOM at 0, so this was done here</t>
    <phoneticPr fontId="3" type="noConversion"/>
  </si>
  <si>
    <t>CapEx from SAM with Solar Field area = 800000m^2 and 6h TES, construction cost mulitplier and yearly cost fraction from CSP on ReEDs sheet- it's unclear how much these change with storage... assumed to be the same here, cost declination rate and fixed OM from Black and Veach ReEDs sheet.  Most places put VarOM at 0, so this was done here</t>
    <phoneticPr fontId="3"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</si>
  <si>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3" type="noConversion"/>
  </si>
  <si>
    <t>CCGT_EP</t>
    <phoneticPr fontId="3" type="noConversion"/>
  </si>
  <si>
    <t>Gas_Combustion_Turbine_EP</t>
    <phoneticPr fontId="3" type="noConversion"/>
  </si>
  <si>
    <t>Wind</t>
    <phoneticPr fontId="3" type="noConversion"/>
  </si>
  <si>
    <t>price_and_dollar_year</t>
    <phoneticPr fontId="3" type="noConversion"/>
  </si>
  <si>
    <t>Gas</t>
  </si>
  <si>
    <t>year_4_cost_fraction</t>
    <phoneticPr fontId="3" type="noConversion"/>
  </si>
  <si>
    <t>year_5_cost_fraction</t>
    <phoneticPr fontId="3" type="noConversion"/>
  </si>
  <si>
    <t>year_6_cost_fraction</t>
    <phoneticPr fontId="3" type="noConversion"/>
  </si>
  <si>
    <t>fixed_o_m_$2007</t>
    <phoneticPr fontId="3" type="noConversion"/>
  </si>
  <si>
    <t>heat_rate_mbtu_per_mwh</t>
    <phoneticPr fontId="3" type="noConversion"/>
  </si>
  <si>
    <t>Commercial_PV</t>
    <phoneticPr fontId="3" type="noConversion"/>
  </si>
  <si>
    <t>min_build_year</t>
    <phoneticPr fontId="3" type="noConversion"/>
  </si>
  <si>
    <t>Gas_Combustion_Turbine_Cogen_EP</t>
    <phoneticPr fontId="3" type="noConversion"/>
  </si>
  <si>
    <t>Coal_Steam_Turbine_Cogen_EP</t>
    <phoneticPr fontId="3" type="noConversion"/>
  </si>
  <si>
    <t>ReEDs Sheet, also new wind params used for fixed O+M, forced outage rate</t>
    <phoneticPr fontId="3" type="noConversion"/>
  </si>
  <si>
    <t>ReEDs Sheet, cost declination rate assumed to be between ST and other techs (@1%).  EIA has minimum learning by 2025 as 10%, so this is roughly consistent</t>
  </si>
  <si>
    <t>storage</t>
    <phoneticPr fontId="3" type="noConversion"/>
  </si>
  <si>
    <t>Offshore_Wind</t>
  </si>
  <si>
    <t>Bio_Gas</t>
  </si>
  <si>
    <t>year_1_cost_fraction</t>
    <phoneticPr fontId="3" type="noConversion"/>
  </si>
  <si>
    <t>year_2_cost_fraction</t>
    <phoneticPr fontId="3" type="noConversion"/>
  </si>
  <si>
    <t>year_3_cost_fraction</t>
    <phoneticPr fontId="3" type="noConversion"/>
  </si>
  <si>
    <t>Battery_Storage</t>
    <phoneticPr fontId="3" type="noConversion"/>
  </si>
  <si>
    <t>Storage</t>
    <phoneticPr fontId="3" type="noConversion"/>
  </si>
  <si>
    <t>ReEDs Sheet</t>
    <phoneticPr fontId="3" type="noConversion"/>
  </si>
  <si>
    <t>tech_name_again</t>
    <phoneticPr fontId="3" type="noConversion"/>
  </si>
  <si>
    <t>Geothermal</t>
  </si>
  <si>
    <t>construction_time_years</t>
    <phoneticPr fontId="3" type="noConversion"/>
  </si>
  <si>
    <t>Coal_Steam_Turbine_Cogen_EP</t>
  </si>
  <si>
    <t>Gas_Steam_Turbine_Cogen_EP</t>
  </si>
  <si>
    <t>Coal_Steam_Turbine_EP</t>
    <phoneticPr fontId="3" type="noConversion"/>
  </si>
  <si>
    <t>Gas_Steam_Turbine_EP</t>
    <phoneticPr fontId="3" type="noConversion"/>
  </si>
  <si>
    <t>Bio_Solid_CCS</t>
    <phoneticPr fontId="3" type="noConversion"/>
  </si>
  <si>
    <t>Biomass_Steam_Turbine</t>
  </si>
  <si>
    <t>Hydro_NonPumped</t>
    <phoneticPr fontId="3" type="noConversion"/>
  </si>
  <si>
    <t>Hydro_Pumped</t>
    <phoneticPr fontId="3" type="noConversion"/>
  </si>
  <si>
    <t>Water</t>
    <phoneticPr fontId="3" type="noConversion"/>
  </si>
  <si>
    <t>Water</t>
    <phoneticPr fontId="3"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</si>
  <si>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</si>
  <si>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</si>
  <si>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</si>
  <si>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</si>
  <si>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</si>
  <si>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3" type="noConversion"/>
  </si>
  <si>
    <t>scheduled_outage_rate</t>
    <phoneticPr fontId="3" type="noConversion"/>
  </si>
  <si>
    <t>note: we assume that cogen plants have 3/4 of the capital cost of a pure-electric plant, (to reflect shared infrastructure for cogen), but the same operating costs.</t>
    <phoneticPr fontId="3" type="noConversion"/>
  </si>
  <si>
    <t>dispatchable</t>
    <phoneticPr fontId="3" type="noConversion"/>
  </si>
  <si>
    <t>cogen</t>
    <phoneticPr fontId="3" type="noConversion"/>
  </si>
  <si>
    <t>ReEDs Sheet, took CoalOldScr costs</t>
    <phoneticPr fontId="3" type="noConversion"/>
  </si>
  <si>
    <t>ReEDs Sheet, took OGS (Oil Gas Steam)</t>
    <phoneticPr fontId="3" type="noConversion"/>
  </si>
  <si>
    <t>ReEDs Sheet, set lifetime to 60 years</t>
    <phoneticPr fontId="3" type="noConversion"/>
  </si>
  <si>
    <t>Wind</t>
    <phoneticPr fontId="3" type="noConversion"/>
  </si>
  <si>
    <t>CCGT_CCS_EP</t>
    <phoneticPr fontId="3" type="noConversion"/>
  </si>
  <si>
    <t>Gas_Combustion_Turbine_Cogen_CCS_EP</t>
    <phoneticPr fontId="3" type="noConversion"/>
  </si>
  <si>
    <t>Coal_Steam_Turbine_Cogen_CCS_EP</t>
    <phoneticPr fontId="3" type="noConversion"/>
  </si>
  <si>
    <t>Gas_Steam_Turbine_Cogen_CCS_EP</t>
    <phoneticPr fontId="3" type="noConversion"/>
  </si>
  <si>
    <t>CCGT_Cogen_CCS_EP</t>
    <phoneticPr fontId="3" type="noConversion"/>
  </si>
  <si>
    <t>Coal_CCS</t>
    <phoneticPr fontId="3" type="noConversion"/>
  </si>
  <si>
    <t>ReEDs Sheet, storage effiency from Samir Succar and Robert H. Williams: Compressed Air Energy Storage: Theory, Resources, And Applications For Wind Power, p. 39</t>
    <phoneticPr fontId="3" type="noConversion"/>
  </si>
  <si>
    <t>ReEDs Sheet, nukes run for 40 years at least, so the 30 year ReEDs lifetime was changed to 40, also the cost declination rate was set to 0.55% as nukes don't really obey the laws of mass production because they aren't mass produced</t>
    <phoneticPr fontId="3" type="noConversion"/>
  </si>
  <si>
    <t>CCGT</t>
  </si>
  <si>
    <t>ReEDs Sheet</t>
  </si>
  <si>
    <t>Gas_Combustion_Turbine</t>
  </si>
  <si>
    <t>CCGT_CCS</t>
    <phoneticPr fontId="3" type="noConversion"/>
  </si>
  <si>
    <t>Gas_Combustion_Turbine_CCS</t>
    <phoneticPr fontId="3" type="noConversion"/>
  </si>
  <si>
    <t>Bio_Gas_CCS</t>
    <phoneticPr fontId="3" type="noConversion"/>
  </si>
  <si>
    <t>Biomass_IGCC_CCS</t>
    <phoneticPr fontId="3" type="noConversion"/>
  </si>
  <si>
    <t>Coal_IGCC_CCS</t>
    <phoneticPr fontId="3" type="noConversion"/>
  </si>
  <si>
    <t>Coal_Steam_Turbine_CCS</t>
    <phoneticPr fontId="3" type="noConversion"/>
  </si>
  <si>
    <t>Gas_CCS</t>
    <phoneticPr fontId="3" type="noConversion"/>
  </si>
  <si>
    <t>overnight_cost_$2007</t>
    <phoneticPr fontId="3" type="noConversion"/>
  </si>
  <si>
    <t>Gas_Steam_Turbine_Cogen_EP</t>
    <phoneticPr fontId="3" type="noConversion"/>
  </si>
  <si>
    <t>CCGT_Cogen_EP</t>
    <phoneticPr fontId="3" type="noConversion"/>
  </si>
  <si>
    <t>Coal</t>
  </si>
  <si>
    <t>Uranium</t>
  </si>
  <si>
    <t>storage_efficiency</t>
  </si>
  <si>
    <t>max_store_rate</t>
  </si>
  <si>
    <t>ccs</t>
    <phoneticPr fontId="3" type="noConversion"/>
  </si>
  <si>
    <t>Coal</t>
    <phoneticPr fontId="3" type="noConversion"/>
  </si>
  <si>
    <t>Uranium</t>
    <phoneticPr fontId="3" type="noConversion"/>
  </si>
  <si>
    <t>var_o_m_$2007</t>
    <phoneticPr fontId="3" type="noConversion"/>
  </si>
  <si>
    <t>Black and Veatch for REFutures (12-02-09 update) (onReEDs sheet) for capital cost, outage rates from Mathias</t>
    <phoneticPr fontId="3"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</si>
  <si>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</si>
  <si>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</si>
  <si>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</si>
  <si>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</si>
  <si>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</si>
  <si>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</si>
  <si>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</si>
  <si>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</si>
  <si>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3" type="noConversion"/>
  </si>
  <si>
    <t>connect_cost_generic_$2007_per_mw</t>
    <phoneticPr fontId="3" type="noConversion"/>
  </si>
  <si>
    <t>fuel</t>
    <phoneticPr fontId="3" type="noConversion"/>
  </si>
  <si>
    <t>Gas</t>
    <phoneticPr fontId="3" type="noConversion"/>
  </si>
  <si>
    <t>Coal_Steam_Turbine_CCS_EP</t>
    <phoneticPr fontId="3" type="noConversion"/>
  </si>
  <si>
    <t>Gas_Steam_Turbine_CCS_EP</t>
    <phoneticPr fontId="3" type="noConversion"/>
  </si>
  <si>
    <t>CSP_Trough_No_Storage</t>
    <phoneticPr fontId="3" type="noConversion"/>
  </si>
  <si>
    <t>CSP_Trough_6h_Storage</t>
    <phoneticPr fontId="3" type="noConversion"/>
  </si>
  <si>
    <t>Wind</t>
  </si>
  <si>
    <t>Central_PV</t>
    <phoneticPr fontId="3" type="noConversion"/>
  </si>
  <si>
    <t>construction_cost_multipulier</t>
    <phoneticPr fontId="3" type="noConversion"/>
  </si>
  <si>
    <t>fixed_o_m</t>
    <phoneticPr fontId="3" type="noConversion"/>
  </si>
  <si>
    <t>var_o_m</t>
    <phoneticPr fontId="3" type="noConversion"/>
  </si>
  <si>
    <t>Nuclear_EP</t>
    <phoneticPr fontId="3" type="noConversion"/>
  </si>
  <si>
    <t>interest_between_price_year_and_cost_year</t>
    <phoneticPr fontId="3" type="noConversion"/>
  </si>
  <si>
    <t>Residential_PV</t>
    <phoneticPr fontId="3" type="noConversion"/>
  </si>
  <si>
    <t>Geothermal</t>
    <phoneticPr fontId="3" type="noConversion"/>
  </si>
  <si>
    <t>Compressed_Air_Energy_Storage</t>
    <phoneticPr fontId="3" type="noConversion"/>
  </si>
  <si>
    <t>Gas</t>
    <phoneticPr fontId="3" type="noConversion"/>
  </si>
  <si>
    <t>source - all dispatch data from TEPPC_Generator_Categories</t>
    <phoneticPr fontId="3" type="noConversion"/>
  </si>
  <si>
    <t>technology_id</t>
    <phoneticPr fontId="3" type="noConversion"/>
  </si>
  <si>
    <t>max_age_years</t>
    <phoneticPr fontId="3" type="noConversion"/>
  </si>
  <si>
    <t>Solar</t>
    <phoneticPr fontId="3" type="noConversion"/>
  </si>
  <si>
    <t>Bio_Gas</t>
    <phoneticPr fontId="3" type="noConversion"/>
  </si>
  <si>
    <t>ReEDs Sheet, assumed to run for 40 years, not 60</t>
  </si>
  <si>
    <t>Coal_Steam_Turbine</t>
  </si>
  <si>
    <t>Nuclear</t>
  </si>
  <si>
    <t>EIA, cost declination rate, construction time, lifetime, outage rates assumed to be equal to gas combustion turbine</t>
  </si>
  <si>
    <t>CCGT_Cogen_EP</t>
  </si>
  <si>
    <t>Gas_Combustion_Turbine_CCS_EP</t>
    <phoneticPr fontId="3" type="noConversion"/>
  </si>
  <si>
    <t>Wind_EP</t>
    <phoneticPr fontId="3" type="noConversion"/>
  </si>
  <si>
    <t>Gas</t>
    <phoneticPr fontId="3" type="noConversion"/>
  </si>
  <si>
    <t>DOE Solar Program Costs, took 2020 value for fixed O+M, 10% added to capital costs to go from utility to distributed, but also assumed a 5% declination rate, , outage rates from Mathias</t>
    <phoneticPr fontId="3" type="noConversion"/>
  </si>
  <si>
    <t>overnight_cost</t>
    <phoneticPr fontId="3" type="noConversion"/>
  </si>
  <si>
    <t>Solar</t>
    <phoneticPr fontId="3" type="noConversion"/>
  </si>
  <si>
    <t>Bio_Solid</t>
    <phoneticPr fontId="3" type="noConversion"/>
  </si>
  <si>
    <t>Gas_Combustion_Turbine_EP</t>
  </si>
  <si>
    <t>Coal_Steam_Turbine_EP</t>
  </si>
  <si>
    <t>Gas_Steam_Turbine_EP</t>
  </si>
  <si>
    <t>CCGT_EP</t>
  </si>
  <si>
    <t>Gas_Combustion_Turbine_Cogen_EP</t>
  </si>
  <si>
    <t>Gas_Internal_Combustion_Engine_EP</t>
    <phoneticPr fontId="3" type="noConversion"/>
  </si>
  <si>
    <t>Gas</t>
    <phoneticPr fontId="3" type="noConversion"/>
  </si>
  <si>
    <t>Gas_Internal_Combustion_Engine_Cogen_EP</t>
    <phoneticPr fontId="3"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</si>
  <si>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3" type="noConversion"/>
  </si>
  <si>
    <t>Cost Declination Rate (%/yr)</t>
    <phoneticPr fontId="3" type="noConversion"/>
  </si>
  <si>
    <t>Resultant Capital Costs ($2007/MW) in Investment Period Years</t>
    <phoneticPr fontId="3" type="noConversion"/>
  </si>
  <si>
    <t>Concentrating_PV</t>
    <phoneticPr fontId="3" type="noConversion"/>
  </si>
  <si>
    <t>Solar</t>
    <phoneticPr fontId="3" type="noConversion"/>
  </si>
  <si>
    <t>(in 2010 $)</t>
    <phoneticPr fontId="3" type="noConversion"/>
  </si>
  <si>
    <t>year</t>
    <phoneticPr fontId="3" type="noConversion"/>
  </si>
  <si>
    <t>$/Wp</t>
    <phoneticPr fontId="3" type="noConversion"/>
  </si>
  <si>
    <t>CPV Consortium numbers (It's more or less SolFocus)</t>
    <phoneticPr fontId="3" type="noConversion"/>
  </si>
  <si>
    <t>cost declination rate</t>
    <phoneticPr fontId="3" type="noConversion"/>
  </si>
  <si>
    <t>ReEDs Sheet, 75 CapEx of non-cogen</t>
    <phoneticPr fontId="3" type="noConversion"/>
  </si>
  <si>
    <t>Geothermal_EP</t>
    <phoneticPr fontId="3" type="noConversion"/>
  </si>
</sst>
</file>

<file path=xl/styles.xml><?xml version="1.0" encoding="utf-8"?>
<styleSheet xmlns="http://schemas.openxmlformats.org/spreadsheetml/2006/main">
  <numFmts count="8">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00_);[Red]\(&quot;$&quot;#,##0.00\)"/>
    <numFmt numFmtId="170" formatCode="0.0"/>
  </numFmts>
  <fonts count="4">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2" fontId="0" fillId="0" borderId="0" xfId="0" applyNumberFormat="1"/>
    <xf numFmtId="170" fontId="0" fillId="0" borderId="0" xfId="0" applyNumberFormat="1"/>
    <xf numFmtId="0" fontId="0" fillId="0" borderId="0" xfId="0"/>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5"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O104"/>
  <sheetViews>
    <sheetView tabSelected="1" zoomScale="125" workbookViewId="0">
      <pane xSplit="2" topLeftCell="AL1" activePane="topRight" state="frozen"/>
      <selection pane="topRight" activeCell="AO11" sqref="AO11"/>
    </sheetView>
  </sheetViews>
  <sheetFormatPr baseColWidth="10" defaultRowHeight="13"/>
  <cols>
    <col min="1" max="1" width="10.7109375" style="5"/>
    <col min="2" max="2" width="30.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0.7109375" style="27"/>
    <col min="37" max="37" width="10.7109375" style="15"/>
    <col min="38" max="39" width="10.7109375" style="27"/>
    <col min="40" max="40" width="23.140625" customWidth="1"/>
  </cols>
  <sheetData>
    <row r="1" spans="1:41" s="33" customFormat="1">
      <c r="A1" s="34" t="s">
        <v>48</v>
      </c>
    </row>
    <row r="2" spans="1:41" s="33" customFormat="1"/>
    <row r="3" spans="1:41">
      <c r="A3" s="5" t="s">
        <v>113</v>
      </c>
      <c r="B3" t="s">
        <v>85</v>
      </c>
      <c r="C3" s="5" t="s">
        <v>6</v>
      </c>
      <c r="D3" t="s">
        <v>14</v>
      </c>
      <c r="E3" t="s">
        <v>95</v>
      </c>
      <c r="F3" t="s">
        <v>91</v>
      </c>
      <c r="G3" s="11" t="s">
        <v>107</v>
      </c>
      <c r="H3" t="s">
        <v>92</v>
      </c>
      <c r="I3" t="s">
        <v>126</v>
      </c>
      <c r="J3" t="s">
        <v>103</v>
      </c>
      <c r="K3" t="s">
        <v>104</v>
      </c>
      <c r="L3" t="s">
        <v>105</v>
      </c>
      <c r="M3" t="s">
        <v>73</v>
      </c>
      <c r="N3" t="s">
        <v>11</v>
      </c>
      <c r="O3" t="s">
        <v>83</v>
      </c>
      <c r="P3" t="s">
        <v>86</v>
      </c>
      <c r="Q3" t="s">
        <v>94</v>
      </c>
      <c r="R3" t="s">
        <v>12</v>
      </c>
      <c r="S3" t="s">
        <v>30</v>
      </c>
      <c r="T3" s="5" t="s">
        <v>22</v>
      </c>
      <c r="U3" s="5" t="s">
        <v>23</v>
      </c>
      <c r="V3" s="5" t="s">
        <v>24</v>
      </c>
      <c r="W3" s="5" t="s">
        <v>8</v>
      </c>
      <c r="X3" s="5" t="s">
        <v>9</v>
      </c>
      <c r="Y3" s="5" t="s">
        <v>10</v>
      </c>
      <c r="Z3" s="5" t="s">
        <v>114</v>
      </c>
      <c r="AA3" t="s">
        <v>46</v>
      </c>
      <c r="AB3" t="s">
        <v>47</v>
      </c>
      <c r="AC3" t="s">
        <v>87</v>
      </c>
      <c r="AD3" t="s">
        <v>88</v>
      </c>
      <c r="AE3" t="s">
        <v>89</v>
      </c>
      <c r="AF3" s="33" t="s">
        <v>49</v>
      </c>
      <c r="AG3" s="33" t="s">
        <v>50</v>
      </c>
      <c r="AH3" t="s">
        <v>90</v>
      </c>
      <c r="AI3" t="s">
        <v>45</v>
      </c>
      <c r="AJ3" s="27" t="s">
        <v>80</v>
      </c>
      <c r="AK3" s="15" t="s">
        <v>19</v>
      </c>
      <c r="AL3" t="s">
        <v>78</v>
      </c>
      <c r="AM3" t="s">
        <v>79</v>
      </c>
      <c r="AN3" s="12" t="s">
        <v>28</v>
      </c>
      <c r="AO3" t="s">
        <v>112</v>
      </c>
    </row>
    <row r="4" spans="1:41">
      <c r="A4" s="5">
        <v>1</v>
      </c>
      <c r="B4" t="s">
        <v>63</v>
      </c>
      <c r="C4" s="5">
        <v>2007</v>
      </c>
      <c r="D4">
        <v>2010</v>
      </c>
      <c r="E4" t="s">
        <v>96</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27">
        <v>0</v>
      </c>
      <c r="AK4" s="15">
        <v>0</v>
      </c>
      <c r="AL4">
        <v>0</v>
      </c>
      <c r="AM4">
        <v>0</v>
      </c>
      <c r="AN4" t="str">
        <f>B4</f>
        <v>CCGT</v>
      </c>
      <c r="AO4" t="s">
        <v>64</v>
      </c>
    </row>
    <row r="5" spans="1:41">
      <c r="A5" s="5">
        <v>2</v>
      </c>
      <c r="B5" t="s">
        <v>65</v>
      </c>
      <c r="C5" s="5">
        <v>2007</v>
      </c>
      <c r="D5" s="5">
        <v>2010</v>
      </c>
      <c r="E5" t="s">
        <v>96</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27">
        <v>0</v>
      </c>
      <c r="AK5" s="15">
        <v>0</v>
      </c>
      <c r="AL5">
        <v>0</v>
      </c>
      <c r="AM5">
        <v>0</v>
      </c>
      <c r="AN5" s="22" t="str">
        <f t="shared" ref="AN5:AN24" si="3">B5</f>
        <v>Gas_Combustion_Turbine</v>
      </c>
      <c r="AO5" t="s">
        <v>64</v>
      </c>
    </row>
    <row r="6" spans="1:41" s="22" customFormat="1">
      <c r="A6" s="22">
        <v>3</v>
      </c>
      <c r="B6" s="22" t="s">
        <v>140</v>
      </c>
      <c r="C6" s="22">
        <v>2007</v>
      </c>
      <c r="D6" s="22">
        <v>2010</v>
      </c>
      <c r="E6" s="22" t="s">
        <v>141</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27">
        <v>0</v>
      </c>
      <c r="AK6" s="22">
        <v>0</v>
      </c>
      <c r="AL6">
        <v>0</v>
      </c>
      <c r="AM6">
        <v>0</v>
      </c>
      <c r="AN6" s="22" t="str">
        <f t="shared" si="3"/>
        <v>Concentrating_PV</v>
      </c>
      <c r="AO6" s="22" t="s">
        <v>145</v>
      </c>
    </row>
    <row r="7" spans="1:41">
      <c r="A7" s="5">
        <v>4</v>
      </c>
      <c r="B7" t="s">
        <v>101</v>
      </c>
      <c r="C7" s="5">
        <v>2007</v>
      </c>
      <c r="D7" s="5">
        <v>2010</v>
      </c>
      <c r="E7" t="s">
        <v>5</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27">
        <v>0</v>
      </c>
      <c r="AK7" s="15">
        <v>0</v>
      </c>
      <c r="AL7">
        <v>0</v>
      </c>
      <c r="AM7">
        <v>0</v>
      </c>
      <c r="AN7" s="22" t="str">
        <f t="shared" si="3"/>
        <v>Wind</v>
      </c>
      <c r="AO7" t="s">
        <v>84</v>
      </c>
    </row>
    <row r="8" spans="1:41">
      <c r="A8" s="5">
        <v>5</v>
      </c>
      <c r="B8" t="s">
        <v>20</v>
      </c>
      <c r="C8" s="5">
        <v>2007</v>
      </c>
      <c r="D8" s="5">
        <v>2010</v>
      </c>
      <c r="E8" t="s">
        <v>5</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27">
        <v>0</v>
      </c>
      <c r="AK8" s="15">
        <v>0</v>
      </c>
      <c r="AL8">
        <v>0</v>
      </c>
      <c r="AM8">
        <v>0</v>
      </c>
      <c r="AN8" s="22" t="str">
        <f t="shared" si="3"/>
        <v>Offshore_Wind</v>
      </c>
      <c r="AO8" t="s">
        <v>137</v>
      </c>
    </row>
    <row r="9" spans="1:41">
      <c r="A9" s="5">
        <v>6</v>
      </c>
      <c r="B9" s="11" t="s">
        <v>108</v>
      </c>
      <c r="C9" s="5">
        <v>2007</v>
      </c>
      <c r="D9" s="5">
        <v>2010</v>
      </c>
      <c r="E9" t="s">
        <v>115</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27">
        <v>0</v>
      </c>
      <c r="AK9" s="15">
        <v>0</v>
      </c>
      <c r="AL9">
        <v>0</v>
      </c>
      <c r="AM9">
        <v>0</v>
      </c>
      <c r="AN9" s="22" t="str">
        <f t="shared" si="3"/>
        <v>Residential_PV</v>
      </c>
      <c r="AO9" t="s">
        <v>125</v>
      </c>
    </row>
    <row r="10" spans="1:41" s="11" customFormat="1">
      <c r="A10" s="11">
        <v>7</v>
      </c>
      <c r="B10" s="11" t="s">
        <v>100</v>
      </c>
      <c r="C10" s="11">
        <v>2007</v>
      </c>
      <c r="D10" s="11">
        <v>2012</v>
      </c>
      <c r="E10" s="11" t="s">
        <v>127</v>
      </c>
      <c r="F10" s="11">
        <v>2010</v>
      </c>
      <c r="G10" s="11">
        <v>0.96499999999999997</v>
      </c>
      <c r="H10" s="11">
        <v>2010</v>
      </c>
      <c r="I10" s="11">
        <v>6821000</v>
      </c>
      <c r="J10" s="11">
        <v>1.05</v>
      </c>
      <c r="K10" s="11">
        <v>49906</v>
      </c>
      <c r="L10" s="11">
        <v>0</v>
      </c>
      <c r="M10" s="21">
        <f t="shared" si="0"/>
        <v>7098171.79151126</v>
      </c>
      <c r="N10" s="11">
        <f t="shared" ref="N10" si="4">K10*G10</f>
        <v>48159.29</v>
      </c>
      <c r="O10" s="11">
        <f t="shared" ref="O10" si="5">L10*G10</f>
        <v>0</v>
      </c>
      <c r="P10" s="11">
        <v>-8.8500000000000002E-3</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27">
        <v>0</v>
      </c>
      <c r="AK10" s="15">
        <v>0</v>
      </c>
      <c r="AL10">
        <v>0</v>
      </c>
      <c r="AM10">
        <v>0</v>
      </c>
      <c r="AN10" s="22" t="str">
        <f t="shared" si="3"/>
        <v>CSP_Trough_6h_Storage</v>
      </c>
      <c r="AO10" s="33" t="s">
        <v>1</v>
      </c>
    </row>
    <row r="11" spans="1:41">
      <c r="A11" s="5">
        <v>8</v>
      </c>
      <c r="B11" t="s">
        <v>21</v>
      </c>
      <c r="C11" s="5">
        <v>2007</v>
      </c>
      <c r="D11" s="5">
        <v>2010</v>
      </c>
      <c r="E11" t="s">
        <v>116</v>
      </c>
      <c r="F11">
        <v>2007</v>
      </c>
      <c r="G11" s="11">
        <v>1</v>
      </c>
      <c r="H11">
        <v>2008</v>
      </c>
      <c r="I11">
        <v>2377000</v>
      </c>
      <c r="J11">
        <v>1.07</v>
      </c>
      <c r="K11">
        <v>114250</v>
      </c>
      <c r="L11">
        <v>0.01</v>
      </c>
      <c r="M11" s="21">
        <f t="shared" si="0"/>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27">
        <v>0</v>
      </c>
      <c r="AK11" s="15">
        <v>0</v>
      </c>
      <c r="AL11">
        <v>0</v>
      </c>
      <c r="AM11">
        <v>0</v>
      </c>
      <c r="AN11" s="22" t="str">
        <f t="shared" si="3"/>
        <v>Bio_Gas</v>
      </c>
      <c r="AO11" t="s">
        <v>120</v>
      </c>
    </row>
    <row r="12" spans="1:41">
      <c r="A12" s="5">
        <v>9</v>
      </c>
      <c r="B12" t="s">
        <v>36</v>
      </c>
      <c r="C12" s="5">
        <v>2007</v>
      </c>
      <c r="D12" s="5">
        <v>2010</v>
      </c>
      <c r="E12" t="s">
        <v>128</v>
      </c>
      <c r="F12">
        <v>2004</v>
      </c>
      <c r="G12" s="11">
        <v>1.0980000000000001</v>
      </c>
      <c r="H12">
        <v>2010</v>
      </c>
      <c r="I12">
        <v>2617450</v>
      </c>
      <c r="J12">
        <v>1.1000000000000001</v>
      </c>
      <c r="K12">
        <v>66626</v>
      </c>
      <c r="L12">
        <v>9.5180000000000007</v>
      </c>
      <c r="M12" s="21">
        <f t="shared" si="0"/>
        <v>3214097.5753843598</v>
      </c>
      <c r="N12" s="11">
        <f t="shared" si="1"/>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27">
        <v>0</v>
      </c>
      <c r="AK12" s="15">
        <v>0</v>
      </c>
      <c r="AL12">
        <v>0</v>
      </c>
      <c r="AM12">
        <v>0</v>
      </c>
      <c r="AN12" s="22" t="str">
        <f t="shared" si="3"/>
        <v>Biomass_Steam_Turbine</v>
      </c>
      <c r="AO12" t="s">
        <v>41</v>
      </c>
    </row>
    <row r="13" spans="1:41">
      <c r="A13" s="5">
        <v>10</v>
      </c>
      <c r="B13" t="s">
        <v>42</v>
      </c>
      <c r="C13" s="5">
        <v>2007</v>
      </c>
      <c r="D13" s="5">
        <v>2012</v>
      </c>
      <c r="E13" t="s">
        <v>128</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27">
        <v>0</v>
      </c>
      <c r="AK13" s="15">
        <v>0</v>
      </c>
      <c r="AL13">
        <v>0</v>
      </c>
      <c r="AM13">
        <v>0</v>
      </c>
      <c r="AN13" s="22" t="str">
        <f t="shared" si="3"/>
        <v>Biomass_IGCC</v>
      </c>
      <c r="AO13" t="s">
        <v>43</v>
      </c>
    </row>
    <row r="14" spans="1:41">
      <c r="A14" s="5">
        <v>11</v>
      </c>
      <c r="B14" t="s">
        <v>44</v>
      </c>
      <c r="C14" s="5">
        <v>2007</v>
      </c>
      <c r="D14" s="5">
        <v>2010</v>
      </c>
      <c r="E14" t="s">
        <v>81</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27">
        <v>0</v>
      </c>
      <c r="AK14" s="15">
        <v>0</v>
      </c>
      <c r="AL14">
        <v>0</v>
      </c>
      <c r="AM14">
        <v>0</v>
      </c>
      <c r="AN14" s="22" t="str">
        <f t="shared" si="3"/>
        <v>Coal_IGCC</v>
      </c>
      <c r="AO14" t="s">
        <v>117</v>
      </c>
    </row>
    <row r="15" spans="1:41">
      <c r="A15" s="5">
        <v>12</v>
      </c>
      <c r="B15" t="s">
        <v>118</v>
      </c>
      <c r="C15" s="5">
        <v>2007</v>
      </c>
      <c r="D15" s="5">
        <v>2010</v>
      </c>
      <c r="E15" t="s">
        <v>81</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27">
        <v>0</v>
      </c>
      <c r="AK15" s="15">
        <v>0</v>
      </c>
      <c r="AL15">
        <v>0</v>
      </c>
      <c r="AM15">
        <v>0</v>
      </c>
      <c r="AN15" s="22" t="str">
        <f t="shared" si="3"/>
        <v>Coal_Steam_Turbine</v>
      </c>
      <c r="AO15" t="s">
        <v>117</v>
      </c>
    </row>
    <row r="16" spans="1:41">
      <c r="A16" s="5">
        <v>13</v>
      </c>
      <c r="B16" t="s">
        <v>119</v>
      </c>
      <c r="C16" s="5">
        <v>2007</v>
      </c>
      <c r="D16" s="5">
        <v>2010</v>
      </c>
      <c r="E16" t="s">
        <v>82</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27">
        <v>0</v>
      </c>
      <c r="AK16" s="15">
        <v>0</v>
      </c>
      <c r="AL16">
        <v>0</v>
      </c>
      <c r="AM16">
        <v>0</v>
      </c>
      <c r="AN16" s="22" t="str">
        <f t="shared" si="3"/>
        <v>Nuclear</v>
      </c>
      <c r="AO16" t="s">
        <v>62</v>
      </c>
    </row>
    <row r="17" spans="1:41">
      <c r="A17" s="5">
        <v>14</v>
      </c>
      <c r="B17" t="s">
        <v>29</v>
      </c>
      <c r="C17" s="5">
        <v>2007</v>
      </c>
      <c r="D17" s="5">
        <v>2010</v>
      </c>
      <c r="E17" t="s">
        <v>109</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27">
        <v>0</v>
      </c>
      <c r="AK17" s="15">
        <v>0</v>
      </c>
      <c r="AL17">
        <v>0</v>
      </c>
      <c r="AM17">
        <v>0</v>
      </c>
      <c r="AN17" s="22" t="str">
        <f t="shared" si="3"/>
        <v>Geothermal</v>
      </c>
      <c r="AO17" t="s">
        <v>18</v>
      </c>
    </row>
    <row r="18" spans="1:41">
      <c r="A18" s="5">
        <v>15</v>
      </c>
      <c r="B18" s="5" t="s">
        <v>37</v>
      </c>
      <c r="C18" s="5">
        <v>2007</v>
      </c>
      <c r="D18" s="5">
        <v>2010</v>
      </c>
      <c r="E18" s="5" t="s">
        <v>39</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27">
        <v>0</v>
      </c>
      <c r="AK18" s="15">
        <v>0</v>
      </c>
      <c r="AL18">
        <v>0</v>
      </c>
      <c r="AM18">
        <v>0</v>
      </c>
      <c r="AN18" s="22" t="str">
        <f t="shared" si="3"/>
        <v>Hydro_NonPumped</v>
      </c>
      <c r="AO18" s="5" t="s">
        <v>64</v>
      </c>
    </row>
    <row r="19" spans="1:41">
      <c r="A19" s="5">
        <v>16</v>
      </c>
      <c r="B19" s="5" t="s">
        <v>38</v>
      </c>
      <c r="C19" s="5">
        <v>2007</v>
      </c>
      <c r="D19" s="5">
        <v>2010</v>
      </c>
      <c r="E19" s="5" t="s">
        <v>40</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27">
        <v>0</v>
      </c>
      <c r="AK19" s="15">
        <v>1</v>
      </c>
      <c r="AL19">
        <v>0.74</v>
      </c>
      <c r="AM19">
        <v>1</v>
      </c>
      <c r="AN19" s="22" t="str">
        <f t="shared" si="3"/>
        <v>Hydro_Pumped</v>
      </c>
      <c r="AO19" s="33" t="s">
        <v>61</v>
      </c>
    </row>
    <row r="20" spans="1:41" s="18" customFormat="1">
      <c r="A20" s="18">
        <v>17</v>
      </c>
      <c r="B20" s="18" t="s">
        <v>4</v>
      </c>
      <c r="C20" s="18">
        <v>2007</v>
      </c>
      <c r="D20" s="18">
        <v>2000</v>
      </c>
      <c r="E20" s="18" t="s">
        <v>124</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27">
        <v>0</v>
      </c>
      <c r="AK20" s="18">
        <v>0</v>
      </c>
      <c r="AL20">
        <v>0</v>
      </c>
      <c r="AM20">
        <v>0</v>
      </c>
      <c r="AN20" s="22" t="str">
        <f t="shared" si="3"/>
        <v>Gas_Combustion_Turbine_EP</v>
      </c>
      <c r="AO20" s="33" t="s">
        <v>64</v>
      </c>
    </row>
    <row r="21" spans="1:41" s="5" customFormat="1">
      <c r="A21">
        <v>18</v>
      </c>
      <c r="B21" s="17" t="s">
        <v>33</v>
      </c>
      <c r="C21">
        <v>2007</v>
      </c>
      <c r="D21" s="33">
        <v>2000</v>
      </c>
      <c r="E21" t="s">
        <v>76</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27">
        <v>0</v>
      </c>
      <c r="AK21" s="15">
        <v>0</v>
      </c>
      <c r="AL21">
        <v>0</v>
      </c>
      <c r="AM21">
        <v>0</v>
      </c>
      <c r="AN21" s="22" t="str">
        <f t="shared" si="3"/>
        <v>Coal_Steam_Turbine_EP</v>
      </c>
      <c r="AO21" s="33" t="s">
        <v>51</v>
      </c>
    </row>
    <row r="22" spans="1:41" s="5" customFormat="1">
      <c r="A22">
        <v>19</v>
      </c>
      <c r="B22" s="17" t="s">
        <v>34</v>
      </c>
      <c r="C22" s="33">
        <v>2007</v>
      </c>
      <c r="D22" s="33">
        <v>2000</v>
      </c>
      <c r="E22" t="s">
        <v>7</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27">
        <v>0</v>
      </c>
      <c r="AK22" s="15">
        <v>0</v>
      </c>
      <c r="AL22">
        <v>0</v>
      </c>
      <c r="AM22">
        <v>0</v>
      </c>
      <c r="AN22" s="22" t="str">
        <f t="shared" si="3"/>
        <v>Gas_Steam_Turbine_EP</v>
      </c>
      <c r="AO22" s="33" t="s">
        <v>52</v>
      </c>
    </row>
    <row r="23" spans="1:41" s="5" customFormat="1">
      <c r="A23">
        <v>20</v>
      </c>
      <c r="B23" s="18" t="s">
        <v>3</v>
      </c>
      <c r="C23" s="33">
        <v>2007</v>
      </c>
      <c r="D23" s="33">
        <v>2000</v>
      </c>
      <c r="E23" t="s">
        <v>7</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27">
        <v>0</v>
      </c>
      <c r="AK23" s="15">
        <v>0</v>
      </c>
      <c r="AL23">
        <v>0</v>
      </c>
      <c r="AM23">
        <v>0</v>
      </c>
      <c r="AN23" s="22" t="str">
        <f t="shared" si="3"/>
        <v>CCGT_EP</v>
      </c>
      <c r="AO23" s="33" t="s">
        <v>64</v>
      </c>
    </row>
    <row r="24" spans="1:41" s="5" customFormat="1">
      <c r="A24" s="33">
        <v>21</v>
      </c>
      <c r="B24" s="33" t="s">
        <v>148</v>
      </c>
      <c r="C24" s="33">
        <v>2007</v>
      </c>
      <c r="D24" s="33">
        <v>2000</v>
      </c>
      <c r="E24" t="s">
        <v>29</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27">
        <v>0</v>
      </c>
      <c r="AK24" s="15">
        <v>0</v>
      </c>
      <c r="AL24">
        <v>0</v>
      </c>
      <c r="AM24">
        <v>0</v>
      </c>
      <c r="AN24" s="33" t="str">
        <f t="shared" si="3"/>
        <v>Geothermal_EP</v>
      </c>
      <c r="AO24" s="33" t="s">
        <v>64</v>
      </c>
    </row>
    <row r="25" spans="1:41" s="5" customFormat="1">
      <c r="A25">
        <v>22</v>
      </c>
      <c r="B25" s="17" t="s">
        <v>106</v>
      </c>
      <c r="C25" s="33">
        <v>2007</v>
      </c>
      <c r="D25" s="33">
        <v>2000</v>
      </c>
      <c r="E25" t="s">
        <v>77</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27">
        <v>0</v>
      </c>
      <c r="AK25" s="15">
        <v>0</v>
      </c>
      <c r="AL25">
        <v>0</v>
      </c>
      <c r="AM25">
        <v>0</v>
      </c>
      <c r="AN25" s="22" t="str">
        <f t="shared" ref="AN25:AN43" si="6">B25</f>
        <v>Nuclear_EP</v>
      </c>
      <c r="AO25" s="33" t="s">
        <v>53</v>
      </c>
    </row>
    <row r="26" spans="1:41" s="18" customFormat="1">
      <c r="A26" s="18">
        <v>23</v>
      </c>
      <c r="B26" s="18" t="s">
        <v>123</v>
      </c>
      <c r="C26" s="33">
        <v>2007</v>
      </c>
      <c r="D26" s="33">
        <v>2000</v>
      </c>
      <c r="E26" s="18" t="s">
        <v>54</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27">
        <v>0</v>
      </c>
      <c r="AK26" s="18">
        <v>0</v>
      </c>
      <c r="AL26">
        <v>0</v>
      </c>
      <c r="AM26">
        <v>0</v>
      </c>
      <c r="AN26" s="22" t="str">
        <f t="shared" si="6"/>
        <v>Wind_EP</v>
      </c>
      <c r="AO26" s="33" t="s">
        <v>17</v>
      </c>
    </row>
    <row r="27" spans="1:41" s="33" customFormat="1">
      <c r="A27" s="33">
        <v>24</v>
      </c>
      <c r="B27" s="33" t="s">
        <v>134</v>
      </c>
      <c r="C27" s="33">
        <v>2007</v>
      </c>
      <c r="D27" s="33">
        <v>2000</v>
      </c>
      <c r="E27" s="33" t="s">
        <v>135</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t="str">
        <f t="shared" si="6"/>
        <v>Gas_Internal_Combustion_Engine_EP</v>
      </c>
      <c r="AO27" s="33" t="s">
        <v>64</v>
      </c>
    </row>
    <row r="28" spans="1:41" s="8" customFormat="1">
      <c r="A28" s="8">
        <v>25</v>
      </c>
      <c r="B28" s="13" t="s">
        <v>13</v>
      </c>
      <c r="C28" s="8">
        <v>2007</v>
      </c>
      <c r="D28" s="8">
        <v>2010</v>
      </c>
      <c r="E28" s="8" t="s">
        <v>127</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27">
        <v>0</v>
      </c>
      <c r="AK28" s="15">
        <v>0</v>
      </c>
      <c r="AL28">
        <v>0</v>
      </c>
      <c r="AM28">
        <v>0</v>
      </c>
      <c r="AN28" s="22" t="str">
        <f t="shared" si="6"/>
        <v>Commercial_PV</v>
      </c>
      <c r="AO28" s="9" t="s">
        <v>93</v>
      </c>
    </row>
    <row r="29" spans="1:41" s="8" customFormat="1">
      <c r="A29" s="8">
        <v>26</v>
      </c>
      <c r="B29" s="8" t="s">
        <v>102</v>
      </c>
      <c r="C29" s="8">
        <v>2007</v>
      </c>
      <c r="D29" s="8">
        <v>2010</v>
      </c>
      <c r="E29" s="8" t="s">
        <v>127</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27">
        <v>0</v>
      </c>
      <c r="AK29" s="15">
        <v>0</v>
      </c>
      <c r="AL29">
        <v>0</v>
      </c>
      <c r="AM29">
        <v>0</v>
      </c>
      <c r="AN29" s="22" t="str">
        <f t="shared" si="6"/>
        <v>Central_PV</v>
      </c>
      <c r="AO29" s="9" t="s">
        <v>93</v>
      </c>
    </row>
    <row r="30" spans="1:41" s="5" customFormat="1">
      <c r="A30" s="10">
        <v>27</v>
      </c>
      <c r="B30" s="9" t="s">
        <v>99</v>
      </c>
      <c r="C30" s="5">
        <v>2007</v>
      </c>
      <c r="D30" s="5">
        <v>2010</v>
      </c>
      <c r="E30" s="9" t="s">
        <v>127</v>
      </c>
      <c r="F30" s="5">
        <v>2010</v>
      </c>
      <c r="G30" s="11">
        <v>0.96499999999999997</v>
      </c>
      <c r="H30" s="5">
        <v>2010</v>
      </c>
      <c r="I30" s="5">
        <v>4230000</v>
      </c>
      <c r="J30" s="5">
        <v>1.05</v>
      </c>
      <c r="K30" s="33">
        <v>49906</v>
      </c>
      <c r="L30" s="9">
        <v>0</v>
      </c>
      <c r="M30" s="21">
        <f>I30*J30*G30/(1+P30)^(H30-2007)</f>
        <v>4401886.3331025699</v>
      </c>
      <c r="N30" s="11">
        <f t="shared" si="1"/>
        <v>48159.29</v>
      </c>
      <c r="O30" s="11">
        <f t="shared" si="2"/>
        <v>0</v>
      </c>
      <c r="P30" s="9">
        <v>-8.8500000000000002E-3</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27">
        <v>0</v>
      </c>
      <c r="AK30" s="15">
        <v>0</v>
      </c>
      <c r="AL30">
        <v>0</v>
      </c>
      <c r="AM30">
        <v>0</v>
      </c>
      <c r="AN30" s="22" t="str">
        <f t="shared" si="6"/>
        <v>CSP_Trough_No_Storage</v>
      </c>
      <c r="AO30" s="33" t="s">
        <v>0</v>
      </c>
    </row>
    <row r="31" spans="1:41" s="9" customFormat="1" ht="15" customHeight="1">
      <c r="A31" s="10">
        <v>28</v>
      </c>
      <c r="B31" s="14" t="s">
        <v>110</v>
      </c>
      <c r="C31" s="9">
        <v>2007</v>
      </c>
      <c r="D31" s="9">
        <v>2010</v>
      </c>
      <c r="E31" s="14" t="s">
        <v>111</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27">
        <v>0</v>
      </c>
      <c r="AK31" s="15">
        <v>1</v>
      </c>
      <c r="AL31">
        <v>0.81699999999999995</v>
      </c>
      <c r="AM31">
        <v>1.2</v>
      </c>
      <c r="AN31" s="22" t="str">
        <f t="shared" si="6"/>
        <v>Compressed_Air_Energy_Storage</v>
      </c>
      <c r="AO31" s="32" t="s">
        <v>2</v>
      </c>
    </row>
    <row r="32" spans="1:41" s="19" customFormat="1">
      <c r="A32" s="19">
        <v>29</v>
      </c>
      <c r="B32" s="19" t="s">
        <v>15</v>
      </c>
      <c r="C32" s="33">
        <v>2007</v>
      </c>
      <c r="D32" s="33">
        <v>2000</v>
      </c>
      <c r="E32" s="19" t="s">
        <v>124</v>
      </c>
      <c r="F32" s="19">
        <v>2007</v>
      </c>
      <c r="G32" s="19">
        <v>1</v>
      </c>
      <c r="H32" s="19">
        <v>2000</v>
      </c>
      <c r="I32" s="19">
        <f>0.75 * I20</f>
        <v>489000</v>
      </c>
      <c r="J32" s="19">
        <v>1</v>
      </c>
      <c r="K32" s="19">
        <f t="shared" ref="K32:L35" si="7">K20</f>
        <v>11322</v>
      </c>
      <c r="L32" s="19">
        <f t="shared" si="7"/>
        <v>3.35</v>
      </c>
      <c r="M32" s="33">
        <f t="shared" ref="M32:M35" si="8">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9">AA20</f>
        <v>0.03</v>
      </c>
      <c r="AB32" s="33">
        <f t="shared" si="9"/>
        <v>0.05</v>
      </c>
      <c r="AC32" s="19">
        <v>0</v>
      </c>
      <c r="AD32" s="19">
        <v>1</v>
      </c>
      <c r="AE32" s="19">
        <v>1</v>
      </c>
      <c r="AF32" s="33">
        <v>0</v>
      </c>
      <c r="AG32" s="33">
        <v>1</v>
      </c>
      <c r="AH32" s="19">
        <v>0</v>
      </c>
      <c r="AI32" s="19">
        <v>0</v>
      </c>
      <c r="AJ32" s="27">
        <v>0</v>
      </c>
      <c r="AK32" s="19">
        <v>0</v>
      </c>
      <c r="AL32">
        <v>0</v>
      </c>
      <c r="AM32">
        <v>0</v>
      </c>
      <c r="AN32" s="22" t="str">
        <f t="shared" si="6"/>
        <v>Gas_Combustion_Turbine_Cogen_EP</v>
      </c>
      <c r="AO32" s="33" t="s">
        <v>147</v>
      </c>
    </row>
    <row r="33" spans="1:41" s="19" customFormat="1">
      <c r="A33" s="19">
        <v>30</v>
      </c>
      <c r="B33" s="19" t="s">
        <v>16</v>
      </c>
      <c r="C33" s="33">
        <v>2007</v>
      </c>
      <c r="D33" s="33">
        <v>2000</v>
      </c>
      <c r="E33" s="19" t="s">
        <v>76</v>
      </c>
      <c r="F33" s="33">
        <v>2007</v>
      </c>
      <c r="G33" s="33">
        <v>1</v>
      </c>
      <c r="H33" s="33">
        <v>2000</v>
      </c>
      <c r="I33" s="19">
        <f>0.75 * I21</f>
        <v>991500</v>
      </c>
      <c r="J33" s="19">
        <v>1</v>
      </c>
      <c r="K33" s="19">
        <f t="shared" si="7"/>
        <v>25703</v>
      </c>
      <c r="L33" s="19">
        <f t="shared" si="7"/>
        <v>3.73</v>
      </c>
      <c r="M33" s="33">
        <f t="shared" si="8"/>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9"/>
        <v>0.06</v>
      </c>
      <c r="AB33" s="33">
        <f t="shared" si="9"/>
        <v>0.1</v>
      </c>
      <c r="AC33" s="19">
        <v>0</v>
      </c>
      <c r="AD33" s="19">
        <v>1</v>
      </c>
      <c r="AE33" s="19">
        <v>1</v>
      </c>
      <c r="AF33" s="33">
        <v>0</v>
      </c>
      <c r="AG33" s="33">
        <v>1</v>
      </c>
      <c r="AH33" s="19">
        <v>0</v>
      </c>
      <c r="AI33" s="19">
        <v>0</v>
      </c>
      <c r="AJ33" s="27">
        <v>0</v>
      </c>
      <c r="AK33" s="19">
        <v>0</v>
      </c>
      <c r="AL33">
        <v>0</v>
      </c>
      <c r="AM33">
        <v>0</v>
      </c>
      <c r="AN33" s="22" t="str">
        <f t="shared" si="6"/>
        <v>Coal_Steam_Turbine_Cogen_EP</v>
      </c>
      <c r="AO33" s="33" t="s">
        <v>147</v>
      </c>
    </row>
    <row r="34" spans="1:41" s="19" customFormat="1">
      <c r="A34" s="19">
        <v>31</v>
      </c>
      <c r="B34" s="19" t="s">
        <v>74</v>
      </c>
      <c r="C34" s="33">
        <v>2007</v>
      </c>
      <c r="D34" s="33">
        <v>2000</v>
      </c>
      <c r="E34" s="19" t="s">
        <v>7</v>
      </c>
      <c r="F34" s="33">
        <v>2007</v>
      </c>
      <c r="G34" s="33">
        <v>1</v>
      </c>
      <c r="H34" s="33">
        <v>2000</v>
      </c>
      <c r="I34" s="19">
        <f>0.75 * I22</f>
        <v>326250</v>
      </c>
      <c r="J34" s="19">
        <v>1</v>
      </c>
      <c r="K34" s="19">
        <f t="shared" si="7"/>
        <v>27730</v>
      </c>
      <c r="L34" s="19">
        <f t="shared" si="7"/>
        <v>3.47</v>
      </c>
      <c r="M34" s="33">
        <f t="shared" si="8"/>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9"/>
        <v>0.1</v>
      </c>
      <c r="AB34" s="33">
        <f t="shared" si="9"/>
        <v>2.5999999999999999E-2</v>
      </c>
      <c r="AC34" s="19">
        <v>0</v>
      </c>
      <c r="AD34" s="19">
        <v>1</v>
      </c>
      <c r="AE34" s="19">
        <v>1</v>
      </c>
      <c r="AF34" s="33">
        <v>0</v>
      </c>
      <c r="AG34" s="33">
        <v>1</v>
      </c>
      <c r="AH34" s="19">
        <v>0</v>
      </c>
      <c r="AI34" s="19">
        <v>0</v>
      </c>
      <c r="AJ34" s="27">
        <v>0</v>
      </c>
      <c r="AK34" s="19">
        <v>0</v>
      </c>
      <c r="AL34">
        <v>0</v>
      </c>
      <c r="AM34">
        <v>0</v>
      </c>
      <c r="AN34" s="22" t="str">
        <f t="shared" si="6"/>
        <v>Gas_Steam_Turbine_Cogen_EP</v>
      </c>
      <c r="AO34" s="33" t="s">
        <v>147</v>
      </c>
    </row>
    <row r="35" spans="1:41" s="19" customFormat="1">
      <c r="A35" s="19">
        <v>32</v>
      </c>
      <c r="B35" s="19" t="s">
        <v>75</v>
      </c>
      <c r="C35" s="33">
        <v>2007</v>
      </c>
      <c r="D35" s="33">
        <v>2000</v>
      </c>
      <c r="E35" s="19" t="s">
        <v>7</v>
      </c>
      <c r="F35" s="33">
        <v>2007</v>
      </c>
      <c r="G35" s="33">
        <v>1</v>
      </c>
      <c r="H35" s="33">
        <v>2000</v>
      </c>
      <c r="I35" s="19">
        <f>0.75 * I23</f>
        <v>716250</v>
      </c>
      <c r="J35" s="19">
        <v>1</v>
      </c>
      <c r="K35" s="19">
        <f t="shared" si="7"/>
        <v>11322</v>
      </c>
      <c r="L35" s="19">
        <f t="shared" si="7"/>
        <v>3.35</v>
      </c>
      <c r="M35" s="33">
        <f t="shared" si="8"/>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9"/>
        <v>0.04</v>
      </c>
      <c r="AB35" s="33">
        <f t="shared" si="9"/>
        <v>0.06</v>
      </c>
      <c r="AC35" s="19">
        <v>0</v>
      </c>
      <c r="AD35" s="19">
        <v>1</v>
      </c>
      <c r="AE35" s="19">
        <v>1</v>
      </c>
      <c r="AF35" s="33">
        <v>0</v>
      </c>
      <c r="AG35" s="33">
        <v>1</v>
      </c>
      <c r="AH35" s="19">
        <v>0</v>
      </c>
      <c r="AI35" s="19">
        <v>0</v>
      </c>
      <c r="AJ35" s="27">
        <v>0</v>
      </c>
      <c r="AK35" s="19">
        <v>0</v>
      </c>
      <c r="AL35">
        <v>0</v>
      </c>
      <c r="AM35">
        <v>0</v>
      </c>
      <c r="AN35" s="22" t="str">
        <f t="shared" si="6"/>
        <v>CCGT_Cogen_EP</v>
      </c>
      <c r="AO35" s="33" t="s">
        <v>147</v>
      </c>
    </row>
    <row r="36" spans="1:41" s="23" customFormat="1">
      <c r="A36" s="23">
        <v>33</v>
      </c>
      <c r="B36" s="23" t="s">
        <v>25</v>
      </c>
      <c r="C36" s="23">
        <v>2007</v>
      </c>
      <c r="D36" s="23">
        <v>2010</v>
      </c>
      <c r="E36" s="23" t="s">
        <v>26</v>
      </c>
      <c r="F36" s="23">
        <v>2004</v>
      </c>
      <c r="G36" s="23">
        <v>1.0980000000000001</v>
      </c>
      <c r="H36" s="23">
        <v>2010</v>
      </c>
      <c r="I36" s="23">
        <v>3539000</v>
      </c>
      <c r="J36" s="23">
        <v>1.0489999999999999</v>
      </c>
      <c r="K36" s="23">
        <v>22100</v>
      </c>
      <c r="L36" s="23">
        <v>0.44500000000000001</v>
      </c>
      <c r="M36" s="23">
        <f t="shared" ref="M36:M51" si="10">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27">
        <v>0</v>
      </c>
      <c r="AK36" s="23">
        <v>1</v>
      </c>
      <c r="AL36">
        <v>0.76700000000000002</v>
      </c>
      <c r="AM36">
        <v>1</v>
      </c>
      <c r="AN36" s="23" t="str">
        <f t="shared" si="6"/>
        <v>Battery_Storage</v>
      </c>
      <c r="AO36" s="23" t="s">
        <v>27</v>
      </c>
    </row>
    <row r="37" spans="1:41" s="26" customFormat="1">
      <c r="A37" s="26">
        <v>34</v>
      </c>
      <c r="B37" s="26" t="s">
        <v>66</v>
      </c>
      <c r="C37" s="26">
        <v>2007</v>
      </c>
      <c r="D37" s="26">
        <v>2014</v>
      </c>
      <c r="E37" s="26" t="s">
        <v>72</v>
      </c>
      <c r="F37" s="26">
        <v>2004</v>
      </c>
      <c r="G37" s="26">
        <v>1.0980000000000001</v>
      </c>
      <c r="H37" s="26">
        <v>2010</v>
      </c>
      <c r="I37" s="26">
        <f>I4+2294786</f>
        <v>3191692</v>
      </c>
      <c r="J37" s="26">
        <f>J4</f>
        <v>1.07</v>
      </c>
      <c r="K37" s="26">
        <f xml:space="preserve"> K4 + 7114</f>
        <v>18127</v>
      </c>
      <c r="L37" s="26">
        <f xml:space="preserve"> L4+ 0.824</f>
        <v>2.6776749999999998</v>
      </c>
      <c r="M37" s="27">
        <f t="shared" si="10"/>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27">
        <v>1</v>
      </c>
      <c r="AK37" s="26">
        <v>0</v>
      </c>
      <c r="AL37" s="27">
        <v>0</v>
      </c>
      <c r="AM37" s="27">
        <v>0</v>
      </c>
      <c r="AN37" s="28" t="str">
        <f t="shared" si="6"/>
        <v>CCGT_CCS</v>
      </c>
      <c r="AO37" s="33" t="s">
        <v>27</v>
      </c>
    </row>
    <row r="38" spans="1:41" s="26" customFormat="1">
      <c r="A38" s="26">
        <v>35</v>
      </c>
      <c r="B38" s="26" t="s">
        <v>67</v>
      </c>
      <c r="C38" s="26">
        <v>2007</v>
      </c>
      <c r="D38" s="31">
        <v>2014</v>
      </c>
      <c r="E38" s="26" t="s">
        <v>72</v>
      </c>
      <c r="F38" s="26">
        <v>2004</v>
      </c>
      <c r="G38" s="26">
        <v>1.0980000000000001</v>
      </c>
      <c r="H38" s="26">
        <v>2010</v>
      </c>
      <c r="I38" s="26">
        <f>I5+2294786</f>
        <v>2888691</v>
      </c>
      <c r="J38" s="26">
        <f>J5</f>
        <v>1.04</v>
      </c>
      <c r="K38" s="26">
        <f>K5+ 7114</f>
        <v>17425</v>
      </c>
      <c r="L38" s="26">
        <f>L5+0.824</f>
        <v>3.8754999999999997</v>
      </c>
      <c r="M38" s="27">
        <f t="shared" si="10"/>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27">
        <v>1</v>
      </c>
      <c r="AK38" s="27">
        <v>0</v>
      </c>
      <c r="AL38" s="27">
        <v>0</v>
      </c>
      <c r="AM38" s="27">
        <v>0</v>
      </c>
      <c r="AN38" s="28" t="str">
        <f t="shared" si="6"/>
        <v>Gas_Combustion_Turbine_CCS</v>
      </c>
      <c r="AO38" s="33" t="s">
        <v>27</v>
      </c>
    </row>
    <row r="39" spans="1:41" s="26" customFormat="1">
      <c r="A39" s="26">
        <v>36</v>
      </c>
      <c r="B39" s="26" t="s">
        <v>68</v>
      </c>
      <c r="C39" s="26">
        <v>2007</v>
      </c>
      <c r="D39" s="31">
        <v>2014</v>
      </c>
      <c r="E39" s="26" t="s">
        <v>68</v>
      </c>
      <c r="F39" s="26">
        <v>2004</v>
      </c>
      <c r="G39" s="26">
        <v>1.0980000000000001</v>
      </c>
      <c r="H39" s="26">
        <v>2010</v>
      </c>
      <c r="I39" s="27">
        <f>I11 + 2294786</f>
        <v>4671786</v>
      </c>
      <c r="J39" s="26">
        <f>J11</f>
        <v>1.07</v>
      </c>
      <c r="K39" s="26">
        <f>K11+7114</f>
        <v>121364</v>
      </c>
      <c r="L39" s="26">
        <f>L11+0.824</f>
        <v>0.83399999999999996</v>
      </c>
      <c r="M39" s="27">
        <f t="shared" si="10"/>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27">
        <v>1</v>
      </c>
      <c r="AK39" s="27">
        <v>0</v>
      </c>
      <c r="AL39" s="27">
        <v>0</v>
      </c>
      <c r="AM39" s="27">
        <v>0</v>
      </c>
      <c r="AN39" s="28" t="str">
        <f t="shared" si="6"/>
        <v>Bio_Gas_CCS</v>
      </c>
      <c r="AO39" s="33" t="s">
        <v>27</v>
      </c>
    </row>
    <row r="40" spans="1:41" s="26" customFormat="1">
      <c r="A40" s="26">
        <v>37</v>
      </c>
      <c r="B40" s="26" t="s">
        <v>69</v>
      </c>
      <c r="C40" s="26">
        <v>2007</v>
      </c>
      <c r="D40" s="31">
        <v>2014</v>
      </c>
      <c r="E40" s="26" t="s">
        <v>35</v>
      </c>
      <c r="F40" s="26">
        <v>2004</v>
      </c>
      <c r="G40" s="26">
        <v>1.0980000000000001</v>
      </c>
      <c r="H40" s="26">
        <v>2010</v>
      </c>
      <c r="I40" s="27">
        <f>I13+2294786</f>
        <v>5633786</v>
      </c>
      <c r="J40" s="26">
        <f>J13</f>
        <v>1.1200000000000001</v>
      </c>
      <c r="K40" s="26">
        <f>K13+6786</f>
        <v>71236</v>
      </c>
      <c r="L40" s="27">
        <f>L13+1.385</f>
        <v>8.0950000000000006</v>
      </c>
      <c r="M40" s="27">
        <f t="shared" si="10"/>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27">
        <v>1</v>
      </c>
      <c r="AK40" s="27">
        <v>0</v>
      </c>
      <c r="AL40" s="27">
        <v>0</v>
      </c>
      <c r="AM40" s="27">
        <v>0</v>
      </c>
      <c r="AN40" s="28" t="str">
        <f t="shared" si="6"/>
        <v>Biomass_IGCC_CCS</v>
      </c>
      <c r="AO40" s="33" t="s">
        <v>27</v>
      </c>
    </row>
    <row r="41" spans="1:41" s="26" customFormat="1">
      <c r="A41" s="26">
        <v>38</v>
      </c>
      <c r="B41" s="26" t="s">
        <v>70</v>
      </c>
      <c r="C41" s="26">
        <v>2007</v>
      </c>
      <c r="D41" s="31">
        <v>2014</v>
      </c>
      <c r="E41" s="26" t="s">
        <v>60</v>
      </c>
      <c r="F41" s="26">
        <v>2004</v>
      </c>
      <c r="G41" s="26">
        <v>1.0980000000000001</v>
      </c>
      <c r="H41" s="26">
        <v>2010</v>
      </c>
      <c r="I41" s="26">
        <f>I14+2294786</f>
        <v>4460899</v>
      </c>
      <c r="J41" s="26">
        <f>J14</f>
        <v>1.17</v>
      </c>
      <c r="K41" s="26">
        <f>K14+6786</f>
        <v>42010</v>
      </c>
      <c r="L41" s="27">
        <f>L14+1.385</f>
        <v>4.0448190000000004</v>
      </c>
      <c r="M41" s="27">
        <f t="shared" si="10"/>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27">
        <v>1</v>
      </c>
      <c r="AK41" s="27">
        <v>0</v>
      </c>
      <c r="AL41" s="27">
        <v>0</v>
      </c>
      <c r="AM41" s="27">
        <v>0</v>
      </c>
      <c r="AN41" s="28" t="str">
        <f t="shared" si="6"/>
        <v>Coal_IGCC_CCS</v>
      </c>
      <c r="AO41" s="33" t="s">
        <v>27</v>
      </c>
    </row>
    <row r="42" spans="1:41" s="26" customFormat="1">
      <c r="A42" s="26">
        <v>39</v>
      </c>
      <c r="B42" s="26" t="s">
        <v>71</v>
      </c>
      <c r="C42" s="26">
        <v>2007</v>
      </c>
      <c r="D42" s="31">
        <v>2014</v>
      </c>
      <c r="E42" s="26" t="s">
        <v>60</v>
      </c>
      <c r="F42" s="26">
        <v>2004</v>
      </c>
      <c r="G42" s="26">
        <v>1.0980000000000001</v>
      </c>
      <c r="H42" s="26">
        <v>2010</v>
      </c>
      <c r="I42" s="27">
        <f>I15+2294786</f>
        <v>4169412</v>
      </c>
      <c r="J42" s="26">
        <f>J15</f>
        <v>1.1000000000000001</v>
      </c>
      <c r="K42" s="26">
        <f>K15+6786</f>
        <v>31863</v>
      </c>
      <c r="L42" s="27">
        <f>L15+1.385</f>
        <v>5.5660159999999994</v>
      </c>
      <c r="M42" s="27">
        <f t="shared" si="10"/>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27">
        <v>1</v>
      </c>
      <c r="AK42" s="27">
        <v>0</v>
      </c>
      <c r="AL42" s="27">
        <v>0</v>
      </c>
      <c r="AM42" s="27">
        <v>0</v>
      </c>
      <c r="AN42" s="28" t="str">
        <f t="shared" si="6"/>
        <v>Coal_Steam_Turbine_CCS</v>
      </c>
      <c r="AO42" s="33" t="s">
        <v>27</v>
      </c>
    </row>
    <row r="43" spans="1:41" s="33" customFormat="1">
      <c r="A43" s="33">
        <v>40</v>
      </c>
      <c r="B43" s="33" t="s">
        <v>136</v>
      </c>
      <c r="C43" s="33">
        <v>2007</v>
      </c>
      <c r="D43" s="33">
        <v>2000</v>
      </c>
      <c r="E43" s="33" t="s">
        <v>7</v>
      </c>
      <c r="F43" s="33">
        <v>2007</v>
      </c>
      <c r="G43" s="33">
        <v>1</v>
      </c>
      <c r="H43" s="33">
        <v>2000</v>
      </c>
      <c r="I43" s="33">
        <f>0.75 * I27</f>
        <v>489000</v>
      </c>
      <c r="J43" s="33">
        <v>1</v>
      </c>
      <c r="K43" s="33">
        <f>K27</f>
        <v>30000</v>
      </c>
      <c r="L43" s="33">
        <f>L27</f>
        <v>1</v>
      </c>
      <c r="M43" s="33">
        <f t="shared" si="10"/>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0</v>
      </c>
      <c r="AK43" s="33">
        <v>0</v>
      </c>
      <c r="AL43" s="33">
        <v>0</v>
      </c>
      <c r="AM43" s="33">
        <v>0</v>
      </c>
      <c r="AN43" s="33" t="str">
        <f t="shared" si="6"/>
        <v>Gas_Internal_Combustion_Engine_Cogen_EP</v>
      </c>
      <c r="AO43" s="33" t="s">
        <v>147</v>
      </c>
    </row>
    <row r="44" spans="1:41" s="28" customFormat="1">
      <c r="A44" s="28">
        <v>41</v>
      </c>
      <c r="B44" s="28" t="s">
        <v>122</v>
      </c>
      <c r="C44" s="28">
        <v>2007</v>
      </c>
      <c r="D44" s="31">
        <v>2014</v>
      </c>
      <c r="E44" s="30" t="s">
        <v>72</v>
      </c>
      <c r="F44" s="28">
        <v>2004</v>
      </c>
      <c r="G44" s="28">
        <v>1.0980000000000001</v>
      </c>
      <c r="H44" s="28">
        <v>2010</v>
      </c>
      <c r="I44" s="28">
        <v>2294786</v>
      </c>
      <c r="J44" s="28">
        <v>1.1000000000000001</v>
      </c>
      <c r="K44" s="28">
        <f>11322+7114</f>
        <v>18436</v>
      </c>
      <c r="L44" s="28">
        <f>3.35+0.824</f>
        <v>4.1740000000000004</v>
      </c>
      <c r="M44" s="28">
        <f t="shared" si="10"/>
        <v>2810868.4742858419</v>
      </c>
      <c r="N44" s="28">
        <f t="shared" si="1"/>
        <v>20242.728000000003</v>
      </c>
      <c r="O44" s="28">
        <f t="shared" si="2"/>
        <v>4.5830520000000003</v>
      </c>
      <c r="P44" s="28">
        <f>P38-P5</f>
        <v>-4.6735067909553056E-3</v>
      </c>
      <c r="Q44" s="28">
        <v>0</v>
      </c>
      <c r="R44" s="28">
        <v>3.03</v>
      </c>
      <c r="S44" s="28">
        <v>3</v>
      </c>
      <c r="T44" s="28">
        <v>0.8</v>
      </c>
      <c r="U44" s="28">
        <v>0.1</v>
      </c>
      <c r="V44" s="28">
        <v>0.1</v>
      </c>
      <c r="W44" s="28">
        <v>0</v>
      </c>
      <c r="X44" s="28">
        <v>0</v>
      </c>
      <c r="Y44" s="28">
        <v>0</v>
      </c>
      <c r="Z44" s="28">
        <v>30</v>
      </c>
      <c r="AA44" s="28">
        <f>0.03</f>
        <v>0.03</v>
      </c>
      <c r="AB44" s="28">
        <v>0.05</v>
      </c>
      <c r="AC44" s="28">
        <v>0</v>
      </c>
      <c r="AD44" s="28">
        <v>1</v>
      </c>
      <c r="AE44" s="28">
        <v>0</v>
      </c>
      <c r="AF44" s="33">
        <v>1</v>
      </c>
      <c r="AG44" s="33">
        <v>0</v>
      </c>
      <c r="AH44" s="28">
        <v>0</v>
      </c>
      <c r="AI44" s="28">
        <v>1</v>
      </c>
      <c r="AJ44" s="28">
        <v>1</v>
      </c>
      <c r="AK44" s="28">
        <v>0</v>
      </c>
      <c r="AL44" s="28">
        <v>0</v>
      </c>
      <c r="AM44" s="28">
        <v>0</v>
      </c>
      <c r="AN44" s="28" t="s">
        <v>129</v>
      </c>
      <c r="AO44" t="s">
        <v>64</v>
      </c>
    </row>
    <row r="45" spans="1:41" s="28" customFormat="1">
      <c r="A45" s="28">
        <v>42</v>
      </c>
      <c r="B45" s="28" t="s">
        <v>97</v>
      </c>
      <c r="C45" s="28">
        <v>2007</v>
      </c>
      <c r="D45" s="31">
        <v>2014</v>
      </c>
      <c r="E45" s="30" t="s">
        <v>60</v>
      </c>
      <c r="F45" s="28">
        <v>2004</v>
      </c>
      <c r="G45" s="28">
        <v>1.0980000000000001</v>
      </c>
      <c r="H45" s="28">
        <v>2010</v>
      </c>
      <c r="I45" s="28">
        <v>2294786</v>
      </c>
      <c r="J45" s="28">
        <v>1.1000000000000001</v>
      </c>
      <c r="K45" s="28">
        <f xml:space="preserve"> 25703 + 6786</f>
        <v>32489</v>
      </c>
      <c r="L45" s="28">
        <f>3.73+1.385</f>
        <v>5.1150000000000002</v>
      </c>
      <c r="M45" s="28">
        <f t="shared" si="10"/>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28">
        <v>1</v>
      </c>
      <c r="AK45" s="28">
        <v>0</v>
      </c>
      <c r="AL45" s="28">
        <v>0</v>
      </c>
      <c r="AM45" s="28">
        <v>0</v>
      </c>
      <c r="AN45" s="28" t="s">
        <v>130</v>
      </c>
      <c r="AO45" s="33" t="s">
        <v>64</v>
      </c>
    </row>
    <row r="46" spans="1:41" s="28" customFormat="1">
      <c r="A46" s="28">
        <v>43</v>
      </c>
      <c r="B46" s="28" t="s">
        <v>98</v>
      </c>
      <c r="C46" s="28">
        <v>2007</v>
      </c>
      <c r="D46" s="31">
        <v>2014</v>
      </c>
      <c r="E46" s="30" t="s">
        <v>72</v>
      </c>
      <c r="F46" s="28">
        <v>2004</v>
      </c>
      <c r="G46" s="28">
        <v>1.0980000000000001</v>
      </c>
      <c r="H46" s="28">
        <v>2010</v>
      </c>
      <c r="I46" s="28">
        <v>2294786</v>
      </c>
      <c r="J46" s="28">
        <v>1.1000000000000001</v>
      </c>
      <c r="K46" s="28">
        <f xml:space="preserve"> 27730 +6786</f>
        <v>34516</v>
      </c>
      <c r="L46" s="28">
        <f>3.47+1.385</f>
        <v>4.8550000000000004</v>
      </c>
      <c r="M46" s="28">
        <f t="shared" si="10"/>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28">
        <v>1</v>
      </c>
      <c r="AK46" s="28">
        <v>0</v>
      </c>
      <c r="AL46" s="28">
        <v>0</v>
      </c>
      <c r="AM46" s="28">
        <v>0</v>
      </c>
      <c r="AN46" s="28" t="s">
        <v>131</v>
      </c>
      <c r="AO46" s="33" t="s">
        <v>64</v>
      </c>
    </row>
    <row r="47" spans="1:41" s="28" customFormat="1">
      <c r="A47" s="28">
        <v>44</v>
      </c>
      <c r="B47" s="28" t="s">
        <v>55</v>
      </c>
      <c r="C47" s="28">
        <v>2007</v>
      </c>
      <c r="D47" s="31">
        <v>2014</v>
      </c>
      <c r="E47" s="30" t="s">
        <v>72</v>
      </c>
      <c r="F47" s="28">
        <v>2004</v>
      </c>
      <c r="G47" s="28">
        <v>1.0980000000000001</v>
      </c>
      <c r="H47" s="28">
        <v>2010</v>
      </c>
      <c r="I47" s="28">
        <v>2294786</v>
      </c>
      <c r="J47" s="28">
        <v>1.1000000000000001</v>
      </c>
      <c r="K47" s="28">
        <f xml:space="preserve"> 11322+7114</f>
        <v>18436</v>
      </c>
      <c r="L47" s="28">
        <f>3.35+ 0.824</f>
        <v>4.1740000000000004</v>
      </c>
      <c r="M47" s="28">
        <f t="shared" si="10"/>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28">
        <v>1</v>
      </c>
      <c r="AK47" s="28">
        <v>0</v>
      </c>
      <c r="AL47" s="28">
        <v>0</v>
      </c>
      <c r="AM47" s="28">
        <v>0</v>
      </c>
      <c r="AN47" s="28" t="s">
        <v>132</v>
      </c>
      <c r="AO47" s="33" t="s">
        <v>64</v>
      </c>
    </row>
    <row r="48" spans="1:41" s="28" customFormat="1">
      <c r="A48" s="28">
        <v>45</v>
      </c>
      <c r="B48" s="28" t="s">
        <v>56</v>
      </c>
      <c r="C48" s="28">
        <v>2007</v>
      </c>
      <c r="D48" s="31">
        <v>2014</v>
      </c>
      <c r="E48" s="30" t="s">
        <v>72</v>
      </c>
      <c r="F48" s="28">
        <v>2004</v>
      </c>
      <c r="G48" s="28">
        <v>1.0980000000000001</v>
      </c>
      <c r="H48" s="28">
        <v>2010</v>
      </c>
      <c r="I48" s="28">
        <v>2294786</v>
      </c>
      <c r="J48" s="28">
        <v>1.1000000000000001</v>
      </c>
      <c r="K48" s="28">
        <f t="shared" ref="K48:L51" si="11">K44</f>
        <v>18436</v>
      </c>
      <c r="L48" s="28">
        <f t="shared" si="11"/>
        <v>4.1740000000000004</v>
      </c>
      <c r="M48" s="28">
        <f t="shared" si="10"/>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2">AA44</f>
        <v>0.03</v>
      </c>
      <c r="AB48" s="28">
        <f t="shared" si="12"/>
        <v>0.05</v>
      </c>
      <c r="AC48" s="28">
        <v>0</v>
      </c>
      <c r="AD48" s="28">
        <v>1</v>
      </c>
      <c r="AE48" s="28">
        <v>1</v>
      </c>
      <c r="AF48" s="33">
        <v>0</v>
      </c>
      <c r="AG48" s="33">
        <v>0</v>
      </c>
      <c r="AH48" s="28">
        <v>0</v>
      </c>
      <c r="AI48" s="28">
        <v>1</v>
      </c>
      <c r="AJ48" s="28">
        <v>1</v>
      </c>
      <c r="AK48" s="28">
        <v>0</v>
      </c>
      <c r="AL48" s="28">
        <v>0</v>
      </c>
      <c r="AM48" s="28">
        <v>0</v>
      </c>
      <c r="AN48" s="28" t="s">
        <v>133</v>
      </c>
      <c r="AO48" s="33" t="s">
        <v>64</v>
      </c>
    </row>
    <row r="49" spans="1:41" s="28" customFormat="1">
      <c r="A49" s="28">
        <v>46</v>
      </c>
      <c r="B49" s="28" t="s">
        <v>57</v>
      </c>
      <c r="C49" s="28">
        <v>2007</v>
      </c>
      <c r="D49" s="31">
        <v>2014</v>
      </c>
      <c r="E49" s="30" t="s">
        <v>60</v>
      </c>
      <c r="F49" s="28">
        <v>2004</v>
      </c>
      <c r="G49" s="28">
        <v>1.0980000000000001</v>
      </c>
      <c r="H49" s="28">
        <v>2010</v>
      </c>
      <c r="I49" s="28">
        <v>2294786</v>
      </c>
      <c r="J49" s="28">
        <v>1.1000000000000001</v>
      </c>
      <c r="K49" s="28">
        <f t="shared" si="11"/>
        <v>32489</v>
      </c>
      <c r="L49" s="28">
        <f t="shared" si="11"/>
        <v>5.1150000000000002</v>
      </c>
      <c r="M49" s="28">
        <f t="shared" si="10"/>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2"/>
        <v>0.06</v>
      </c>
      <c r="AB49" s="28">
        <f t="shared" si="12"/>
        <v>0.1</v>
      </c>
      <c r="AC49" s="28">
        <v>0</v>
      </c>
      <c r="AD49" s="28">
        <v>1</v>
      </c>
      <c r="AE49" s="28">
        <v>1</v>
      </c>
      <c r="AF49" s="33">
        <v>0</v>
      </c>
      <c r="AG49" s="33">
        <v>0</v>
      </c>
      <c r="AH49" s="28">
        <v>0</v>
      </c>
      <c r="AI49" s="28">
        <v>1</v>
      </c>
      <c r="AJ49" s="28">
        <v>1</v>
      </c>
      <c r="AK49" s="28">
        <v>0</v>
      </c>
      <c r="AL49" s="28">
        <v>0</v>
      </c>
      <c r="AM49" s="28">
        <v>0</v>
      </c>
      <c r="AN49" s="28" t="s">
        <v>31</v>
      </c>
      <c r="AO49" s="33" t="s">
        <v>64</v>
      </c>
    </row>
    <row r="50" spans="1:41" s="28" customFormat="1">
      <c r="A50" s="28">
        <v>47</v>
      </c>
      <c r="B50" s="28" t="s">
        <v>58</v>
      </c>
      <c r="C50" s="28">
        <v>2007</v>
      </c>
      <c r="D50" s="31">
        <v>2014</v>
      </c>
      <c r="E50" s="30" t="s">
        <v>72</v>
      </c>
      <c r="F50" s="28">
        <v>2004</v>
      </c>
      <c r="G50" s="28">
        <v>1.0980000000000001</v>
      </c>
      <c r="H50" s="28">
        <v>2010</v>
      </c>
      <c r="I50" s="28">
        <v>2294786</v>
      </c>
      <c r="J50" s="28">
        <v>1.1000000000000001</v>
      </c>
      <c r="K50" s="28">
        <f t="shared" si="11"/>
        <v>34516</v>
      </c>
      <c r="L50" s="28">
        <f t="shared" si="11"/>
        <v>4.8550000000000004</v>
      </c>
      <c r="M50" s="28">
        <f t="shared" si="10"/>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2"/>
        <v>0.1</v>
      </c>
      <c r="AB50" s="28">
        <f t="shared" si="12"/>
        <v>2.5999999999999999E-2</v>
      </c>
      <c r="AC50" s="28">
        <v>0</v>
      </c>
      <c r="AD50" s="28">
        <v>1</v>
      </c>
      <c r="AE50" s="28">
        <v>1</v>
      </c>
      <c r="AF50" s="33">
        <v>0</v>
      </c>
      <c r="AG50" s="33">
        <v>0</v>
      </c>
      <c r="AH50" s="28">
        <v>0</v>
      </c>
      <c r="AI50" s="28">
        <v>1</v>
      </c>
      <c r="AJ50" s="28">
        <v>1</v>
      </c>
      <c r="AK50" s="28">
        <v>0</v>
      </c>
      <c r="AL50" s="28">
        <v>0</v>
      </c>
      <c r="AM50" s="28">
        <v>0</v>
      </c>
      <c r="AN50" s="28" t="s">
        <v>32</v>
      </c>
      <c r="AO50" s="33" t="s">
        <v>64</v>
      </c>
    </row>
    <row r="51" spans="1:41" s="28" customFormat="1">
      <c r="A51" s="28">
        <v>48</v>
      </c>
      <c r="B51" s="28" t="s">
        <v>59</v>
      </c>
      <c r="C51" s="28">
        <v>2007</v>
      </c>
      <c r="D51" s="31">
        <v>2014</v>
      </c>
      <c r="E51" s="30" t="s">
        <v>72</v>
      </c>
      <c r="F51" s="28">
        <v>2004</v>
      </c>
      <c r="G51" s="28">
        <v>1.0980000000000001</v>
      </c>
      <c r="H51" s="28">
        <v>2010</v>
      </c>
      <c r="I51" s="28">
        <v>2294786</v>
      </c>
      <c r="J51" s="28">
        <v>1.1000000000000001</v>
      </c>
      <c r="K51" s="28">
        <f t="shared" si="11"/>
        <v>18436</v>
      </c>
      <c r="L51" s="28">
        <f t="shared" si="11"/>
        <v>4.1740000000000004</v>
      </c>
      <c r="M51" s="28">
        <f t="shared" si="10"/>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2"/>
        <v>0.04</v>
      </c>
      <c r="AB51" s="28">
        <f t="shared" si="12"/>
        <v>0.06</v>
      </c>
      <c r="AC51" s="28">
        <v>0</v>
      </c>
      <c r="AD51" s="28">
        <v>1</v>
      </c>
      <c r="AE51" s="28">
        <v>1</v>
      </c>
      <c r="AF51" s="33">
        <v>0</v>
      </c>
      <c r="AG51" s="33">
        <v>0</v>
      </c>
      <c r="AH51" s="28">
        <v>0</v>
      </c>
      <c r="AI51" s="28">
        <v>1</v>
      </c>
      <c r="AJ51" s="28">
        <v>1</v>
      </c>
      <c r="AK51" s="28">
        <v>0</v>
      </c>
      <c r="AL51" s="28">
        <v>0</v>
      </c>
      <c r="AM51" s="28">
        <v>0</v>
      </c>
      <c r="AN51" s="28" t="s">
        <v>121</v>
      </c>
      <c r="AO51" s="33" t="s">
        <v>64</v>
      </c>
    </row>
    <row r="52" spans="1:41" s="5" customFormat="1">
      <c r="G52" s="11"/>
      <c r="AF52" s="33"/>
      <c r="AG52" s="33"/>
      <c r="AI52" s="12"/>
      <c r="AJ52" s="27"/>
      <c r="AK52" s="15"/>
      <c r="AL52" s="27"/>
      <c r="AM52" s="27"/>
    </row>
    <row r="53" spans="1:41" s="6" customFormat="1"/>
    <row r="54" spans="1:41">
      <c r="I54" s="25"/>
      <c r="S54" s="5"/>
      <c r="Y54"/>
    </row>
    <row r="55" spans="1:41">
      <c r="S55" s="5"/>
      <c r="Y55"/>
    </row>
    <row r="56" spans="1:41">
      <c r="S56" s="5"/>
      <c r="Y56"/>
    </row>
    <row r="57" spans="1:41" s="22" customFormat="1">
      <c r="AF57" s="33"/>
      <c r="AG57" s="33"/>
      <c r="AJ57" s="27"/>
      <c r="AL57" s="27"/>
      <c r="AM57" s="27"/>
    </row>
    <row r="58" spans="1:41">
      <c r="S58" s="5"/>
      <c r="Y58"/>
    </row>
    <row r="59" spans="1:41">
      <c r="S59" s="5"/>
      <c r="Y59"/>
    </row>
    <row r="60" spans="1:41">
      <c r="S60" s="5"/>
      <c r="Y60"/>
    </row>
    <row r="61" spans="1:41">
      <c r="S61" s="5"/>
      <c r="Y61"/>
    </row>
    <row r="62" spans="1:41">
      <c r="S62" s="5"/>
      <c r="Y62"/>
    </row>
    <row r="63" spans="1:41">
      <c r="S63" s="5"/>
      <c r="Y63"/>
    </row>
    <row r="64" spans="1:41">
      <c r="S64" s="5"/>
      <c r="Y64"/>
    </row>
    <row r="65" spans="19:25">
      <c r="S65" s="5"/>
      <c r="Y65"/>
    </row>
    <row r="66" spans="19:25">
      <c r="S66" s="5"/>
      <c r="Y66"/>
    </row>
    <row r="67" spans="19:25">
      <c r="S67" s="5"/>
      <c r="Y67"/>
    </row>
    <row r="68" spans="19:25">
      <c r="S68" s="5"/>
      <c r="Y68"/>
    </row>
    <row r="69" spans="19:25">
      <c r="S69" s="5"/>
      <c r="Y69"/>
    </row>
    <row r="70" spans="19:25">
      <c r="S70" s="5"/>
      <c r="Y70"/>
    </row>
    <row r="90" spans="13:39">
      <c r="M90" s="5"/>
      <c r="N90" s="5"/>
      <c r="O90" s="5"/>
      <c r="P90" s="5"/>
      <c r="Q90" s="5"/>
      <c r="R90" s="5"/>
      <c r="T90"/>
      <c r="U90"/>
      <c r="V90"/>
      <c r="W90"/>
      <c r="X90"/>
      <c r="Y90"/>
      <c r="Z90" s="12"/>
      <c r="AA90" s="27"/>
      <c r="AB90" s="15"/>
      <c r="AC90" s="27"/>
      <c r="AD90" s="27"/>
      <c r="AI90"/>
      <c r="AJ90"/>
      <c r="AK90"/>
      <c r="AL90"/>
      <c r="AM90"/>
    </row>
    <row r="91" spans="13:39">
      <c r="M91" s="5"/>
      <c r="N91" s="5"/>
      <c r="O91" s="5"/>
      <c r="P91" s="5"/>
      <c r="Q91" s="5"/>
      <c r="R91" s="5"/>
      <c r="T91"/>
      <c r="U91"/>
      <c r="V91"/>
      <c r="W91"/>
      <c r="X91"/>
      <c r="Y91"/>
      <c r="Z91" s="12"/>
      <c r="AA91" s="27"/>
      <c r="AB91" s="15"/>
      <c r="AC91" s="27"/>
      <c r="AD91" s="27"/>
      <c r="AI91"/>
      <c r="AJ91"/>
      <c r="AK91"/>
      <c r="AL91"/>
      <c r="AM91"/>
    </row>
    <row r="92" spans="13:39">
      <c r="M92" s="5"/>
      <c r="N92" s="5"/>
      <c r="O92" s="5"/>
      <c r="P92" s="5"/>
      <c r="Q92" s="5"/>
      <c r="R92" s="5"/>
      <c r="T92"/>
      <c r="U92"/>
      <c r="V92"/>
      <c r="W92"/>
      <c r="X92"/>
      <c r="Y92"/>
      <c r="Z92" s="12"/>
      <c r="AA92" s="27"/>
      <c r="AB92" s="15"/>
      <c r="AC92" s="27"/>
      <c r="AD92" s="27"/>
      <c r="AI92"/>
      <c r="AJ92"/>
      <c r="AK92"/>
      <c r="AL92"/>
      <c r="AM92"/>
    </row>
    <row r="103" spans="1:1">
      <c r="A103" s="33"/>
    </row>
    <row r="104" spans="1:1">
      <c r="A104"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53"/>
  <sheetViews>
    <sheetView zoomScale="125" workbookViewId="0">
      <selection activeCell="S22" sqref="S2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27"/>
  </cols>
  <sheetData>
    <row r="1" spans="1:32"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ccs</v>
      </c>
      <c r="AD1" s="33" t="str">
        <f>generator_costs!AK3</f>
        <v>storage</v>
      </c>
      <c r="AE1" s="33" t="str">
        <f>generator_costs!AL3</f>
        <v>storage_efficiency</v>
      </c>
      <c r="AF1" s="33" t="str">
        <f>generator_costs!AM3</f>
        <v>max_store_rate</v>
      </c>
    </row>
    <row r="2" spans="1:32"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row>
    <row r="3" spans="1:32"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row>
    <row r="4" spans="1:32"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0</v>
      </c>
      <c r="AD4" s="33">
        <f>generator_costs!AK6</f>
        <v>0</v>
      </c>
      <c r="AE4" s="33">
        <f>generator_costs!AL6</f>
        <v>0</v>
      </c>
      <c r="AF4" s="33">
        <f>generator_costs!AM6</f>
        <v>0</v>
      </c>
    </row>
    <row r="5" spans="1:32"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row>
    <row r="6" spans="1:32"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row>
    <row r="7" spans="1:32"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row>
    <row r="8" spans="1:32" s="5" customFormat="1">
      <c r="A8" s="33">
        <f>generator_costs!A10</f>
        <v>7</v>
      </c>
      <c r="B8" s="33" t="str">
        <f>generator_costs!B10</f>
        <v>CSP_Trough_6h_Storage</v>
      </c>
      <c r="C8" s="33">
        <f>generator_costs!C10</f>
        <v>2007</v>
      </c>
      <c r="D8" s="33">
        <f>generator_costs!D10</f>
        <v>2012</v>
      </c>
      <c r="E8" s="33" t="str">
        <f>generator_costs!E10</f>
        <v>Solar</v>
      </c>
      <c r="F8" s="33">
        <f>generator_costs!M10</f>
        <v>7098171.79151126</v>
      </c>
      <c r="G8" s="33">
        <f>generator_costs!N10</f>
        <v>48159.29</v>
      </c>
      <c r="H8" s="33">
        <f>generator_costs!O10</f>
        <v>0</v>
      </c>
      <c r="I8" s="33">
        <f>generator_costs!P10</f>
        <v>-8.8500000000000002E-3</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0</v>
      </c>
      <c r="AD8" s="33">
        <f>generator_costs!AK10</f>
        <v>0</v>
      </c>
      <c r="AE8" s="33">
        <f>generator_costs!AL10</f>
        <v>0</v>
      </c>
      <c r="AF8" s="33">
        <f>generator_costs!AM10</f>
        <v>0</v>
      </c>
    </row>
    <row r="9" spans="1:32"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0</v>
      </c>
      <c r="AD9" s="33">
        <f>generator_costs!AK11</f>
        <v>0</v>
      </c>
      <c r="AE9" s="33">
        <f>generator_costs!AL11</f>
        <v>0</v>
      </c>
      <c r="AF9" s="33">
        <f>generator_costs!AM11</f>
        <v>0</v>
      </c>
    </row>
    <row r="10" spans="1:32"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0</v>
      </c>
      <c r="AD10" s="33">
        <f>generator_costs!AK12</f>
        <v>0</v>
      </c>
      <c r="AE10" s="33">
        <f>generator_costs!AL12</f>
        <v>0</v>
      </c>
      <c r="AF10" s="33">
        <f>generator_costs!AM12</f>
        <v>0</v>
      </c>
    </row>
    <row r="11" spans="1:32"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0</v>
      </c>
      <c r="AD11" s="33">
        <f>generator_costs!AK13</f>
        <v>0</v>
      </c>
      <c r="AE11" s="33">
        <f>generator_costs!AL13</f>
        <v>0</v>
      </c>
      <c r="AF11" s="33">
        <f>generator_costs!AM13</f>
        <v>0</v>
      </c>
    </row>
    <row r="12" spans="1:32"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row>
    <row r="13" spans="1:32"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row>
    <row r="14" spans="1:32">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row>
    <row r="15" spans="1:32">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row>
    <row r="16" spans="1:32">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row>
    <row r="17" spans="1:32">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1</v>
      </c>
      <c r="AE17" s="33">
        <f>generator_costs!AL19</f>
        <v>0.74</v>
      </c>
      <c r="AF17" s="33">
        <f>generator_costs!AM19</f>
        <v>1</v>
      </c>
    </row>
    <row r="18" spans="1:32">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row>
    <row r="19" spans="1:32">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row>
    <row r="20" spans="1:32">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row>
    <row r="21" spans="1:32">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row>
    <row r="22" spans="1:32">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row>
    <row r="23" spans="1:32">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row>
    <row r="24" spans="1:32">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row>
    <row r="25" spans="1:32">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row>
    <row r="26" spans="1:32">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row>
    <row r="27" spans="1:32">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0</v>
      </c>
      <c r="AD27" s="33">
        <f>generator_costs!AK29</f>
        <v>0</v>
      </c>
      <c r="AE27" s="33">
        <f>generator_costs!AL29</f>
        <v>0</v>
      </c>
      <c r="AF27" s="33">
        <f>generator_costs!AM29</f>
        <v>0</v>
      </c>
    </row>
    <row r="28" spans="1:32">
      <c r="A28" s="33">
        <f>generator_costs!A30</f>
        <v>27</v>
      </c>
      <c r="B28" s="33" t="str">
        <f>generator_costs!B30</f>
        <v>CSP_Trough_No_Storage</v>
      </c>
      <c r="C28" s="33">
        <f>generator_costs!C30</f>
        <v>2007</v>
      </c>
      <c r="D28" s="33">
        <f>generator_costs!D30</f>
        <v>2010</v>
      </c>
      <c r="E28" s="33" t="str">
        <f>generator_costs!E30</f>
        <v>Solar</v>
      </c>
      <c r="F28" s="33">
        <f>generator_costs!M30</f>
        <v>4401886.3331025699</v>
      </c>
      <c r="G28" s="33">
        <f>generator_costs!N30</f>
        <v>48159.29</v>
      </c>
      <c r="H28" s="33">
        <f>generator_costs!O30</f>
        <v>0</v>
      </c>
      <c r="I28" s="33">
        <f>generator_costs!P30</f>
        <v>-8.8500000000000002E-3</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0</v>
      </c>
      <c r="AD28" s="33">
        <f>generator_costs!AK30</f>
        <v>0</v>
      </c>
      <c r="AE28" s="33">
        <f>generator_costs!AL30</f>
        <v>0</v>
      </c>
      <c r="AF28" s="33">
        <f>generator_costs!AM30</f>
        <v>0</v>
      </c>
    </row>
    <row r="29" spans="1:32">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1</v>
      </c>
      <c r="AE29" s="33">
        <f>generator_costs!AL31</f>
        <v>0.81699999999999995</v>
      </c>
      <c r="AF29" s="33">
        <f>generator_costs!AM31</f>
        <v>1.2</v>
      </c>
    </row>
    <row r="30" spans="1:32">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0</v>
      </c>
      <c r="AD30" s="33">
        <f>generator_costs!AK32</f>
        <v>0</v>
      </c>
      <c r="AE30" s="33">
        <f>generator_costs!AL32</f>
        <v>0</v>
      </c>
      <c r="AF30" s="33">
        <f>generator_costs!AM32</f>
        <v>0</v>
      </c>
    </row>
    <row r="31" spans="1:32">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0</v>
      </c>
      <c r="AD31" s="33">
        <f>generator_costs!AK33</f>
        <v>0</v>
      </c>
      <c r="AE31" s="33">
        <f>generator_costs!AL33</f>
        <v>0</v>
      </c>
      <c r="AF31" s="33">
        <f>generator_costs!AM33</f>
        <v>0</v>
      </c>
    </row>
    <row r="32" spans="1:32">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0</v>
      </c>
      <c r="AD32" s="33">
        <f>generator_costs!AK34</f>
        <v>0</v>
      </c>
      <c r="AE32" s="33">
        <f>generator_costs!AL34</f>
        <v>0</v>
      </c>
      <c r="AF32" s="33">
        <f>generator_costs!AM34</f>
        <v>0</v>
      </c>
    </row>
    <row r="33" spans="1:32">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0</v>
      </c>
      <c r="AD33" s="33">
        <f>generator_costs!AK35</f>
        <v>0</v>
      </c>
      <c r="AE33" s="33">
        <f>generator_costs!AL35</f>
        <v>0</v>
      </c>
      <c r="AF33" s="33">
        <f>generator_costs!AM35</f>
        <v>0</v>
      </c>
    </row>
    <row r="34" spans="1:32">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1</v>
      </c>
      <c r="AE34" s="33">
        <f>generator_costs!AL36</f>
        <v>0.76700000000000002</v>
      </c>
      <c r="AF34" s="33">
        <f>generator_costs!AM36</f>
        <v>1</v>
      </c>
    </row>
    <row r="35" spans="1:32">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1</v>
      </c>
      <c r="AD35" s="33">
        <f>generator_costs!AK37</f>
        <v>0</v>
      </c>
      <c r="AE35" s="33">
        <f>generator_costs!AL37</f>
        <v>0</v>
      </c>
      <c r="AF35" s="33">
        <f>generator_costs!AM37</f>
        <v>0</v>
      </c>
    </row>
    <row r="36" spans="1:32">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1</v>
      </c>
      <c r="AD36" s="33">
        <f>generator_costs!AK38</f>
        <v>0</v>
      </c>
      <c r="AE36" s="33">
        <f>generator_costs!AL38</f>
        <v>0</v>
      </c>
      <c r="AF36" s="33">
        <f>generator_costs!AM38</f>
        <v>0</v>
      </c>
    </row>
    <row r="37" spans="1:32">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0</v>
      </c>
      <c r="AE37" s="33">
        <f>generator_costs!AL39</f>
        <v>0</v>
      </c>
      <c r="AF37" s="33">
        <f>generator_costs!AM39</f>
        <v>0</v>
      </c>
    </row>
    <row r="38" spans="1:32">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0</v>
      </c>
      <c r="AE38" s="33">
        <f>generator_costs!AL40</f>
        <v>0</v>
      </c>
      <c r="AF38" s="33">
        <f>generator_costs!AM40</f>
        <v>0</v>
      </c>
    </row>
    <row r="39" spans="1:32">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1</v>
      </c>
      <c r="AD39" s="33">
        <f>generator_costs!AK41</f>
        <v>0</v>
      </c>
      <c r="AE39" s="33">
        <f>generator_costs!AL41</f>
        <v>0</v>
      </c>
      <c r="AF39" s="33">
        <f>generator_costs!AM41</f>
        <v>0</v>
      </c>
    </row>
    <row r="40" spans="1:32"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1</v>
      </c>
      <c r="AD40" s="33">
        <f>generator_costs!AK42</f>
        <v>0</v>
      </c>
      <c r="AE40" s="33">
        <f>generator_costs!AL42</f>
        <v>0</v>
      </c>
      <c r="AF40" s="33">
        <f>generator_costs!AM42</f>
        <v>0</v>
      </c>
    </row>
    <row r="41" spans="1:32"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0</v>
      </c>
      <c r="AD41" s="33">
        <f>generator_costs!AK43</f>
        <v>0</v>
      </c>
      <c r="AE41" s="33">
        <f>generator_costs!AL43</f>
        <v>0</v>
      </c>
      <c r="AF41" s="33">
        <f>generator_costs!AM43</f>
        <v>0</v>
      </c>
    </row>
    <row r="42" spans="1:32" s="28" customFormat="1">
      <c r="A42" s="33">
        <f>generator_costs!A44</f>
        <v>41</v>
      </c>
      <c r="B42" s="33" t="str">
        <f>generator_costs!B44</f>
        <v>Gas_Combustion_Turbine_CCS_EP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4.5830520000000003</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0.05</v>
      </c>
      <c r="V42" s="33">
        <f>generator_costs!AC44</f>
        <v>0</v>
      </c>
      <c r="W42" s="33">
        <f>generator_costs!AD44</f>
        <v>1</v>
      </c>
      <c r="X42" s="33">
        <f>generator_costs!AE44</f>
        <v>0</v>
      </c>
      <c r="Y42" s="33">
        <f>generator_costs!AF44</f>
        <v>1</v>
      </c>
      <c r="Z42" s="33">
        <f>generator_costs!AG44</f>
        <v>0</v>
      </c>
      <c r="AA42" s="33">
        <f>generator_costs!AH44</f>
        <v>0</v>
      </c>
      <c r="AB42" s="33">
        <f>generator_costs!AI44</f>
        <v>1</v>
      </c>
      <c r="AC42" s="33">
        <f>generator_costs!AJ44</f>
        <v>1</v>
      </c>
      <c r="AD42" s="33">
        <f>generator_costs!AK44</f>
        <v>0</v>
      </c>
      <c r="AE42" s="33">
        <f>generator_costs!AL44</f>
        <v>0</v>
      </c>
      <c r="AF42" s="33">
        <f>generator_costs!AM44</f>
        <v>0</v>
      </c>
    </row>
    <row r="43" spans="1:32"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1</v>
      </c>
      <c r="AD43" s="33">
        <f>generator_costs!AK45</f>
        <v>0</v>
      </c>
      <c r="AE43" s="33">
        <f>generator_costs!AL45</f>
        <v>0</v>
      </c>
      <c r="AF43" s="33">
        <f>generator_costs!AM45</f>
        <v>0</v>
      </c>
    </row>
    <row r="44" spans="1:32"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1</v>
      </c>
      <c r="AD44" s="33">
        <f>generator_costs!AK46</f>
        <v>0</v>
      </c>
      <c r="AE44" s="33">
        <f>generator_costs!AL46</f>
        <v>0</v>
      </c>
      <c r="AF44" s="33">
        <f>generator_costs!AM46</f>
        <v>0</v>
      </c>
    </row>
    <row r="45" spans="1:32"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1</v>
      </c>
      <c r="AD45" s="33">
        <f>generator_costs!AK47</f>
        <v>0</v>
      </c>
      <c r="AE45" s="33">
        <f>generator_costs!AL47</f>
        <v>0</v>
      </c>
      <c r="AF45" s="33">
        <f>generator_costs!AM47</f>
        <v>0</v>
      </c>
    </row>
    <row r="46" spans="1:32"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1</v>
      </c>
      <c r="AD46" s="33">
        <f>generator_costs!AK48</f>
        <v>0</v>
      </c>
      <c r="AE46" s="33">
        <f>generator_costs!AL48</f>
        <v>0</v>
      </c>
      <c r="AF46" s="33">
        <f>generator_costs!AM48</f>
        <v>0</v>
      </c>
    </row>
    <row r="47" spans="1:32"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1</v>
      </c>
      <c r="AD47" s="33">
        <f>generator_costs!AK49</f>
        <v>0</v>
      </c>
      <c r="AE47" s="33">
        <f>generator_costs!AL49</f>
        <v>0</v>
      </c>
      <c r="AF47" s="33">
        <f>generator_costs!AM49</f>
        <v>0</v>
      </c>
    </row>
    <row r="48" spans="1:32">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1</v>
      </c>
      <c r="AD48" s="33">
        <f>generator_costs!AK50</f>
        <v>0</v>
      </c>
      <c r="AE48" s="33">
        <f>generator_costs!AL50</f>
        <v>0</v>
      </c>
      <c r="AF48" s="33">
        <f>generator_costs!AM50</f>
        <v>0</v>
      </c>
    </row>
    <row r="49" spans="1:32">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1</v>
      </c>
      <c r="AD49" s="33">
        <f>generator_costs!AK51</f>
        <v>0</v>
      </c>
      <c r="AE49" s="33">
        <f>generator_costs!AL51</f>
        <v>0</v>
      </c>
      <c r="AF49" s="33">
        <f>generator_costs!AM51</f>
        <v>0</v>
      </c>
    </row>
    <row r="50" spans="1:32">
      <c r="A50" s="33"/>
    </row>
    <row r="51" spans="1:32">
      <c r="A51" s="33"/>
    </row>
    <row r="52" spans="1:32">
      <c r="A52" s="33"/>
    </row>
    <row r="53" spans="1:32">
      <c r="A53"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0"/>
  <sheetViews>
    <sheetView workbookViewId="0">
      <selection activeCell="A22" sqref="A22:A23"/>
    </sheetView>
  </sheetViews>
  <sheetFormatPr baseColWidth="10" defaultRowHeight="13"/>
  <sheetData>
    <row r="1" spans="1:7">
      <c r="A1" s="6" t="s">
        <v>139</v>
      </c>
      <c r="B1" s="6"/>
      <c r="C1" s="6"/>
      <c r="D1" s="6"/>
      <c r="E1" s="6"/>
      <c r="F1" s="6"/>
      <c r="G1" s="6"/>
    </row>
    <row r="2" spans="1:7">
      <c r="A2" t="s">
        <v>85</v>
      </c>
      <c r="B2">
        <v>2010</v>
      </c>
      <c r="C2">
        <v>2014</v>
      </c>
      <c r="D2">
        <v>2018</v>
      </c>
      <c r="E2">
        <v>2022</v>
      </c>
      <c r="F2">
        <v>2026</v>
      </c>
      <c r="G2" t="s">
        <v>138</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6.6699442382837946</v>
      </c>
      <c r="D9" s="1">
        <f>generator_costs!$M10*(1+generator_costs!$P10)^(D$2-2007)/1000000</f>
        <v>6.4369442002129151</v>
      </c>
      <c r="E9" s="1">
        <f>generator_costs!$M10*(1+generator_costs!$P10)^(E$2-2007)/1000000</f>
        <v>6.2120835132072854</v>
      </c>
      <c r="F9" s="1">
        <f>generator_costs!$M10*(1+generator_costs!$P10)^(F$2-2007)/1000000</f>
        <v>5.9950778466877699</v>
      </c>
      <c r="G9" s="2">
        <f>-generator_costs!P10*100</f>
        <v>0.88500000000000001</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4.1363237249582836</v>
      </c>
      <c r="D29" s="1">
        <f>generator_costs!$M30*(1+generator_costs!$P30)^(D$2-2007)/1000000</f>
        <v>3.991830225318961</v>
      </c>
      <c r="E29" s="1">
        <f>generator_costs!$M30*(1+generator_costs!$P30)^(E$2-2007)/1000000</f>
        <v>3.852384292752796</v>
      </c>
      <c r="F29" s="1">
        <f>generator_costs!$M30*(1+generator_costs!$P30)^(F$2-2007)/1000000</f>
        <v>3.7178096014498263</v>
      </c>
      <c r="G29" s="2">
        <f>-generator_costs!P30*100</f>
        <v>0.88500000000000001</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Gas_Combustion_Turbine_CCS_EP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142</v>
      </c>
    </row>
    <row r="2" spans="1:5">
      <c r="A2" s="22" t="s">
        <v>143</v>
      </c>
      <c r="B2" s="22" t="s">
        <v>144</v>
      </c>
    </row>
    <row r="3" spans="1:5" s="22" customFormat="1">
      <c r="A3" s="22">
        <v>2010</v>
      </c>
      <c r="B3" s="22">
        <v>4.7</v>
      </c>
    </row>
    <row r="4" spans="1:5">
      <c r="A4" s="22">
        <v>2011</v>
      </c>
      <c r="B4">
        <v>4.25</v>
      </c>
      <c r="E4" s="22"/>
    </row>
    <row r="5" spans="1:5">
      <c r="A5" s="22">
        <v>2013</v>
      </c>
      <c r="B5">
        <v>3.3</v>
      </c>
      <c r="D5" s="22" t="s">
        <v>146</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2011-01-26T02:06:44Z</dcterms:modified>
</cp:coreProperties>
</file>