
<file path=[Content_Types].xml><?xml version="1.0" encoding="utf-8"?>
<Types xmlns="http://schemas.openxmlformats.org/package/2006/content-types">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charts/chart1.xml" ContentType="application/vnd.openxmlformats-officedocument.drawingml.chart+xml"/>
  <Override PartName="/xl/charts/chart3.xml" ContentType="application/vnd.openxmlformats-officedocument.drawingml.chart+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charts/chart5.xml" ContentType="application/vnd.openxmlformats-officedocument.drawingml.chart+xml"/>
  <Override PartName="/xl/worksheets/sheet1.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Override PartName="/xl/charts/chart2.xml" ContentType="application/vnd.openxmlformats-officedocument.drawingml.chart+xml"/>
  <Override PartName="/xl/worksheets/sheet3.xml" ContentType="application/vnd.openxmlformats-officedocument.spreadsheetml.worksheet+xml"/>
  <Default Extension="rels" ContentType="application/vnd.openxmlformats-package.relationships+xml"/>
  <Default Extension="jpeg" ContentType="image/jpeg"/>
  <Override PartName="/xl/worksheets/sheet5.xml" ContentType="application/vnd.openxmlformats-officedocument.spreadsheetml.worksheet+xml"/>
  <Override PartName="/xl/charts/chart4.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36120" yWindow="1380" windowWidth="34400" windowHeight="21580" tabRatio="500"/>
  </bookViews>
  <sheets>
    <sheet name="generator_costs" sheetId="1" r:id="rId1"/>
    <sheet name="Cost CSV For Export" sheetId="2" r:id="rId2"/>
    <sheet name="costs_by_investment_period" sheetId="6" r:id="rId3"/>
    <sheet name="CPV Cost Calcs" sheetId="5" r:id="rId4"/>
    <sheet name="spinning_reserves_penalty" sheetId="11" r:id="rId5"/>
    <sheet name="deep_cycling_penalty" sheetId="10" r:id="rId6"/>
  </sheets>
  <definedNames>
    <definedName name="_xlnm._FilterDatabase" localSheetId="0" hidden="1">generator_costs!$A$4:$AT$68</definedName>
  </definedName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J2" i="2"/>
  <c r="AK2"/>
  <c r="AL2"/>
  <c r="AJ3"/>
  <c r="AK3"/>
  <c r="AL3"/>
  <c r="AJ4"/>
  <c r="AK4"/>
  <c r="AL4"/>
  <c r="AJ5"/>
  <c r="AK5"/>
  <c r="AL5"/>
  <c r="AJ6"/>
  <c r="AK6"/>
  <c r="AL6"/>
  <c r="AJ7"/>
  <c r="AK7"/>
  <c r="AL7"/>
  <c r="AJ8"/>
  <c r="AK8"/>
  <c r="AL8"/>
  <c r="AJ9"/>
  <c r="AK9"/>
  <c r="AL9"/>
  <c r="AJ10"/>
  <c r="AK10"/>
  <c r="AL10"/>
  <c r="AJ11"/>
  <c r="AK11"/>
  <c r="AL11"/>
  <c r="AJ12"/>
  <c r="AK12"/>
  <c r="AL12"/>
  <c r="AJ13"/>
  <c r="AK13"/>
  <c r="AL13"/>
  <c r="AJ14"/>
  <c r="AK14"/>
  <c r="AL14"/>
  <c r="AK15"/>
  <c r="AL15"/>
  <c r="AJ16"/>
  <c r="AK16"/>
  <c r="AL16"/>
  <c r="AJ17"/>
  <c r="AK17"/>
  <c r="AL17"/>
  <c r="AJ18"/>
  <c r="AK18"/>
  <c r="AL18"/>
  <c r="AK19"/>
  <c r="AL19"/>
  <c r="AJ20"/>
  <c r="AK20"/>
  <c r="AL20"/>
  <c r="AJ21"/>
  <c r="AK21"/>
  <c r="AL21"/>
  <c r="AJ22"/>
  <c r="AK22"/>
  <c r="AL22"/>
  <c r="AJ23"/>
  <c r="AK23"/>
  <c r="AL23"/>
  <c r="AJ24"/>
  <c r="AK24"/>
  <c r="AL24"/>
  <c r="AJ25"/>
  <c r="AK25"/>
  <c r="AL25"/>
  <c r="AJ26"/>
  <c r="AK26"/>
  <c r="AL26"/>
  <c r="AK27"/>
  <c r="AL27"/>
  <c r="AJ28"/>
  <c r="AK28"/>
  <c r="AL28"/>
  <c r="AJ29"/>
  <c r="AK29"/>
  <c r="AL29"/>
  <c r="AJ30"/>
  <c r="AK30"/>
  <c r="AL30"/>
  <c r="AJ31"/>
  <c r="AK31"/>
  <c r="AL31"/>
  <c r="AK32"/>
  <c r="AL32"/>
  <c r="AJ33"/>
  <c r="AK33"/>
  <c r="AL33"/>
  <c r="AJ34"/>
  <c r="AK34"/>
  <c r="AL34"/>
  <c r="AJ35"/>
  <c r="AK35"/>
  <c r="AL35"/>
  <c r="AJ36"/>
  <c r="AK36"/>
  <c r="AL36"/>
  <c r="AJ37"/>
  <c r="AK37"/>
  <c r="AL37"/>
  <c r="AK38"/>
  <c r="AL38"/>
  <c r="AJ39"/>
  <c r="AK39"/>
  <c r="AL39"/>
  <c r="AJ40"/>
  <c r="AK40"/>
  <c r="AL40"/>
  <c r="AJ41"/>
  <c r="AK41"/>
  <c r="AL41"/>
  <c r="AJ42"/>
  <c r="AK42"/>
  <c r="AL42"/>
  <c r="AJ43"/>
  <c r="AK43"/>
  <c r="AL43"/>
  <c r="AK44"/>
  <c r="AL44"/>
  <c r="AJ45"/>
  <c r="AK45"/>
  <c r="AL45"/>
  <c r="AJ46"/>
  <c r="AK46"/>
  <c r="AL46"/>
  <c r="AJ47"/>
  <c r="AK47"/>
  <c r="AL47"/>
  <c r="AJ48"/>
  <c r="AK48"/>
  <c r="AL48"/>
  <c r="AJ49"/>
  <c r="AK49"/>
  <c r="AL49"/>
  <c r="AJ50"/>
  <c r="AK50"/>
  <c r="AL50"/>
  <c r="AJ51"/>
  <c r="AK51"/>
  <c r="AL51"/>
  <c r="AJ52"/>
  <c r="AK52"/>
  <c r="AL52"/>
  <c r="AJ53"/>
  <c r="AK53"/>
  <c r="AL53"/>
  <c r="AJ54"/>
  <c r="AK54"/>
  <c r="AL54"/>
  <c r="AJ55"/>
  <c r="AK55"/>
  <c r="AL55"/>
  <c r="AJ56"/>
  <c r="AK56"/>
  <c r="AL56"/>
  <c r="AJ57"/>
  <c r="AK57"/>
  <c r="AL57"/>
  <c r="AJ58"/>
  <c r="AK58"/>
  <c r="AL58"/>
  <c r="AJ59"/>
  <c r="AK59"/>
  <c r="AL59"/>
  <c r="AJ60"/>
  <c r="AK60"/>
  <c r="AL60"/>
  <c r="AJ61"/>
  <c r="AK61"/>
  <c r="AL61"/>
  <c r="AJ62"/>
  <c r="AK62"/>
  <c r="AL62"/>
  <c r="AJ63"/>
  <c r="AK63"/>
  <c r="AL63"/>
  <c r="AJ64"/>
  <c r="AK64"/>
  <c r="AL64"/>
  <c r="AJ65"/>
  <c r="AK65"/>
  <c r="AL65"/>
  <c r="AK1"/>
  <c r="AL1"/>
  <c r="X2"/>
  <c r="Y2"/>
  <c r="Y3"/>
  <c r="X4"/>
  <c r="Y4"/>
  <c r="X5"/>
  <c r="Y5"/>
  <c r="X6"/>
  <c r="Y6"/>
  <c r="X7"/>
  <c r="Y7"/>
  <c r="X8"/>
  <c r="Y8"/>
  <c r="Y9"/>
  <c r="X10"/>
  <c r="Y10"/>
  <c r="X11"/>
  <c r="Y11"/>
  <c r="X12"/>
  <c r="Y12"/>
  <c r="X13"/>
  <c r="Y13"/>
  <c r="X14"/>
  <c r="Y14"/>
  <c r="Y15"/>
  <c r="X16"/>
  <c r="Y16"/>
  <c r="X17"/>
  <c r="Y17"/>
  <c r="Y18"/>
  <c r="Y19"/>
  <c r="X20"/>
  <c r="Y20"/>
  <c r="X21"/>
  <c r="Y21"/>
  <c r="Y22"/>
  <c r="Y23"/>
  <c r="X24"/>
  <c r="Y24"/>
  <c r="X25"/>
  <c r="Y25"/>
  <c r="X26"/>
  <c r="Y26"/>
  <c r="Y27"/>
  <c r="Y28"/>
  <c r="Y29"/>
  <c r="X30"/>
  <c r="Y30"/>
  <c r="X31"/>
  <c r="Y31"/>
  <c r="Y32"/>
  <c r="Y33"/>
  <c r="X34"/>
  <c r="Y34"/>
  <c r="X35"/>
  <c r="Y35"/>
  <c r="X36"/>
  <c r="Y36"/>
  <c r="X37"/>
  <c r="Y37"/>
  <c r="Y38"/>
  <c r="Y39"/>
  <c r="Y40"/>
  <c r="X41"/>
  <c r="Y41"/>
  <c r="X42"/>
  <c r="Y42"/>
  <c r="Y43"/>
  <c r="Y44"/>
  <c r="X45"/>
  <c r="Y45"/>
  <c r="X46"/>
  <c r="Y46"/>
  <c r="X47"/>
  <c r="Y47"/>
  <c r="X48"/>
  <c r="Y48"/>
  <c r="X49"/>
  <c r="Y49"/>
  <c r="X50"/>
  <c r="Y50"/>
  <c r="X51"/>
  <c r="Y51"/>
  <c r="X52"/>
  <c r="Y52"/>
  <c r="X53"/>
  <c r="Y53"/>
  <c r="X54"/>
  <c r="Y54"/>
  <c r="X55"/>
  <c r="Y55"/>
  <c r="X56"/>
  <c r="Y56"/>
  <c r="X57"/>
  <c r="Y57"/>
  <c r="X58"/>
  <c r="Y58"/>
  <c r="X59"/>
  <c r="Y59"/>
  <c r="X60"/>
  <c r="Y60"/>
  <c r="X61"/>
  <c r="Y61"/>
  <c r="X62"/>
  <c r="Y62"/>
  <c r="X63"/>
  <c r="Y63"/>
  <c r="X64"/>
  <c r="Y64"/>
  <c r="X65"/>
  <c r="Y65"/>
  <c r="Y1"/>
  <c r="A3"/>
  <c r="AC3"/>
  <c r="AI3"/>
  <c r="AM3"/>
  <c r="A4"/>
  <c r="B4"/>
  <c r="C4"/>
  <c r="D4"/>
  <c r="E4"/>
  <c r="H4"/>
  <c r="K4"/>
  <c r="V4"/>
  <c r="W4"/>
  <c r="Z4"/>
  <c r="AA4"/>
  <c r="AB4"/>
  <c r="AC4"/>
  <c r="AD4"/>
  <c r="AE4"/>
  <c r="AF4"/>
  <c r="AG4"/>
  <c r="AH4"/>
  <c r="AI4"/>
  <c r="AM4"/>
  <c r="A5"/>
  <c r="B5"/>
  <c r="C5"/>
  <c r="D5"/>
  <c r="E5"/>
  <c r="I5"/>
  <c r="J5"/>
  <c r="K5"/>
  <c r="V5"/>
  <c r="W5"/>
  <c r="Z5"/>
  <c r="AA5"/>
  <c r="AB5"/>
  <c r="AC5"/>
  <c r="AD5"/>
  <c r="AE5"/>
  <c r="AF5"/>
  <c r="AG5"/>
  <c r="AH5"/>
  <c r="AI5"/>
  <c r="AM5"/>
  <c r="A6"/>
  <c r="B6"/>
  <c r="C6"/>
  <c r="D6"/>
  <c r="I6"/>
  <c r="K6"/>
  <c r="L6"/>
  <c r="M6"/>
  <c r="N6"/>
  <c r="O6"/>
  <c r="P6"/>
  <c r="Q6"/>
  <c r="R6"/>
  <c r="S6"/>
  <c r="T6"/>
  <c r="U6"/>
  <c r="V6"/>
  <c r="W6"/>
  <c r="Z6"/>
  <c r="AA6"/>
  <c r="AB6"/>
  <c r="AC6"/>
  <c r="AD6"/>
  <c r="AE6"/>
  <c r="AF6"/>
  <c r="AG6"/>
  <c r="AH6"/>
  <c r="AI6"/>
  <c r="AM6"/>
  <c r="A7"/>
  <c r="B7"/>
  <c r="C7"/>
  <c r="D7"/>
  <c r="I7"/>
  <c r="K7"/>
  <c r="V7"/>
  <c r="W7"/>
  <c r="Z7"/>
  <c r="AA7"/>
  <c r="AB7"/>
  <c r="AC7"/>
  <c r="AD7"/>
  <c r="AE7"/>
  <c r="AF7"/>
  <c r="AG7"/>
  <c r="AH7"/>
  <c r="AI7"/>
  <c r="AM7"/>
  <c r="A8"/>
  <c r="B8"/>
  <c r="C8"/>
  <c r="D8"/>
  <c r="E8"/>
  <c r="I8"/>
  <c r="J8"/>
  <c r="K8"/>
  <c r="L8"/>
  <c r="M8"/>
  <c r="N8"/>
  <c r="O8"/>
  <c r="P8"/>
  <c r="Q8"/>
  <c r="R8"/>
  <c r="S8"/>
  <c r="T8"/>
  <c r="U8"/>
  <c r="V8"/>
  <c r="W8"/>
  <c r="Z8"/>
  <c r="AA8"/>
  <c r="AB8"/>
  <c r="AC8"/>
  <c r="AD8"/>
  <c r="AE8"/>
  <c r="AF8"/>
  <c r="AG8"/>
  <c r="AH8"/>
  <c r="AI8"/>
  <c r="AM8"/>
  <c r="A9"/>
  <c r="K9"/>
  <c r="AC9"/>
  <c r="AI9"/>
  <c r="AM9"/>
  <c r="A10"/>
  <c r="B10"/>
  <c r="C10"/>
  <c r="D10"/>
  <c r="E10"/>
  <c r="H10"/>
  <c r="J10"/>
  <c r="K10"/>
  <c r="V10"/>
  <c r="W10"/>
  <c r="Z10"/>
  <c r="AA10"/>
  <c r="AB10"/>
  <c r="AC10"/>
  <c r="AD10"/>
  <c r="AE10"/>
  <c r="AF10"/>
  <c r="AG10"/>
  <c r="AH10"/>
  <c r="AI10"/>
  <c r="AM10"/>
  <c r="A11"/>
  <c r="B11"/>
  <c r="C11"/>
  <c r="D11"/>
  <c r="E11"/>
  <c r="J11"/>
  <c r="V11"/>
  <c r="W11"/>
  <c r="Z11"/>
  <c r="AA11"/>
  <c r="AB11"/>
  <c r="AC11"/>
  <c r="AD11"/>
  <c r="AE11"/>
  <c r="AF11"/>
  <c r="AG11"/>
  <c r="AH11"/>
  <c r="AI11"/>
  <c r="AM11"/>
  <c r="A12"/>
  <c r="B12"/>
  <c r="C12"/>
  <c r="D12"/>
  <c r="I12"/>
  <c r="K12"/>
  <c r="L12"/>
  <c r="M12"/>
  <c r="N12"/>
  <c r="T12"/>
  <c r="U12"/>
  <c r="V12"/>
  <c r="W12"/>
  <c r="Z12"/>
  <c r="AA12"/>
  <c r="AB12"/>
  <c r="AC12"/>
  <c r="AD12"/>
  <c r="AE12"/>
  <c r="AF12"/>
  <c r="AG12"/>
  <c r="AH12"/>
  <c r="AI12"/>
  <c r="AM12"/>
  <c r="A13"/>
  <c r="B13"/>
  <c r="C13"/>
  <c r="E13"/>
  <c r="I13"/>
  <c r="K13"/>
  <c r="V13"/>
  <c r="W13"/>
  <c r="Z13"/>
  <c r="AA13"/>
  <c r="AB13"/>
  <c r="AC13"/>
  <c r="AD13"/>
  <c r="AE13"/>
  <c r="AF13"/>
  <c r="AG13"/>
  <c r="AH13"/>
  <c r="AI13"/>
  <c r="AM13"/>
  <c r="A14"/>
  <c r="D14"/>
  <c r="V14"/>
  <c r="W14"/>
  <c r="Z14"/>
  <c r="AA14"/>
  <c r="AB14"/>
  <c r="AC14"/>
  <c r="AD14"/>
  <c r="AE14"/>
  <c r="AF14"/>
  <c r="AG14"/>
  <c r="AH14"/>
  <c r="AI14"/>
  <c r="AM14"/>
  <c r="A15"/>
  <c r="B15"/>
  <c r="C15"/>
  <c r="D15"/>
  <c r="E15"/>
  <c r="H15"/>
  <c r="K15"/>
  <c r="AM15"/>
  <c r="A16"/>
  <c r="B16"/>
  <c r="C16"/>
  <c r="D16"/>
  <c r="V16"/>
  <c r="W16"/>
  <c r="Z16"/>
  <c r="AA16"/>
  <c r="AB16"/>
  <c r="AC16"/>
  <c r="AD16"/>
  <c r="AE16"/>
  <c r="AF16"/>
  <c r="AG16"/>
  <c r="AH16"/>
  <c r="AI16"/>
  <c r="AM16"/>
  <c r="A17"/>
  <c r="B17"/>
  <c r="C17"/>
  <c r="G17"/>
  <c r="I17"/>
  <c r="K17"/>
  <c r="V17"/>
  <c r="W17"/>
  <c r="Z17"/>
  <c r="AA17"/>
  <c r="AB17"/>
  <c r="AC17"/>
  <c r="AD17"/>
  <c r="AE17"/>
  <c r="AF17"/>
  <c r="AG17"/>
  <c r="AH17"/>
  <c r="AI17"/>
  <c r="AM17"/>
  <c r="A18"/>
  <c r="D18"/>
  <c r="AC18"/>
  <c r="AI18"/>
  <c r="A19"/>
  <c r="B19"/>
  <c r="C19"/>
  <c r="D19"/>
  <c r="E19"/>
  <c r="H19"/>
  <c r="I19"/>
  <c r="K19"/>
  <c r="AE19"/>
  <c r="AM19"/>
  <c r="A20"/>
  <c r="B20"/>
  <c r="C20"/>
  <c r="D20"/>
  <c r="E20"/>
  <c r="I20"/>
  <c r="J20"/>
  <c r="K20"/>
  <c r="L20"/>
  <c r="M20"/>
  <c r="N20"/>
  <c r="O20"/>
  <c r="P20"/>
  <c r="Q20"/>
  <c r="R20"/>
  <c r="S20"/>
  <c r="T20"/>
  <c r="U20"/>
  <c r="V20"/>
  <c r="W20"/>
  <c r="Z20"/>
  <c r="AA20"/>
  <c r="AB20"/>
  <c r="AC20"/>
  <c r="AD20"/>
  <c r="AE20"/>
  <c r="AF20"/>
  <c r="AG20"/>
  <c r="AH20"/>
  <c r="AI20"/>
  <c r="AM20"/>
  <c r="A21"/>
  <c r="B21"/>
  <c r="C21"/>
  <c r="D21"/>
  <c r="I21"/>
  <c r="V21"/>
  <c r="W21"/>
  <c r="Z21"/>
  <c r="AA21"/>
  <c r="AB21"/>
  <c r="AC21"/>
  <c r="AD21"/>
  <c r="AE21"/>
  <c r="AF21"/>
  <c r="AG21"/>
  <c r="AH21"/>
  <c r="AI21"/>
  <c r="AM21"/>
  <c r="A22"/>
  <c r="B22"/>
  <c r="E22"/>
  <c r="AD22"/>
  <c r="AI22"/>
  <c r="AM22"/>
  <c r="A23"/>
  <c r="B23"/>
  <c r="E23"/>
  <c r="AD23"/>
  <c r="AI23"/>
  <c r="AM23"/>
  <c r="A24"/>
  <c r="B24"/>
  <c r="C24"/>
  <c r="D24"/>
  <c r="E24"/>
  <c r="I24"/>
  <c r="J24"/>
  <c r="K24"/>
  <c r="L24"/>
  <c r="M24"/>
  <c r="N24"/>
  <c r="O24"/>
  <c r="P24"/>
  <c r="Q24"/>
  <c r="R24"/>
  <c r="S24"/>
  <c r="T24"/>
  <c r="U24"/>
  <c r="V24"/>
  <c r="W24"/>
  <c r="Z24"/>
  <c r="AA24"/>
  <c r="AB24"/>
  <c r="AC24"/>
  <c r="AD24"/>
  <c r="AE24"/>
  <c r="AF24"/>
  <c r="AG24"/>
  <c r="AH24"/>
  <c r="AI24"/>
  <c r="AM24"/>
  <c r="A25"/>
  <c r="B25"/>
  <c r="C25"/>
  <c r="D25"/>
  <c r="E25"/>
  <c r="J25"/>
  <c r="L25"/>
  <c r="M25"/>
  <c r="N25"/>
  <c r="O25"/>
  <c r="P25"/>
  <c r="Q25"/>
  <c r="R25"/>
  <c r="S25"/>
  <c r="T25"/>
  <c r="U25"/>
  <c r="V25"/>
  <c r="W25"/>
  <c r="Z25"/>
  <c r="AA25"/>
  <c r="AB25"/>
  <c r="AC25"/>
  <c r="AD25"/>
  <c r="AE25"/>
  <c r="AF25"/>
  <c r="AG25"/>
  <c r="AH25"/>
  <c r="AI25"/>
  <c r="AM25"/>
  <c r="A26"/>
  <c r="D26"/>
  <c r="V26"/>
  <c r="W26"/>
  <c r="Z26"/>
  <c r="AA26"/>
  <c r="AB26"/>
  <c r="AC26"/>
  <c r="AD26"/>
  <c r="AE26"/>
  <c r="AF26"/>
  <c r="AG26"/>
  <c r="AH26"/>
  <c r="AI26"/>
  <c r="A27"/>
  <c r="B27"/>
  <c r="C27"/>
  <c r="D27"/>
  <c r="E27"/>
  <c r="H27"/>
  <c r="K27"/>
  <c r="AA27"/>
  <c r="AM27"/>
  <c r="A28"/>
  <c r="B28"/>
  <c r="I28"/>
  <c r="J28"/>
  <c r="K28"/>
  <c r="AC28"/>
  <c r="AD28"/>
  <c r="AI28"/>
  <c r="AM28"/>
  <c r="A29"/>
  <c r="B29"/>
  <c r="AA29"/>
  <c r="AC29"/>
  <c r="AD29"/>
  <c r="AI29"/>
  <c r="AM29"/>
  <c r="A30"/>
  <c r="B30"/>
  <c r="Z30"/>
  <c r="AD30"/>
  <c r="AI30"/>
  <c r="AM30"/>
  <c r="A31"/>
  <c r="D31"/>
  <c r="V31"/>
  <c r="W31"/>
  <c r="Z31"/>
  <c r="AA31"/>
  <c r="AB31"/>
  <c r="AC31"/>
  <c r="AD31"/>
  <c r="AE31"/>
  <c r="AF31"/>
  <c r="AG31"/>
  <c r="AH31"/>
  <c r="AI31"/>
  <c r="A32"/>
  <c r="B32"/>
  <c r="C32"/>
  <c r="D32"/>
  <c r="E32"/>
  <c r="H32"/>
  <c r="K32"/>
  <c r="AE32"/>
  <c r="AM32"/>
  <c r="A33"/>
  <c r="B33"/>
  <c r="E33"/>
  <c r="AA33"/>
  <c r="AD33"/>
  <c r="AI33"/>
  <c r="AM33"/>
  <c r="A34"/>
  <c r="B34"/>
  <c r="C34"/>
  <c r="D34"/>
  <c r="E34"/>
  <c r="I34"/>
  <c r="J34"/>
  <c r="K34"/>
  <c r="L34"/>
  <c r="M34"/>
  <c r="N34"/>
  <c r="O34"/>
  <c r="P34"/>
  <c r="Q34"/>
  <c r="R34"/>
  <c r="S34"/>
  <c r="T34"/>
  <c r="U34"/>
  <c r="V34"/>
  <c r="W34"/>
  <c r="Z34"/>
  <c r="AA34"/>
  <c r="AB34"/>
  <c r="AC34"/>
  <c r="AD34"/>
  <c r="AE34"/>
  <c r="AF34"/>
  <c r="AG34"/>
  <c r="AH34"/>
  <c r="AI34"/>
  <c r="AM34"/>
  <c r="A35"/>
  <c r="B35"/>
  <c r="C35"/>
  <c r="D35"/>
  <c r="E35"/>
  <c r="J35"/>
  <c r="M35"/>
  <c r="N35"/>
  <c r="O35"/>
  <c r="P35"/>
  <c r="Q35"/>
  <c r="R35"/>
  <c r="S35"/>
  <c r="T35"/>
  <c r="U35"/>
  <c r="V35"/>
  <c r="W35"/>
  <c r="Z35"/>
  <c r="AA35"/>
  <c r="AB35"/>
  <c r="AC35"/>
  <c r="AD35"/>
  <c r="AE35"/>
  <c r="AF35"/>
  <c r="AG35"/>
  <c r="AH35"/>
  <c r="AI35"/>
  <c r="AM35"/>
  <c r="A36"/>
  <c r="B36"/>
  <c r="C36"/>
  <c r="D36"/>
  <c r="E36"/>
  <c r="I36"/>
  <c r="J36"/>
  <c r="K36"/>
  <c r="L36"/>
  <c r="M36"/>
  <c r="N36"/>
  <c r="O36"/>
  <c r="P36"/>
  <c r="Q36"/>
  <c r="R36"/>
  <c r="S36"/>
  <c r="T36"/>
  <c r="U36"/>
  <c r="V36"/>
  <c r="W36"/>
  <c r="Z36"/>
  <c r="AA36"/>
  <c r="AB36"/>
  <c r="AC36"/>
  <c r="AD36"/>
  <c r="AE36"/>
  <c r="AF36"/>
  <c r="AG36"/>
  <c r="AH36"/>
  <c r="AI36"/>
  <c r="AM36"/>
  <c r="A37"/>
  <c r="D37"/>
  <c r="V37"/>
  <c r="W37"/>
  <c r="Z37"/>
  <c r="AA37"/>
  <c r="AB37"/>
  <c r="AC37"/>
  <c r="AD37"/>
  <c r="AE37"/>
  <c r="AF37"/>
  <c r="AG37"/>
  <c r="AH37"/>
  <c r="AI37"/>
  <c r="A38"/>
  <c r="B38"/>
  <c r="C38"/>
  <c r="D38"/>
  <c r="E38"/>
  <c r="H38"/>
  <c r="K38"/>
  <c r="AE38"/>
  <c r="AM38"/>
  <c r="A39"/>
  <c r="B39"/>
  <c r="E39"/>
  <c r="K39"/>
  <c r="AD39"/>
  <c r="AI39"/>
  <c r="AM39"/>
  <c r="A40"/>
  <c r="B40"/>
  <c r="E40"/>
  <c r="AD40"/>
  <c r="AI40"/>
  <c r="AM40"/>
  <c r="A41"/>
  <c r="B41"/>
  <c r="C41"/>
  <c r="D41"/>
  <c r="E41"/>
  <c r="I41"/>
  <c r="J41"/>
  <c r="K41"/>
  <c r="L41"/>
  <c r="M41"/>
  <c r="N41"/>
  <c r="O41"/>
  <c r="P41"/>
  <c r="Q41"/>
  <c r="R41"/>
  <c r="S41"/>
  <c r="T41"/>
  <c r="U41"/>
  <c r="V41"/>
  <c r="W41"/>
  <c r="Z41"/>
  <c r="AA41"/>
  <c r="AB41"/>
  <c r="AC41"/>
  <c r="AD41"/>
  <c r="AE41"/>
  <c r="AF41"/>
  <c r="AG41"/>
  <c r="AH41"/>
  <c r="AI41"/>
  <c r="AM41"/>
  <c r="A42"/>
  <c r="B42"/>
  <c r="C42"/>
  <c r="D42"/>
  <c r="E42"/>
  <c r="J42"/>
  <c r="K42"/>
  <c r="V42"/>
  <c r="W42"/>
  <c r="Z42"/>
  <c r="AA42"/>
  <c r="AB42"/>
  <c r="AC42"/>
  <c r="AD42"/>
  <c r="AE42"/>
  <c r="AF42"/>
  <c r="AG42"/>
  <c r="AH42"/>
  <c r="AI42"/>
  <c r="AM42"/>
  <c r="A43"/>
  <c r="K43"/>
  <c r="AC43"/>
  <c r="AI43"/>
  <c r="AM43"/>
  <c r="A44"/>
  <c r="B44"/>
  <c r="C44"/>
  <c r="D44"/>
  <c r="E44"/>
  <c r="H44"/>
  <c r="K44"/>
  <c r="AE44"/>
  <c r="AM44"/>
  <c r="A45"/>
  <c r="B45"/>
  <c r="C45"/>
  <c r="D45"/>
  <c r="I45"/>
  <c r="K45"/>
  <c r="V45"/>
  <c r="W45"/>
  <c r="Z45"/>
  <c r="AA45"/>
  <c r="AB45"/>
  <c r="AC45"/>
  <c r="AD45"/>
  <c r="AE45"/>
  <c r="AF45"/>
  <c r="AG45"/>
  <c r="AH45"/>
  <c r="AI45"/>
  <c r="A46"/>
  <c r="B46"/>
  <c r="C46"/>
  <c r="I46"/>
  <c r="K46"/>
  <c r="V46"/>
  <c r="W46"/>
  <c r="Z46"/>
  <c r="AA46"/>
  <c r="AB46"/>
  <c r="AC46"/>
  <c r="AD46"/>
  <c r="AE46"/>
  <c r="AF46"/>
  <c r="AG46"/>
  <c r="AH46"/>
  <c r="AI46"/>
  <c r="AM46"/>
  <c r="A47"/>
  <c r="B47"/>
  <c r="C47"/>
  <c r="D47"/>
  <c r="E47"/>
  <c r="I47"/>
  <c r="J47"/>
  <c r="K47"/>
  <c r="L47"/>
  <c r="M47"/>
  <c r="N47"/>
  <c r="O47"/>
  <c r="P47"/>
  <c r="Q47"/>
  <c r="R47"/>
  <c r="S47"/>
  <c r="T47"/>
  <c r="U47"/>
  <c r="V47"/>
  <c r="W47"/>
  <c r="Z47"/>
  <c r="AA47"/>
  <c r="AB47"/>
  <c r="AC47"/>
  <c r="AD47"/>
  <c r="AE47"/>
  <c r="AF47"/>
  <c r="AG47"/>
  <c r="AH47"/>
  <c r="AI47"/>
  <c r="AM47"/>
  <c r="A48"/>
  <c r="B48"/>
  <c r="C48"/>
  <c r="D48"/>
  <c r="E48"/>
  <c r="I48"/>
  <c r="J48"/>
  <c r="K48"/>
  <c r="V48"/>
  <c r="W48"/>
  <c r="Z48"/>
  <c r="AA48"/>
  <c r="AB48"/>
  <c r="AC48"/>
  <c r="AD48"/>
  <c r="AE48"/>
  <c r="AF48"/>
  <c r="AG48"/>
  <c r="AH48"/>
  <c r="AI48"/>
  <c r="AM48"/>
  <c r="A49"/>
  <c r="B49"/>
  <c r="C49"/>
  <c r="D49"/>
  <c r="E49"/>
  <c r="I49"/>
  <c r="J49"/>
  <c r="K49"/>
  <c r="L49"/>
  <c r="M49"/>
  <c r="N49"/>
  <c r="O49"/>
  <c r="P49"/>
  <c r="Q49"/>
  <c r="R49"/>
  <c r="S49"/>
  <c r="T49"/>
  <c r="U49"/>
  <c r="V49"/>
  <c r="W49"/>
  <c r="Z49"/>
  <c r="AA49"/>
  <c r="AB49"/>
  <c r="AC49"/>
  <c r="AD49"/>
  <c r="AE49"/>
  <c r="AF49"/>
  <c r="AG49"/>
  <c r="AH49"/>
  <c r="AI49"/>
  <c r="AM49"/>
  <c r="A50"/>
  <c r="B50"/>
  <c r="C50"/>
  <c r="D50"/>
  <c r="I50"/>
  <c r="K50"/>
  <c r="V50"/>
  <c r="W50"/>
  <c r="Z50"/>
  <c r="AA50"/>
  <c r="AB50"/>
  <c r="AC50"/>
  <c r="AD50"/>
  <c r="AE50"/>
  <c r="AF50"/>
  <c r="AG50"/>
  <c r="AH50"/>
  <c r="AI50"/>
  <c r="AM50"/>
  <c r="A51"/>
  <c r="B51"/>
  <c r="C51"/>
  <c r="D51"/>
  <c r="E51"/>
  <c r="I51"/>
  <c r="J51"/>
  <c r="K51"/>
  <c r="L51"/>
  <c r="M51"/>
  <c r="N51"/>
  <c r="O51"/>
  <c r="P51"/>
  <c r="Q51"/>
  <c r="R51"/>
  <c r="S51"/>
  <c r="T51"/>
  <c r="U51"/>
  <c r="V51"/>
  <c r="W51"/>
  <c r="Z51"/>
  <c r="AA51"/>
  <c r="AB51"/>
  <c r="AC51"/>
  <c r="AD51"/>
  <c r="AE51"/>
  <c r="AF51"/>
  <c r="AG51"/>
  <c r="AH51"/>
  <c r="AI51"/>
  <c r="AM51"/>
  <c r="A52"/>
  <c r="B52"/>
  <c r="C52"/>
  <c r="D52"/>
  <c r="E52"/>
  <c r="I52"/>
  <c r="K52"/>
  <c r="L52"/>
  <c r="M52"/>
  <c r="N52"/>
  <c r="O52"/>
  <c r="P52"/>
  <c r="Q52"/>
  <c r="R52"/>
  <c r="S52"/>
  <c r="T52"/>
  <c r="U52"/>
  <c r="V52"/>
  <c r="W52"/>
  <c r="Z52"/>
  <c r="AA52"/>
  <c r="AB52"/>
  <c r="AC52"/>
  <c r="AD52"/>
  <c r="AE52"/>
  <c r="AF52"/>
  <c r="AG52"/>
  <c r="AH52"/>
  <c r="AI52"/>
  <c r="AM52"/>
  <c r="A53"/>
  <c r="B53"/>
  <c r="C53"/>
  <c r="D53"/>
  <c r="E53"/>
  <c r="I53"/>
  <c r="J53"/>
  <c r="K53"/>
  <c r="L53"/>
  <c r="M53"/>
  <c r="N53"/>
  <c r="O53"/>
  <c r="P53"/>
  <c r="Q53"/>
  <c r="R53"/>
  <c r="S53"/>
  <c r="T53"/>
  <c r="U53"/>
  <c r="V53"/>
  <c r="W53"/>
  <c r="Z53"/>
  <c r="AA53"/>
  <c r="AB53"/>
  <c r="AC53"/>
  <c r="AD53"/>
  <c r="AE53"/>
  <c r="AF53"/>
  <c r="AG53"/>
  <c r="AH53"/>
  <c r="AI53"/>
  <c r="AM53"/>
  <c r="A54"/>
  <c r="B54"/>
  <c r="C54"/>
  <c r="D54"/>
  <c r="E54"/>
  <c r="I54"/>
  <c r="J54"/>
  <c r="K54"/>
  <c r="L54"/>
  <c r="M54"/>
  <c r="N54"/>
  <c r="O54"/>
  <c r="P54"/>
  <c r="Q54"/>
  <c r="R54"/>
  <c r="S54"/>
  <c r="T54"/>
  <c r="U54"/>
  <c r="V54"/>
  <c r="W54"/>
  <c r="Z54"/>
  <c r="AA54"/>
  <c r="AB54"/>
  <c r="AC54"/>
  <c r="AD54"/>
  <c r="AE54"/>
  <c r="AF54"/>
  <c r="AG54"/>
  <c r="AH54"/>
  <c r="AI54"/>
  <c r="AM54"/>
  <c r="A55"/>
  <c r="B55"/>
  <c r="C55"/>
  <c r="D55"/>
  <c r="E55"/>
  <c r="I55"/>
  <c r="J55"/>
  <c r="K55"/>
  <c r="L55"/>
  <c r="M55"/>
  <c r="N55"/>
  <c r="O55"/>
  <c r="P55"/>
  <c r="Q55"/>
  <c r="R55"/>
  <c r="S55"/>
  <c r="T55"/>
  <c r="U55"/>
  <c r="V55"/>
  <c r="W55"/>
  <c r="Z55"/>
  <c r="AA55"/>
  <c r="AB55"/>
  <c r="AC55"/>
  <c r="AD55"/>
  <c r="AE55"/>
  <c r="AF55"/>
  <c r="AG55"/>
  <c r="AH55"/>
  <c r="AI55"/>
  <c r="AM55"/>
  <c r="A56"/>
  <c r="B56"/>
  <c r="C56"/>
  <c r="D56"/>
  <c r="E56"/>
  <c r="J56"/>
  <c r="K56"/>
  <c r="L56"/>
  <c r="M56"/>
  <c r="N56"/>
  <c r="O56"/>
  <c r="P56"/>
  <c r="Q56"/>
  <c r="R56"/>
  <c r="S56"/>
  <c r="T56"/>
  <c r="U56"/>
  <c r="V56"/>
  <c r="W56"/>
  <c r="Z56"/>
  <c r="AA56"/>
  <c r="AB56"/>
  <c r="AC56"/>
  <c r="AD56"/>
  <c r="AE56"/>
  <c r="AF56"/>
  <c r="AG56"/>
  <c r="AH56"/>
  <c r="AI56"/>
  <c r="AM56"/>
  <c r="A57"/>
  <c r="B57"/>
  <c r="C57"/>
  <c r="D57"/>
  <c r="E57"/>
  <c r="I57"/>
  <c r="J57"/>
  <c r="K57"/>
  <c r="L57"/>
  <c r="M57"/>
  <c r="N57"/>
  <c r="O57"/>
  <c r="P57"/>
  <c r="Q57"/>
  <c r="R57"/>
  <c r="S57"/>
  <c r="T57"/>
  <c r="U57"/>
  <c r="V57"/>
  <c r="W57"/>
  <c r="Z57"/>
  <c r="AA57"/>
  <c r="AB57"/>
  <c r="AC57"/>
  <c r="AD57"/>
  <c r="AE57"/>
  <c r="AF57"/>
  <c r="AG57"/>
  <c r="AH57"/>
  <c r="AI57"/>
  <c r="AM57"/>
  <c r="A58"/>
  <c r="B58"/>
  <c r="C58"/>
  <c r="D58"/>
  <c r="E58"/>
  <c r="I58"/>
  <c r="J58"/>
  <c r="K58"/>
  <c r="L58"/>
  <c r="M58"/>
  <c r="N58"/>
  <c r="O58"/>
  <c r="P58"/>
  <c r="Q58"/>
  <c r="R58"/>
  <c r="S58"/>
  <c r="T58"/>
  <c r="U58"/>
  <c r="V58"/>
  <c r="W58"/>
  <c r="Z58"/>
  <c r="AA58"/>
  <c r="AB58"/>
  <c r="AC58"/>
  <c r="AD58"/>
  <c r="AE58"/>
  <c r="AF58"/>
  <c r="AG58"/>
  <c r="AH58"/>
  <c r="AI58"/>
  <c r="AM58"/>
  <c r="A59"/>
  <c r="B59"/>
  <c r="C59"/>
  <c r="D59"/>
  <c r="E59"/>
  <c r="I59"/>
  <c r="J59"/>
  <c r="K59"/>
  <c r="L59"/>
  <c r="M59"/>
  <c r="N59"/>
  <c r="O59"/>
  <c r="P59"/>
  <c r="Q59"/>
  <c r="R59"/>
  <c r="S59"/>
  <c r="T59"/>
  <c r="U59"/>
  <c r="V59"/>
  <c r="W59"/>
  <c r="Z59"/>
  <c r="AA59"/>
  <c r="AB59"/>
  <c r="AC59"/>
  <c r="AD59"/>
  <c r="AE59"/>
  <c r="AF59"/>
  <c r="AG59"/>
  <c r="AH59"/>
  <c r="AI59"/>
  <c r="AM59"/>
  <c r="A60"/>
  <c r="B60"/>
  <c r="C60"/>
  <c r="D60"/>
  <c r="E60"/>
  <c r="I60"/>
  <c r="J60"/>
  <c r="K60"/>
  <c r="L60"/>
  <c r="M60"/>
  <c r="N60"/>
  <c r="O60"/>
  <c r="P60"/>
  <c r="Q60"/>
  <c r="R60"/>
  <c r="S60"/>
  <c r="T60"/>
  <c r="U60"/>
  <c r="V60"/>
  <c r="W60"/>
  <c r="Z60"/>
  <c r="AA60"/>
  <c r="AB60"/>
  <c r="AC60"/>
  <c r="AD60"/>
  <c r="AE60"/>
  <c r="AF60"/>
  <c r="AG60"/>
  <c r="AH60"/>
  <c r="AI60"/>
  <c r="AM60"/>
  <c r="A61"/>
  <c r="B61"/>
  <c r="C61"/>
  <c r="D61"/>
  <c r="I61"/>
  <c r="J61"/>
  <c r="K61"/>
  <c r="V61"/>
  <c r="W61"/>
  <c r="Z61"/>
  <c r="AA61"/>
  <c r="AB61"/>
  <c r="AC61"/>
  <c r="AD61"/>
  <c r="AE61"/>
  <c r="AF61"/>
  <c r="AG61"/>
  <c r="AH61"/>
  <c r="AI61"/>
  <c r="AM61"/>
  <c r="A62"/>
  <c r="B62"/>
  <c r="C62"/>
  <c r="D62"/>
  <c r="E62"/>
  <c r="I62"/>
  <c r="J62"/>
  <c r="K62"/>
  <c r="L62"/>
  <c r="M62"/>
  <c r="N62"/>
  <c r="O62"/>
  <c r="P62"/>
  <c r="Q62"/>
  <c r="R62"/>
  <c r="S62"/>
  <c r="T62"/>
  <c r="U62"/>
  <c r="V62"/>
  <c r="W62"/>
  <c r="Z62"/>
  <c r="AA62"/>
  <c r="AB62"/>
  <c r="AC62"/>
  <c r="AD62"/>
  <c r="AE62"/>
  <c r="AF62"/>
  <c r="AG62"/>
  <c r="AH62"/>
  <c r="AI62"/>
  <c r="AM62"/>
  <c r="A63"/>
  <c r="B63"/>
  <c r="C63"/>
  <c r="D63"/>
  <c r="E63"/>
  <c r="I63"/>
  <c r="J63"/>
  <c r="K63"/>
  <c r="L63"/>
  <c r="M63"/>
  <c r="N63"/>
  <c r="O63"/>
  <c r="P63"/>
  <c r="Q63"/>
  <c r="R63"/>
  <c r="S63"/>
  <c r="T63"/>
  <c r="U63"/>
  <c r="V63"/>
  <c r="W63"/>
  <c r="Z63"/>
  <c r="AA63"/>
  <c r="AB63"/>
  <c r="AC63"/>
  <c r="AD63"/>
  <c r="AE63"/>
  <c r="AF63"/>
  <c r="AG63"/>
  <c r="AH63"/>
  <c r="AI63"/>
  <c r="AM63"/>
  <c r="A64"/>
  <c r="B64"/>
  <c r="C64"/>
  <c r="D64"/>
  <c r="E64"/>
  <c r="I64"/>
  <c r="J64"/>
  <c r="K64"/>
  <c r="L64"/>
  <c r="M64"/>
  <c r="N64"/>
  <c r="O64"/>
  <c r="P64"/>
  <c r="Q64"/>
  <c r="R64"/>
  <c r="S64"/>
  <c r="T64"/>
  <c r="U64"/>
  <c r="V64"/>
  <c r="W64"/>
  <c r="Z64"/>
  <c r="AA64"/>
  <c r="AB64"/>
  <c r="AC64"/>
  <c r="AD64"/>
  <c r="AE64"/>
  <c r="AF64"/>
  <c r="AG64"/>
  <c r="AH64"/>
  <c r="AI64"/>
  <c r="AM64"/>
  <c r="A65"/>
  <c r="B65"/>
  <c r="C65"/>
  <c r="D65"/>
  <c r="E65"/>
  <c r="I65"/>
  <c r="J65"/>
  <c r="K65"/>
  <c r="L65"/>
  <c r="M65"/>
  <c r="N65"/>
  <c r="O65"/>
  <c r="P65"/>
  <c r="Q65"/>
  <c r="R65"/>
  <c r="S65"/>
  <c r="T65"/>
  <c r="U65"/>
  <c r="V65"/>
  <c r="W65"/>
  <c r="Z65"/>
  <c r="AA65"/>
  <c r="AB65"/>
  <c r="AC65"/>
  <c r="AD65"/>
  <c r="AE65"/>
  <c r="AF65"/>
  <c r="AG65"/>
  <c r="AH65"/>
  <c r="AI65"/>
  <c r="AM65"/>
  <c r="AM2"/>
  <c r="AM1"/>
  <c r="AI1"/>
  <c r="AJ1"/>
  <c r="AI2"/>
  <c r="AD1"/>
  <c r="AD2"/>
  <c r="S1"/>
  <c r="T1"/>
  <c r="U1"/>
  <c r="V1"/>
  <c r="W1"/>
  <c r="X1"/>
  <c r="Z1"/>
  <c r="AA1"/>
  <c r="AB1"/>
  <c r="AC1"/>
  <c r="AE1"/>
  <c r="AF1"/>
  <c r="AG1"/>
  <c r="AH1"/>
  <c r="S2"/>
  <c r="T2"/>
  <c r="U2"/>
  <c r="V2"/>
  <c r="W2"/>
  <c r="Z2"/>
  <c r="AA2"/>
  <c r="AB2"/>
  <c r="AC2"/>
  <c r="AE2"/>
  <c r="AF2"/>
  <c r="AG2"/>
  <c r="AH2"/>
  <c r="M1"/>
  <c r="N1"/>
  <c r="O1"/>
  <c r="P1"/>
  <c r="Q1"/>
  <c r="R1"/>
  <c r="M2"/>
  <c r="N2"/>
  <c r="O2"/>
  <c r="P2"/>
  <c r="Q2"/>
  <c r="R2"/>
  <c r="L1"/>
  <c r="L2"/>
  <c r="K2"/>
  <c r="J2"/>
  <c r="I2"/>
  <c r="E2"/>
  <c r="B2"/>
  <c r="C2"/>
  <c r="C1"/>
  <c r="A2"/>
  <c r="D2"/>
  <c r="B1"/>
  <c r="D1"/>
  <c r="E1"/>
  <c r="F1"/>
  <c r="G1"/>
  <c r="H1"/>
  <c r="I1"/>
  <c r="J1"/>
  <c r="K1"/>
  <c r="A1"/>
  <c r="I56"/>
  <c r="AJ15"/>
  <c r="AJ19"/>
  <c r="AJ27"/>
  <c r="AJ32"/>
  <c r="AJ38"/>
  <c r="AJ44"/>
  <c r="X3"/>
  <c r="X9"/>
  <c r="X15"/>
  <c r="X18"/>
  <c r="X19"/>
  <c r="X22"/>
  <c r="X23"/>
  <c r="X27"/>
  <c r="X28"/>
  <c r="X29"/>
  <c r="X32"/>
  <c r="X33"/>
  <c r="X38"/>
  <c r="X39"/>
  <c r="X40"/>
  <c r="X43"/>
  <c r="X44"/>
  <c r="B3"/>
  <c r="C3"/>
  <c r="D3"/>
  <c r="E3"/>
  <c r="F3"/>
  <c r="G3"/>
  <c r="H3"/>
  <c r="I3"/>
  <c r="J3"/>
  <c r="K3"/>
  <c r="L3"/>
  <c r="M3"/>
  <c r="N3"/>
  <c r="O3"/>
  <c r="P3"/>
  <c r="Q3"/>
  <c r="R3"/>
  <c r="S3"/>
  <c r="T3"/>
  <c r="U3"/>
  <c r="V3"/>
  <c r="W3"/>
  <c r="Z3"/>
  <c r="AA3"/>
  <c r="AB3"/>
  <c r="AD3"/>
  <c r="AE3"/>
  <c r="AF3"/>
  <c r="AG3"/>
  <c r="AH3"/>
  <c r="F4"/>
  <c r="G4"/>
  <c r="I4"/>
  <c r="J4"/>
  <c r="L4"/>
  <c r="M4"/>
  <c r="N4"/>
  <c r="O4"/>
  <c r="P4"/>
  <c r="Q4"/>
  <c r="R4"/>
  <c r="S4"/>
  <c r="T4"/>
  <c r="U4"/>
  <c r="F5"/>
  <c r="G5"/>
  <c r="H5"/>
  <c r="L5"/>
  <c r="M5"/>
  <c r="N5"/>
  <c r="O5"/>
  <c r="P5"/>
  <c r="Q5"/>
  <c r="R5"/>
  <c r="S5"/>
  <c r="T5"/>
  <c r="U5"/>
  <c r="E6"/>
  <c r="F6"/>
  <c r="G6"/>
  <c r="H6"/>
  <c r="J6"/>
  <c r="E7"/>
  <c r="F7"/>
  <c r="G7"/>
  <c r="H7"/>
  <c r="J7"/>
  <c r="L7"/>
  <c r="M7"/>
  <c r="N7"/>
  <c r="O7"/>
  <c r="P7"/>
  <c r="Q7"/>
  <c r="R7"/>
  <c r="S7"/>
  <c r="T7"/>
  <c r="U7"/>
  <c r="F8"/>
  <c r="G8"/>
  <c r="H8"/>
  <c r="B9"/>
  <c r="C9"/>
  <c r="D9"/>
  <c r="E9"/>
  <c r="F9"/>
  <c r="G9"/>
  <c r="H9"/>
  <c r="I9"/>
  <c r="J9"/>
  <c r="L9"/>
  <c r="M9"/>
  <c r="N9"/>
  <c r="O9"/>
  <c r="P9"/>
  <c r="Q9"/>
  <c r="R9"/>
  <c r="S9"/>
  <c r="T9"/>
  <c r="U9"/>
  <c r="V9"/>
  <c r="W9"/>
  <c r="Z9"/>
  <c r="AA9"/>
  <c r="AB9"/>
  <c r="AD9"/>
  <c r="AE9"/>
  <c r="AF9"/>
  <c r="AG9"/>
  <c r="AH9"/>
  <c r="F10"/>
  <c r="G10"/>
  <c r="I10"/>
  <c r="L10"/>
  <c r="M10"/>
  <c r="N10"/>
  <c r="O10"/>
  <c r="P10"/>
  <c r="Q10"/>
  <c r="R10"/>
  <c r="S10"/>
  <c r="T10"/>
  <c r="U10"/>
  <c r="F11"/>
  <c r="G11"/>
  <c r="I11"/>
  <c r="L11"/>
  <c r="M11"/>
  <c r="N11"/>
  <c r="O11"/>
  <c r="P11"/>
  <c r="Q11"/>
  <c r="R11"/>
  <c r="S11"/>
  <c r="T11"/>
  <c r="U11"/>
  <c r="E12"/>
  <c r="F12"/>
  <c r="G12"/>
  <c r="H12"/>
  <c r="J12"/>
  <c r="O12"/>
  <c r="P12"/>
  <c r="Q12"/>
  <c r="R12"/>
  <c r="S12"/>
  <c r="D13"/>
  <c r="F13"/>
  <c r="G13"/>
  <c r="H13"/>
  <c r="J13"/>
  <c r="L13"/>
  <c r="M13"/>
  <c r="N13"/>
  <c r="O13"/>
  <c r="P13"/>
  <c r="Q13"/>
  <c r="R13"/>
  <c r="S13"/>
  <c r="T13"/>
  <c r="U13"/>
  <c r="B14"/>
  <c r="C14"/>
  <c r="E14"/>
  <c r="F14"/>
  <c r="G14"/>
  <c r="H14"/>
  <c r="I14"/>
  <c r="J14"/>
  <c r="K14"/>
  <c r="L14"/>
  <c r="M14"/>
  <c r="N14"/>
  <c r="O14"/>
  <c r="P14"/>
  <c r="Q14"/>
  <c r="R14"/>
  <c r="S14"/>
  <c r="T14"/>
  <c r="U14"/>
  <c r="F15"/>
  <c r="G15"/>
  <c r="I15"/>
  <c r="J15"/>
  <c r="L15"/>
  <c r="M15"/>
  <c r="N15"/>
  <c r="O15"/>
  <c r="P15"/>
  <c r="Q15"/>
  <c r="R15"/>
  <c r="S15"/>
  <c r="T15"/>
  <c r="U15"/>
  <c r="V15"/>
  <c r="W15"/>
  <c r="Z15"/>
  <c r="AA15"/>
  <c r="AB15"/>
  <c r="AC15"/>
  <c r="AD15"/>
  <c r="AE15"/>
  <c r="AF15"/>
  <c r="AG15"/>
  <c r="AH15"/>
  <c r="AI15"/>
  <c r="E16"/>
  <c r="F16"/>
  <c r="G16"/>
  <c r="H16"/>
  <c r="I16"/>
  <c r="J16"/>
  <c r="K16"/>
  <c r="L16"/>
  <c r="M16"/>
  <c r="N16"/>
  <c r="O16"/>
  <c r="P16"/>
  <c r="Q16"/>
  <c r="R16"/>
  <c r="S16"/>
  <c r="T16"/>
  <c r="U16"/>
  <c r="D17"/>
  <c r="E17"/>
  <c r="F17"/>
  <c r="H17"/>
  <c r="J17"/>
  <c r="L17"/>
  <c r="M17"/>
  <c r="N17"/>
  <c r="O17"/>
  <c r="P17"/>
  <c r="Q17"/>
  <c r="R17"/>
  <c r="S17"/>
  <c r="T17"/>
  <c r="U17"/>
  <c r="B18"/>
  <c r="C18"/>
  <c r="E18"/>
  <c r="F18"/>
  <c r="G18"/>
  <c r="H18"/>
  <c r="I18"/>
  <c r="J18"/>
  <c r="K18"/>
  <c r="L18"/>
  <c r="M18"/>
  <c r="N18"/>
  <c r="O18"/>
  <c r="P18"/>
  <c r="Q18"/>
  <c r="R18"/>
  <c r="S18"/>
  <c r="T18"/>
  <c r="U18"/>
  <c r="V18"/>
  <c r="W18"/>
  <c r="Z18"/>
  <c r="AA18"/>
  <c r="AB18"/>
  <c r="AD18"/>
  <c r="AE18"/>
  <c r="AF18"/>
  <c r="AG18"/>
  <c r="AH18"/>
  <c r="AM18"/>
  <c r="F19"/>
  <c r="G19"/>
  <c r="J19"/>
  <c r="L19"/>
  <c r="M19"/>
  <c r="N19"/>
  <c r="O19"/>
  <c r="P19"/>
  <c r="Q19"/>
  <c r="R19"/>
  <c r="S19"/>
  <c r="T19"/>
  <c r="U19"/>
  <c r="V19"/>
  <c r="W19"/>
  <c r="Z19"/>
  <c r="AA19"/>
  <c r="AB19"/>
  <c r="AC19"/>
  <c r="AD19"/>
  <c r="AF19"/>
  <c r="AG19"/>
  <c r="AH19"/>
  <c r="AI19"/>
  <c r="F20"/>
  <c r="G20"/>
  <c r="H20"/>
  <c r="E21"/>
  <c r="F21"/>
  <c r="G21"/>
  <c r="H21"/>
  <c r="J21"/>
  <c r="K21"/>
  <c r="L21"/>
  <c r="M21"/>
  <c r="N21"/>
  <c r="O21"/>
  <c r="P21"/>
  <c r="Q21"/>
  <c r="R21"/>
  <c r="S21"/>
  <c r="T21"/>
  <c r="U21"/>
  <c r="C22"/>
  <c r="D22"/>
  <c r="F22"/>
  <c r="G22"/>
  <c r="H22"/>
  <c r="I22"/>
  <c r="J22"/>
  <c r="K22"/>
  <c r="L22"/>
  <c r="M22"/>
  <c r="N22"/>
  <c r="O22"/>
  <c r="P22"/>
  <c r="Q22"/>
  <c r="R22"/>
  <c r="S22"/>
  <c r="T22"/>
  <c r="U22"/>
  <c r="V22"/>
  <c r="W22"/>
  <c r="Z22"/>
  <c r="AA22"/>
  <c r="AB22"/>
  <c r="AC22"/>
  <c r="AE22"/>
  <c r="AF22"/>
  <c r="AG22"/>
  <c r="AH22"/>
  <c r="C23"/>
  <c r="D23"/>
  <c r="F23"/>
  <c r="G23"/>
  <c r="H23"/>
  <c r="I23"/>
  <c r="J23"/>
  <c r="K23"/>
  <c r="L23"/>
  <c r="M23"/>
  <c r="N23"/>
  <c r="O23"/>
  <c r="P23"/>
  <c r="Q23"/>
  <c r="R23"/>
  <c r="S23"/>
  <c r="T23"/>
  <c r="U23"/>
  <c r="V23"/>
  <c r="W23"/>
  <c r="Z23"/>
  <c r="AA23"/>
  <c r="AB23"/>
  <c r="AC23"/>
  <c r="AE23"/>
  <c r="AF23"/>
  <c r="AG23"/>
  <c r="AH23"/>
  <c r="F24"/>
  <c r="G24"/>
  <c r="H24"/>
  <c r="F25"/>
  <c r="G25"/>
  <c r="I25"/>
  <c r="B26"/>
  <c r="C26"/>
  <c r="E26"/>
  <c r="F26"/>
  <c r="G26"/>
  <c r="H26"/>
  <c r="I26"/>
  <c r="J26"/>
  <c r="K26"/>
  <c r="L26"/>
  <c r="M26"/>
  <c r="N26"/>
  <c r="O26"/>
  <c r="P26"/>
  <c r="Q26"/>
  <c r="R26"/>
  <c r="S26"/>
  <c r="T26"/>
  <c r="U26"/>
  <c r="AM26"/>
  <c r="F27"/>
  <c r="G27"/>
  <c r="I27"/>
  <c r="J27"/>
  <c r="L27"/>
  <c r="M27"/>
  <c r="N27"/>
  <c r="O27"/>
  <c r="P27"/>
  <c r="Q27"/>
  <c r="R27"/>
  <c r="S27"/>
  <c r="T27"/>
  <c r="U27"/>
  <c r="V27"/>
  <c r="W27"/>
  <c r="Z27"/>
  <c r="AB27"/>
  <c r="AC27"/>
  <c r="AD27"/>
  <c r="AE27"/>
  <c r="AF27"/>
  <c r="AG27"/>
  <c r="AH27"/>
  <c r="AI27"/>
  <c r="C28"/>
  <c r="D28"/>
  <c r="E28"/>
  <c r="F28"/>
  <c r="G28"/>
  <c r="H28"/>
  <c r="L28"/>
  <c r="M28"/>
  <c r="N28"/>
  <c r="O28"/>
  <c r="P28"/>
  <c r="Q28"/>
  <c r="R28"/>
  <c r="S28"/>
  <c r="T28"/>
  <c r="U28"/>
  <c r="V28"/>
  <c r="W28"/>
  <c r="Z28"/>
  <c r="AA28"/>
  <c r="AB28"/>
  <c r="AE28"/>
  <c r="AF28"/>
  <c r="AG28"/>
  <c r="AH28"/>
  <c r="C29"/>
  <c r="D29"/>
  <c r="E29"/>
  <c r="F29"/>
  <c r="G29"/>
  <c r="H29"/>
  <c r="I29"/>
  <c r="J29"/>
  <c r="K29"/>
  <c r="L29"/>
  <c r="M29"/>
  <c r="N29"/>
  <c r="O29"/>
  <c r="P29"/>
  <c r="Q29"/>
  <c r="R29"/>
  <c r="S29"/>
  <c r="T29"/>
  <c r="U29"/>
  <c r="V29"/>
  <c r="W29"/>
  <c r="Z29"/>
  <c r="AB29"/>
  <c r="AE29"/>
  <c r="AF29"/>
  <c r="AG29"/>
  <c r="AH29"/>
  <c r="C30"/>
  <c r="D30"/>
  <c r="E30"/>
  <c r="F30"/>
  <c r="G30"/>
  <c r="H30"/>
  <c r="I30"/>
  <c r="J30"/>
  <c r="K30"/>
  <c r="L30"/>
  <c r="M30"/>
  <c r="N30"/>
  <c r="O30"/>
  <c r="P30"/>
  <c r="Q30"/>
  <c r="R30"/>
  <c r="S30"/>
  <c r="T30"/>
  <c r="U30"/>
  <c r="V30"/>
  <c r="W30"/>
  <c r="AA30"/>
  <c r="AB30"/>
  <c r="AC30"/>
  <c r="AE30"/>
  <c r="AF30"/>
  <c r="AG30"/>
  <c r="AH30"/>
  <c r="B31"/>
  <c r="C31"/>
  <c r="E31"/>
  <c r="F31"/>
  <c r="G31"/>
  <c r="H31"/>
  <c r="I31"/>
  <c r="J31"/>
  <c r="K31"/>
  <c r="L31"/>
  <c r="M31"/>
  <c r="N31"/>
  <c r="O31"/>
  <c r="P31"/>
  <c r="Q31"/>
  <c r="R31"/>
  <c r="S31"/>
  <c r="T31"/>
  <c r="U31"/>
  <c r="AM31"/>
  <c r="F32"/>
  <c r="G32"/>
  <c r="I32"/>
  <c r="J32"/>
  <c r="L32"/>
  <c r="M32"/>
  <c r="N32"/>
  <c r="O32"/>
  <c r="P32"/>
  <c r="Q32"/>
  <c r="R32"/>
  <c r="S32"/>
  <c r="T32"/>
  <c r="U32"/>
  <c r="V32"/>
  <c r="W32"/>
  <c r="Z32"/>
  <c r="AA32"/>
  <c r="AB32"/>
  <c r="AC32"/>
  <c r="AD32"/>
  <c r="AF32"/>
  <c r="AG32"/>
  <c r="AH32"/>
  <c r="AI32"/>
  <c r="C33"/>
  <c r="D33"/>
  <c r="F33"/>
  <c r="G33"/>
  <c r="H33"/>
  <c r="I33"/>
  <c r="J33"/>
  <c r="K33"/>
  <c r="L33"/>
  <c r="M33"/>
  <c r="N33"/>
  <c r="O33"/>
  <c r="P33"/>
  <c r="Q33"/>
  <c r="R33"/>
  <c r="S33"/>
  <c r="T33"/>
  <c r="U33"/>
  <c r="V33"/>
  <c r="W33"/>
  <c r="Z33"/>
  <c r="AB33"/>
  <c r="AC33"/>
  <c r="AE33"/>
  <c r="AF33"/>
  <c r="AG33"/>
  <c r="AH33"/>
  <c r="F34"/>
  <c r="G34"/>
  <c r="H34"/>
  <c r="F35"/>
  <c r="G35"/>
  <c r="I35"/>
  <c r="L35"/>
  <c r="F36"/>
  <c r="G36"/>
  <c r="H36"/>
  <c r="B37"/>
  <c r="C37"/>
  <c r="E37"/>
  <c r="F37"/>
  <c r="G37"/>
  <c r="H37"/>
  <c r="I37"/>
  <c r="J37"/>
  <c r="K37"/>
  <c r="L37"/>
  <c r="M37"/>
  <c r="N37"/>
  <c r="O37"/>
  <c r="P37"/>
  <c r="Q37"/>
  <c r="R37"/>
  <c r="S37"/>
  <c r="T37"/>
  <c r="U37"/>
  <c r="AM37"/>
  <c r="F38"/>
  <c r="G38"/>
  <c r="I38"/>
  <c r="J38"/>
  <c r="L38"/>
  <c r="M38"/>
  <c r="N38"/>
  <c r="O38"/>
  <c r="P38"/>
  <c r="Q38"/>
  <c r="R38"/>
  <c r="S38"/>
  <c r="T38"/>
  <c r="U38"/>
  <c r="V38"/>
  <c r="W38"/>
  <c r="Z38"/>
  <c r="AA38"/>
  <c r="AB38"/>
  <c r="AC38"/>
  <c r="AD38"/>
  <c r="AF38"/>
  <c r="AG38"/>
  <c r="AH38"/>
  <c r="AI38"/>
  <c r="C39"/>
  <c r="D39"/>
  <c r="F39"/>
  <c r="G39"/>
  <c r="H39"/>
  <c r="I39"/>
  <c r="J39"/>
  <c r="L39"/>
  <c r="M39"/>
  <c r="N39"/>
  <c r="O39"/>
  <c r="P39"/>
  <c r="Q39"/>
  <c r="R39"/>
  <c r="S39"/>
  <c r="T39"/>
  <c r="U39"/>
  <c r="V39"/>
  <c r="W39"/>
  <c r="Z39"/>
  <c r="AA39"/>
  <c r="AB39"/>
  <c r="AC39"/>
  <c r="AE39"/>
  <c r="AF39"/>
  <c r="AG39"/>
  <c r="AH39"/>
  <c r="C40"/>
  <c r="D40"/>
  <c r="F40"/>
  <c r="G40"/>
  <c r="H40"/>
  <c r="I40"/>
  <c r="J40"/>
  <c r="K40"/>
  <c r="L40"/>
  <c r="M40"/>
  <c r="N40"/>
  <c r="O40"/>
  <c r="P40"/>
  <c r="Q40"/>
  <c r="R40"/>
  <c r="S40"/>
  <c r="T40"/>
  <c r="U40"/>
  <c r="V40"/>
  <c r="W40"/>
  <c r="Z40"/>
  <c r="AA40"/>
  <c r="AB40"/>
  <c r="AC40"/>
  <c r="AE40"/>
  <c r="AF40"/>
  <c r="AG40"/>
  <c r="AH40"/>
  <c r="F41"/>
  <c r="G41"/>
  <c r="H41"/>
  <c r="F42"/>
  <c r="G42"/>
  <c r="H42"/>
  <c r="I42"/>
  <c r="L42"/>
  <c r="M42"/>
  <c r="N42"/>
  <c r="O42"/>
  <c r="P42"/>
  <c r="Q42"/>
  <c r="R42"/>
  <c r="S42"/>
  <c r="T42"/>
  <c r="U42"/>
  <c r="B43"/>
  <c r="C43"/>
  <c r="D43"/>
  <c r="E43"/>
  <c r="F43"/>
  <c r="G43"/>
  <c r="H43"/>
  <c r="I43"/>
  <c r="J43"/>
  <c r="L43"/>
  <c r="M43"/>
  <c r="N43"/>
  <c r="O43"/>
  <c r="P43"/>
  <c r="Q43"/>
  <c r="R43"/>
  <c r="S43"/>
  <c r="T43"/>
  <c r="U43"/>
  <c r="V43"/>
  <c r="W43"/>
  <c r="Z43"/>
  <c r="AA43"/>
  <c r="AB43"/>
  <c r="AD43"/>
  <c r="AE43"/>
  <c r="AF43"/>
  <c r="AG43"/>
  <c r="AH43"/>
  <c r="F44"/>
  <c r="G44"/>
  <c r="I44"/>
  <c r="J44"/>
  <c r="L44"/>
  <c r="M44"/>
  <c r="N44"/>
  <c r="O44"/>
  <c r="P44"/>
  <c r="Q44"/>
  <c r="R44"/>
  <c r="S44"/>
  <c r="T44"/>
  <c r="U44"/>
  <c r="V44"/>
  <c r="W44"/>
  <c r="Z44"/>
  <c r="AA44"/>
  <c r="AB44"/>
  <c r="AC44"/>
  <c r="AD44"/>
  <c r="AF44"/>
  <c r="AG44"/>
  <c r="AH44"/>
  <c r="AI44"/>
  <c r="E45"/>
  <c r="F45"/>
  <c r="G45"/>
  <c r="H45"/>
  <c r="J45"/>
  <c r="L45"/>
  <c r="M45"/>
  <c r="N45"/>
  <c r="O45"/>
  <c r="P45"/>
  <c r="Q45"/>
  <c r="R45"/>
  <c r="S45"/>
  <c r="T45"/>
  <c r="U45"/>
  <c r="AM45"/>
  <c r="D46"/>
  <c r="E46"/>
  <c r="F46"/>
  <c r="G46"/>
  <c r="H46"/>
  <c r="J46"/>
  <c r="L46"/>
  <c r="M46"/>
  <c r="N46"/>
  <c r="O46"/>
  <c r="P46"/>
  <c r="Q46"/>
  <c r="R46"/>
  <c r="S46"/>
  <c r="T46"/>
  <c r="U46"/>
  <c r="F47"/>
  <c r="G47"/>
  <c r="H47"/>
  <c r="F48"/>
  <c r="G48"/>
  <c r="H48"/>
  <c r="L48"/>
  <c r="M48"/>
  <c r="N48"/>
  <c r="O48"/>
  <c r="P48"/>
  <c r="Q48"/>
  <c r="R48"/>
  <c r="S48"/>
  <c r="T48"/>
  <c r="U48"/>
  <c r="F49"/>
  <c r="G49"/>
  <c r="H49"/>
  <c r="E50"/>
  <c r="F50"/>
  <c r="G50"/>
  <c r="H50"/>
  <c r="J50"/>
  <c r="L50"/>
  <c r="M50"/>
  <c r="N50"/>
  <c r="O50"/>
  <c r="P50"/>
  <c r="Q50"/>
  <c r="R50"/>
  <c r="S50"/>
  <c r="T50"/>
  <c r="U50"/>
  <c r="F51"/>
  <c r="G51"/>
  <c r="H51"/>
  <c r="F52"/>
  <c r="G52"/>
  <c r="H52"/>
  <c r="J52"/>
  <c r="F53"/>
  <c r="G53"/>
  <c r="H53"/>
  <c r="F54"/>
  <c r="G54"/>
  <c r="H54"/>
  <c r="F55"/>
  <c r="G55"/>
  <c r="H55"/>
  <c r="G56"/>
  <c r="H56"/>
  <c r="F57"/>
  <c r="G57"/>
  <c r="H57"/>
  <c r="F58"/>
  <c r="G58"/>
  <c r="H58"/>
  <c r="F59"/>
  <c r="G59"/>
  <c r="H59"/>
  <c r="F60"/>
  <c r="G60"/>
  <c r="H60"/>
  <c r="E61"/>
  <c r="F61"/>
  <c r="G61"/>
  <c r="H61"/>
  <c r="L61"/>
  <c r="M61"/>
  <c r="N61"/>
  <c r="O61"/>
  <c r="P61"/>
  <c r="Q61"/>
  <c r="R61"/>
  <c r="S61"/>
  <c r="T61"/>
  <c r="U61"/>
  <c r="F62"/>
  <c r="G62"/>
  <c r="H62"/>
  <c r="F63"/>
  <c r="G63"/>
  <c r="H63"/>
  <c r="F64"/>
  <c r="G64"/>
  <c r="H64"/>
  <c r="F65"/>
  <c r="G65"/>
  <c r="H65"/>
  <c r="G2"/>
  <c r="H2"/>
  <c r="F2"/>
  <c r="H11"/>
  <c r="K11"/>
  <c r="K35"/>
  <c r="H35"/>
  <c r="K25"/>
  <c r="H25"/>
  <c r="F56"/>
  <c r="A57" i="6"/>
  <c r="A58"/>
  <c r="A51"/>
  <c r="A52"/>
  <c r="A53"/>
  <c r="G53"/>
  <c r="A54"/>
  <c r="A55"/>
  <c r="A56"/>
  <c r="A23"/>
  <c r="A50"/>
  <c r="A49"/>
  <c r="A48"/>
  <c r="A47"/>
  <c r="A46"/>
  <c r="A45"/>
  <c r="A44"/>
  <c r="A43"/>
  <c r="G42"/>
  <c r="A42"/>
  <c r="A41"/>
  <c r="G40"/>
  <c r="A40"/>
  <c r="A39"/>
  <c r="A38"/>
  <c r="A37"/>
  <c r="G36"/>
  <c r="A36"/>
  <c r="G35"/>
  <c r="A35"/>
  <c r="G34"/>
  <c r="A34"/>
  <c r="G33"/>
  <c r="A33"/>
  <c r="G32"/>
  <c r="A32"/>
  <c r="G31"/>
  <c r="A31"/>
  <c r="G30"/>
  <c r="A30"/>
  <c r="G29"/>
  <c r="A29"/>
  <c r="G28"/>
  <c r="A28"/>
  <c r="G27"/>
  <c r="A27"/>
  <c r="A26"/>
  <c r="G25"/>
  <c r="A25"/>
  <c r="A24"/>
  <c r="G23"/>
  <c r="G22"/>
  <c r="A22"/>
  <c r="G21"/>
  <c r="A21"/>
  <c r="G20"/>
  <c r="A20"/>
  <c r="G19"/>
  <c r="A19"/>
  <c r="G18"/>
  <c r="A18"/>
  <c r="G17"/>
  <c r="A17"/>
  <c r="G16"/>
  <c r="A16"/>
  <c r="G15"/>
  <c r="A15"/>
  <c r="G14"/>
  <c r="A14"/>
  <c r="G13"/>
  <c r="A13"/>
  <c r="G12"/>
  <c r="A12"/>
  <c r="G11"/>
  <c r="A11"/>
  <c r="G10"/>
  <c r="A10"/>
  <c r="G9"/>
  <c r="A9"/>
  <c r="G8"/>
  <c r="A8"/>
  <c r="G7"/>
  <c r="A7"/>
  <c r="G6"/>
  <c r="A6"/>
  <c r="A5"/>
  <c r="G4"/>
  <c r="A4"/>
  <c r="G3"/>
  <c r="A3"/>
  <c r="G50"/>
  <c r="G49"/>
  <c r="G48"/>
  <c r="G47"/>
  <c r="G46"/>
  <c r="G45"/>
  <c r="G44"/>
  <c r="G43"/>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G24"/>
  <c r="G5"/>
  <c r="G51"/>
  <c r="G54"/>
  <c r="G55"/>
  <c r="G52"/>
  <c r="G26"/>
  <c r="G57"/>
  <c r="F3"/>
  <c r="E3"/>
  <c r="D3"/>
  <c r="C3"/>
  <c r="B3"/>
  <c r="B4"/>
  <c r="C4"/>
  <c r="D4"/>
  <c r="E4"/>
  <c r="F4"/>
  <c r="F10"/>
  <c r="E10"/>
  <c r="D10"/>
  <c r="C10"/>
  <c r="B10"/>
  <c r="F19"/>
  <c r="E19"/>
  <c r="D19"/>
  <c r="C19"/>
  <c r="B19"/>
  <c r="B21"/>
  <c r="C21"/>
  <c r="D21"/>
  <c r="E21"/>
  <c r="F21"/>
  <c r="F55"/>
  <c r="E55"/>
  <c r="D55"/>
  <c r="C55"/>
  <c r="B55"/>
  <c r="B26"/>
  <c r="C26"/>
  <c r="D26"/>
  <c r="E26"/>
  <c r="F26"/>
  <c r="B36"/>
  <c r="C36"/>
  <c r="D36"/>
  <c r="E36"/>
  <c r="F36"/>
  <c r="B34"/>
  <c r="C34"/>
  <c r="D34"/>
  <c r="E34"/>
  <c r="F34"/>
  <c r="F33"/>
  <c r="E33"/>
  <c r="D33"/>
  <c r="C33"/>
  <c r="B33"/>
  <c r="B31"/>
  <c r="C31"/>
  <c r="D31"/>
  <c r="E31"/>
  <c r="F31"/>
  <c r="B22"/>
  <c r="C22"/>
  <c r="D22"/>
  <c r="E22"/>
  <c r="F22"/>
  <c r="B54"/>
  <c r="C54"/>
  <c r="D54"/>
  <c r="E54"/>
  <c r="F54"/>
  <c r="F53"/>
  <c r="E53"/>
  <c r="D53"/>
  <c r="C53"/>
  <c r="B53"/>
  <c r="F51"/>
  <c r="E51"/>
  <c r="D51"/>
  <c r="C51"/>
  <c r="B51"/>
  <c r="B42"/>
  <c r="C42"/>
  <c r="D42"/>
  <c r="E42"/>
  <c r="F42"/>
  <c r="B52"/>
  <c r="C52"/>
  <c r="D52"/>
  <c r="E52"/>
  <c r="F52"/>
  <c r="F37"/>
  <c r="E37"/>
  <c r="D37"/>
  <c r="C37"/>
  <c r="B37"/>
  <c r="G37"/>
  <c r="B38"/>
  <c r="C38"/>
  <c r="D38"/>
  <c r="E38"/>
  <c r="F38"/>
  <c r="G38"/>
  <c r="B12"/>
  <c r="C12"/>
  <c r="D12"/>
  <c r="E12"/>
  <c r="F12"/>
  <c r="F57"/>
  <c r="E57"/>
  <c r="D57"/>
  <c r="C57"/>
  <c r="B57"/>
  <c r="F11"/>
  <c r="E11"/>
  <c r="D11"/>
  <c r="C11"/>
  <c r="B11"/>
  <c r="G58"/>
  <c r="B58"/>
  <c r="C58"/>
  <c r="D58"/>
  <c r="E58"/>
  <c r="F58"/>
  <c r="G56"/>
  <c r="B56"/>
  <c r="C56"/>
  <c r="D56"/>
  <c r="E56"/>
  <c r="F56"/>
  <c r="F14"/>
  <c r="E14"/>
  <c r="D14"/>
  <c r="C14"/>
  <c r="B14"/>
  <c r="B20"/>
  <c r="C20"/>
  <c r="D20"/>
  <c r="E20"/>
  <c r="F20"/>
  <c r="F32"/>
  <c r="E32"/>
  <c r="D32"/>
  <c r="C32"/>
  <c r="B32"/>
  <c r="F13"/>
  <c r="E13"/>
  <c r="D13"/>
  <c r="C13"/>
  <c r="B13"/>
  <c r="B40"/>
  <c r="C40"/>
  <c r="D40"/>
  <c r="E40"/>
  <c r="F40"/>
  <c r="G39"/>
  <c r="F39"/>
  <c r="E39"/>
  <c r="D39"/>
  <c r="C39"/>
  <c r="B39"/>
  <c r="G41"/>
  <c r="F41"/>
  <c r="E41"/>
  <c r="D41"/>
  <c r="C41"/>
  <c r="B41"/>
  <c r="B15"/>
  <c r="C15"/>
  <c r="D15"/>
  <c r="E15"/>
  <c r="F15"/>
  <c r="F24"/>
  <c r="E24"/>
  <c r="D24"/>
  <c r="C24"/>
  <c r="B24"/>
  <c r="B16"/>
  <c r="C16"/>
  <c r="D16"/>
  <c r="E16"/>
  <c r="F16"/>
  <c r="B23"/>
  <c r="C23"/>
  <c r="D23"/>
  <c r="E23"/>
  <c r="F23"/>
  <c r="B8"/>
  <c r="C8"/>
  <c r="D8"/>
  <c r="E8"/>
  <c r="F8"/>
  <c r="B27"/>
  <c r="C27"/>
  <c r="D27"/>
  <c r="E27"/>
  <c r="F27"/>
  <c r="B28"/>
  <c r="C28"/>
  <c r="D28"/>
  <c r="E28"/>
  <c r="F28"/>
  <c r="B29"/>
  <c r="C29"/>
  <c r="D29"/>
  <c r="E29"/>
  <c r="F29"/>
  <c r="F9"/>
  <c r="E9"/>
  <c r="D9"/>
  <c r="C9"/>
  <c r="B9"/>
  <c r="B7"/>
  <c r="C7"/>
  <c r="D7"/>
  <c r="E7"/>
  <c r="F7"/>
  <c r="B6"/>
  <c r="C6"/>
  <c r="D6"/>
  <c r="E6"/>
  <c r="F6"/>
  <c r="B25"/>
  <c r="C25"/>
  <c r="D25"/>
  <c r="E25"/>
  <c r="F25"/>
  <c r="B17"/>
  <c r="C17"/>
  <c r="D17"/>
  <c r="E17"/>
  <c r="F17"/>
  <c r="B18"/>
  <c r="C18"/>
  <c r="D18"/>
  <c r="E18"/>
  <c r="F18"/>
  <c r="B30"/>
  <c r="C30"/>
  <c r="D30"/>
  <c r="E30"/>
  <c r="F30"/>
  <c r="B35"/>
  <c r="C35"/>
  <c r="D35"/>
  <c r="E35"/>
  <c r="F35"/>
  <c r="B5"/>
  <c r="C5"/>
  <c r="D5"/>
  <c r="E5"/>
  <c r="F5"/>
  <c r="D6" i="5"/>
  <c r="G89" i="10"/>
  <c r="F89"/>
  <c r="E89"/>
  <c r="B88"/>
  <c r="C88"/>
  <c r="D88"/>
  <c r="G88"/>
  <c r="F88"/>
  <c r="E88"/>
  <c r="B87"/>
  <c r="C87"/>
  <c r="D87"/>
  <c r="G87"/>
  <c r="F87"/>
  <c r="E87"/>
  <c r="B86"/>
  <c r="C86"/>
  <c r="D86"/>
  <c r="G86"/>
  <c r="F86"/>
  <c r="E86"/>
  <c r="B85"/>
  <c r="C85"/>
  <c r="D85"/>
  <c r="G85"/>
  <c r="F85"/>
  <c r="E85"/>
  <c r="B84"/>
  <c r="C84"/>
  <c r="D84"/>
  <c r="G84"/>
  <c r="F84"/>
  <c r="E84"/>
  <c r="B83"/>
  <c r="C83"/>
  <c r="D83"/>
  <c r="G83"/>
  <c r="F83"/>
  <c r="E83"/>
  <c r="B82"/>
  <c r="C82"/>
  <c r="D82"/>
  <c r="G82"/>
  <c r="F82"/>
  <c r="E82"/>
  <c r="B81"/>
  <c r="C81"/>
  <c r="D81"/>
  <c r="G81"/>
  <c r="F81"/>
  <c r="E81"/>
  <c r="B80"/>
  <c r="C80"/>
  <c r="D80"/>
  <c r="G80"/>
  <c r="F80"/>
  <c r="E80"/>
  <c r="B79"/>
  <c r="C79"/>
  <c r="D79"/>
  <c r="G79"/>
  <c r="F79"/>
  <c r="E79"/>
  <c r="B78"/>
  <c r="C78"/>
  <c r="D78"/>
  <c r="G78"/>
  <c r="F78"/>
  <c r="E78"/>
  <c r="B77"/>
  <c r="C77"/>
  <c r="D77"/>
  <c r="G77"/>
  <c r="F77"/>
  <c r="E77"/>
  <c r="B76"/>
  <c r="C76"/>
  <c r="D76"/>
  <c r="G76"/>
  <c r="F76"/>
  <c r="E76"/>
  <c r="B75"/>
  <c r="C75"/>
  <c r="D75"/>
  <c r="G75"/>
  <c r="F75"/>
  <c r="E75"/>
  <c r="B74"/>
  <c r="C74"/>
  <c r="D74"/>
  <c r="G74"/>
  <c r="F74"/>
  <c r="E74"/>
  <c r="B73"/>
  <c r="C73"/>
  <c r="D73"/>
  <c r="G73"/>
  <c r="F73"/>
  <c r="E73"/>
  <c r="B72"/>
  <c r="C72"/>
  <c r="D72"/>
  <c r="G72"/>
  <c r="F72"/>
  <c r="E72"/>
  <c r="B71"/>
  <c r="C71"/>
  <c r="D71"/>
  <c r="G71"/>
  <c r="F71"/>
  <c r="E71"/>
  <c r="B70"/>
  <c r="C70"/>
  <c r="D70"/>
  <c r="G70"/>
  <c r="F70"/>
  <c r="E70"/>
  <c r="B69"/>
  <c r="C69"/>
  <c r="D69"/>
  <c r="G69"/>
  <c r="F69"/>
  <c r="E69"/>
  <c r="B68"/>
  <c r="C68"/>
  <c r="D68"/>
  <c r="G68"/>
  <c r="F68"/>
  <c r="E68"/>
  <c r="B67"/>
  <c r="C67"/>
  <c r="D67"/>
  <c r="G67"/>
  <c r="F67"/>
  <c r="E67"/>
  <c r="B66"/>
  <c r="C66"/>
  <c r="D66"/>
  <c r="G66"/>
  <c r="F66"/>
  <c r="E66"/>
  <c r="B65"/>
  <c r="C65"/>
  <c r="D65"/>
  <c r="G65"/>
  <c r="F65"/>
  <c r="E65"/>
  <c r="G64"/>
  <c r="F64"/>
  <c r="E64"/>
  <c r="B63"/>
  <c r="C63"/>
  <c r="D63"/>
  <c r="G63"/>
  <c r="F63"/>
  <c r="E63"/>
  <c r="B62"/>
  <c r="C62"/>
  <c r="D62"/>
  <c r="G62"/>
  <c r="F62"/>
  <c r="E62"/>
  <c r="B61"/>
  <c r="C61"/>
  <c r="D61"/>
  <c r="G61"/>
  <c r="F61"/>
  <c r="E61"/>
  <c r="B60"/>
  <c r="C60"/>
  <c r="D60"/>
  <c r="G60"/>
  <c r="F60"/>
  <c r="E60"/>
  <c r="B59"/>
  <c r="C59"/>
  <c r="D59"/>
  <c r="G59"/>
  <c r="F59"/>
  <c r="E59"/>
  <c r="B58"/>
  <c r="C58"/>
  <c r="D58"/>
  <c r="G58"/>
  <c r="F58"/>
  <c r="E58"/>
  <c r="B57"/>
  <c r="C57"/>
  <c r="D57"/>
  <c r="G57"/>
  <c r="F57"/>
  <c r="E57"/>
  <c r="B56"/>
  <c r="C56"/>
  <c r="D56"/>
  <c r="G56"/>
  <c r="F56"/>
  <c r="E56"/>
  <c r="B55"/>
  <c r="C55"/>
  <c r="D55"/>
  <c r="G55"/>
  <c r="F55"/>
  <c r="E55"/>
  <c r="B54"/>
  <c r="C54"/>
  <c r="D54"/>
  <c r="G54"/>
  <c r="F54"/>
  <c r="E54"/>
  <c r="B53"/>
  <c r="C53"/>
  <c r="D53"/>
  <c r="G53"/>
  <c r="F53"/>
  <c r="E53"/>
  <c r="B52"/>
  <c r="C52"/>
  <c r="D52"/>
  <c r="G52"/>
  <c r="F52"/>
  <c r="E52"/>
  <c r="B51"/>
  <c r="C51"/>
  <c r="D51"/>
  <c r="G51"/>
  <c r="F51"/>
  <c r="E51"/>
  <c r="B50"/>
  <c r="C50"/>
  <c r="D50"/>
  <c r="G50"/>
  <c r="F50"/>
  <c r="E50"/>
  <c r="B49"/>
  <c r="C49"/>
  <c r="D49"/>
  <c r="G49"/>
  <c r="F49"/>
  <c r="E49"/>
  <c r="B48"/>
  <c r="C48"/>
  <c r="D48"/>
  <c r="G48"/>
  <c r="F48"/>
  <c r="E48"/>
  <c r="B47"/>
  <c r="C47"/>
  <c r="D47"/>
  <c r="G47"/>
  <c r="F47"/>
  <c r="E47"/>
  <c r="B46"/>
  <c r="C46"/>
  <c r="D46"/>
  <c r="G46"/>
  <c r="F46"/>
  <c r="E46"/>
  <c r="B45"/>
  <c r="C45"/>
  <c r="D45"/>
  <c r="G45"/>
  <c r="F45"/>
  <c r="E45"/>
  <c r="B44"/>
  <c r="C44"/>
  <c r="D44"/>
  <c r="G44"/>
  <c r="F44"/>
  <c r="E44"/>
  <c r="B43"/>
  <c r="C43"/>
  <c r="D43"/>
  <c r="G43"/>
  <c r="F43"/>
  <c r="E43"/>
  <c r="B42"/>
  <c r="C42"/>
  <c r="D42"/>
  <c r="G42"/>
  <c r="F42"/>
  <c r="E42"/>
  <c r="B41"/>
  <c r="C41"/>
  <c r="D41"/>
  <c r="G41"/>
  <c r="F41"/>
  <c r="E41"/>
  <c r="B40"/>
  <c r="C40"/>
  <c r="D40"/>
  <c r="G40"/>
  <c r="F40"/>
  <c r="E40"/>
  <c r="G39"/>
  <c r="F39"/>
  <c r="E39"/>
  <c r="B38"/>
  <c r="C38"/>
  <c r="D38"/>
  <c r="G38"/>
  <c r="F38"/>
  <c r="E38"/>
  <c r="B37"/>
  <c r="C37"/>
  <c r="D37"/>
  <c r="G37"/>
  <c r="F37"/>
  <c r="E37"/>
  <c r="B36"/>
  <c r="C36"/>
  <c r="D36"/>
  <c r="G36"/>
  <c r="F36"/>
  <c r="E36"/>
  <c r="B35"/>
  <c r="C35"/>
  <c r="D35"/>
  <c r="G35"/>
  <c r="F35"/>
  <c r="E35"/>
  <c r="B34"/>
  <c r="C34"/>
  <c r="D34"/>
  <c r="G34"/>
  <c r="F34"/>
  <c r="E34"/>
  <c r="B33"/>
  <c r="C33"/>
  <c r="D33"/>
  <c r="G33"/>
  <c r="F33"/>
  <c r="E33"/>
  <c r="B32"/>
  <c r="C32"/>
  <c r="D32"/>
  <c r="G32"/>
  <c r="F32"/>
  <c r="E32"/>
  <c r="B31"/>
  <c r="C31"/>
  <c r="D31"/>
  <c r="G31"/>
  <c r="F31"/>
  <c r="E31"/>
  <c r="B30"/>
  <c r="C30"/>
  <c r="D30"/>
  <c r="G30"/>
  <c r="F30"/>
  <c r="E30"/>
  <c r="B29"/>
  <c r="C29"/>
  <c r="D29"/>
  <c r="G29"/>
  <c r="F29"/>
  <c r="E29"/>
  <c r="B28"/>
  <c r="C28"/>
  <c r="D28"/>
  <c r="G28"/>
  <c r="F28"/>
  <c r="E28"/>
  <c r="B27"/>
  <c r="C27"/>
  <c r="D27"/>
  <c r="G27"/>
  <c r="F27"/>
  <c r="E27"/>
  <c r="B26"/>
  <c r="C26"/>
  <c r="D26"/>
  <c r="G26"/>
  <c r="F26"/>
  <c r="E26"/>
  <c r="B25"/>
  <c r="C25"/>
  <c r="D25"/>
  <c r="G25"/>
  <c r="F25"/>
  <c r="E25"/>
  <c r="B24"/>
  <c r="C24"/>
  <c r="D24"/>
  <c r="G24"/>
  <c r="F24"/>
  <c r="E24"/>
  <c r="B23"/>
  <c r="C23"/>
  <c r="D23"/>
  <c r="G23"/>
  <c r="F23"/>
  <c r="E23"/>
  <c r="B22"/>
  <c r="C22"/>
  <c r="D22"/>
  <c r="G22"/>
  <c r="F22"/>
  <c r="E22"/>
  <c r="B21"/>
  <c r="C21"/>
  <c r="D21"/>
  <c r="G21"/>
  <c r="F21"/>
  <c r="E21"/>
  <c r="B20"/>
  <c r="C20"/>
  <c r="D20"/>
  <c r="G20"/>
  <c r="F20"/>
  <c r="E20"/>
  <c r="B19"/>
  <c r="C19"/>
  <c r="D19"/>
  <c r="G19"/>
  <c r="F19"/>
  <c r="E19"/>
  <c r="B18"/>
  <c r="C18"/>
  <c r="D18"/>
  <c r="G18"/>
  <c r="F18"/>
  <c r="E18"/>
  <c r="B17"/>
  <c r="C17"/>
  <c r="D17"/>
  <c r="G17"/>
  <c r="F17"/>
  <c r="E17"/>
  <c r="B16"/>
  <c r="C16"/>
  <c r="D16"/>
  <c r="G16"/>
  <c r="F16"/>
  <c r="E16"/>
  <c r="B15"/>
  <c r="C15"/>
  <c r="D15"/>
  <c r="G15"/>
  <c r="F15"/>
  <c r="E15"/>
  <c r="K14"/>
  <c r="J14"/>
  <c r="I14"/>
  <c r="G14"/>
  <c r="F14"/>
  <c r="E14"/>
  <c r="G5"/>
  <c r="G4"/>
  <c r="G3"/>
  <c r="N27" i="1"/>
  <c r="N11"/>
  <c r="N8"/>
  <c r="N5"/>
  <c r="Q14"/>
  <c r="N14"/>
  <c r="Q28"/>
  <c r="N28"/>
  <c r="N37"/>
  <c r="N51"/>
  <c r="N50"/>
  <c r="Q38"/>
  <c r="N38"/>
  <c r="AC35"/>
  <c r="AD35"/>
  <c r="AF35"/>
  <c r="AG35"/>
  <c r="AH35"/>
  <c r="AI35"/>
  <c r="AJ35"/>
  <c r="AL35"/>
  <c r="AM35"/>
  <c r="AN35"/>
  <c r="AO35"/>
  <c r="AP35"/>
  <c r="AB35"/>
  <c r="AA42"/>
  <c r="AA43"/>
  <c r="AA40"/>
  <c r="AA41"/>
  <c r="AA35"/>
  <c r="Z42"/>
  <c r="Z43"/>
  <c r="Z40"/>
  <c r="Z41"/>
  <c r="Z35"/>
  <c r="Y42"/>
  <c r="Y43"/>
  <c r="Y40"/>
  <c r="Y41"/>
  <c r="Y35"/>
  <c r="X42"/>
  <c r="X43"/>
  <c r="X40"/>
  <c r="X41"/>
  <c r="X35"/>
  <c r="W42"/>
  <c r="W43"/>
  <c r="W40"/>
  <c r="W41"/>
  <c r="W35"/>
  <c r="V42"/>
  <c r="V43"/>
  <c r="V40"/>
  <c r="V41"/>
  <c r="V35"/>
  <c r="U42"/>
  <c r="U43"/>
  <c r="U40"/>
  <c r="U41"/>
  <c r="U35"/>
  <c r="T42"/>
  <c r="T43"/>
  <c r="T40"/>
  <c r="T41"/>
  <c r="T35"/>
  <c r="S42"/>
  <c r="S43"/>
  <c r="S40"/>
  <c r="S41"/>
  <c r="S35"/>
  <c r="R42"/>
  <c r="R43"/>
  <c r="R40"/>
  <c r="R41"/>
  <c r="R35"/>
  <c r="P47"/>
  <c r="P41"/>
  <c r="P35"/>
  <c r="O45"/>
  <c r="O47"/>
  <c r="O41"/>
  <c r="O35"/>
  <c r="M39"/>
  <c r="M42"/>
  <c r="M43"/>
  <c r="M40"/>
  <c r="M45"/>
  <c r="M47"/>
  <c r="J48"/>
  <c r="J49"/>
  <c r="G48"/>
  <c r="G49"/>
  <c r="M49"/>
  <c r="M46"/>
  <c r="M41"/>
  <c r="M35"/>
  <c r="L39"/>
  <c r="L42"/>
  <c r="L43"/>
  <c r="L40"/>
  <c r="L45"/>
  <c r="L47"/>
  <c r="I48"/>
  <c r="I49"/>
  <c r="H48"/>
  <c r="H49"/>
  <c r="L49"/>
  <c r="L46"/>
  <c r="L41"/>
  <c r="L35"/>
  <c r="AS41"/>
  <c r="AP41"/>
  <c r="AO41"/>
  <c r="AN41"/>
  <c r="AM41"/>
  <c r="AL41"/>
  <c r="AJ41"/>
  <c r="AI41"/>
  <c r="AH41"/>
  <c r="AG41"/>
  <c r="AF41"/>
  <c r="AD41"/>
  <c r="AC41"/>
  <c r="AB41"/>
  <c r="AS47"/>
  <c r="AP47"/>
  <c r="AO47"/>
  <c r="AN46"/>
  <c r="AN47"/>
  <c r="AM46"/>
  <c r="AM47"/>
  <c r="AL46"/>
  <c r="AL47"/>
  <c r="AJ46"/>
  <c r="AJ47"/>
  <c r="AI47"/>
  <c r="AH46"/>
  <c r="AH47"/>
  <c r="AG46"/>
  <c r="AG47"/>
  <c r="AF46"/>
  <c r="AF47"/>
  <c r="AD46"/>
  <c r="AD47"/>
  <c r="AC46"/>
  <c r="AC47"/>
  <c r="AB46"/>
  <c r="AB47"/>
  <c r="AA45"/>
  <c r="AA47"/>
  <c r="Z45"/>
  <c r="Z47"/>
  <c r="Y45"/>
  <c r="Y47"/>
  <c r="X45"/>
  <c r="X47"/>
  <c r="W45"/>
  <c r="W47"/>
  <c r="V45"/>
  <c r="V47"/>
  <c r="U45"/>
  <c r="U47"/>
  <c r="T45"/>
  <c r="T47"/>
  <c r="S45"/>
  <c r="S47"/>
  <c r="R45"/>
  <c r="R47"/>
  <c r="AS35"/>
  <c r="AS30"/>
  <c r="AL30"/>
  <c r="AM30"/>
  <c r="AN30"/>
  <c r="AO30"/>
  <c r="AP30"/>
  <c r="AK30"/>
  <c r="AJ30"/>
  <c r="AI30"/>
  <c r="AH30"/>
  <c r="AF30"/>
  <c r="AB30"/>
  <c r="AC30"/>
  <c r="AD30"/>
  <c r="Z30"/>
  <c r="AA30"/>
  <c r="S30"/>
  <c r="T30"/>
  <c r="U30"/>
  <c r="V30"/>
  <c r="W30"/>
  <c r="X30"/>
  <c r="Y30"/>
  <c r="R30"/>
  <c r="P33"/>
  <c r="P30"/>
  <c r="O28"/>
  <c r="O30"/>
  <c r="M27"/>
  <c r="M11"/>
  <c r="M8"/>
  <c r="M5"/>
  <c r="M14"/>
  <c r="M28"/>
  <c r="M30"/>
  <c r="L27"/>
  <c r="L11"/>
  <c r="L8"/>
  <c r="L5"/>
  <c r="L14"/>
  <c r="L28"/>
  <c r="L30"/>
  <c r="AS22"/>
  <c r="AB21"/>
  <c r="AB22"/>
  <c r="AC21"/>
  <c r="AC22"/>
  <c r="AD21"/>
  <c r="AD22"/>
  <c r="AF21"/>
  <c r="AF22"/>
  <c r="AG21"/>
  <c r="AG22"/>
  <c r="AH21"/>
  <c r="AH22"/>
  <c r="AI22"/>
  <c r="AJ21"/>
  <c r="AJ22"/>
  <c r="AL21"/>
  <c r="AL22"/>
  <c r="AM21"/>
  <c r="AM22"/>
  <c r="AN21"/>
  <c r="AN22"/>
  <c r="AO22"/>
  <c r="AP22"/>
  <c r="Z24"/>
  <c r="Z21"/>
  <c r="Z22"/>
  <c r="AA24"/>
  <c r="AA21"/>
  <c r="AA22"/>
  <c r="S24"/>
  <c r="S21"/>
  <c r="S22"/>
  <c r="T24"/>
  <c r="T21"/>
  <c r="T22"/>
  <c r="U24"/>
  <c r="U21"/>
  <c r="U22"/>
  <c r="V24"/>
  <c r="V21"/>
  <c r="V22"/>
  <c r="W24"/>
  <c r="W21"/>
  <c r="W22"/>
  <c r="X24"/>
  <c r="X21"/>
  <c r="X22"/>
  <c r="Y24"/>
  <c r="Y21"/>
  <c r="Y22"/>
  <c r="R24"/>
  <c r="R21"/>
  <c r="R22"/>
  <c r="P15"/>
  <c r="P25"/>
  <c r="P22"/>
  <c r="M23"/>
  <c r="M22"/>
  <c r="L23"/>
  <c r="L22"/>
  <c r="AS18"/>
  <c r="AB18"/>
  <c r="AC18"/>
  <c r="AD18"/>
  <c r="AF18"/>
  <c r="AG18"/>
  <c r="AH18"/>
  <c r="AI18"/>
  <c r="AJ18"/>
  <c r="AK18"/>
  <c r="AL18"/>
  <c r="AM18"/>
  <c r="AN18"/>
  <c r="AO18"/>
  <c r="AP18"/>
  <c r="V14"/>
  <c r="V13"/>
  <c r="V18"/>
  <c r="W14"/>
  <c r="W13"/>
  <c r="W18"/>
  <c r="X14"/>
  <c r="X13"/>
  <c r="X18"/>
  <c r="Y14"/>
  <c r="Y13"/>
  <c r="Y18"/>
  <c r="Z14"/>
  <c r="Z13"/>
  <c r="Z18"/>
  <c r="AA14"/>
  <c r="AA13"/>
  <c r="AA18"/>
  <c r="S14"/>
  <c r="S13"/>
  <c r="S18"/>
  <c r="T14"/>
  <c r="T13"/>
  <c r="T18"/>
  <c r="U14"/>
  <c r="U13"/>
  <c r="U18"/>
  <c r="R14"/>
  <c r="R13"/>
  <c r="R18"/>
  <c r="P18"/>
  <c r="O14"/>
  <c r="O13"/>
  <c r="O18"/>
  <c r="M13"/>
  <c r="M18"/>
  <c r="L13"/>
  <c r="L18"/>
  <c r="AS13"/>
  <c r="AA8"/>
  <c r="AA7"/>
  <c r="Z8"/>
  <c r="Z7"/>
  <c r="Y8"/>
  <c r="Y7"/>
  <c r="X8"/>
  <c r="X7"/>
  <c r="W8"/>
  <c r="W7"/>
  <c r="V8"/>
  <c r="V7"/>
  <c r="U8"/>
  <c r="U7"/>
  <c r="T8"/>
  <c r="T7"/>
  <c r="S8"/>
  <c r="S7"/>
  <c r="R8"/>
  <c r="R7"/>
  <c r="P6"/>
  <c r="P7"/>
  <c r="O7"/>
  <c r="M7"/>
  <c r="L7"/>
  <c r="AS7"/>
  <c r="O38"/>
  <c r="I19"/>
  <c r="I20"/>
  <c r="G19"/>
  <c r="G20"/>
  <c r="H19"/>
  <c r="H20"/>
  <c r="L20"/>
  <c r="I25"/>
  <c r="G25"/>
  <c r="O25"/>
  <c r="H25"/>
  <c r="L25"/>
  <c r="I26"/>
  <c r="G26"/>
  <c r="O19"/>
  <c r="O26"/>
  <c r="H26"/>
  <c r="L26"/>
  <c r="I31"/>
  <c r="G31"/>
  <c r="H31"/>
  <c r="L31"/>
  <c r="I32"/>
  <c r="G32"/>
  <c r="O32"/>
  <c r="H32"/>
  <c r="L32"/>
  <c r="L9"/>
  <c r="L55"/>
  <c r="I53"/>
  <c r="G53"/>
  <c r="H53"/>
  <c r="L53"/>
  <c r="I64"/>
  <c r="G64"/>
  <c r="H64"/>
  <c r="L64"/>
  <c r="L19"/>
  <c r="L57"/>
  <c r="L58"/>
  <c r="L60"/>
  <c r="L67"/>
  <c r="I16"/>
  <c r="G16"/>
  <c r="H16"/>
  <c r="L16"/>
  <c r="I24"/>
  <c r="G24"/>
  <c r="H24"/>
  <c r="L24"/>
  <c r="I10"/>
  <c r="G10"/>
  <c r="H10"/>
  <c r="L10"/>
  <c r="L68"/>
  <c r="L66"/>
  <c r="L15"/>
  <c r="L48"/>
  <c r="L54"/>
  <c r="L65"/>
  <c r="L37"/>
  <c r="L50"/>
  <c r="L44"/>
  <c r="L52"/>
  <c r="O59"/>
  <c r="L59"/>
  <c r="L63"/>
  <c r="L62"/>
  <c r="I56"/>
  <c r="L56"/>
  <c r="I61"/>
  <c r="L61"/>
  <c r="Q43"/>
  <c r="Q40"/>
  <c r="P42"/>
  <c r="P43"/>
  <c r="P40"/>
  <c r="O40"/>
  <c r="O34"/>
  <c r="N39"/>
  <c r="N42"/>
  <c r="N43"/>
  <c r="N40"/>
  <c r="AA36"/>
  <c r="AA34"/>
  <c r="Z36"/>
  <c r="Z34"/>
  <c r="Y36"/>
  <c r="Y34"/>
  <c r="X36"/>
  <c r="X34"/>
  <c r="W36"/>
  <c r="W34"/>
  <c r="V36"/>
  <c r="V34"/>
  <c r="U36"/>
  <c r="U34"/>
  <c r="T36"/>
  <c r="T34"/>
  <c r="S36"/>
  <c r="S34"/>
  <c r="R36"/>
  <c r="R34"/>
  <c r="Q36"/>
  <c r="Q34"/>
  <c r="P36"/>
  <c r="P34"/>
  <c r="N36"/>
  <c r="N34"/>
  <c r="M36"/>
  <c r="M34"/>
  <c r="L36"/>
  <c r="L34"/>
  <c r="O29"/>
  <c r="O17"/>
  <c r="AA31"/>
  <c r="AA32"/>
  <c r="AA29"/>
  <c r="Z31"/>
  <c r="Z32"/>
  <c r="Z29"/>
  <c r="Y31"/>
  <c r="Y32"/>
  <c r="Y29"/>
  <c r="X31"/>
  <c r="X32"/>
  <c r="X29"/>
  <c r="W31"/>
  <c r="W32"/>
  <c r="W29"/>
  <c r="V31"/>
  <c r="V32"/>
  <c r="V29"/>
  <c r="U31"/>
  <c r="U32"/>
  <c r="U29"/>
  <c r="T31"/>
  <c r="T32"/>
  <c r="T29"/>
  <c r="S31"/>
  <c r="S32"/>
  <c r="S29"/>
  <c r="R31"/>
  <c r="R32"/>
  <c r="R29"/>
  <c r="Q32"/>
  <c r="Q29"/>
  <c r="P32"/>
  <c r="P29"/>
  <c r="N31"/>
  <c r="N32"/>
  <c r="N29"/>
  <c r="M31"/>
  <c r="M32"/>
  <c r="M29"/>
  <c r="L29"/>
  <c r="V15"/>
  <c r="V19"/>
  <c r="V20"/>
  <c r="V17"/>
  <c r="U15"/>
  <c r="U19"/>
  <c r="U20"/>
  <c r="U17"/>
  <c r="T19"/>
  <c r="T20"/>
  <c r="T17"/>
  <c r="S19"/>
  <c r="S20"/>
  <c r="S17"/>
  <c r="R19"/>
  <c r="R20"/>
  <c r="R17"/>
  <c r="Q17"/>
  <c r="L17"/>
  <c r="M17"/>
  <c r="K19"/>
  <c r="K20"/>
  <c r="N20"/>
  <c r="N17"/>
  <c r="P19"/>
  <c r="P20"/>
  <c r="P17"/>
  <c r="AA6"/>
  <c r="Z6"/>
  <c r="Y6"/>
  <c r="X6"/>
  <c r="W6"/>
  <c r="V6"/>
  <c r="U6"/>
  <c r="T6"/>
  <c r="S6"/>
  <c r="R6"/>
  <c r="O6"/>
  <c r="E6"/>
  <c r="D6"/>
  <c r="Q24"/>
  <c r="Q21"/>
  <c r="P24"/>
  <c r="P21"/>
  <c r="O21"/>
  <c r="K24"/>
  <c r="N24"/>
  <c r="N21"/>
  <c r="J24"/>
  <c r="M24"/>
  <c r="M21"/>
  <c r="L21"/>
  <c r="AA12"/>
  <c r="Z12"/>
  <c r="Y12"/>
  <c r="X12"/>
  <c r="W12"/>
  <c r="V12"/>
  <c r="U12"/>
  <c r="T12"/>
  <c r="S12"/>
  <c r="R12"/>
  <c r="P12"/>
  <c r="O12"/>
  <c r="D12"/>
  <c r="AA46"/>
  <c r="Z46"/>
  <c r="Y46"/>
  <c r="X46"/>
  <c r="W46"/>
  <c r="V46"/>
  <c r="U46"/>
  <c r="T46"/>
  <c r="S46"/>
  <c r="R46"/>
  <c r="P46"/>
  <c r="O46"/>
  <c r="E46"/>
  <c r="D46"/>
  <c r="O33"/>
  <c r="O42"/>
  <c r="O43"/>
  <c r="O36"/>
  <c r="N23"/>
  <c r="N33"/>
  <c r="M33"/>
  <c r="L33"/>
  <c r="J31"/>
  <c r="J32"/>
  <c r="F31"/>
  <c r="D31"/>
  <c r="Q25"/>
  <c r="K25"/>
  <c r="J25"/>
  <c r="J16"/>
  <c r="J10"/>
  <c r="AA19"/>
  <c r="AA20"/>
  <c r="Z19"/>
  <c r="Z20"/>
  <c r="Y15"/>
  <c r="Y19"/>
  <c r="Y20"/>
  <c r="X15"/>
  <c r="X19"/>
  <c r="X20"/>
  <c r="W15"/>
  <c r="W19"/>
  <c r="W20"/>
  <c r="J19"/>
  <c r="J20"/>
  <c r="F19"/>
  <c r="F20"/>
  <c r="E15"/>
  <c r="E19"/>
  <c r="E20"/>
  <c r="D20"/>
  <c r="AA51"/>
  <c r="Z51"/>
  <c r="Y51"/>
  <c r="X51"/>
  <c r="W51"/>
  <c r="V51"/>
  <c r="U51"/>
  <c r="T51"/>
  <c r="S51"/>
  <c r="R38"/>
  <c r="M37"/>
  <c r="M51"/>
  <c r="M50"/>
  <c r="M38"/>
  <c r="L51"/>
  <c r="L38"/>
  <c r="R51"/>
  <c r="AA10"/>
  <c r="Z10"/>
  <c r="Y10"/>
  <c r="X10"/>
  <c r="W10"/>
  <c r="V10"/>
  <c r="U10"/>
  <c r="T10"/>
  <c r="S10"/>
  <c r="R10"/>
  <c r="P9"/>
  <c r="P10"/>
  <c r="K10"/>
  <c r="F10"/>
  <c r="E9"/>
  <c r="E10"/>
  <c r="F24"/>
  <c r="E24"/>
  <c r="AA48"/>
  <c r="AA49"/>
  <c r="Z48"/>
  <c r="Z49"/>
  <c r="Y48"/>
  <c r="Y49"/>
  <c r="X48"/>
  <c r="X49"/>
  <c r="W48"/>
  <c r="W49"/>
  <c r="V48"/>
  <c r="V49"/>
  <c r="U48"/>
  <c r="U49"/>
  <c r="T48"/>
  <c r="T49"/>
  <c r="S48"/>
  <c r="S49"/>
  <c r="R48"/>
  <c r="R49"/>
  <c r="P48"/>
  <c r="P49"/>
  <c r="K48"/>
  <c r="K49"/>
  <c r="F48"/>
  <c r="F49"/>
  <c r="E48"/>
  <c r="E49"/>
  <c r="D16"/>
  <c r="D49"/>
  <c r="AA16"/>
  <c r="Z16"/>
  <c r="Y16"/>
  <c r="X16"/>
  <c r="W16"/>
  <c r="V16"/>
  <c r="U16"/>
  <c r="T16"/>
  <c r="S16"/>
  <c r="R16"/>
  <c r="P16"/>
  <c r="K16"/>
  <c r="F16"/>
  <c r="M15"/>
  <c r="M19"/>
  <c r="N15"/>
  <c r="N19"/>
  <c r="Q19"/>
  <c r="AA64"/>
  <c r="Z64"/>
  <c r="Y64"/>
  <c r="X64"/>
  <c r="W64"/>
  <c r="V64"/>
  <c r="U64"/>
  <c r="T64"/>
  <c r="S64"/>
  <c r="R64"/>
  <c r="K64"/>
  <c r="J64"/>
  <c r="F64"/>
  <c r="E64"/>
  <c r="AA53"/>
  <c r="Z53"/>
  <c r="Y53"/>
  <c r="X53"/>
  <c r="W53"/>
  <c r="V53"/>
  <c r="U53"/>
  <c r="T53"/>
  <c r="S53"/>
  <c r="R53"/>
  <c r="P53"/>
  <c r="N52"/>
  <c r="N53"/>
  <c r="M52"/>
  <c r="M53"/>
  <c r="K53"/>
  <c r="J53"/>
  <c r="F53"/>
  <c r="E53"/>
  <c r="P55"/>
  <c r="M44"/>
  <c r="M48"/>
  <c r="AT48"/>
  <c r="N44"/>
  <c r="N48"/>
  <c r="AJ6"/>
  <c r="AJ12"/>
  <c r="B12"/>
  <c r="AS12"/>
  <c r="B21"/>
  <c r="AS21"/>
  <c r="B6"/>
  <c r="AS6"/>
  <c r="B17"/>
  <c r="AS17"/>
  <c r="B29"/>
  <c r="AS29"/>
  <c r="B34"/>
  <c r="AS34"/>
  <c r="B40"/>
  <c r="AS40"/>
  <c r="B46"/>
  <c r="AS46"/>
  <c r="C33"/>
  <c r="C36"/>
  <c r="C43"/>
  <c r="C40"/>
  <c r="E40"/>
  <c r="Q33"/>
  <c r="R33"/>
  <c r="S33"/>
  <c r="T33"/>
  <c r="U33"/>
  <c r="V33"/>
  <c r="W33"/>
  <c r="X33"/>
  <c r="Y33"/>
  <c r="Z33"/>
  <c r="AA33"/>
  <c r="AB33"/>
  <c r="AB36"/>
  <c r="AB43"/>
  <c r="AC33"/>
  <c r="AC36"/>
  <c r="AC43"/>
  <c r="AD36"/>
  <c r="AD43"/>
  <c r="AF36"/>
  <c r="AF43"/>
  <c r="AG43"/>
  <c r="AH33"/>
  <c r="AH36"/>
  <c r="AH43"/>
  <c r="AK33"/>
  <c r="AK36"/>
  <c r="AK43"/>
  <c r="AL33"/>
  <c r="AL36"/>
  <c r="AL43"/>
  <c r="AM33"/>
  <c r="AM36"/>
  <c r="AM43"/>
  <c r="AN33"/>
  <c r="AN36"/>
  <c r="AN43"/>
  <c r="AT40"/>
  <c r="C34"/>
  <c r="E34"/>
  <c r="AT34"/>
  <c r="C31"/>
  <c r="C32"/>
  <c r="C29"/>
  <c r="E31"/>
  <c r="E32"/>
  <c r="E29"/>
  <c r="F32"/>
  <c r="K31"/>
  <c r="K32"/>
  <c r="AB31"/>
  <c r="AB32"/>
  <c r="AC31"/>
  <c r="AC32"/>
  <c r="AD31"/>
  <c r="AD32"/>
  <c r="AF31"/>
  <c r="AF32"/>
  <c r="AH31"/>
  <c r="AH32"/>
  <c r="AK31"/>
  <c r="AK32"/>
  <c r="AL31"/>
  <c r="AL32"/>
  <c r="AM31"/>
  <c r="AM32"/>
  <c r="AN31"/>
  <c r="AN32"/>
  <c r="AT29"/>
  <c r="C17"/>
  <c r="E17"/>
  <c r="W17"/>
  <c r="X17"/>
  <c r="Y17"/>
  <c r="Z17"/>
  <c r="AA17"/>
  <c r="C6"/>
  <c r="L6"/>
  <c r="M10"/>
  <c r="M6"/>
  <c r="N10"/>
  <c r="N6"/>
  <c r="Q6"/>
  <c r="AB6"/>
  <c r="AC6"/>
  <c r="AD6"/>
  <c r="AF6"/>
  <c r="AG6"/>
  <c r="AH6"/>
  <c r="AK6"/>
  <c r="AL6"/>
  <c r="AM6"/>
  <c r="AN6"/>
  <c r="C21"/>
  <c r="E21"/>
  <c r="AK21"/>
  <c r="AT21"/>
  <c r="C12"/>
  <c r="E12"/>
  <c r="L12"/>
  <c r="M16"/>
  <c r="M12"/>
  <c r="N16"/>
  <c r="N12"/>
  <c r="AB12"/>
  <c r="AC12"/>
  <c r="AD12"/>
  <c r="AF12"/>
  <c r="AG12"/>
  <c r="AH12"/>
  <c r="AK12"/>
  <c r="AL12"/>
  <c r="AM12"/>
  <c r="AN12"/>
  <c r="C46"/>
  <c r="N49"/>
  <c r="N46"/>
  <c r="AK46"/>
  <c r="AS43"/>
  <c r="AS42"/>
  <c r="D33"/>
  <c r="D42"/>
  <c r="AB42"/>
  <c r="AC42"/>
  <c r="AD42"/>
  <c r="AF42"/>
  <c r="AG33"/>
  <c r="AG42"/>
  <c r="AH42"/>
  <c r="AI33"/>
  <c r="AI42"/>
  <c r="AK42"/>
  <c r="AL42"/>
  <c r="AM42"/>
  <c r="AN42"/>
  <c r="D36"/>
  <c r="D43"/>
  <c r="AI36"/>
  <c r="AI43"/>
  <c r="C42"/>
  <c r="AS36"/>
  <c r="AS32"/>
  <c r="AS33"/>
  <c r="E33"/>
  <c r="D32"/>
  <c r="AS31"/>
  <c r="AG31"/>
  <c r="AS25"/>
  <c r="AS26"/>
  <c r="M25"/>
  <c r="N25"/>
  <c r="R25"/>
  <c r="S25"/>
  <c r="T25"/>
  <c r="U25"/>
  <c r="V25"/>
  <c r="W25"/>
  <c r="X25"/>
  <c r="Y25"/>
  <c r="Z25"/>
  <c r="AA25"/>
  <c r="AB25"/>
  <c r="AC25"/>
  <c r="AD25"/>
  <c r="AF25"/>
  <c r="AG25"/>
  <c r="AH25"/>
  <c r="AI25"/>
  <c r="AK25"/>
  <c r="AL25"/>
  <c r="AM25"/>
  <c r="AN25"/>
  <c r="J26"/>
  <c r="K26"/>
  <c r="M26"/>
  <c r="N26"/>
  <c r="P26"/>
  <c r="Q26"/>
  <c r="R26"/>
  <c r="S26"/>
  <c r="T26"/>
  <c r="U26"/>
  <c r="V26"/>
  <c r="W26"/>
  <c r="X26"/>
  <c r="Y26"/>
  <c r="Z26"/>
  <c r="AA26"/>
  <c r="AB26"/>
  <c r="AC26"/>
  <c r="AD26"/>
  <c r="AF26"/>
  <c r="AG26"/>
  <c r="AH26"/>
  <c r="AI26"/>
  <c r="AK26"/>
  <c r="AL26"/>
  <c r="AM26"/>
  <c r="AN26"/>
  <c r="C25"/>
  <c r="D25"/>
  <c r="C26"/>
  <c r="D26"/>
  <c r="F26"/>
  <c r="F25"/>
  <c r="AS11"/>
  <c r="AS59"/>
  <c r="AS63"/>
  <c r="AS62"/>
  <c r="AS56"/>
  <c r="AS61"/>
  <c r="AS27"/>
  <c r="AS39"/>
  <c r="AS37"/>
  <c r="AS50"/>
  <c r="AS44"/>
  <c r="AS52"/>
  <c r="AS54"/>
  <c r="AS65"/>
  <c r="AS66"/>
  <c r="AS15"/>
  <c r="AS48"/>
  <c r="AS23"/>
  <c r="AS9"/>
  <c r="AS55"/>
  <c r="AS53"/>
  <c r="AS64"/>
  <c r="AS19"/>
  <c r="AS57"/>
  <c r="AS58"/>
  <c r="AS60"/>
  <c r="AS67"/>
  <c r="AS16"/>
  <c r="AS49"/>
  <c r="AS24"/>
  <c r="AS10"/>
  <c r="AS68"/>
  <c r="AS8"/>
  <c r="AS14"/>
  <c r="AS28"/>
  <c r="AS38"/>
  <c r="AS51"/>
  <c r="AS45"/>
  <c r="AS20"/>
  <c r="N9"/>
  <c r="N55"/>
  <c r="N64"/>
  <c r="M9"/>
  <c r="M55"/>
  <c r="M64"/>
  <c r="N45"/>
  <c r="N67"/>
  <c r="N68"/>
  <c r="M68"/>
  <c r="N59"/>
  <c r="M59"/>
  <c r="M67"/>
  <c r="N61"/>
  <c r="M61"/>
  <c r="N63"/>
  <c r="N62"/>
  <c r="N56"/>
  <c r="N54"/>
  <c r="N65"/>
  <c r="N66"/>
  <c r="N57"/>
  <c r="N58"/>
  <c r="N60"/>
  <c r="M63"/>
  <c r="M62"/>
  <c r="M56"/>
  <c r="M54"/>
  <c r="M65"/>
  <c r="M66"/>
  <c r="M57"/>
  <c r="M58"/>
  <c r="M60"/>
  <c r="AS5"/>
  <c r="C16" i="11"/>
  <c r="F16"/>
  <c r="D16"/>
  <c r="G16"/>
  <c r="E16"/>
  <c r="H16"/>
  <c r="C17"/>
  <c r="F17"/>
  <c r="D17"/>
  <c r="G17"/>
  <c r="E17"/>
  <c r="H17"/>
  <c r="C18"/>
  <c r="F18"/>
  <c r="D18"/>
  <c r="G18"/>
  <c r="E18"/>
  <c r="H18"/>
  <c r="C19"/>
  <c r="F19"/>
  <c r="D19"/>
  <c r="G19"/>
  <c r="E19"/>
  <c r="H19"/>
  <c r="C20"/>
  <c r="F20"/>
  <c r="D20"/>
  <c r="G20"/>
  <c r="E20"/>
  <c r="H20"/>
  <c r="C21"/>
  <c r="F21"/>
  <c r="D21"/>
  <c r="G21"/>
  <c r="E21"/>
  <c r="H21"/>
  <c r="C22"/>
  <c r="F22"/>
  <c r="D22"/>
  <c r="G22"/>
  <c r="E22"/>
  <c r="H22"/>
  <c r="C23"/>
  <c r="F23"/>
  <c r="D23"/>
  <c r="G23"/>
  <c r="E23"/>
  <c r="H23"/>
  <c r="C24"/>
  <c r="F24"/>
  <c r="D24"/>
  <c r="G24"/>
  <c r="E24"/>
  <c r="H24"/>
  <c r="C25"/>
  <c r="F25"/>
  <c r="D25"/>
  <c r="G25"/>
  <c r="E25"/>
  <c r="H25"/>
  <c r="C26"/>
  <c r="F26"/>
  <c r="D26"/>
  <c r="G26"/>
  <c r="E26"/>
  <c r="H26"/>
  <c r="C27"/>
  <c r="F27"/>
  <c r="D27"/>
  <c r="G27"/>
  <c r="E27"/>
  <c r="H27"/>
  <c r="C28"/>
  <c r="F28"/>
  <c r="D28"/>
  <c r="G28"/>
  <c r="E28"/>
  <c r="H28"/>
  <c r="C29"/>
  <c r="F29"/>
  <c r="D29"/>
  <c r="G29"/>
  <c r="E29"/>
  <c r="H29"/>
  <c r="C30"/>
  <c r="F30"/>
  <c r="D30"/>
  <c r="G30"/>
  <c r="E30"/>
  <c r="H30"/>
  <c r="C31"/>
  <c r="F31"/>
  <c r="D31"/>
  <c r="G31"/>
  <c r="E31"/>
  <c r="H31"/>
  <c r="C32"/>
  <c r="F32"/>
  <c r="D32"/>
  <c r="G32"/>
  <c r="E32"/>
  <c r="H32"/>
  <c r="C33"/>
  <c r="F33"/>
  <c r="D33"/>
  <c r="G33"/>
  <c r="E33"/>
  <c r="H33"/>
  <c r="C34"/>
  <c r="F34"/>
  <c r="D34"/>
  <c r="G34"/>
  <c r="E34"/>
  <c r="H34"/>
  <c r="C35"/>
  <c r="F35"/>
  <c r="D35"/>
  <c r="G35"/>
  <c r="E35"/>
  <c r="H35"/>
  <c r="C36"/>
  <c r="F36"/>
  <c r="D36"/>
  <c r="G36"/>
  <c r="E36"/>
  <c r="H36"/>
  <c r="C37"/>
  <c r="F37"/>
  <c r="D37"/>
  <c r="G37"/>
  <c r="E37"/>
  <c r="H37"/>
  <c r="C38"/>
  <c r="F38"/>
  <c r="D38"/>
  <c r="G38"/>
  <c r="E38"/>
  <c r="H38"/>
  <c r="F39"/>
  <c r="G39"/>
  <c r="H39"/>
  <c r="C40"/>
  <c r="F40"/>
  <c r="D40"/>
  <c r="G40"/>
  <c r="E40"/>
  <c r="H40"/>
  <c r="C41"/>
  <c r="F41"/>
  <c r="D41"/>
  <c r="G41"/>
  <c r="E41"/>
  <c r="H41"/>
  <c r="C42"/>
  <c r="F42"/>
  <c r="D42"/>
  <c r="G42"/>
  <c r="E42"/>
  <c r="H42"/>
  <c r="C43"/>
  <c r="F43"/>
  <c r="D43"/>
  <c r="G43"/>
  <c r="E43"/>
  <c r="H43"/>
  <c r="C44"/>
  <c r="F44"/>
  <c r="D44"/>
  <c r="G44"/>
  <c r="E44"/>
  <c r="H44"/>
  <c r="C45"/>
  <c r="F45"/>
  <c r="D45"/>
  <c r="G45"/>
  <c r="E45"/>
  <c r="H45"/>
  <c r="C46"/>
  <c r="F46"/>
  <c r="D46"/>
  <c r="G46"/>
  <c r="E46"/>
  <c r="H46"/>
  <c r="C47"/>
  <c r="F47"/>
  <c r="D47"/>
  <c r="G47"/>
  <c r="E47"/>
  <c r="H47"/>
  <c r="C48"/>
  <c r="F48"/>
  <c r="D48"/>
  <c r="G48"/>
  <c r="E48"/>
  <c r="H48"/>
  <c r="C49"/>
  <c r="F49"/>
  <c r="D49"/>
  <c r="G49"/>
  <c r="E49"/>
  <c r="H49"/>
  <c r="C50"/>
  <c r="F50"/>
  <c r="D50"/>
  <c r="G50"/>
  <c r="E50"/>
  <c r="H50"/>
  <c r="C51"/>
  <c r="F51"/>
  <c r="D51"/>
  <c r="G51"/>
  <c r="E51"/>
  <c r="H51"/>
  <c r="C52"/>
  <c r="F52"/>
  <c r="D52"/>
  <c r="G52"/>
  <c r="E52"/>
  <c r="H52"/>
  <c r="C53"/>
  <c r="F53"/>
  <c r="D53"/>
  <c r="G53"/>
  <c r="E53"/>
  <c r="H53"/>
  <c r="C54"/>
  <c r="F54"/>
  <c r="D54"/>
  <c r="G54"/>
  <c r="E54"/>
  <c r="H54"/>
  <c r="C55"/>
  <c r="F55"/>
  <c r="D55"/>
  <c r="G55"/>
  <c r="E55"/>
  <c r="H55"/>
  <c r="C56"/>
  <c r="F56"/>
  <c r="D56"/>
  <c r="G56"/>
  <c r="E56"/>
  <c r="H56"/>
  <c r="C57"/>
  <c r="F57"/>
  <c r="D57"/>
  <c r="G57"/>
  <c r="E57"/>
  <c r="H57"/>
  <c r="C58"/>
  <c r="F58"/>
  <c r="D58"/>
  <c r="G58"/>
  <c r="E58"/>
  <c r="H58"/>
  <c r="C59"/>
  <c r="F59"/>
  <c r="D59"/>
  <c r="G59"/>
  <c r="E59"/>
  <c r="H59"/>
  <c r="C60"/>
  <c r="F60"/>
  <c r="D60"/>
  <c r="G60"/>
  <c r="E60"/>
  <c r="H60"/>
  <c r="C61"/>
  <c r="F61"/>
  <c r="D61"/>
  <c r="G61"/>
  <c r="E61"/>
  <c r="H61"/>
  <c r="C62"/>
  <c r="F62"/>
  <c r="D62"/>
  <c r="G62"/>
  <c r="E62"/>
  <c r="H62"/>
  <c r="C63"/>
  <c r="F63"/>
  <c r="D63"/>
  <c r="G63"/>
  <c r="E63"/>
  <c r="H63"/>
  <c r="F64"/>
  <c r="G64"/>
  <c r="H64"/>
  <c r="C65"/>
  <c r="F65"/>
  <c r="B64"/>
  <c r="B89"/>
  <c r="B65"/>
  <c r="D65"/>
  <c r="G65"/>
  <c r="E65"/>
  <c r="H65"/>
  <c r="C66"/>
  <c r="F66"/>
  <c r="B66"/>
  <c r="D66"/>
  <c r="G66"/>
  <c r="E66"/>
  <c r="H66"/>
  <c r="C67"/>
  <c r="F67"/>
  <c r="B67"/>
  <c r="D67"/>
  <c r="G67"/>
  <c r="E67"/>
  <c r="H67"/>
  <c r="C68"/>
  <c r="F68"/>
  <c r="B68"/>
  <c r="D68"/>
  <c r="G68"/>
  <c r="E68"/>
  <c r="H68"/>
  <c r="C69"/>
  <c r="F69"/>
  <c r="B69"/>
  <c r="D69"/>
  <c r="G69"/>
  <c r="E69"/>
  <c r="H69"/>
  <c r="C70"/>
  <c r="F70"/>
  <c r="B70"/>
  <c r="D70"/>
  <c r="G70"/>
  <c r="E70"/>
  <c r="H70"/>
  <c r="C71"/>
  <c r="F71"/>
  <c r="B71"/>
  <c r="D71"/>
  <c r="G71"/>
  <c r="E71"/>
  <c r="H71"/>
  <c r="C72"/>
  <c r="F72"/>
  <c r="B72"/>
  <c r="D72"/>
  <c r="G72"/>
  <c r="E72"/>
  <c r="H72"/>
  <c r="C73"/>
  <c r="F73"/>
  <c r="B73"/>
  <c r="D73"/>
  <c r="G73"/>
  <c r="E73"/>
  <c r="H73"/>
  <c r="C74"/>
  <c r="F74"/>
  <c r="B74"/>
  <c r="D74"/>
  <c r="G74"/>
  <c r="E74"/>
  <c r="H74"/>
  <c r="C75"/>
  <c r="F75"/>
  <c r="B75"/>
  <c r="D75"/>
  <c r="G75"/>
  <c r="E75"/>
  <c r="H75"/>
  <c r="C76"/>
  <c r="F76"/>
  <c r="B76"/>
  <c r="D76"/>
  <c r="G76"/>
  <c r="E76"/>
  <c r="H76"/>
  <c r="C77"/>
  <c r="F77"/>
  <c r="B77"/>
  <c r="D77"/>
  <c r="G77"/>
  <c r="E77"/>
  <c r="H77"/>
  <c r="C78"/>
  <c r="F78"/>
  <c r="B78"/>
  <c r="D78"/>
  <c r="G78"/>
  <c r="E78"/>
  <c r="H78"/>
  <c r="C79"/>
  <c r="F79"/>
  <c r="B79"/>
  <c r="D79"/>
  <c r="G79"/>
  <c r="E79"/>
  <c r="H79"/>
  <c r="C80"/>
  <c r="F80"/>
  <c r="B80"/>
  <c r="D80"/>
  <c r="G80"/>
  <c r="E80"/>
  <c r="H80"/>
  <c r="C81"/>
  <c r="F81"/>
  <c r="B81"/>
  <c r="D81"/>
  <c r="G81"/>
  <c r="E81"/>
  <c r="H81"/>
  <c r="C82"/>
  <c r="F82"/>
  <c r="B82"/>
  <c r="D82"/>
  <c r="G82"/>
  <c r="E82"/>
  <c r="H82"/>
  <c r="C83"/>
  <c r="F83"/>
  <c r="B83"/>
  <c r="D83"/>
  <c r="G83"/>
  <c r="E83"/>
  <c r="H83"/>
  <c r="C84"/>
  <c r="F84"/>
  <c r="B84"/>
  <c r="D84"/>
  <c r="G84"/>
  <c r="E84"/>
  <c r="H84"/>
  <c r="C85"/>
  <c r="F85"/>
  <c r="B85"/>
  <c r="D85"/>
  <c r="G85"/>
  <c r="E85"/>
  <c r="H85"/>
  <c r="C86"/>
  <c r="F86"/>
  <c r="B86"/>
  <c r="D86"/>
  <c r="G86"/>
  <c r="E86"/>
  <c r="H86"/>
  <c r="C87"/>
  <c r="F87"/>
  <c r="B87"/>
  <c r="D87"/>
  <c r="G87"/>
  <c r="E87"/>
  <c r="H87"/>
  <c r="C88"/>
  <c r="F88"/>
  <c r="B88"/>
  <c r="D88"/>
  <c r="G88"/>
  <c r="E88"/>
  <c r="H88"/>
  <c r="F89"/>
  <c r="G89"/>
  <c r="H89"/>
  <c r="C15"/>
  <c r="D15"/>
  <c r="G15"/>
  <c r="E15"/>
  <c r="H15"/>
  <c r="F15"/>
  <c r="K64"/>
  <c r="J64"/>
  <c r="B63"/>
  <c r="K63"/>
  <c r="J63"/>
  <c r="B62"/>
  <c r="K62"/>
  <c r="J62"/>
  <c r="B61"/>
  <c r="K61"/>
  <c r="J61"/>
  <c r="B60"/>
  <c r="K60"/>
  <c r="J60"/>
  <c r="B59"/>
  <c r="K59"/>
  <c r="J59"/>
  <c r="B58"/>
  <c r="K58"/>
  <c r="J58"/>
  <c r="B57"/>
  <c r="K57"/>
  <c r="J57"/>
  <c r="B56"/>
  <c r="K56"/>
  <c r="J56"/>
  <c r="B55"/>
  <c r="K55"/>
  <c r="J55"/>
  <c r="B54"/>
  <c r="K54"/>
  <c r="J54"/>
  <c r="B53"/>
  <c r="K53"/>
  <c r="J53"/>
  <c r="B52"/>
  <c r="K52"/>
  <c r="J52"/>
  <c r="B51"/>
  <c r="K51"/>
  <c r="J51"/>
  <c r="B50"/>
  <c r="K50"/>
  <c r="J50"/>
  <c r="B49"/>
  <c r="K49"/>
  <c r="J49"/>
  <c r="B48"/>
  <c r="K48"/>
  <c r="J48"/>
  <c r="B47"/>
  <c r="K47"/>
  <c r="J47"/>
  <c r="B46"/>
  <c r="K46"/>
  <c r="J46"/>
  <c r="B45"/>
  <c r="K45"/>
  <c r="J45"/>
  <c r="B44"/>
  <c r="K44"/>
  <c r="J44"/>
  <c r="B43"/>
  <c r="K43"/>
  <c r="J43"/>
  <c r="B42"/>
  <c r="K42"/>
  <c r="J42"/>
  <c r="B41"/>
  <c r="K41"/>
  <c r="J41"/>
  <c r="B40"/>
  <c r="K40"/>
  <c r="J40"/>
  <c r="B39"/>
  <c r="K39"/>
  <c r="J39"/>
  <c r="B38"/>
  <c r="K38"/>
  <c r="J38"/>
  <c r="B37"/>
  <c r="K37"/>
  <c r="J37"/>
  <c r="B36"/>
  <c r="K36"/>
  <c r="J36"/>
  <c r="B35"/>
  <c r="K35"/>
  <c r="J35"/>
  <c r="B34"/>
  <c r="K34"/>
  <c r="J34"/>
  <c r="B33"/>
  <c r="K33"/>
  <c r="J33"/>
  <c r="B32"/>
  <c r="K32"/>
  <c r="J32"/>
  <c r="B31"/>
  <c r="K31"/>
  <c r="J31"/>
  <c r="B30"/>
  <c r="K30"/>
  <c r="J30"/>
  <c r="B29"/>
  <c r="K29"/>
  <c r="J29"/>
  <c r="B28"/>
  <c r="K28"/>
  <c r="J28"/>
  <c r="B27"/>
  <c r="K27"/>
  <c r="J27"/>
  <c r="B26"/>
  <c r="K26"/>
  <c r="J26"/>
  <c r="B25"/>
  <c r="K25"/>
  <c r="J25"/>
  <c r="B24"/>
  <c r="K24"/>
  <c r="J24"/>
  <c r="B23"/>
  <c r="K23"/>
  <c r="J23"/>
  <c r="B22"/>
  <c r="K22"/>
  <c r="J22"/>
  <c r="B21"/>
  <c r="K21"/>
  <c r="J21"/>
  <c r="B20"/>
  <c r="K20"/>
  <c r="J20"/>
  <c r="B19"/>
  <c r="K19"/>
  <c r="J19"/>
  <c r="B18"/>
  <c r="K18"/>
  <c r="J18"/>
  <c r="B17"/>
  <c r="K17"/>
  <c r="J17"/>
  <c r="B16"/>
  <c r="K16"/>
  <c r="J16"/>
  <c r="B15"/>
  <c r="K15"/>
  <c r="J15"/>
  <c r="B14"/>
  <c r="F14"/>
  <c r="K14"/>
  <c r="J14"/>
  <c r="H14"/>
  <c r="G14"/>
  <c r="H5"/>
  <c r="G5"/>
  <c r="H4"/>
  <c r="G4"/>
  <c r="H3"/>
  <c r="G3"/>
</calcChain>
</file>

<file path=xl/sharedStrings.xml><?xml version="1.0" encoding="utf-8"?>
<sst xmlns="http://schemas.openxmlformats.org/spreadsheetml/2006/main" count="283" uniqueCount="243">
  <si>
    <t>Same as existing gas steam turbines, 75% capital cost and fixed cost</t>
    <phoneticPr fontId="11" type="noConversion"/>
  </si>
  <si>
    <t>Same as existing CCGT, 75% capital cost and fixed cost</t>
    <phoneticPr fontId="11" type="noConversion"/>
  </si>
  <si>
    <t>The penalty factor applied is calculated as follows:</t>
  </si>
  <si>
    <t>Fuel use as represented by SWITCH = Actual fuel use</t>
  </si>
  <si>
    <r>
      <t xml:space="preserve">DispatchGen x heat_rate + (Installed_Capacity – DispatchGen) x </t>
    </r>
    <r>
      <rPr>
        <i/>
        <sz val="12"/>
        <rFont val="Calibri"/>
      </rPr>
      <t>penalty</t>
    </r>
    <r>
      <rPr>
        <sz val="12"/>
        <rFont val="Calibri"/>
      </rPr>
      <t xml:space="preserve">  x heat_rate = DispatchGen x degraded_heat_rate</t>
    </r>
  </si>
  <si>
    <t>Normalizing for installed capacity, this gives us:</t>
  </si>
  <si>
    <r>
      <t xml:space="preserve">( DispatchGen x heat_rate + (Installed_Capacity – DispatchGen) x </t>
    </r>
    <r>
      <rPr>
        <i/>
        <sz val="12"/>
        <rFont val="Calibri"/>
      </rPr>
      <t>penalty</t>
    </r>
    <r>
      <rPr>
        <sz val="12"/>
        <rFont val="Calibri"/>
      </rPr>
      <t xml:space="preserve"> x heat_rate) / Installed_Capacity = DispatchGen x degraded_heat_rate / Installed_Capacity</t>
    </r>
  </si>
  <si>
    <r>
      <t xml:space="preserve">fraction_dispatched x heat_rate + (1 – fraction_dispatched) x </t>
    </r>
    <r>
      <rPr>
        <i/>
        <sz val="12"/>
        <rFont val="Calibri"/>
      </rPr>
      <t>penalty</t>
    </r>
    <r>
      <rPr>
        <sz val="12"/>
        <rFont val="Calibri"/>
      </rPr>
      <t xml:space="preserve"> x heat_rate = fraction_dispatched x degraded_heat_rate</t>
    </r>
  </si>
  <si>
    <t>Capital and fixed cost equal to cost for Bio_Solid_Steam_Turbine_Cogen plus the difference between Coal_Steam_Turbine_Cogen_CCS and Coal_Steam_Turbine_Cogen; overnight cost change like Coal_Steam_Turbine_Cogen_CCS; other params like Bio_Solid_Steam_Turbine_Cogen</t>
    <phoneticPr fontId="11" type="noConversion"/>
  </si>
  <si>
    <t>Costs are same as Bio_Solid_Steam_Turbine_Cogen_CCS; flags same as Bio_Liquid_Steam_Turbine_Cogen</t>
    <phoneticPr fontId="11" type="noConversion"/>
  </si>
  <si>
    <t>Uranium</t>
    <phoneticPr fontId="11" type="noConversion"/>
  </si>
  <si>
    <t>var_o_m_$2007</t>
    <phoneticPr fontId="11" type="noConversion"/>
  </si>
  <si>
    <t>technology</t>
  </si>
  <si>
    <t>overnight_cost_change</t>
  </si>
  <si>
    <t>EIA, cost declination rate, construction time, lifetime, outage rates assumed to be equal to gas combustion turbine</t>
    <phoneticPr fontId="11" type="noConversion"/>
  </si>
  <si>
    <t>Coal_CCS</t>
    <phoneticPr fontId="11" type="noConversion"/>
  </si>
  <si>
    <t>heat_rate_penalty_spinning_reserve</t>
    <phoneticPr fontId="11" type="noConversion"/>
  </si>
  <si>
    <t>CCGT</t>
  </si>
  <si>
    <t>Gas_Combustion_Turbine</t>
  </si>
  <si>
    <t>CCGT_CCS</t>
    <phoneticPr fontId="11" type="noConversion"/>
  </si>
  <si>
    <t>Gas_Combustion_Turbine_CCS</t>
    <phoneticPr fontId="11" type="noConversion"/>
  </si>
  <si>
    <t>Bio_Gas_CCS</t>
    <phoneticPr fontId="11" type="noConversion"/>
  </si>
  <si>
    <t>Biomass_IGCC_CCS</t>
    <phoneticPr fontId="11" type="noConversion"/>
  </si>
  <si>
    <t>DistillateFuelOil_Combustion_Turbine_EP</t>
    <phoneticPr fontId="11" type="noConversion"/>
  </si>
  <si>
    <t>DistillateFuelOil</t>
  </si>
  <si>
    <t>Compressed_Air_Energy_Storage</t>
    <phoneticPr fontId="11" type="noConversion"/>
  </si>
  <si>
    <t>EIA, cost declination rate, construction time, lifetime, outage rates assumed to be equal to coal IGCC</t>
  </si>
  <si>
    <t>Coal_IGCC</t>
  </si>
  <si>
    <t>Same as new Biogas, 75% capital cost and fixed cost</t>
    <phoneticPr fontId="11" type="noConversion"/>
  </si>
  <si>
    <t>Same as new biomass steam turbine, 75% capital cost and fixed cost</t>
    <phoneticPr fontId="11" type="noConversion"/>
  </si>
  <si>
    <t>CPV Consortium numbers (It's more or less SolFocus)</t>
    <phoneticPr fontId="11" type="noConversion"/>
  </si>
  <si>
    <t>cost declination rate</t>
    <phoneticPr fontId="11" type="noConversion"/>
  </si>
  <si>
    <t>Bio_Liquid_Steam_Turbine_Cogen_EP</t>
  </si>
  <si>
    <t>Bio_Solid_Steam_Turbine_EP</t>
  </si>
  <si>
    <t>Bio_Solid_Steam_Turbine_Cogen_EP</t>
  </si>
  <si>
    <t>"Updated Capital Cost Estimates for Electricity Generation Plants," US EIA, November 2010; chose the dual unit rather than the single unit costs because if we're installing CCS, we're likley installing a lot; the lifetime, construction time, construction cost breakdown, and outage rates are the same as Coal Steam Turbine</t>
    <phoneticPr fontId="11" type="noConversion"/>
  </si>
  <si>
    <t>Same as new Biogas</t>
    <phoneticPr fontId="11" type="noConversion"/>
  </si>
  <si>
    <t>Same as existing combustion turbines, 75% capital cost and fixed cost</t>
    <phoneticPr fontId="11" type="noConversion"/>
  </si>
  <si>
    <t>Same as existing coal steam turbines, 75% capital cost and fixed cost</t>
    <phoneticPr fontId="11" type="noConversion"/>
  </si>
  <si>
    <t>Structure and Performance of Six European Wholesale Electricity Markets in 2003, 2004, and 2005. Appendix I. DG Comp. Presented to DG Comp 26th February 2007</t>
  </si>
  <si>
    <t>"Updated Capital Cost Estimates for Electricity Generation Plants," US EIA, November 2010; construction cost breakdown comes from the ReEDs Sheet; outage rates are from the CEC COG Model</t>
    <phoneticPr fontId="11" type="noConversion"/>
  </si>
  <si>
    <t>Offshore_Wind</t>
  </si>
  <si>
    <t>Bio_Gas</t>
  </si>
  <si>
    <t>year_1_cost_fraction</t>
    <phoneticPr fontId="11" type="noConversion"/>
  </si>
  <si>
    <t>storage</t>
    <phoneticPr fontId="11" type="noConversion"/>
  </si>
  <si>
    <t>We assumed that the capital cost and fixed cost for adding a CCS system increase by the same amount (per W) as for Coal IGCC;  we assumed CCS biomass IGCC heat rate increases by the same percentage relative to non-CCS biomass IGCC as CCS to non-CCS coal IGCC heat rates; we also assume that there's an adder per MWh for variable costs -- we assume that the difference in variable cost scales with the difference in heat rates</t>
    <phoneticPr fontId="11" type="noConversion"/>
  </si>
  <si>
    <r>
      <t>penalty</t>
    </r>
    <r>
      <rPr>
        <sz val="12"/>
        <rFont val="Calibri"/>
      </rPr>
      <t xml:space="preserve"> = ( fraction_dispatched x (degraded_heat_rate – heat_rate ) ) / ( (1 – fraction_dispatched ) x heat_rate )</t>
    </r>
  </si>
  <si>
    <t>Note</t>
    <phoneticPr fontId="11" type="noConversion"/>
  </si>
  <si>
    <t>CCGT</t>
    <phoneticPr fontId="11" type="noConversion"/>
  </si>
  <si>
    <t>Gas_Steam_Turbine</t>
    <phoneticPr fontId="11" type="noConversion"/>
  </si>
  <si>
    <t>Gas_Combustion_Turbine</t>
    <phoneticPr fontId="11" type="noConversion"/>
  </si>
  <si>
    <t>Ramp rates</t>
    <phoneticPr fontId="11" type="noConversion"/>
  </si>
  <si>
    <t>WWSIS, p. 174</t>
    <phoneticPr fontId="11" type="noConversion"/>
  </si>
  <si>
    <t>Part load relative heat rate</t>
    <phoneticPr fontId="11" type="noConversion"/>
  </si>
  <si>
    <t>Partial loading penalty</t>
    <phoneticPr fontId="11" type="noConversion"/>
  </si>
  <si>
    <t>Average penalty up to 40 percent loading</t>
    <phoneticPr fontId="11" type="noConversion"/>
  </si>
  <si>
    <t>Same as new nuclear</t>
    <phoneticPr fontId="11" type="noConversion"/>
  </si>
  <si>
    <t>can_build_new</t>
  </si>
  <si>
    <t>forced_outage_rate</t>
    <phoneticPr fontId="11" type="noConversion"/>
  </si>
  <si>
    <t>scheduled_outage_rate</t>
    <phoneticPr fontId="11" type="noConversion"/>
  </si>
  <si>
    <t>ReEDs Sheet</t>
    <phoneticPr fontId="11" type="noConversion"/>
  </si>
  <si>
    <t>tech_name_again</t>
    <phoneticPr fontId="11" type="noConversion"/>
  </si>
  <si>
    <t>Geothermal</t>
  </si>
  <si>
    <t>DistillateFuelOil_Internal_Combustion_Engine_EP</t>
  </si>
  <si>
    <t>Coal_Steam_Turbine_EP</t>
    <phoneticPr fontId="11" type="noConversion"/>
  </si>
  <si>
    <t>Gas_Steam_Turbine_EP</t>
    <phoneticPr fontId="11" type="noConversion"/>
  </si>
  <si>
    <t>Bio_Solid_CCS</t>
    <phoneticPr fontId="11" type="noConversion"/>
  </si>
  <si>
    <t>max_age_years</t>
    <phoneticPr fontId="11" type="noConversion"/>
  </si>
  <si>
    <t>Same as existing Gas Internal Combustion Engine, 75% capital cost and fixed cost</t>
    <phoneticPr fontId="11" type="noConversion"/>
  </si>
  <si>
    <t>year_2_cost_fraction</t>
    <phoneticPr fontId="11" type="noConversion"/>
  </si>
  <si>
    <t>year_3_cost_fraction</t>
    <phoneticPr fontId="11" type="noConversion"/>
  </si>
  <si>
    <t>Battery_Storage</t>
    <phoneticPr fontId="11" type="noConversion"/>
  </si>
  <si>
    <t>Storage</t>
    <phoneticPr fontId="11" type="noConversion"/>
  </si>
  <si>
    <t>CEC COG Model Version 2.02-4-5-10; we picked dual flash as the existing geothermal technology</t>
    <phoneticPr fontId="11" type="noConversion"/>
  </si>
  <si>
    <t>CEC COG Model Version 2.02-4-5-10; we picked the advanced CCGT technology (H Frame) for the new CCGT plants</t>
    <phoneticPr fontId="11" type="noConversion"/>
  </si>
  <si>
    <t>CEC COG Model Version 2.02-4-5-10; we picked the duct firing CCGT turbine for the existing CCGT technology</t>
    <phoneticPr fontId="11" type="noConversion"/>
  </si>
  <si>
    <t>Solar</t>
    <phoneticPr fontId="11" type="noConversion"/>
  </si>
  <si>
    <t>Bio_Solid</t>
    <phoneticPr fontId="11" type="noConversion"/>
  </si>
  <si>
    <t>construction_time_years</t>
    <phoneticPr fontId="11" type="noConversion"/>
  </si>
  <si>
    <t>cost_for_which_year?</t>
  </si>
  <si>
    <t>connect_cost_generic_$2007_per_mw</t>
    <phoneticPr fontId="11" type="noConversion"/>
  </si>
  <si>
    <t>fuel</t>
    <phoneticPr fontId="11" type="noConversion"/>
  </si>
  <si>
    <t>Gas</t>
    <phoneticPr fontId="11" type="noConversion"/>
  </si>
  <si>
    <t>CEC COG Model Version 2.02-4-5-10</t>
    <phoneticPr fontId="11" type="noConversion"/>
  </si>
  <si>
    <t>CEC COG Model Version 2.02-4-5-10; the overnight cost is adjusted from the non-storage CSP overnight-cost based on the difference in the storage and non-storage CSP from the Solar Advisor Model; the construction time of 1 year is probably too low</t>
    <phoneticPr fontId="11" type="noConversion"/>
  </si>
  <si>
    <t>CEC COG Model Version 2.02-4-5-10</t>
    <phoneticPr fontId="11" type="noConversion"/>
  </si>
  <si>
    <t>dispatchable</t>
    <phoneticPr fontId="11" type="noConversion"/>
  </si>
  <si>
    <t>cogen</t>
    <phoneticPr fontId="11" type="noConversion"/>
  </si>
  <si>
    <t>Same as new CCGT, 75% capital cost and fixed cost</t>
    <phoneticPr fontId="11" type="noConversion"/>
  </si>
  <si>
    <t>all dispatch data from TEPPC_Generator_Categories</t>
  </si>
  <si>
    <t>year</t>
    <phoneticPr fontId="11" type="noConversion"/>
  </si>
  <si>
    <t>$/Wp</t>
    <phoneticPr fontId="11" type="noConversion"/>
  </si>
  <si>
    <t>Percent of full load</t>
    <phoneticPr fontId="11" type="noConversion"/>
  </si>
  <si>
    <t>Steam</t>
    <phoneticPr fontId="11" type="noConversion"/>
  </si>
  <si>
    <t>Combustion</t>
    <phoneticPr fontId="11" type="noConversion"/>
  </si>
  <si>
    <t>note: we assume that cogen plants have 3/4 of the capital cost and fixed cost of a pure-electric plant, (to reflect shared infrastructure for cogen), but the same variable operating costs.</t>
    <phoneticPr fontId="11" type="noConversion"/>
  </si>
  <si>
    <t>Gas</t>
  </si>
  <si>
    <t>interest_between_price_year_and_cost_year</t>
    <phoneticPr fontId="11" type="noConversion"/>
  </si>
  <si>
    <t>Coal_IGCC_CCS</t>
    <phoneticPr fontId="11" type="noConversion"/>
  </si>
  <si>
    <t>Coal_Steam_Turbine_CCS</t>
    <phoneticPr fontId="11" type="noConversion"/>
  </si>
  <si>
    <t>Gas_CCS</t>
    <phoneticPr fontId="11" type="noConversion"/>
  </si>
  <si>
    <t>overnight_cost_$2007</t>
    <phoneticPr fontId="11" type="noConversion"/>
  </si>
  <si>
    <t>Gas_Steam_Turbine_Cogen_EP</t>
    <phoneticPr fontId="11" type="noConversion"/>
  </si>
  <si>
    <t>"Updated Capital Cost Estimates for Electricity Generation Plants," US EIA, November 2010; the lifetime, construction time, construction cost breakdown, and outage rates are the same as CCGT</t>
    <phoneticPr fontId="11" type="noConversion"/>
  </si>
  <si>
    <t>max_spinning_reserve_fraction_of_capacity</t>
  </si>
  <si>
    <t>Bio_Liquid</t>
    <phoneticPr fontId="11" type="noConversion"/>
  </si>
  <si>
    <t>Switch equivalent</t>
    <phoneticPr fontId="11" type="noConversion"/>
  </si>
  <si>
    <t>Heat rate at percent of full load</t>
    <phoneticPr fontId="11" type="noConversion"/>
  </si>
  <si>
    <t>1-min ramp rate</t>
    <phoneticPr fontId="11" type="noConversion"/>
  </si>
  <si>
    <t>10-min ramp rate</t>
    <phoneticPr fontId="11" type="noConversion"/>
  </si>
  <si>
    <t>Gas_Internal_Combustion_Engine_EP</t>
    <phoneticPr fontId="11" type="noConversion"/>
  </si>
  <si>
    <t>Cost Declination Rate (%/yr)</t>
    <phoneticPr fontId="11" type="noConversion"/>
  </si>
  <si>
    <t>var_o_m</t>
    <phoneticPr fontId="11" type="noConversion"/>
  </si>
  <si>
    <t>Nuclear_EP</t>
    <phoneticPr fontId="11" type="noConversion"/>
  </si>
  <si>
    <t>competes_for_space</t>
    <phoneticPr fontId="11" type="noConversion"/>
  </si>
  <si>
    <t>Geothermal</t>
    <phoneticPr fontId="11" type="noConversion"/>
  </si>
  <si>
    <t>Same as new wind except for a generic connect cost</t>
    <phoneticPr fontId="11" type="noConversion"/>
  </si>
  <si>
    <t>Same as existing gas combustion turbines</t>
    <phoneticPr fontId="11" type="noConversion"/>
  </si>
  <si>
    <t>Bio_Gas_Internal_Combustion_Engine_EP</t>
  </si>
  <si>
    <t>Bio_Gas_Internal_Combustion_Engine_Cogen_EP</t>
  </si>
  <si>
    <t>ReEDs Sheet, took OGS (Oil Gas Steam)</t>
    <phoneticPr fontId="11" type="noConversion"/>
  </si>
  <si>
    <t>We assumed that the capital cost and fixed cost for adding a CCS system increase by the same amount (per W) as for CCGT; we assumed CCS combustion turbine heat rate increases by the same percentage relative to non-CCS combustion turbines as CCS to non-CCS CCGT heat rates; we also assume that there's an adder per MWh for variable costs -- we assume that the difference in variable cost scales with the difference in heat rates</t>
    <phoneticPr fontId="11" type="noConversion"/>
  </si>
  <si>
    <t>flexible_baseload</t>
    <phoneticPr fontId="11" type="noConversion"/>
  </si>
  <si>
    <t>minimum_loading</t>
  </si>
  <si>
    <t>deep_cycling_penalty</t>
  </si>
  <si>
    <t>(in 2010 $)</t>
    <phoneticPr fontId="11" type="noConversion"/>
  </si>
  <si>
    <t xml:space="preserve">Solar Vision Study (see PV_Cost_Calc.xlsx) for costs, CEC COG Model for construction time and cost fractions, as well as for forced outage rate </t>
    <phoneticPr fontId="11" type="noConversion"/>
  </si>
  <si>
    <t>"Updated Capital Cost Estimates for Electricity Generation Plants," US EIA, November 2010; the lifetime, construction time, construction cost breakdown, and outage rates come from the CEC COG Model Version 2.02-4-5-10</t>
    <phoneticPr fontId="11" type="noConversion"/>
  </si>
  <si>
    <t>Bio_Solid</t>
    <phoneticPr fontId="11" type="noConversion"/>
  </si>
  <si>
    <t>year_4_cost_fraction</t>
    <phoneticPr fontId="11" type="noConversion"/>
  </si>
  <si>
    <t>year_5_cost_fraction</t>
    <phoneticPr fontId="11" type="noConversion"/>
  </si>
  <si>
    <t>year_6_cost_fraction</t>
    <phoneticPr fontId="11" type="noConversion"/>
  </si>
  <si>
    <t>fixed_o_m_$2007</t>
    <phoneticPr fontId="11" type="noConversion"/>
  </si>
  <si>
    <t xml:space="preserve">ReEDs Sheet; also Sullivan et al (2008), NREL/CP-670-43510 Conference Paper for o&amp;m costs, declanation rate, etc; $1,200,000 taken as capital cost in 2010 rather than 2004 based on conversation with Hernandez, also The storage efficiency of the the storage phase of compressed air energy storage from Samir Succar and Robert H. Williams: Compressed Air Energy Storage: Theory, Resources, And Applications For Wind Power, p. 39
</t>
    <phoneticPr fontId="11" type="noConversion"/>
  </si>
  <si>
    <t>CCGT_EP</t>
    <phoneticPr fontId="11" type="noConversion"/>
  </si>
  <si>
    <t>Gas_Combustion_Turbine_EP</t>
    <phoneticPr fontId="11" type="noConversion"/>
  </si>
  <si>
    <t>Wind</t>
    <phoneticPr fontId="11" type="noConversion"/>
  </si>
  <si>
    <t>price_and_dollar_year</t>
    <phoneticPr fontId="11" type="noConversion"/>
  </si>
  <si>
    <t>"Updated Capital Cost Estimates for Electricity Generation Plants," US EIA, November 2010; construction cost breakdown comes from the ReEDs Sheet; outage rates are the same as hydro</t>
    <phoneticPr fontId="11" type="noConversion"/>
  </si>
  <si>
    <t>Solar</t>
    <phoneticPr fontId="11" type="noConversion"/>
  </si>
  <si>
    <t>Bio_Gas</t>
    <phoneticPr fontId="11" type="noConversion"/>
  </si>
  <si>
    <t>Coal_Steam_Turbine</t>
  </si>
  <si>
    <t>Nuclear</t>
  </si>
  <si>
    <t>Wind_EP</t>
    <phoneticPr fontId="11" type="noConversion"/>
  </si>
  <si>
    <t>Gas</t>
    <phoneticPr fontId="11" type="noConversion"/>
  </si>
  <si>
    <t>Same as new coal steam turbines, 75% capital cost and fixed cost</t>
    <phoneticPr fontId="11" type="noConversion"/>
  </si>
  <si>
    <t>Same as gas combustion turbines, 75% capital cost and fixed cost</t>
    <phoneticPr fontId="11" type="noConversion"/>
  </si>
  <si>
    <t>CEC COG Model Version 2.02-4-5-10; we chose the fluidized bed biomass technology because it's more advanced</t>
    <phoneticPr fontId="11" type="noConversion"/>
  </si>
  <si>
    <t>intermittent</t>
  </si>
  <si>
    <t>resource_limited</t>
  </si>
  <si>
    <t>baseload</t>
  </si>
  <si>
    <t>min_build_capacity</t>
  </si>
  <si>
    <t>$year_of_costs</t>
  </si>
  <si>
    <t>CEC COG Model Version 2.02-4-5-10; we picked 100 MW combustion turbine as the existing technology</t>
    <phoneticPr fontId="11" type="noConversion"/>
  </si>
  <si>
    <t>We assume that a combustion turbine will never run at part load lower than 50 percent, so the 10-min ramp rate used to calculate the heat rate penalty is 0.5 rather than 1.</t>
    <phoneticPr fontId="11" type="noConversion"/>
  </si>
  <si>
    <t>Sources</t>
    <phoneticPr fontId="11" type="noConversion"/>
  </si>
  <si>
    <t>Heat rate curve</t>
    <phoneticPr fontId="11" type="noConversion"/>
  </si>
  <si>
    <t>overnight_cost</t>
    <phoneticPr fontId="11" type="noConversion"/>
  </si>
  <si>
    <t>Bio_Liquid_Steam_Turbine_Cogen_CCS</t>
    <phoneticPr fontId="11" type="noConversion"/>
  </si>
  <si>
    <t>Coal_Steam_Turbine_Cogen_CCS</t>
    <phoneticPr fontId="11" type="noConversion"/>
  </si>
  <si>
    <t>Gas_Internal_Combustion_Engine_Cogen_CCS</t>
    <phoneticPr fontId="11" type="noConversion"/>
  </si>
  <si>
    <t>Gas_CCS</t>
    <phoneticPr fontId="11" type="noConversion"/>
  </si>
  <si>
    <t>Bio_Gas_CCS</t>
    <phoneticPr fontId="11" type="noConversion"/>
  </si>
  <si>
    <t>Bio_Liquid_CCS</t>
    <phoneticPr fontId="11" type="noConversion"/>
  </si>
  <si>
    <t>Bio_Solid_CCS</t>
    <phoneticPr fontId="11" type="noConversion"/>
  </si>
  <si>
    <t>Coal_CCS</t>
    <phoneticPr fontId="11" type="noConversion"/>
  </si>
  <si>
    <t>Gas</t>
    <phoneticPr fontId="11" type="noConversion"/>
  </si>
  <si>
    <t>Solar</t>
    <phoneticPr fontId="11" type="noConversion"/>
  </si>
  <si>
    <t>Residential_PV</t>
    <phoneticPr fontId="11" type="noConversion"/>
  </si>
  <si>
    <t>technology_id</t>
    <phoneticPr fontId="11" type="noConversion"/>
  </si>
  <si>
    <t>Resultant Capital Costs ($2007/MW) in Investment Period Years</t>
    <phoneticPr fontId="11" type="noConversion"/>
  </si>
  <si>
    <t>Concentrating_PV</t>
    <phoneticPr fontId="11" type="noConversion"/>
  </si>
  <si>
    <t>CEC COG Model Version 2.02-4-5-10; we picked the advanced combustion turbine as the new technology</t>
    <phoneticPr fontId="11" type="noConversion"/>
  </si>
  <si>
    <t>DOE Solar Program Costs, took 2020 value for fixed O+M, 10% added to capital costs to go from utility to distributed, but also assumed a 5% declination rate; forced outage rate is from the CEC COG Model</t>
    <phoneticPr fontId="11" type="noConversion"/>
  </si>
  <si>
    <t>CSP_Trough_No_Storage</t>
    <phoneticPr fontId="11" type="noConversion"/>
  </si>
  <si>
    <t>CSP_Trough_6h_Storage</t>
    <phoneticPr fontId="11" type="noConversion"/>
  </si>
  <si>
    <t>Wind</t>
  </si>
  <si>
    <t>Central_PV</t>
    <phoneticPr fontId="11" type="noConversion"/>
  </si>
  <si>
    <t>fixed_o_m</t>
    <phoneticPr fontId="11" type="noConversion"/>
  </si>
  <si>
    <t>"Updated Capital Cost Estimates for Electricity Generation Plants," US EIA, November 2010; we assume the same lifetime, construction time, construction cost breakdown, and outage rates as for Coal IGCC</t>
    <phoneticPr fontId="11" type="noConversion"/>
  </si>
  <si>
    <t>CEC COG Model Version 2.02-4-5-10</t>
    <phoneticPr fontId="11" type="noConversion"/>
  </si>
  <si>
    <t>CEC COG Model Version 2.02-4-5-10; we chose the binary geothermal plants because they are more advanced</t>
    <phoneticPr fontId="11" type="noConversion"/>
  </si>
  <si>
    <t>"Updated Capital Cost Estimates for Electricity Generation Plants," US EIA, November 2010; the lifetime, construction time, construction cost breakdown, and outage rates are the same as Coal IGCC</t>
    <phoneticPr fontId="11" type="noConversion"/>
  </si>
  <si>
    <t>We assumed that the capital cost and fixed cost for adding a CCS system increase by the same amount (per W) as for gas combustion turbine; as biogas contains 50% pre-combustion CO2, we assumed that the biogas-CCS heat rate was the biogas non-CCS heat rate plus double the difference between CCS to non-CCS combustion turbine heat rates; we also assume a similar multiplier to variable costs</t>
    <phoneticPr fontId="11" type="noConversion"/>
  </si>
  <si>
    <t>Same as CCGT_CCS; 75% capital cost and fixed cost</t>
    <phoneticPr fontId="11" type="noConversion"/>
  </si>
  <si>
    <t>Biomass_Steam_Turbine</t>
  </si>
  <si>
    <t>Hydro_NonPumped</t>
    <phoneticPr fontId="11" type="noConversion"/>
  </si>
  <si>
    <t>Hydro_Pumped</t>
    <phoneticPr fontId="11" type="noConversion"/>
  </si>
  <si>
    <t>Water</t>
    <phoneticPr fontId="11" type="noConversion"/>
  </si>
  <si>
    <t>Water</t>
    <phoneticPr fontId="11" type="noConversion"/>
  </si>
  <si>
    <t>Biomass_IGCC</t>
  </si>
  <si>
    <t>Coal_Steam_Turbine_Cogen_EP</t>
    <phoneticPr fontId="11" type="noConversion"/>
  </si>
  <si>
    <t>heat_rate_mbtu_per_mwh</t>
    <phoneticPr fontId="11" type="noConversion"/>
  </si>
  <si>
    <t>Same as gas combustion turbine CCS; 75% capital cost and fixed cost</t>
    <phoneticPr fontId="11" type="noConversion"/>
  </si>
  <si>
    <t>Same as Gas_Internal_Combustion_Engine_Cogen_EP (which already includes the 75% of capital and fixed costs)</t>
    <phoneticPr fontId="11" type="noConversion"/>
  </si>
  <si>
    <t>Gas_Steam_Turbine_Cogen_CCS</t>
    <phoneticPr fontId="11" type="noConversion"/>
  </si>
  <si>
    <t>Same as Gas_Combustion_Turbine_Cogen_CCS</t>
    <phoneticPr fontId="11" type="noConversion"/>
  </si>
  <si>
    <t>Capital and fixed cost equal to 75% of Gas_Steam_Turbine_EP + difference between CCGT_CCS and CCGT, other flags like Gas_Steam_Turbine_Cogen (except ccs)</t>
    <phoneticPr fontId="11" type="noConversion"/>
  </si>
  <si>
    <t>CCGT_Cogen_CCS</t>
    <phoneticPr fontId="11" type="noConversion"/>
  </si>
  <si>
    <t>Gas_Combustion_Turbine_Cogen_CCS</t>
    <phoneticPr fontId="11" type="noConversion"/>
  </si>
  <si>
    <t>Bio_Gas_Internal_Combustion_Engine_Cogen_CCS</t>
    <phoneticPr fontId="11" type="noConversion"/>
  </si>
  <si>
    <t>Bio_Solid_Steam_Turbine_Cogen_CCS</t>
    <phoneticPr fontId="11" type="noConversion"/>
  </si>
  <si>
    <t>Bio_Gas_Steam_Turbine_EP</t>
  </si>
  <si>
    <t>Extra Fuel (Sp)</t>
    <phoneticPr fontId="11" type="noConversion"/>
  </si>
  <si>
    <t>Percent of full load</t>
    <phoneticPr fontId="11" type="noConversion"/>
  </si>
  <si>
    <t>Spinning reserve provided</t>
    <phoneticPr fontId="11" type="noConversion"/>
  </si>
  <si>
    <t>Steam</t>
    <phoneticPr fontId="11" type="noConversion"/>
  </si>
  <si>
    <t>Combustion</t>
    <phoneticPr fontId="11" type="noConversion"/>
  </si>
  <si>
    <r>
      <t xml:space="preserve">DispatchGen x heat_rate + ProvideSpinningReserve x </t>
    </r>
    <r>
      <rPr>
        <i/>
        <sz val="12"/>
        <rFont val="Calibri"/>
      </rPr>
      <t>penalty</t>
    </r>
    <r>
      <rPr>
        <sz val="12"/>
        <rFont val="Calibri"/>
      </rPr>
      <t xml:space="preserve">  x heat_rate = DispatchGen x degraded_heat_rate</t>
    </r>
    <phoneticPr fontId="11" type="noConversion"/>
  </si>
  <si>
    <t>Assuming DispatchGen + ProvideSpinningReserve = Installed_Capacity and normalizing for installed capacity, this gives us:</t>
    <phoneticPr fontId="11" type="noConversion"/>
  </si>
  <si>
    <t>Same as new Biogas_CCS, 75% capital cost and fixed cost</t>
    <phoneticPr fontId="11" type="noConversion"/>
  </si>
  <si>
    <t>Capital and fixed cost equal to 75% of Coal_Steam_Turbine_CCS</t>
    <phoneticPr fontId="11" type="noConversion"/>
  </si>
  <si>
    <t>Data_Source</t>
    <phoneticPr fontId="11" type="noConversion"/>
  </si>
  <si>
    <t>Same as existing Gas Combustion Turbine</t>
    <phoneticPr fontId="11" type="noConversion"/>
  </si>
  <si>
    <t>Geothermal_EP</t>
    <phoneticPr fontId="11" type="noConversion"/>
  </si>
  <si>
    <t>Gas_Internal_Combustion_Engine_Cogen_EP</t>
    <phoneticPr fontId="11" type="noConversion"/>
  </si>
  <si>
    <t>CCGT_Cogen_EP</t>
    <phoneticPr fontId="11" type="noConversion"/>
  </si>
  <si>
    <t>storage_efficiency</t>
  </si>
  <si>
    <t>max_store_rate</t>
  </si>
  <si>
    <t>ccs</t>
    <phoneticPr fontId="11" type="noConversion"/>
  </si>
  <si>
    <t>Coal</t>
    <phoneticPr fontId="11" type="noConversion"/>
  </si>
  <si>
    <t>Commercial_PV</t>
    <phoneticPr fontId="11" type="noConversion"/>
  </si>
  <si>
    <t>min_build_year</t>
    <phoneticPr fontId="11" type="noConversion"/>
  </si>
  <si>
    <t>Gas_Combustion_Turbine_Cogen_EP</t>
    <phoneticPr fontId="11" type="noConversion"/>
  </si>
  <si>
    <t>Switch equivalent</t>
    <phoneticPr fontId="11" type="noConversion"/>
  </si>
  <si>
    <t>Heat rate at percent of full load</t>
    <phoneticPr fontId="11" type="noConversion"/>
  </si>
  <si>
    <t>1-min ramp rate</t>
    <phoneticPr fontId="11" type="noConversion"/>
  </si>
  <si>
    <t>10-min ramp rate</t>
    <phoneticPr fontId="11" type="noConversion"/>
  </si>
  <si>
    <t>heat_rate_penalty_spinning_reserve</t>
    <phoneticPr fontId="11" type="noConversion"/>
  </si>
  <si>
    <t>Note</t>
    <phoneticPr fontId="11" type="noConversion"/>
  </si>
  <si>
    <t>CCGT</t>
    <phoneticPr fontId="11" type="noConversion"/>
  </si>
  <si>
    <t>Gas_Steam_Turbine</t>
    <phoneticPr fontId="11" type="noConversion"/>
  </si>
  <si>
    <t>Gas_Combustion_Turbine</t>
    <phoneticPr fontId="11" type="noConversion"/>
  </si>
  <si>
    <t>We assume that a combustion turbine will never run at part load lower than 50 percent, so the 10-min ramp rate used to calculate the heat rate penalty is 0.5 rather than 1.</t>
    <phoneticPr fontId="11" type="noConversion"/>
  </si>
  <si>
    <t>Sources</t>
    <phoneticPr fontId="11" type="noConversion"/>
  </si>
  <si>
    <t>Heat rate curve</t>
    <phoneticPr fontId="11" type="noConversion"/>
  </si>
  <si>
    <t>Ramp rates</t>
    <phoneticPr fontId="11" type="noConversion"/>
  </si>
  <si>
    <t>WWSIS, p. 174</t>
    <phoneticPr fontId="11" type="noConversion"/>
  </si>
  <si>
    <t>Part load relative heat rate</t>
    <phoneticPr fontId="11" type="noConversion"/>
  </si>
  <si>
    <t>Heat rate penalty</t>
    <phoneticPr fontId="11" type="noConversion"/>
  </si>
  <si>
    <t>Extra Fuel D</t>
    <phoneticPr fontId="11" type="noConversion"/>
  </si>
  <si>
    <t>Everything but costs same as gas steam turbine; captial and fixed costs are assumed to be the gas steam turbine cost plus the difference between biogas and gas combustion turbine</t>
    <phoneticPr fontId="11" type="noConversion"/>
  </si>
  <si>
    <t>Same as new biomass steam turbine</t>
    <phoneticPr fontId="11" type="noConversion"/>
  </si>
</sst>
</file>

<file path=xl/styles.xml><?xml version="1.0" encoding="utf-8"?>
<styleSheet xmlns="http://schemas.openxmlformats.org/spreadsheetml/2006/main">
  <numFmts count="4">
    <numFmt numFmtId="8" formatCode="&quot;$&quot;#,##0.00_);[Red]\(&quot;$&quot;#,##0.00\)"/>
    <numFmt numFmtId="164" formatCode="0.0"/>
    <numFmt numFmtId="165" formatCode="0.0000"/>
    <numFmt numFmtId="166" formatCode="0.000"/>
  </numFmts>
  <fonts count="15">
    <font>
      <sz val="10"/>
      <name val="Verdana"/>
    </font>
    <font>
      <b/>
      <sz val="10"/>
      <name val="Verdana"/>
    </font>
    <font>
      <i/>
      <sz val="10"/>
      <name val="Verdana"/>
    </font>
    <font>
      <sz val="10"/>
      <name val="Verdana"/>
    </font>
    <font>
      <b/>
      <sz val="10"/>
      <name val="Verdana"/>
    </font>
    <font>
      <i/>
      <sz val="10"/>
      <name val="Verdana"/>
    </font>
    <font>
      <sz val="10"/>
      <name val="Verdana"/>
    </font>
    <font>
      <sz val="10"/>
      <name val="Verdana"/>
    </font>
    <font>
      <sz val="10"/>
      <name val="Verdana"/>
    </font>
    <font>
      <b/>
      <sz val="10"/>
      <name val="Verdana"/>
    </font>
    <font>
      <b/>
      <sz val="10"/>
      <name val="Verdana"/>
    </font>
    <font>
      <sz val="8"/>
      <name val="Verdana"/>
    </font>
    <font>
      <sz val="10"/>
      <name val="Arial"/>
    </font>
    <font>
      <sz val="12"/>
      <name val="Calibri"/>
    </font>
    <font>
      <i/>
      <sz val="12"/>
      <name val="Calibri"/>
    </font>
  </fonts>
  <fills count="3">
    <fill>
      <patternFill patternType="none"/>
    </fill>
    <fill>
      <patternFill patternType="gray125"/>
    </fill>
    <fill>
      <patternFill patternType="solid">
        <fgColor indexed="43"/>
        <bgColor indexed="64"/>
      </patternFill>
    </fill>
  </fills>
  <borders count="1">
    <border>
      <left/>
      <right/>
      <top/>
      <bottom/>
      <diagonal/>
    </border>
  </borders>
  <cellStyleXfs count="3">
    <xf numFmtId="0" fontId="0" fillId="0" borderId="0"/>
    <xf numFmtId="0" fontId="12" fillId="0" borderId="0">
      <alignment vertical="top"/>
    </xf>
    <xf numFmtId="3" fontId="12" fillId="0" borderId="0" applyFont="0" applyFill="0" applyBorder="0" applyAlignment="0" applyProtection="0"/>
  </cellStyleXfs>
  <cellXfs count="61">
    <xf numFmtId="0" fontId="0" fillId="0" borderId="0" xfId="0"/>
    <xf numFmtId="2" fontId="0" fillId="0" borderId="0" xfId="0" applyNumberFormat="1"/>
    <xf numFmtId="164" fontId="0" fillId="0" borderId="0" xfId="0" applyNumberFormat="1"/>
    <xf numFmtId="0" fontId="0" fillId="0" borderId="0" xfId="0"/>
    <xf numFmtId="0" fontId="0" fillId="0" borderId="0" xfId="0"/>
    <xf numFmtId="0" fontId="0" fillId="0" borderId="0" xfId="0"/>
    <xf numFmtId="0" fontId="10"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8" fontId="0" fillId="0" borderId="0" xfId="0" applyNumberFormat="1"/>
    <xf numFmtId="0" fontId="0" fillId="0" borderId="0" xfId="0" applyFill="1"/>
    <xf numFmtId="0" fontId="0" fillId="0" borderId="0" xfId="0"/>
    <xf numFmtId="0" fontId="0" fillId="0" borderId="0" xfId="0"/>
    <xf numFmtId="0" fontId="0" fillId="0" borderId="0" xfId="0"/>
    <xf numFmtId="0" fontId="0" fillId="0" borderId="0" xfId="0" applyAlignment="1">
      <alignment wrapText="1"/>
    </xf>
    <xf numFmtId="0" fontId="0" fillId="0" borderId="0" xfId="0"/>
    <xf numFmtId="0" fontId="9" fillId="0" borderId="0" xfId="0" applyFont="1"/>
    <xf numFmtId="0" fontId="0" fillId="2" borderId="0" xfId="0" applyFill="1"/>
    <xf numFmtId="0" fontId="7" fillId="0" borderId="0" xfId="0" applyFont="1"/>
    <xf numFmtId="0" fontId="0" fillId="0" borderId="0" xfId="0" applyNumberFormat="1"/>
    <xf numFmtId="0" fontId="8" fillId="0" borderId="0" xfId="0" applyNumberFormat="1" applyFont="1" applyBorder="1"/>
    <xf numFmtId="0" fontId="0" fillId="2" borderId="0" xfId="0" applyNumberFormat="1" applyFill="1"/>
    <xf numFmtId="0" fontId="4" fillId="0" borderId="0" xfId="0" applyFont="1" applyBorder="1"/>
    <xf numFmtId="0" fontId="4" fillId="0" borderId="0" xfId="0" applyFont="1" applyFill="1" applyBorder="1"/>
    <xf numFmtId="0" fontId="6" fillId="0" borderId="0" xfId="0" applyFont="1" applyBorder="1"/>
    <xf numFmtId="9" fontId="5" fillId="0" borderId="0" xfId="0" applyNumberFormat="1" applyFont="1" applyBorder="1"/>
    <xf numFmtId="0" fontId="6" fillId="0" borderId="0" xfId="0" applyFont="1" applyFill="1" applyBorder="1"/>
    <xf numFmtId="166" fontId="6" fillId="0" borderId="0" xfId="0" applyNumberFormat="1" applyFont="1" applyBorder="1"/>
    <xf numFmtId="165" fontId="6" fillId="0" borderId="0" xfId="0" applyNumberFormat="1" applyFont="1" applyBorder="1"/>
    <xf numFmtId="0" fontId="6" fillId="0" borderId="0" xfId="0" applyFont="1"/>
    <xf numFmtId="9" fontId="6" fillId="0" borderId="0" xfId="0" applyNumberFormat="1" applyFont="1" applyBorder="1"/>
    <xf numFmtId="0" fontId="6" fillId="0" borderId="0" xfId="0" applyNumberFormat="1" applyFont="1" applyBorder="1"/>
    <xf numFmtId="9" fontId="6" fillId="0" borderId="0" xfId="0" applyNumberFormat="1" applyFont="1" applyFill="1" applyBorder="1"/>
    <xf numFmtId="0" fontId="13" fillId="0" borderId="0" xfId="0" applyFont="1"/>
    <xf numFmtId="0" fontId="14" fillId="0" borderId="0" xfId="0" applyFont="1"/>
    <xf numFmtId="0" fontId="1" fillId="0" borderId="0" xfId="0" applyFont="1" applyBorder="1"/>
    <xf numFmtId="0" fontId="1" fillId="0" borderId="0" xfId="0" applyFont="1" applyFill="1" applyBorder="1"/>
    <xf numFmtId="0" fontId="3" fillId="0" borderId="0" xfId="0" applyFont="1" applyBorder="1"/>
    <xf numFmtId="9" fontId="2" fillId="0" borderId="0" xfId="0" applyNumberFormat="1" applyFont="1" applyBorder="1"/>
    <xf numFmtId="0" fontId="3" fillId="0" borderId="0" xfId="0" applyFont="1" applyFill="1" applyBorder="1"/>
    <xf numFmtId="166" fontId="3" fillId="0" borderId="0" xfId="0" applyNumberFormat="1" applyFont="1" applyBorder="1"/>
    <xf numFmtId="0" fontId="3" fillId="0" borderId="0" xfId="0" applyFont="1"/>
    <xf numFmtId="9" fontId="3" fillId="0" borderId="0" xfId="0" applyNumberFormat="1" applyFont="1" applyBorder="1"/>
    <xf numFmtId="0" fontId="3" fillId="0" borderId="0" xfId="0" applyNumberFormat="1" applyFont="1" applyBorder="1"/>
    <xf numFmtId="9" fontId="3" fillId="0" borderId="0" xfId="0" applyNumberFormat="1" applyFont="1" applyFill="1" applyBorder="1"/>
    <xf numFmtId="165" fontId="3" fillId="2" borderId="0" xfId="0" applyNumberFormat="1" applyFont="1" applyFill="1" applyBorder="1"/>
    <xf numFmtId="0" fontId="6" fillId="2" borderId="0" xfId="0" applyFont="1" applyFill="1" applyBorder="1"/>
  </cellXfs>
  <cellStyles count="3">
    <cellStyle name="Comma 2" xfId="2"/>
    <cellStyle name="Normal" xfId="0" builtinId="0"/>
    <cellStyle name="Normal 2 2" xfId="1"/>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style val="2"/>
  <c:chart>
    <c:plotArea>
      <c:layout/>
      <c:scatterChart>
        <c:scatterStyle val="lineMarker"/>
        <c:ser>
          <c:idx val="0"/>
          <c:order val="0"/>
          <c:marker>
            <c:symbol val="none"/>
          </c:marker>
          <c:xVal>
            <c:numRef>
              <c:f>spinning_reserves_penalty!$A$14:$A$64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spinning_reserves_penalty!$C$14:$C$64</c:f>
              <c:numCache>
                <c:formatCode>General</c:formatCode>
                <c:ptCount val="51"/>
                <c:pt idx="0">
                  <c:v>1.0</c:v>
                </c:pt>
                <c:pt idx="1">
                  <c:v>1.00408</c:v>
                </c:pt>
                <c:pt idx="2">
                  <c:v>1.00816</c:v>
                </c:pt>
                <c:pt idx="3">
                  <c:v>1.01224</c:v>
                </c:pt>
                <c:pt idx="4">
                  <c:v>1.01632</c:v>
                </c:pt>
                <c:pt idx="5">
                  <c:v>1.0204</c:v>
                </c:pt>
                <c:pt idx="6">
                  <c:v>1.02448</c:v>
                </c:pt>
                <c:pt idx="7">
                  <c:v>1.02856</c:v>
                </c:pt>
                <c:pt idx="8">
                  <c:v>1.03264</c:v>
                </c:pt>
                <c:pt idx="9">
                  <c:v>1.03672</c:v>
                </c:pt>
                <c:pt idx="10">
                  <c:v>1.0408</c:v>
                </c:pt>
                <c:pt idx="11">
                  <c:v>1.04488</c:v>
                </c:pt>
                <c:pt idx="12">
                  <c:v>1.04896</c:v>
                </c:pt>
                <c:pt idx="13">
                  <c:v>1.05304</c:v>
                </c:pt>
                <c:pt idx="14">
                  <c:v>1.05712</c:v>
                </c:pt>
                <c:pt idx="15">
                  <c:v>1.0612</c:v>
                </c:pt>
                <c:pt idx="16">
                  <c:v>1.06528</c:v>
                </c:pt>
                <c:pt idx="17">
                  <c:v>1.06936</c:v>
                </c:pt>
                <c:pt idx="18">
                  <c:v>1.07344</c:v>
                </c:pt>
                <c:pt idx="19">
                  <c:v>1.07752</c:v>
                </c:pt>
                <c:pt idx="20">
                  <c:v>1.0816</c:v>
                </c:pt>
                <c:pt idx="21">
                  <c:v>1.08568</c:v>
                </c:pt>
                <c:pt idx="22">
                  <c:v>1.08976</c:v>
                </c:pt>
                <c:pt idx="23">
                  <c:v>1.09384</c:v>
                </c:pt>
                <c:pt idx="24">
                  <c:v>1.09792</c:v>
                </c:pt>
                <c:pt idx="25">
                  <c:v>1.102</c:v>
                </c:pt>
                <c:pt idx="26">
                  <c:v>1.10572</c:v>
                </c:pt>
                <c:pt idx="27">
                  <c:v>1.10944</c:v>
                </c:pt>
                <c:pt idx="28">
                  <c:v>1.11316</c:v>
                </c:pt>
                <c:pt idx="29">
                  <c:v>1.11688</c:v>
                </c:pt>
                <c:pt idx="30">
                  <c:v>1.1206</c:v>
                </c:pt>
                <c:pt idx="31">
                  <c:v>1.12432</c:v>
                </c:pt>
                <c:pt idx="32">
                  <c:v>1.12804</c:v>
                </c:pt>
                <c:pt idx="33">
                  <c:v>1.13176</c:v>
                </c:pt>
                <c:pt idx="34">
                  <c:v>1.13548</c:v>
                </c:pt>
                <c:pt idx="35">
                  <c:v>1.1392</c:v>
                </c:pt>
                <c:pt idx="36">
                  <c:v>1.14292</c:v>
                </c:pt>
                <c:pt idx="37">
                  <c:v>1.14664</c:v>
                </c:pt>
                <c:pt idx="38">
                  <c:v>1.15036</c:v>
                </c:pt>
                <c:pt idx="39">
                  <c:v>1.15408</c:v>
                </c:pt>
                <c:pt idx="40">
                  <c:v>1.1578</c:v>
                </c:pt>
                <c:pt idx="41">
                  <c:v>1.16152</c:v>
                </c:pt>
                <c:pt idx="42">
                  <c:v>1.16524</c:v>
                </c:pt>
                <c:pt idx="43">
                  <c:v>1.16896</c:v>
                </c:pt>
                <c:pt idx="44">
                  <c:v>1.17268</c:v>
                </c:pt>
                <c:pt idx="45">
                  <c:v>1.1764</c:v>
                </c:pt>
                <c:pt idx="46">
                  <c:v>1.18012</c:v>
                </c:pt>
                <c:pt idx="47">
                  <c:v>1.18384</c:v>
                </c:pt>
                <c:pt idx="48">
                  <c:v>1.18756</c:v>
                </c:pt>
                <c:pt idx="49">
                  <c:v>1.19128</c:v>
                </c:pt>
                <c:pt idx="50">
                  <c:v>1.195</c:v>
                </c:pt>
              </c:numCache>
            </c:numRef>
          </c:yVal>
        </c:ser>
        <c:ser>
          <c:idx val="1"/>
          <c:order val="1"/>
          <c:marker>
            <c:symbol val="none"/>
          </c:marker>
          <c:xVal>
            <c:numRef>
              <c:f>spinning_reserves_penalty!$A$14:$A$64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spinning_reserves_penalty!$D$14:$D$64</c:f>
              <c:numCache>
                <c:formatCode>General</c:formatCode>
                <c:ptCount val="51"/>
                <c:pt idx="0">
                  <c:v>1.0</c:v>
                </c:pt>
                <c:pt idx="1">
                  <c:v>1.0004</c:v>
                </c:pt>
                <c:pt idx="2">
                  <c:v>1.0008</c:v>
                </c:pt>
                <c:pt idx="3">
                  <c:v>1.0012</c:v>
                </c:pt>
                <c:pt idx="4">
                  <c:v>1.0016</c:v>
                </c:pt>
                <c:pt idx="5">
                  <c:v>1.002</c:v>
                </c:pt>
                <c:pt idx="6">
                  <c:v>1.0024</c:v>
                </c:pt>
                <c:pt idx="7">
                  <c:v>1.0028</c:v>
                </c:pt>
                <c:pt idx="8">
                  <c:v>1.0032</c:v>
                </c:pt>
                <c:pt idx="9">
                  <c:v>1.0036</c:v>
                </c:pt>
                <c:pt idx="10">
                  <c:v>1.004</c:v>
                </c:pt>
                <c:pt idx="11">
                  <c:v>1.0044</c:v>
                </c:pt>
                <c:pt idx="12">
                  <c:v>1.0048</c:v>
                </c:pt>
                <c:pt idx="13">
                  <c:v>1.0052</c:v>
                </c:pt>
                <c:pt idx="14">
                  <c:v>1.0056</c:v>
                </c:pt>
                <c:pt idx="15">
                  <c:v>1.006</c:v>
                </c:pt>
                <c:pt idx="16">
                  <c:v>1.0064</c:v>
                </c:pt>
                <c:pt idx="17">
                  <c:v>1.0068</c:v>
                </c:pt>
                <c:pt idx="18">
                  <c:v>1.0072</c:v>
                </c:pt>
                <c:pt idx="19">
                  <c:v>1.0076</c:v>
                </c:pt>
                <c:pt idx="20">
                  <c:v>1.008</c:v>
                </c:pt>
                <c:pt idx="21">
                  <c:v>1.0084</c:v>
                </c:pt>
                <c:pt idx="22">
                  <c:v>1.0088</c:v>
                </c:pt>
                <c:pt idx="23">
                  <c:v>1.0092</c:v>
                </c:pt>
                <c:pt idx="24">
                  <c:v>1.0096</c:v>
                </c:pt>
                <c:pt idx="25">
                  <c:v>1.01</c:v>
                </c:pt>
                <c:pt idx="26">
                  <c:v>1.01204</c:v>
                </c:pt>
                <c:pt idx="27">
                  <c:v>1.01408</c:v>
                </c:pt>
                <c:pt idx="28">
                  <c:v>1.01612</c:v>
                </c:pt>
                <c:pt idx="29">
                  <c:v>1.01816</c:v>
                </c:pt>
                <c:pt idx="30">
                  <c:v>1.0202</c:v>
                </c:pt>
                <c:pt idx="31">
                  <c:v>1.02224</c:v>
                </c:pt>
                <c:pt idx="32">
                  <c:v>1.02428</c:v>
                </c:pt>
                <c:pt idx="33">
                  <c:v>1.02632</c:v>
                </c:pt>
                <c:pt idx="34">
                  <c:v>1.02836</c:v>
                </c:pt>
                <c:pt idx="35">
                  <c:v>1.0304</c:v>
                </c:pt>
                <c:pt idx="36">
                  <c:v>1.03244</c:v>
                </c:pt>
                <c:pt idx="37">
                  <c:v>1.03448</c:v>
                </c:pt>
                <c:pt idx="38">
                  <c:v>1.03652</c:v>
                </c:pt>
                <c:pt idx="39">
                  <c:v>1.03856</c:v>
                </c:pt>
                <c:pt idx="40">
                  <c:v>1.0406</c:v>
                </c:pt>
                <c:pt idx="41">
                  <c:v>1.04264</c:v>
                </c:pt>
                <c:pt idx="42">
                  <c:v>1.04468</c:v>
                </c:pt>
                <c:pt idx="43">
                  <c:v>1.04672</c:v>
                </c:pt>
                <c:pt idx="44">
                  <c:v>1.04876</c:v>
                </c:pt>
                <c:pt idx="45">
                  <c:v>1.0508</c:v>
                </c:pt>
                <c:pt idx="46">
                  <c:v>1.05284</c:v>
                </c:pt>
                <c:pt idx="47">
                  <c:v>1.05488</c:v>
                </c:pt>
                <c:pt idx="48">
                  <c:v>1.05692</c:v>
                </c:pt>
                <c:pt idx="49">
                  <c:v>1.05896</c:v>
                </c:pt>
                <c:pt idx="50">
                  <c:v>1.061</c:v>
                </c:pt>
              </c:numCache>
            </c:numRef>
          </c:yVal>
        </c:ser>
        <c:ser>
          <c:idx val="2"/>
          <c:order val="2"/>
          <c:marker>
            <c:symbol val="none"/>
          </c:marker>
          <c:xVal>
            <c:numRef>
              <c:f>spinning_reserves_penalty!$A$14:$A$64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spinning_reserves_penalty!$E$14:$E$64</c:f>
              <c:numCache>
                <c:formatCode>General</c:formatCode>
                <c:ptCount val="51"/>
                <c:pt idx="0">
                  <c:v>1.0</c:v>
                </c:pt>
                <c:pt idx="1">
                  <c:v>1.00116</c:v>
                </c:pt>
                <c:pt idx="2">
                  <c:v>1.00232</c:v>
                </c:pt>
                <c:pt idx="3">
                  <c:v>1.00348</c:v>
                </c:pt>
                <c:pt idx="4">
                  <c:v>1.00464</c:v>
                </c:pt>
                <c:pt idx="5">
                  <c:v>1.0058</c:v>
                </c:pt>
                <c:pt idx="6">
                  <c:v>1.00696</c:v>
                </c:pt>
                <c:pt idx="7">
                  <c:v>1.00812</c:v>
                </c:pt>
                <c:pt idx="8">
                  <c:v>1.00928</c:v>
                </c:pt>
                <c:pt idx="9">
                  <c:v>1.01044</c:v>
                </c:pt>
                <c:pt idx="10">
                  <c:v>1.0116</c:v>
                </c:pt>
                <c:pt idx="11">
                  <c:v>1.01276</c:v>
                </c:pt>
                <c:pt idx="12">
                  <c:v>1.01392</c:v>
                </c:pt>
                <c:pt idx="13">
                  <c:v>1.01508</c:v>
                </c:pt>
                <c:pt idx="14">
                  <c:v>1.01624</c:v>
                </c:pt>
                <c:pt idx="15">
                  <c:v>1.0174</c:v>
                </c:pt>
                <c:pt idx="16">
                  <c:v>1.01856</c:v>
                </c:pt>
                <c:pt idx="17">
                  <c:v>1.01972</c:v>
                </c:pt>
                <c:pt idx="18">
                  <c:v>1.02088</c:v>
                </c:pt>
                <c:pt idx="19">
                  <c:v>1.02204</c:v>
                </c:pt>
                <c:pt idx="20">
                  <c:v>1.0232</c:v>
                </c:pt>
                <c:pt idx="21">
                  <c:v>1.02436</c:v>
                </c:pt>
                <c:pt idx="22">
                  <c:v>1.02552</c:v>
                </c:pt>
                <c:pt idx="23">
                  <c:v>1.02668</c:v>
                </c:pt>
                <c:pt idx="24">
                  <c:v>1.02784</c:v>
                </c:pt>
                <c:pt idx="25">
                  <c:v>1.029</c:v>
                </c:pt>
                <c:pt idx="26">
                  <c:v>1.03164</c:v>
                </c:pt>
                <c:pt idx="27">
                  <c:v>1.03428</c:v>
                </c:pt>
                <c:pt idx="28">
                  <c:v>1.03692</c:v>
                </c:pt>
                <c:pt idx="29">
                  <c:v>1.03956</c:v>
                </c:pt>
                <c:pt idx="30">
                  <c:v>1.0422</c:v>
                </c:pt>
                <c:pt idx="31">
                  <c:v>1.04484</c:v>
                </c:pt>
                <c:pt idx="32">
                  <c:v>1.04748</c:v>
                </c:pt>
                <c:pt idx="33">
                  <c:v>1.05012</c:v>
                </c:pt>
                <c:pt idx="34">
                  <c:v>1.05276</c:v>
                </c:pt>
                <c:pt idx="35">
                  <c:v>1.0554</c:v>
                </c:pt>
                <c:pt idx="36">
                  <c:v>1.05804</c:v>
                </c:pt>
                <c:pt idx="37">
                  <c:v>1.06068</c:v>
                </c:pt>
                <c:pt idx="38">
                  <c:v>1.06332</c:v>
                </c:pt>
                <c:pt idx="39">
                  <c:v>1.06596</c:v>
                </c:pt>
                <c:pt idx="40">
                  <c:v>1.0686</c:v>
                </c:pt>
                <c:pt idx="41">
                  <c:v>1.07124</c:v>
                </c:pt>
                <c:pt idx="42">
                  <c:v>1.07388</c:v>
                </c:pt>
                <c:pt idx="43">
                  <c:v>1.07652</c:v>
                </c:pt>
                <c:pt idx="44">
                  <c:v>1.07916</c:v>
                </c:pt>
                <c:pt idx="45">
                  <c:v>1.0818</c:v>
                </c:pt>
                <c:pt idx="46">
                  <c:v>1.08444</c:v>
                </c:pt>
                <c:pt idx="47">
                  <c:v>1.08708</c:v>
                </c:pt>
                <c:pt idx="48">
                  <c:v>1.08972</c:v>
                </c:pt>
                <c:pt idx="49">
                  <c:v>1.09236</c:v>
                </c:pt>
                <c:pt idx="50">
                  <c:v>1.095</c:v>
                </c:pt>
              </c:numCache>
            </c:numRef>
          </c:yVal>
        </c:ser>
        <c:axId val="575479592"/>
        <c:axId val="575482664"/>
      </c:scatterChart>
      <c:valAx>
        <c:axId val="575479592"/>
        <c:scaling>
          <c:orientation val="maxMin"/>
          <c:max val="1.0"/>
          <c:min val="0.5"/>
        </c:scaling>
        <c:axPos val="b"/>
        <c:numFmt formatCode="0%" sourceLinked="1"/>
        <c:tickLblPos val="nextTo"/>
        <c:crossAx val="575482664"/>
        <c:crosses val="autoZero"/>
        <c:crossBetween val="midCat"/>
      </c:valAx>
      <c:valAx>
        <c:axId val="575482664"/>
        <c:scaling>
          <c:orientation val="minMax"/>
        </c:scaling>
        <c:axPos val="r"/>
        <c:majorGridlines/>
        <c:numFmt formatCode="General" sourceLinked="1"/>
        <c:tickLblPos val="nextTo"/>
        <c:crossAx val="575479592"/>
        <c:crosses val="autoZero"/>
        <c:crossBetween val="midCat"/>
      </c:valAx>
    </c:plotArea>
    <c:legend>
      <c:legendPos val="r"/>
      <c:layout/>
    </c:legend>
    <c:plotVisOnly val="1"/>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style val="2"/>
  <c:chart>
    <c:plotArea>
      <c:layout/>
      <c:scatterChart>
        <c:scatterStyle val="lineMarker"/>
        <c:ser>
          <c:idx val="0"/>
          <c:order val="0"/>
          <c:marker>
            <c:symbol val="none"/>
          </c:marker>
          <c:xVal>
            <c:numRef>
              <c:f>spinning_reserves_penalty!$A$14:$A$64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spinning_reserves_penalty!$J$14:$J$64</c:f>
              <c:numCache>
                <c:formatCode>General</c:formatCode>
                <c:ptCount val="51"/>
                <c:pt idx="0">
                  <c:v>0.0</c:v>
                </c:pt>
                <c:pt idx="1">
                  <c:v>0.0282744000000006</c:v>
                </c:pt>
                <c:pt idx="2">
                  <c:v>0.0559775999999996</c:v>
                </c:pt>
                <c:pt idx="3">
                  <c:v>0.0831096000000002</c:v>
                </c:pt>
                <c:pt idx="4">
                  <c:v>0.109670400000001</c:v>
                </c:pt>
                <c:pt idx="5">
                  <c:v>0.13566</c:v>
                </c:pt>
                <c:pt idx="6">
                  <c:v>0.1610784</c:v>
                </c:pt>
                <c:pt idx="7">
                  <c:v>0.185925599999999</c:v>
                </c:pt>
                <c:pt idx="8">
                  <c:v>0.2102016</c:v>
                </c:pt>
                <c:pt idx="9">
                  <c:v>0.233906400000001</c:v>
                </c:pt>
                <c:pt idx="10">
                  <c:v>0.25704</c:v>
                </c:pt>
                <c:pt idx="11">
                  <c:v>0.2796024</c:v>
                </c:pt>
                <c:pt idx="12">
                  <c:v>0.301593600000001</c:v>
                </c:pt>
                <c:pt idx="13">
                  <c:v>0.3230136</c:v>
                </c:pt>
                <c:pt idx="14">
                  <c:v>0.3438624</c:v>
                </c:pt>
                <c:pt idx="15">
                  <c:v>0.364140000000001</c:v>
                </c:pt>
                <c:pt idx="16">
                  <c:v>0.3838464</c:v>
                </c:pt>
                <c:pt idx="17">
                  <c:v>0.4029816</c:v>
                </c:pt>
                <c:pt idx="18">
                  <c:v>0.421545600000001</c:v>
                </c:pt>
                <c:pt idx="19">
                  <c:v>0.4395384</c:v>
                </c:pt>
                <c:pt idx="20">
                  <c:v>0.456960000000001</c:v>
                </c:pt>
                <c:pt idx="21">
                  <c:v>0.4738104</c:v>
                </c:pt>
                <c:pt idx="22">
                  <c:v>0.4900896</c:v>
                </c:pt>
                <c:pt idx="23">
                  <c:v>0.505797600000001</c:v>
                </c:pt>
                <c:pt idx="24">
                  <c:v>0.5209344</c:v>
                </c:pt>
                <c:pt idx="25">
                  <c:v>0.535500000000001</c:v>
                </c:pt>
                <c:pt idx="26">
                  <c:v>0.5476296</c:v>
                </c:pt>
                <c:pt idx="27">
                  <c:v>0.559238400000001</c:v>
                </c:pt>
                <c:pt idx="28">
                  <c:v>0.570326400000001</c:v>
                </c:pt>
                <c:pt idx="29">
                  <c:v>0.5808936</c:v>
                </c:pt>
                <c:pt idx="30">
                  <c:v>0.59094</c:v>
                </c:pt>
                <c:pt idx="31">
                  <c:v>0.600465600000001</c:v>
                </c:pt>
                <c:pt idx="32">
                  <c:v>0.609470400000001</c:v>
                </c:pt>
                <c:pt idx="33">
                  <c:v>0.6179544</c:v>
                </c:pt>
                <c:pt idx="34">
                  <c:v>0.6259176</c:v>
                </c:pt>
                <c:pt idx="35">
                  <c:v>0.63336</c:v>
                </c:pt>
                <c:pt idx="36">
                  <c:v>0.640281600000001</c:v>
                </c:pt>
                <c:pt idx="37">
                  <c:v>0.6466824</c:v>
                </c:pt>
                <c:pt idx="38">
                  <c:v>0.6525624</c:v>
                </c:pt>
                <c:pt idx="39">
                  <c:v>0.6579216</c:v>
                </c:pt>
                <c:pt idx="40">
                  <c:v>0.662760000000001</c:v>
                </c:pt>
                <c:pt idx="41">
                  <c:v>0.6670776</c:v>
                </c:pt>
                <c:pt idx="42">
                  <c:v>0.6708744</c:v>
                </c:pt>
                <c:pt idx="43">
                  <c:v>0.6741504</c:v>
                </c:pt>
                <c:pt idx="44">
                  <c:v>0.6769056</c:v>
                </c:pt>
                <c:pt idx="45">
                  <c:v>0.67914</c:v>
                </c:pt>
                <c:pt idx="46">
                  <c:v>0.6808536</c:v>
                </c:pt>
                <c:pt idx="47">
                  <c:v>0.6820464</c:v>
                </c:pt>
                <c:pt idx="48">
                  <c:v>0.6827184</c:v>
                </c:pt>
                <c:pt idx="49">
                  <c:v>0.6828696</c:v>
                </c:pt>
                <c:pt idx="50">
                  <c:v>0.6825</c:v>
                </c:pt>
              </c:numCache>
            </c:numRef>
          </c:yVal>
        </c:ser>
        <c:axId val="586025320"/>
        <c:axId val="586040040"/>
      </c:scatterChart>
      <c:valAx>
        <c:axId val="586025320"/>
        <c:scaling>
          <c:orientation val="maxMin"/>
          <c:max val="1.0"/>
          <c:min val="0.5"/>
        </c:scaling>
        <c:axPos val="b"/>
        <c:numFmt formatCode="0%" sourceLinked="1"/>
        <c:tickLblPos val="nextTo"/>
        <c:crossAx val="586040040"/>
        <c:crosses val="autoZero"/>
        <c:crossBetween val="midCat"/>
      </c:valAx>
      <c:valAx>
        <c:axId val="586040040"/>
        <c:scaling>
          <c:orientation val="minMax"/>
        </c:scaling>
        <c:axPos val="r"/>
        <c:majorGridlines/>
        <c:numFmt formatCode="General" sourceLinked="1"/>
        <c:tickLblPos val="nextTo"/>
        <c:crossAx val="586025320"/>
        <c:crosses val="autoZero"/>
        <c:crossBetween val="midCat"/>
      </c:valAx>
    </c:plotArea>
    <c:legend>
      <c:legendPos val="r"/>
      <c:layout/>
    </c:legend>
    <c:plotVisOnly val="1"/>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style val="18"/>
  <c:chart>
    <c:plotArea>
      <c:layout/>
      <c:lineChart>
        <c:grouping val="standard"/>
        <c:ser>
          <c:idx val="0"/>
          <c:order val="0"/>
          <c:tx>
            <c:strRef>
              <c:f>spinning_reserves_penalty!$A$3</c:f>
              <c:strCache>
                <c:ptCount val="1"/>
                <c:pt idx="0">
                  <c:v>CCGT</c:v>
                </c:pt>
              </c:strCache>
            </c:strRef>
          </c:tx>
          <c:marker>
            <c:symbol val="none"/>
          </c:marker>
          <c:cat>
            <c:numRef>
              <c:f>spinning_reserves_penalty!$B$2:$E$2</c:f>
              <c:numCache>
                <c:formatCode>0%</c:formatCode>
                <c:ptCount val="4"/>
                <c:pt idx="0">
                  <c:v>0.25</c:v>
                </c:pt>
                <c:pt idx="1">
                  <c:v>0.5</c:v>
                </c:pt>
                <c:pt idx="2">
                  <c:v>0.75</c:v>
                </c:pt>
                <c:pt idx="3">
                  <c:v>1.0</c:v>
                </c:pt>
              </c:numCache>
            </c:numRef>
          </c:cat>
          <c:val>
            <c:numRef>
              <c:f>spinning_reserves_penalty!$B$3:$E$3</c:f>
              <c:numCache>
                <c:formatCode>General</c:formatCode>
                <c:ptCount val="4"/>
                <c:pt idx="0">
                  <c:v>1.788</c:v>
                </c:pt>
                <c:pt idx="1">
                  <c:v>1.195</c:v>
                </c:pt>
                <c:pt idx="2">
                  <c:v>1.102</c:v>
                </c:pt>
                <c:pt idx="3">
                  <c:v>1.0</c:v>
                </c:pt>
              </c:numCache>
            </c:numRef>
          </c:val>
        </c:ser>
        <c:ser>
          <c:idx val="1"/>
          <c:order val="1"/>
          <c:tx>
            <c:strRef>
              <c:f>spinning_reserves_penalty!$A$4</c:f>
              <c:strCache>
                <c:ptCount val="1"/>
                <c:pt idx="0">
                  <c:v>Gas_Steam_Turbine</c:v>
                </c:pt>
              </c:strCache>
            </c:strRef>
          </c:tx>
          <c:marker>
            <c:symbol val="none"/>
          </c:marker>
          <c:cat>
            <c:numRef>
              <c:f>spinning_reserves_penalty!$B$2:$E$2</c:f>
              <c:numCache>
                <c:formatCode>0%</c:formatCode>
                <c:ptCount val="4"/>
                <c:pt idx="0">
                  <c:v>0.25</c:v>
                </c:pt>
                <c:pt idx="1">
                  <c:v>0.5</c:v>
                </c:pt>
                <c:pt idx="2">
                  <c:v>0.75</c:v>
                </c:pt>
                <c:pt idx="3">
                  <c:v>1.0</c:v>
                </c:pt>
              </c:numCache>
            </c:numRef>
          </c:cat>
          <c:val>
            <c:numRef>
              <c:f>spinning_reserves_penalty!$B$4:$E$4</c:f>
              <c:numCache>
                <c:formatCode>General</c:formatCode>
                <c:ptCount val="4"/>
                <c:pt idx="0">
                  <c:v>1.276</c:v>
                </c:pt>
                <c:pt idx="1">
                  <c:v>1.061</c:v>
                </c:pt>
                <c:pt idx="2">
                  <c:v>1.01</c:v>
                </c:pt>
                <c:pt idx="3">
                  <c:v>1.0</c:v>
                </c:pt>
              </c:numCache>
            </c:numRef>
          </c:val>
        </c:ser>
        <c:ser>
          <c:idx val="2"/>
          <c:order val="2"/>
          <c:tx>
            <c:strRef>
              <c:f>spinning_reserves_penalty!$A$5</c:f>
              <c:strCache>
                <c:ptCount val="1"/>
                <c:pt idx="0">
                  <c:v>Gas_Combustion_Turbine</c:v>
                </c:pt>
              </c:strCache>
            </c:strRef>
          </c:tx>
          <c:marker>
            <c:symbol val="none"/>
          </c:marker>
          <c:cat>
            <c:numRef>
              <c:f>spinning_reserves_penalty!$B$2:$E$2</c:f>
              <c:numCache>
                <c:formatCode>0%</c:formatCode>
                <c:ptCount val="4"/>
                <c:pt idx="0">
                  <c:v>0.25</c:v>
                </c:pt>
                <c:pt idx="1">
                  <c:v>0.5</c:v>
                </c:pt>
                <c:pt idx="2">
                  <c:v>0.75</c:v>
                </c:pt>
                <c:pt idx="3">
                  <c:v>1.0</c:v>
                </c:pt>
              </c:numCache>
            </c:numRef>
          </c:cat>
          <c:val>
            <c:numRef>
              <c:f>spinning_reserves_penalty!$B$5:$E$5</c:f>
              <c:numCache>
                <c:formatCode>General</c:formatCode>
                <c:ptCount val="4"/>
                <c:pt idx="0">
                  <c:v>1.504</c:v>
                </c:pt>
                <c:pt idx="1">
                  <c:v>1.095</c:v>
                </c:pt>
                <c:pt idx="2">
                  <c:v>1.029</c:v>
                </c:pt>
                <c:pt idx="3">
                  <c:v>1.0</c:v>
                </c:pt>
              </c:numCache>
            </c:numRef>
          </c:val>
        </c:ser>
        <c:marker val="1"/>
        <c:axId val="586077464"/>
        <c:axId val="586080584"/>
      </c:lineChart>
      <c:catAx>
        <c:axId val="586077464"/>
        <c:scaling>
          <c:orientation val="minMax"/>
        </c:scaling>
        <c:axPos val="b"/>
        <c:numFmt formatCode="0%" sourceLinked="1"/>
        <c:tickLblPos val="nextTo"/>
        <c:crossAx val="586080584"/>
        <c:crosses val="autoZero"/>
        <c:auto val="1"/>
        <c:lblAlgn val="ctr"/>
        <c:lblOffset val="100"/>
      </c:catAx>
      <c:valAx>
        <c:axId val="586080584"/>
        <c:scaling>
          <c:orientation val="minMax"/>
        </c:scaling>
        <c:axPos val="l"/>
        <c:majorGridlines/>
        <c:numFmt formatCode="General" sourceLinked="1"/>
        <c:tickLblPos val="nextTo"/>
        <c:crossAx val="586077464"/>
        <c:crosses val="autoZero"/>
        <c:crossBetween val="between"/>
      </c:valAx>
    </c:plotArea>
    <c:legend>
      <c:legendPos val="r"/>
      <c:layout/>
    </c:legend>
    <c:plotVisOnly val="1"/>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style val="2"/>
  <c:chart>
    <c:title>
      <c:tx>
        <c:rich>
          <a:bodyPr/>
          <a:lstStyle/>
          <a:p>
            <a:pPr>
              <a:defRPr/>
            </a:pPr>
            <a:r>
              <a:rPr lang="en-US"/>
              <a:t>Spinning reserve heat rate penalty as f(loading)</a:t>
            </a:r>
          </a:p>
        </c:rich>
      </c:tx>
      <c:layout/>
    </c:title>
    <c:plotArea>
      <c:layout/>
      <c:lineChart>
        <c:grouping val="standard"/>
        <c:ser>
          <c:idx val="0"/>
          <c:order val="0"/>
          <c:tx>
            <c:strRef>
              <c:f>spinning_reserves_penalty!$A$13</c:f>
              <c:strCache>
                <c:ptCount val="1"/>
                <c:pt idx="0">
                  <c:v>Percent of full load</c:v>
                </c:pt>
              </c:strCache>
            </c:strRef>
          </c:tx>
          <c:marker>
            <c:symbol val="none"/>
          </c:marker>
          <c:val>
            <c:numRef>
              <c:f>spinning_reserves_penalty!$A$14:$A$89</c:f>
              <c:numCache>
                <c:formatCode>0%</c:formatCode>
                <c:ptCount val="76"/>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pt idx="51">
                  <c:v>0.49</c:v>
                </c:pt>
                <c:pt idx="52">
                  <c:v>0.48</c:v>
                </c:pt>
                <c:pt idx="53">
                  <c:v>0.47</c:v>
                </c:pt>
                <c:pt idx="54">
                  <c:v>0.46</c:v>
                </c:pt>
                <c:pt idx="55">
                  <c:v>0.45</c:v>
                </c:pt>
                <c:pt idx="56">
                  <c:v>0.44</c:v>
                </c:pt>
                <c:pt idx="57">
                  <c:v>0.43</c:v>
                </c:pt>
                <c:pt idx="58">
                  <c:v>0.42</c:v>
                </c:pt>
                <c:pt idx="59">
                  <c:v>0.41</c:v>
                </c:pt>
                <c:pt idx="60">
                  <c:v>0.4</c:v>
                </c:pt>
                <c:pt idx="61">
                  <c:v>0.39</c:v>
                </c:pt>
                <c:pt idx="62">
                  <c:v>0.38</c:v>
                </c:pt>
                <c:pt idx="63">
                  <c:v>0.37</c:v>
                </c:pt>
                <c:pt idx="64">
                  <c:v>0.36</c:v>
                </c:pt>
                <c:pt idx="65">
                  <c:v>0.35</c:v>
                </c:pt>
                <c:pt idx="66">
                  <c:v>0.34</c:v>
                </c:pt>
                <c:pt idx="67">
                  <c:v>0.33</c:v>
                </c:pt>
                <c:pt idx="68">
                  <c:v>0.32</c:v>
                </c:pt>
                <c:pt idx="69">
                  <c:v>0.31</c:v>
                </c:pt>
                <c:pt idx="70">
                  <c:v>0.3</c:v>
                </c:pt>
                <c:pt idx="71">
                  <c:v>0.29</c:v>
                </c:pt>
                <c:pt idx="72">
                  <c:v>0.28</c:v>
                </c:pt>
                <c:pt idx="73">
                  <c:v>0.27</c:v>
                </c:pt>
                <c:pt idx="74">
                  <c:v>0.26</c:v>
                </c:pt>
                <c:pt idx="75">
                  <c:v>0.25</c:v>
                </c:pt>
              </c:numCache>
            </c:numRef>
          </c:val>
        </c:ser>
        <c:ser>
          <c:idx val="1"/>
          <c:order val="1"/>
          <c:tx>
            <c:strRef>
              <c:f>spinning_reserves_penalty!$F$13</c:f>
              <c:strCache>
                <c:ptCount val="1"/>
                <c:pt idx="0">
                  <c:v>CCGT</c:v>
                </c:pt>
              </c:strCache>
            </c:strRef>
          </c:tx>
          <c:marker>
            <c:symbol val="none"/>
          </c:marker>
          <c:val>
            <c:numRef>
              <c:f>spinning_reserves_penalty!$F$14:$F$89</c:f>
              <c:numCache>
                <c:formatCode>General</c:formatCode>
                <c:ptCount val="76"/>
                <c:pt idx="0">
                  <c:v>0.0</c:v>
                </c:pt>
                <c:pt idx="1">
                  <c:v>0.403920000000008</c:v>
                </c:pt>
                <c:pt idx="2">
                  <c:v>0.399839999999997</c:v>
                </c:pt>
                <c:pt idx="3">
                  <c:v>0.39576</c:v>
                </c:pt>
                <c:pt idx="4">
                  <c:v>0.391680000000002</c:v>
                </c:pt>
                <c:pt idx="5">
                  <c:v>0.387599999999999</c:v>
                </c:pt>
                <c:pt idx="6">
                  <c:v>0.38352</c:v>
                </c:pt>
                <c:pt idx="7">
                  <c:v>0.379439999999999</c:v>
                </c:pt>
                <c:pt idx="8">
                  <c:v>0.37536</c:v>
                </c:pt>
                <c:pt idx="9">
                  <c:v>0.371280000000001</c:v>
                </c:pt>
                <c:pt idx="10">
                  <c:v>0.3672</c:v>
                </c:pt>
                <c:pt idx="11">
                  <c:v>0.36312</c:v>
                </c:pt>
                <c:pt idx="12">
                  <c:v>0.359040000000001</c:v>
                </c:pt>
                <c:pt idx="13">
                  <c:v>0.35496</c:v>
                </c:pt>
                <c:pt idx="14">
                  <c:v>0.35088</c:v>
                </c:pt>
                <c:pt idx="15">
                  <c:v>0.346800000000001</c:v>
                </c:pt>
                <c:pt idx="16">
                  <c:v>0.34272</c:v>
                </c:pt>
                <c:pt idx="17">
                  <c:v>0.33864</c:v>
                </c:pt>
                <c:pt idx="18">
                  <c:v>0.334560000000001</c:v>
                </c:pt>
                <c:pt idx="19">
                  <c:v>0.33048</c:v>
                </c:pt>
                <c:pt idx="20">
                  <c:v>0.326400000000001</c:v>
                </c:pt>
                <c:pt idx="21">
                  <c:v>0.32232</c:v>
                </c:pt>
                <c:pt idx="22">
                  <c:v>0.31824</c:v>
                </c:pt>
                <c:pt idx="23">
                  <c:v>0.31416</c:v>
                </c:pt>
                <c:pt idx="24">
                  <c:v>0.31008</c:v>
                </c:pt>
                <c:pt idx="25">
                  <c:v>0.306</c:v>
                </c:pt>
                <c:pt idx="26">
                  <c:v>0.300895384615385</c:v>
                </c:pt>
                <c:pt idx="27">
                  <c:v>0.295893333333334</c:v>
                </c:pt>
                <c:pt idx="28">
                  <c:v>0.290982857142857</c:v>
                </c:pt>
                <c:pt idx="29">
                  <c:v>0.286154482758621</c:v>
                </c:pt>
                <c:pt idx="30">
                  <c:v>0.2814</c:v>
                </c:pt>
                <c:pt idx="31">
                  <c:v>0.276712258064517</c:v>
                </c:pt>
                <c:pt idx="32">
                  <c:v>0.272085</c:v>
                </c:pt>
                <c:pt idx="33">
                  <c:v>0.267512727272727</c:v>
                </c:pt>
                <c:pt idx="34">
                  <c:v>0.262990588235294</c:v>
                </c:pt>
                <c:pt idx="35">
                  <c:v>0.258514285714286</c:v>
                </c:pt>
                <c:pt idx="36">
                  <c:v>0.25408</c:v>
                </c:pt>
                <c:pt idx="37">
                  <c:v>0.249684324324325</c:v>
                </c:pt>
                <c:pt idx="38">
                  <c:v>0.245324210526316</c:v>
                </c:pt>
                <c:pt idx="39">
                  <c:v>0.240996923076923</c:v>
                </c:pt>
                <c:pt idx="40">
                  <c:v>0.2367</c:v>
                </c:pt>
                <c:pt idx="41">
                  <c:v>0.232431219512195</c:v>
                </c:pt>
                <c:pt idx="42">
                  <c:v>0.228188571428571</c:v>
                </c:pt>
                <c:pt idx="43">
                  <c:v>0.223970232558139</c:v>
                </c:pt>
                <c:pt idx="44">
                  <c:v>0.219774545454545</c:v>
                </c:pt>
                <c:pt idx="45">
                  <c:v>0.2156</c:v>
                </c:pt>
                <c:pt idx="46">
                  <c:v>0.211445217391304</c:v>
                </c:pt>
                <c:pt idx="47">
                  <c:v>0.207308936170213</c:v>
                </c:pt>
                <c:pt idx="48">
                  <c:v>0.20319</c:v>
                </c:pt>
                <c:pt idx="49">
                  <c:v>0.199087346938776</c:v>
                </c:pt>
                <c:pt idx="50">
                  <c:v>0.195</c:v>
                </c:pt>
                <c:pt idx="51">
                  <c:v>0.210142745098039</c:v>
                </c:pt>
                <c:pt idx="52">
                  <c:v>0.223790769230769</c:v>
                </c:pt>
                <c:pt idx="53">
                  <c:v>0.236028679245283</c:v>
                </c:pt>
                <c:pt idx="54">
                  <c:v>0.246934814814815</c:v>
                </c:pt>
                <c:pt idx="55">
                  <c:v>0.256581818181818</c:v>
                </c:pt>
                <c:pt idx="56">
                  <c:v>0.265037142857143</c:v>
                </c:pt>
                <c:pt idx="57">
                  <c:v>0.27236350877193</c:v>
                </c:pt>
                <c:pt idx="58">
                  <c:v>0.278619310344828</c:v>
                </c:pt>
                <c:pt idx="59">
                  <c:v>0.283858983050847</c:v>
                </c:pt>
                <c:pt idx="60">
                  <c:v>0.288133333333333</c:v>
                </c:pt>
                <c:pt idx="61">
                  <c:v>0.291489836065574</c:v>
                </c:pt>
                <c:pt idx="62">
                  <c:v>0.293972903225806</c:v>
                </c:pt>
                <c:pt idx="63">
                  <c:v>0.295624126984127</c:v>
                </c:pt>
                <c:pt idx="64">
                  <c:v>0.2964825</c:v>
                </c:pt>
                <c:pt idx="65">
                  <c:v>0.296584615384615</c:v>
                </c:pt>
                <c:pt idx="66">
                  <c:v>0.295964848484848</c:v>
                </c:pt>
                <c:pt idx="67">
                  <c:v>0.29465552238806</c:v>
                </c:pt>
                <c:pt idx="68">
                  <c:v>0.292687058823529</c:v>
                </c:pt>
                <c:pt idx="69">
                  <c:v>0.290088115942029</c:v>
                </c:pt>
                <c:pt idx="70">
                  <c:v>0.286885714285714</c:v>
                </c:pt>
                <c:pt idx="71">
                  <c:v>0.283105352112676</c:v>
                </c:pt>
                <c:pt idx="72">
                  <c:v>0.278771111111111</c:v>
                </c:pt>
                <c:pt idx="73">
                  <c:v>0.273905753424658</c:v>
                </c:pt>
                <c:pt idx="74">
                  <c:v>0.268530810810811</c:v>
                </c:pt>
                <c:pt idx="75">
                  <c:v>0.262666666666667</c:v>
                </c:pt>
              </c:numCache>
            </c:numRef>
          </c:val>
        </c:ser>
        <c:ser>
          <c:idx val="2"/>
          <c:order val="2"/>
          <c:tx>
            <c:strRef>
              <c:f>spinning_reserves_penalty!$G$13</c:f>
              <c:strCache>
                <c:ptCount val="1"/>
                <c:pt idx="0">
                  <c:v>Steam</c:v>
                </c:pt>
              </c:strCache>
            </c:strRef>
          </c:tx>
          <c:marker>
            <c:symbol val="none"/>
          </c:marker>
          <c:val>
            <c:numRef>
              <c:f>spinning_reserves_penalty!$G$14:$G$89</c:f>
              <c:numCache>
                <c:formatCode>General</c:formatCode>
                <c:ptCount val="76"/>
                <c:pt idx="0">
                  <c:v>0.0</c:v>
                </c:pt>
                <c:pt idx="1">
                  <c:v>0.0395999999999956</c:v>
                </c:pt>
                <c:pt idx="2">
                  <c:v>0.0391999999999956</c:v>
                </c:pt>
                <c:pt idx="3">
                  <c:v>0.0388000000000029</c:v>
                </c:pt>
                <c:pt idx="4">
                  <c:v>0.0384000000000011</c:v>
                </c:pt>
                <c:pt idx="5">
                  <c:v>0.038</c:v>
                </c:pt>
                <c:pt idx="6">
                  <c:v>0.0375999999999993</c:v>
                </c:pt>
                <c:pt idx="7">
                  <c:v>0.0371999999999989</c:v>
                </c:pt>
                <c:pt idx="8">
                  <c:v>0.0368000000000011</c:v>
                </c:pt>
                <c:pt idx="9">
                  <c:v>0.0364000000000005</c:v>
                </c:pt>
                <c:pt idx="10">
                  <c:v>0.036</c:v>
                </c:pt>
                <c:pt idx="11">
                  <c:v>0.0355999999999997</c:v>
                </c:pt>
                <c:pt idx="12">
                  <c:v>0.0351999999999994</c:v>
                </c:pt>
                <c:pt idx="13">
                  <c:v>0.0348000000000006</c:v>
                </c:pt>
                <c:pt idx="14">
                  <c:v>0.0344000000000003</c:v>
                </c:pt>
                <c:pt idx="15">
                  <c:v>0.034</c:v>
                </c:pt>
                <c:pt idx="16">
                  <c:v>0.0335999999999998</c:v>
                </c:pt>
                <c:pt idx="17">
                  <c:v>0.0331999999999996</c:v>
                </c:pt>
                <c:pt idx="18">
                  <c:v>0.0328000000000004</c:v>
                </c:pt>
                <c:pt idx="19">
                  <c:v>0.0324000000000002</c:v>
                </c:pt>
                <c:pt idx="20">
                  <c:v>0.032</c:v>
                </c:pt>
                <c:pt idx="21">
                  <c:v>0.0315999999999999</c:v>
                </c:pt>
                <c:pt idx="22">
                  <c:v>0.0311999999999997</c:v>
                </c:pt>
                <c:pt idx="23">
                  <c:v>0.0308000000000003</c:v>
                </c:pt>
                <c:pt idx="24">
                  <c:v>0.0304000000000002</c:v>
                </c:pt>
                <c:pt idx="25">
                  <c:v>0.03</c:v>
                </c:pt>
                <c:pt idx="26">
                  <c:v>0.0342676923076924</c:v>
                </c:pt>
                <c:pt idx="27">
                  <c:v>0.0380681481481484</c:v>
                </c:pt>
                <c:pt idx="28">
                  <c:v>0.0414514285714289</c:v>
                </c:pt>
                <c:pt idx="29">
                  <c:v>0.0444606896551723</c:v>
                </c:pt>
                <c:pt idx="30">
                  <c:v>0.0471333333333333</c:v>
                </c:pt>
                <c:pt idx="31">
                  <c:v>0.049501935483871</c:v>
                </c:pt>
                <c:pt idx="32">
                  <c:v>0.0515950000000002</c:v>
                </c:pt>
                <c:pt idx="33">
                  <c:v>0.0534375757575755</c:v>
                </c:pt>
                <c:pt idx="34">
                  <c:v>0.0550517647058822</c:v>
                </c:pt>
                <c:pt idx="35">
                  <c:v>0.0564571428571428</c:v>
                </c:pt>
                <c:pt idx="36">
                  <c:v>0.0576711111111111</c:v>
                </c:pt>
                <c:pt idx="37">
                  <c:v>0.0587091891891893</c:v>
                </c:pt>
                <c:pt idx="38">
                  <c:v>0.0595852631578945</c:v>
                </c:pt>
                <c:pt idx="39">
                  <c:v>0.0603117948717947</c:v>
                </c:pt>
                <c:pt idx="40">
                  <c:v>0.0608999999999999</c:v>
                </c:pt>
                <c:pt idx="41">
                  <c:v>0.06136</c:v>
                </c:pt>
                <c:pt idx="42">
                  <c:v>0.0617009523809524</c:v>
                </c:pt>
                <c:pt idx="43">
                  <c:v>0.0619311627906975</c:v>
                </c:pt>
                <c:pt idx="44">
                  <c:v>0.0620581818181817</c:v>
                </c:pt>
                <c:pt idx="45">
                  <c:v>0.0620888888888888</c:v>
                </c:pt>
                <c:pt idx="46">
                  <c:v>0.0620295652173913</c:v>
                </c:pt>
                <c:pt idx="47">
                  <c:v>0.0618859574468083</c:v>
                </c:pt>
                <c:pt idx="48">
                  <c:v>0.0616633333333332</c:v>
                </c:pt>
                <c:pt idx="49">
                  <c:v>0.0613665306122448</c:v>
                </c:pt>
                <c:pt idx="50">
                  <c:v>0.0609999999999999</c:v>
                </c:pt>
                <c:pt idx="51">
                  <c:v>0.066870588235294</c:v>
                </c:pt>
                <c:pt idx="52">
                  <c:v>0.0721846153846154</c:v>
                </c:pt>
                <c:pt idx="53">
                  <c:v>0.0769735849056604</c:v>
                </c:pt>
                <c:pt idx="54">
                  <c:v>0.0812666666666666</c:v>
                </c:pt>
                <c:pt idx="55">
                  <c:v>0.0850909090909091</c:v>
                </c:pt>
                <c:pt idx="56">
                  <c:v>0.0884714285714286</c:v>
                </c:pt>
                <c:pt idx="57">
                  <c:v>0.0914315789473684</c:v>
                </c:pt>
                <c:pt idx="58">
                  <c:v>0.0939931034482758</c:v>
                </c:pt>
                <c:pt idx="59">
                  <c:v>0.0961762711864407</c:v>
                </c:pt>
                <c:pt idx="60">
                  <c:v>0.098</c:v>
                </c:pt>
                <c:pt idx="61">
                  <c:v>0.0994819672131147</c:v>
                </c:pt>
                <c:pt idx="62">
                  <c:v>0.100638709677419</c:v>
                </c:pt>
                <c:pt idx="63">
                  <c:v>0.101485714285714</c:v>
                </c:pt>
                <c:pt idx="64">
                  <c:v>0.1020375</c:v>
                </c:pt>
                <c:pt idx="65">
                  <c:v>0.102307692307692</c:v>
                </c:pt>
                <c:pt idx="66">
                  <c:v>0.102309090909091</c:v>
                </c:pt>
                <c:pt idx="67">
                  <c:v>0.102053731343284</c:v>
                </c:pt>
                <c:pt idx="68">
                  <c:v>0.101552941176471</c:v>
                </c:pt>
                <c:pt idx="69">
                  <c:v>0.100817391304348</c:v>
                </c:pt>
                <c:pt idx="70">
                  <c:v>0.0998571428571429</c:v>
                </c:pt>
                <c:pt idx="71">
                  <c:v>0.098681690140845</c:v>
                </c:pt>
                <c:pt idx="72">
                  <c:v>0.0973</c:v>
                </c:pt>
                <c:pt idx="73">
                  <c:v>0.0957205479452054</c:v>
                </c:pt>
                <c:pt idx="74">
                  <c:v>0.0939513513513514</c:v>
                </c:pt>
                <c:pt idx="75">
                  <c:v>0.092</c:v>
                </c:pt>
              </c:numCache>
            </c:numRef>
          </c:val>
        </c:ser>
        <c:ser>
          <c:idx val="3"/>
          <c:order val="3"/>
          <c:tx>
            <c:strRef>
              <c:f>spinning_reserves_penalty!$H$13</c:f>
              <c:strCache>
                <c:ptCount val="1"/>
                <c:pt idx="0">
                  <c:v>Combustion</c:v>
                </c:pt>
              </c:strCache>
            </c:strRef>
          </c:tx>
          <c:marker>
            <c:symbol val="none"/>
          </c:marker>
          <c:val>
            <c:numRef>
              <c:f>spinning_reserves_penalty!$H$14:$H$89</c:f>
              <c:numCache>
                <c:formatCode>General</c:formatCode>
                <c:ptCount val="76"/>
                <c:pt idx="0">
                  <c:v>0.0</c:v>
                </c:pt>
                <c:pt idx="1">
                  <c:v>0.114839999999983</c:v>
                </c:pt>
                <c:pt idx="2">
                  <c:v>0.113679999999983</c:v>
                </c:pt>
                <c:pt idx="3">
                  <c:v>0.112520000000005</c:v>
                </c:pt>
                <c:pt idx="4">
                  <c:v>0.111360000000005</c:v>
                </c:pt>
                <c:pt idx="5">
                  <c:v>0.1102</c:v>
                </c:pt>
                <c:pt idx="6">
                  <c:v>0.109039999999998</c:v>
                </c:pt>
                <c:pt idx="7">
                  <c:v>0.107879999999996</c:v>
                </c:pt>
                <c:pt idx="8">
                  <c:v>0.106720000000002</c:v>
                </c:pt>
                <c:pt idx="9">
                  <c:v>0.10556</c:v>
                </c:pt>
                <c:pt idx="10">
                  <c:v>0.104400000000001</c:v>
                </c:pt>
                <c:pt idx="11">
                  <c:v>0.103239999999999</c:v>
                </c:pt>
                <c:pt idx="12">
                  <c:v>0.102079999999998</c:v>
                </c:pt>
                <c:pt idx="13">
                  <c:v>0.100920000000001</c:v>
                </c:pt>
                <c:pt idx="14">
                  <c:v>0.0997600000000002</c:v>
                </c:pt>
                <c:pt idx="15">
                  <c:v>0.0985999999999992</c:v>
                </c:pt>
                <c:pt idx="16">
                  <c:v>0.0974399999999995</c:v>
                </c:pt>
                <c:pt idx="17">
                  <c:v>0.0962799999999987</c:v>
                </c:pt>
                <c:pt idx="18">
                  <c:v>0.095120000000001</c:v>
                </c:pt>
                <c:pt idx="19">
                  <c:v>0.0939600000000003</c:v>
                </c:pt>
                <c:pt idx="20">
                  <c:v>0.0927999999999995</c:v>
                </c:pt>
                <c:pt idx="21">
                  <c:v>0.0916399999999989</c:v>
                </c:pt>
                <c:pt idx="22">
                  <c:v>0.0904799999999992</c:v>
                </c:pt>
                <c:pt idx="23">
                  <c:v>0.0893200000000009</c:v>
                </c:pt>
                <c:pt idx="24">
                  <c:v>0.0881600000000003</c:v>
                </c:pt>
                <c:pt idx="25">
                  <c:v>0.0869999999999997</c:v>
                </c:pt>
                <c:pt idx="26">
                  <c:v>0.0900523076923074</c:v>
                </c:pt>
                <c:pt idx="27">
                  <c:v>0.0926829629629632</c:v>
                </c:pt>
                <c:pt idx="28">
                  <c:v>0.094937142857143</c:v>
                </c:pt>
                <c:pt idx="29">
                  <c:v>0.0968537931034478</c:v>
                </c:pt>
                <c:pt idx="30">
                  <c:v>0.0984666666666666</c:v>
                </c:pt>
                <c:pt idx="31">
                  <c:v>0.0998051612903225</c:v>
                </c:pt>
                <c:pt idx="32">
                  <c:v>0.100895</c:v>
                </c:pt>
                <c:pt idx="33">
                  <c:v>0.101758787878787</c:v>
                </c:pt>
                <c:pt idx="34">
                  <c:v>0.102416470588235</c:v>
                </c:pt>
                <c:pt idx="35">
                  <c:v>0.102885714285714</c:v>
                </c:pt>
                <c:pt idx="36">
                  <c:v>0.103182222222222</c:v>
                </c:pt>
                <c:pt idx="37">
                  <c:v>0.10332</c:v>
                </c:pt>
                <c:pt idx="38">
                  <c:v>0.103311578947368</c:v>
                </c:pt>
                <c:pt idx="39">
                  <c:v>0.103168205128205</c:v>
                </c:pt>
                <c:pt idx="40">
                  <c:v>0.1029</c:v>
                </c:pt>
                <c:pt idx="41">
                  <c:v>0.102516097560976</c:v>
                </c:pt>
                <c:pt idx="42">
                  <c:v>0.102024761904762</c:v>
                </c:pt>
                <c:pt idx="43">
                  <c:v>0.101433488372093</c:v>
                </c:pt>
                <c:pt idx="44">
                  <c:v>0.100749090909091</c:v>
                </c:pt>
                <c:pt idx="45">
                  <c:v>0.0999777777777776</c:v>
                </c:pt>
                <c:pt idx="46">
                  <c:v>0.0991252173913044</c:v>
                </c:pt>
                <c:pt idx="47">
                  <c:v>0.0981965957446806</c:v>
                </c:pt>
                <c:pt idx="48">
                  <c:v>0.0971966666666664</c:v>
                </c:pt>
                <c:pt idx="49">
                  <c:v>0.0961297959183673</c:v>
                </c:pt>
                <c:pt idx="50">
                  <c:v>0.0949999999999999</c:v>
                </c:pt>
                <c:pt idx="51">
                  <c:v>0.10699294117647</c:v>
                </c:pt>
                <c:pt idx="52">
                  <c:v>0.117895384615385</c:v>
                </c:pt>
                <c:pt idx="53">
                  <c:v>0.127769056603774</c:v>
                </c:pt>
                <c:pt idx="54">
                  <c:v>0.136671111111111</c:v>
                </c:pt>
                <c:pt idx="55">
                  <c:v>0.144654545454545</c:v>
                </c:pt>
                <c:pt idx="56">
                  <c:v>0.151768571428571</c:v>
                </c:pt>
                <c:pt idx="57">
                  <c:v>0.158058947368421</c:v>
                </c:pt>
                <c:pt idx="58">
                  <c:v>0.163568275862069</c:v>
                </c:pt>
                <c:pt idx="59">
                  <c:v>0.168336271186441</c:v>
                </c:pt>
                <c:pt idx="60">
                  <c:v>0.1724</c:v>
                </c:pt>
                <c:pt idx="61">
                  <c:v>0.175794098360656</c:v>
                </c:pt>
                <c:pt idx="62">
                  <c:v>0.178550967741935</c:v>
                </c:pt>
                <c:pt idx="63">
                  <c:v>0.180700952380952</c:v>
                </c:pt>
                <c:pt idx="64">
                  <c:v>0.1822725</c:v>
                </c:pt>
                <c:pt idx="65">
                  <c:v>0.183292307692308</c:v>
                </c:pt>
                <c:pt idx="66">
                  <c:v>0.183785454545455</c:v>
                </c:pt>
                <c:pt idx="67">
                  <c:v>0.18377552238806</c:v>
                </c:pt>
                <c:pt idx="68">
                  <c:v>0.183284705882353</c:v>
                </c:pt>
                <c:pt idx="69">
                  <c:v>0.182333913043478</c:v>
                </c:pt>
                <c:pt idx="70">
                  <c:v>0.180942857142857</c:v>
                </c:pt>
                <c:pt idx="71">
                  <c:v>0.17913014084507</c:v>
                </c:pt>
                <c:pt idx="72">
                  <c:v>0.176913333333333</c:v>
                </c:pt>
                <c:pt idx="73">
                  <c:v>0.17430904109589</c:v>
                </c:pt>
                <c:pt idx="74">
                  <c:v>0.171332972972973</c:v>
                </c:pt>
                <c:pt idx="75">
                  <c:v>0.168</c:v>
                </c:pt>
              </c:numCache>
            </c:numRef>
          </c:val>
        </c:ser>
        <c:marker val="1"/>
        <c:axId val="575491224"/>
        <c:axId val="575494488"/>
      </c:lineChart>
      <c:catAx>
        <c:axId val="575491224"/>
        <c:scaling>
          <c:orientation val="minMax"/>
        </c:scaling>
        <c:axPos val="b"/>
        <c:numFmt formatCode="0%" sourceLinked="1"/>
        <c:tickLblPos val="nextTo"/>
        <c:crossAx val="575494488"/>
        <c:crosses val="autoZero"/>
        <c:auto val="1"/>
        <c:lblAlgn val="ctr"/>
        <c:lblOffset val="100"/>
      </c:catAx>
      <c:valAx>
        <c:axId val="575494488"/>
        <c:scaling>
          <c:orientation val="minMax"/>
        </c:scaling>
        <c:axPos val="l"/>
        <c:majorGridlines/>
        <c:numFmt formatCode="0%" sourceLinked="1"/>
        <c:tickLblPos val="nextTo"/>
        <c:crossAx val="575491224"/>
        <c:crosses val="autoZero"/>
        <c:crossBetween val="between"/>
      </c:valAx>
    </c:plotArea>
    <c:legend>
      <c:legendPos val="r"/>
      <c:layout/>
    </c:legend>
    <c:plotVisOnly val="1"/>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style val="2"/>
  <c:chart>
    <c:plotArea>
      <c:layout/>
      <c:lineChart>
        <c:grouping val="standard"/>
        <c:ser>
          <c:idx val="0"/>
          <c:order val="0"/>
          <c:tx>
            <c:strRef>
              <c:f>deep_cycling_penalty!$E$13</c:f>
              <c:strCache>
                <c:ptCount val="1"/>
                <c:pt idx="0">
                  <c:v>CCGT</c:v>
                </c:pt>
              </c:strCache>
            </c:strRef>
          </c:tx>
          <c:marker>
            <c:symbol val="none"/>
          </c:marker>
          <c:cat>
            <c:numRef>
              <c:f>deep_cycling_penalty!$A$14:$A$74</c:f>
              <c:numCache>
                <c:formatCode>0%</c:formatCode>
                <c:ptCount val="6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pt idx="51">
                  <c:v>0.49</c:v>
                </c:pt>
                <c:pt idx="52">
                  <c:v>0.48</c:v>
                </c:pt>
                <c:pt idx="53">
                  <c:v>0.47</c:v>
                </c:pt>
                <c:pt idx="54">
                  <c:v>0.46</c:v>
                </c:pt>
                <c:pt idx="55">
                  <c:v>0.45</c:v>
                </c:pt>
                <c:pt idx="56">
                  <c:v>0.44</c:v>
                </c:pt>
                <c:pt idx="57">
                  <c:v>0.43</c:v>
                </c:pt>
                <c:pt idx="58">
                  <c:v>0.42</c:v>
                </c:pt>
                <c:pt idx="59">
                  <c:v>0.41</c:v>
                </c:pt>
                <c:pt idx="60">
                  <c:v>0.4</c:v>
                </c:pt>
              </c:numCache>
            </c:numRef>
          </c:cat>
          <c:val>
            <c:numRef>
              <c:f>deep_cycling_penalty!$E$14:$E$74</c:f>
              <c:numCache>
                <c:formatCode>General</c:formatCode>
                <c:ptCount val="61"/>
                <c:pt idx="0">
                  <c:v>0.0</c:v>
                </c:pt>
                <c:pt idx="1">
                  <c:v>0.403920000000008</c:v>
                </c:pt>
                <c:pt idx="2">
                  <c:v>0.399839999999997</c:v>
                </c:pt>
                <c:pt idx="3">
                  <c:v>0.39576</c:v>
                </c:pt>
                <c:pt idx="4">
                  <c:v>0.391680000000002</c:v>
                </c:pt>
                <c:pt idx="5">
                  <c:v>0.387599999999999</c:v>
                </c:pt>
                <c:pt idx="6">
                  <c:v>0.38352</c:v>
                </c:pt>
                <c:pt idx="7">
                  <c:v>0.379439999999999</c:v>
                </c:pt>
                <c:pt idx="8">
                  <c:v>0.37536</c:v>
                </c:pt>
                <c:pt idx="9">
                  <c:v>0.371280000000001</c:v>
                </c:pt>
                <c:pt idx="10">
                  <c:v>0.3672</c:v>
                </c:pt>
                <c:pt idx="11">
                  <c:v>0.36312</c:v>
                </c:pt>
                <c:pt idx="12">
                  <c:v>0.359040000000001</c:v>
                </c:pt>
                <c:pt idx="13">
                  <c:v>0.35496</c:v>
                </c:pt>
                <c:pt idx="14">
                  <c:v>0.35088</c:v>
                </c:pt>
                <c:pt idx="15">
                  <c:v>0.346800000000001</c:v>
                </c:pt>
                <c:pt idx="16">
                  <c:v>0.34272</c:v>
                </c:pt>
                <c:pt idx="17">
                  <c:v>0.33864</c:v>
                </c:pt>
                <c:pt idx="18">
                  <c:v>0.334560000000001</c:v>
                </c:pt>
                <c:pt idx="19">
                  <c:v>0.33048</c:v>
                </c:pt>
                <c:pt idx="20">
                  <c:v>0.326400000000001</c:v>
                </c:pt>
                <c:pt idx="21">
                  <c:v>0.32232</c:v>
                </c:pt>
                <c:pt idx="22">
                  <c:v>0.31824</c:v>
                </c:pt>
                <c:pt idx="23">
                  <c:v>0.31416</c:v>
                </c:pt>
                <c:pt idx="24">
                  <c:v>0.31008</c:v>
                </c:pt>
                <c:pt idx="25">
                  <c:v>0.306</c:v>
                </c:pt>
                <c:pt idx="26">
                  <c:v>0.300895384615385</c:v>
                </c:pt>
                <c:pt idx="27">
                  <c:v>0.295893333333334</c:v>
                </c:pt>
                <c:pt idx="28">
                  <c:v>0.290982857142857</c:v>
                </c:pt>
                <c:pt idx="29">
                  <c:v>0.286154482758621</c:v>
                </c:pt>
                <c:pt idx="30">
                  <c:v>0.2814</c:v>
                </c:pt>
                <c:pt idx="31">
                  <c:v>0.276712258064517</c:v>
                </c:pt>
                <c:pt idx="32">
                  <c:v>0.272085</c:v>
                </c:pt>
                <c:pt idx="33">
                  <c:v>0.267512727272727</c:v>
                </c:pt>
                <c:pt idx="34">
                  <c:v>0.262990588235294</c:v>
                </c:pt>
                <c:pt idx="35">
                  <c:v>0.258514285714286</c:v>
                </c:pt>
                <c:pt idx="36">
                  <c:v>0.25408</c:v>
                </c:pt>
                <c:pt idx="37">
                  <c:v>0.249684324324325</c:v>
                </c:pt>
                <c:pt idx="38">
                  <c:v>0.245324210526316</c:v>
                </c:pt>
                <c:pt idx="39">
                  <c:v>0.240996923076923</c:v>
                </c:pt>
                <c:pt idx="40">
                  <c:v>0.2367</c:v>
                </c:pt>
                <c:pt idx="41">
                  <c:v>0.232431219512195</c:v>
                </c:pt>
                <c:pt idx="42">
                  <c:v>0.228188571428571</c:v>
                </c:pt>
                <c:pt idx="43">
                  <c:v>0.223970232558139</c:v>
                </c:pt>
                <c:pt idx="44">
                  <c:v>0.219774545454545</c:v>
                </c:pt>
                <c:pt idx="45">
                  <c:v>0.2156</c:v>
                </c:pt>
                <c:pt idx="46">
                  <c:v>0.211445217391304</c:v>
                </c:pt>
                <c:pt idx="47">
                  <c:v>0.207308936170213</c:v>
                </c:pt>
                <c:pt idx="48">
                  <c:v>0.20319</c:v>
                </c:pt>
                <c:pt idx="49">
                  <c:v>0.199087346938776</c:v>
                </c:pt>
                <c:pt idx="50">
                  <c:v>0.195</c:v>
                </c:pt>
                <c:pt idx="51">
                  <c:v>0.209758431372549</c:v>
                </c:pt>
                <c:pt idx="52">
                  <c:v>0.223052307692308</c:v>
                </c:pt>
                <c:pt idx="53">
                  <c:v>0.234964528301887</c:v>
                </c:pt>
                <c:pt idx="54">
                  <c:v>0.245571851851852</c:v>
                </c:pt>
                <c:pt idx="55">
                  <c:v>0.254945454545455</c:v>
                </c:pt>
                <c:pt idx="56">
                  <c:v>0.263151428571429</c:v>
                </c:pt>
                <c:pt idx="57">
                  <c:v>0.270251228070176</c:v>
                </c:pt>
                <c:pt idx="58">
                  <c:v>0.276302068965518</c:v>
                </c:pt>
                <c:pt idx="59">
                  <c:v>0.281357288135594</c:v>
                </c:pt>
                <c:pt idx="60">
                  <c:v>0.285466666666667</c:v>
                </c:pt>
              </c:numCache>
            </c:numRef>
          </c:val>
        </c:ser>
        <c:ser>
          <c:idx val="1"/>
          <c:order val="1"/>
          <c:tx>
            <c:strRef>
              <c:f>deep_cycling_penalty!$F$13</c:f>
              <c:strCache>
                <c:ptCount val="1"/>
                <c:pt idx="0">
                  <c:v>Steam</c:v>
                </c:pt>
              </c:strCache>
            </c:strRef>
          </c:tx>
          <c:marker>
            <c:symbol val="none"/>
          </c:marker>
          <c:cat>
            <c:numRef>
              <c:f>deep_cycling_penalty!$A$14:$A$74</c:f>
              <c:numCache>
                <c:formatCode>0%</c:formatCode>
                <c:ptCount val="6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pt idx="51">
                  <c:v>0.49</c:v>
                </c:pt>
                <c:pt idx="52">
                  <c:v>0.48</c:v>
                </c:pt>
                <c:pt idx="53">
                  <c:v>0.47</c:v>
                </c:pt>
                <c:pt idx="54">
                  <c:v>0.46</c:v>
                </c:pt>
                <c:pt idx="55">
                  <c:v>0.45</c:v>
                </c:pt>
                <c:pt idx="56">
                  <c:v>0.44</c:v>
                </c:pt>
                <c:pt idx="57">
                  <c:v>0.43</c:v>
                </c:pt>
                <c:pt idx="58">
                  <c:v>0.42</c:v>
                </c:pt>
                <c:pt idx="59">
                  <c:v>0.41</c:v>
                </c:pt>
                <c:pt idx="60">
                  <c:v>0.4</c:v>
                </c:pt>
              </c:numCache>
            </c:numRef>
          </c:cat>
          <c:val>
            <c:numRef>
              <c:f>deep_cycling_penalty!$F$14:$F$74</c:f>
              <c:numCache>
                <c:formatCode>General</c:formatCode>
                <c:ptCount val="61"/>
                <c:pt idx="0">
                  <c:v>0.0</c:v>
                </c:pt>
                <c:pt idx="1">
                  <c:v>0.0395999999999956</c:v>
                </c:pt>
                <c:pt idx="2">
                  <c:v>0.0391999999999956</c:v>
                </c:pt>
                <c:pt idx="3">
                  <c:v>0.0388000000000029</c:v>
                </c:pt>
                <c:pt idx="4">
                  <c:v>0.0384000000000011</c:v>
                </c:pt>
                <c:pt idx="5">
                  <c:v>0.038</c:v>
                </c:pt>
                <c:pt idx="6">
                  <c:v>0.0375999999999993</c:v>
                </c:pt>
                <c:pt idx="7">
                  <c:v>0.0371999999999989</c:v>
                </c:pt>
                <c:pt idx="8">
                  <c:v>0.0368000000000011</c:v>
                </c:pt>
                <c:pt idx="9">
                  <c:v>0.0364000000000005</c:v>
                </c:pt>
                <c:pt idx="10">
                  <c:v>0.036</c:v>
                </c:pt>
                <c:pt idx="11">
                  <c:v>0.0355999999999997</c:v>
                </c:pt>
                <c:pt idx="12">
                  <c:v>0.0351999999999994</c:v>
                </c:pt>
                <c:pt idx="13">
                  <c:v>0.0348000000000006</c:v>
                </c:pt>
                <c:pt idx="14">
                  <c:v>0.0344000000000003</c:v>
                </c:pt>
                <c:pt idx="15">
                  <c:v>0.034</c:v>
                </c:pt>
                <c:pt idx="16">
                  <c:v>0.0335999999999998</c:v>
                </c:pt>
                <c:pt idx="17">
                  <c:v>0.0331999999999996</c:v>
                </c:pt>
                <c:pt idx="18">
                  <c:v>0.0328000000000004</c:v>
                </c:pt>
                <c:pt idx="19">
                  <c:v>0.0324000000000002</c:v>
                </c:pt>
                <c:pt idx="20">
                  <c:v>0.032</c:v>
                </c:pt>
                <c:pt idx="21">
                  <c:v>0.0315999999999999</c:v>
                </c:pt>
                <c:pt idx="22">
                  <c:v>0.0311999999999997</c:v>
                </c:pt>
                <c:pt idx="23">
                  <c:v>0.0308000000000003</c:v>
                </c:pt>
                <c:pt idx="24">
                  <c:v>0.0304000000000002</c:v>
                </c:pt>
                <c:pt idx="25">
                  <c:v>0.03</c:v>
                </c:pt>
                <c:pt idx="26">
                  <c:v>0.0342676923076924</c:v>
                </c:pt>
                <c:pt idx="27">
                  <c:v>0.0380681481481484</c:v>
                </c:pt>
                <c:pt idx="28">
                  <c:v>0.0414514285714289</c:v>
                </c:pt>
                <c:pt idx="29">
                  <c:v>0.0444606896551723</c:v>
                </c:pt>
                <c:pt idx="30">
                  <c:v>0.0471333333333333</c:v>
                </c:pt>
                <c:pt idx="31">
                  <c:v>0.049501935483871</c:v>
                </c:pt>
                <c:pt idx="32">
                  <c:v>0.0515950000000002</c:v>
                </c:pt>
                <c:pt idx="33">
                  <c:v>0.0534375757575755</c:v>
                </c:pt>
                <c:pt idx="34">
                  <c:v>0.0550517647058822</c:v>
                </c:pt>
                <c:pt idx="35">
                  <c:v>0.0564571428571428</c:v>
                </c:pt>
                <c:pt idx="36">
                  <c:v>0.0576711111111111</c:v>
                </c:pt>
                <c:pt idx="37">
                  <c:v>0.0587091891891893</c:v>
                </c:pt>
                <c:pt idx="38">
                  <c:v>0.0595852631578945</c:v>
                </c:pt>
                <c:pt idx="39">
                  <c:v>0.0603117948717947</c:v>
                </c:pt>
                <c:pt idx="40">
                  <c:v>0.0608999999999999</c:v>
                </c:pt>
                <c:pt idx="41">
                  <c:v>0.06136</c:v>
                </c:pt>
                <c:pt idx="42">
                  <c:v>0.0617009523809524</c:v>
                </c:pt>
                <c:pt idx="43">
                  <c:v>0.0619311627906975</c:v>
                </c:pt>
                <c:pt idx="44">
                  <c:v>0.0620581818181817</c:v>
                </c:pt>
                <c:pt idx="45">
                  <c:v>0.0620888888888888</c:v>
                </c:pt>
                <c:pt idx="46">
                  <c:v>0.0620295652173913</c:v>
                </c:pt>
                <c:pt idx="47">
                  <c:v>0.0618859574468083</c:v>
                </c:pt>
                <c:pt idx="48">
                  <c:v>0.0616633333333332</c:v>
                </c:pt>
                <c:pt idx="49">
                  <c:v>0.0613665306122448</c:v>
                </c:pt>
                <c:pt idx="50">
                  <c:v>0.0609999999999999</c:v>
                </c:pt>
                <c:pt idx="51">
                  <c:v>0.066870588235294</c:v>
                </c:pt>
                <c:pt idx="52">
                  <c:v>0.0721846153846154</c:v>
                </c:pt>
                <c:pt idx="53">
                  <c:v>0.0769735849056604</c:v>
                </c:pt>
                <c:pt idx="54">
                  <c:v>0.0812666666666668</c:v>
                </c:pt>
                <c:pt idx="55">
                  <c:v>0.0850909090909091</c:v>
                </c:pt>
                <c:pt idx="56">
                  <c:v>0.0884714285714286</c:v>
                </c:pt>
                <c:pt idx="57">
                  <c:v>0.0914315789473685</c:v>
                </c:pt>
                <c:pt idx="58">
                  <c:v>0.0939931034482761</c:v>
                </c:pt>
                <c:pt idx="59">
                  <c:v>0.0961762711864408</c:v>
                </c:pt>
                <c:pt idx="60">
                  <c:v>0.0980000000000001</c:v>
                </c:pt>
              </c:numCache>
            </c:numRef>
          </c:val>
        </c:ser>
        <c:ser>
          <c:idx val="2"/>
          <c:order val="2"/>
          <c:tx>
            <c:strRef>
              <c:f>deep_cycling_penalty!$G$13</c:f>
              <c:strCache>
                <c:ptCount val="1"/>
                <c:pt idx="0">
                  <c:v>Combustion</c:v>
                </c:pt>
              </c:strCache>
            </c:strRef>
          </c:tx>
          <c:marker>
            <c:symbol val="none"/>
          </c:marker>
          <c:cat>
            <c:numRef>
              <c:f>deep_cycling_penalty!$A$14:$A$74</c:f>
              <c:numCache>
                <c:formatCode>0%</c:formatCode>
                <c:ptCount val="6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pt idx="51">
                  <c:v>0.49</c:v>
                </c:pt>
                <c:pt idx="52">
                  <c:v>0.48</c:v>
                </c:pt>
                <c:pt idx="53">
                  <c:v>0.47</c:v>
                </c:pt>
                <c:pt idx="54">
                  <c:v>0.46</c:v>
                </c:pt>
                <c:pt idx="55">
                  <c:v>0.45</c:v>
                </c:pt>
                <c:pt idx="56">
                  <c:v>0.44</c:v>
                </c:pt>
                <c:pt idx="57">
                  <c:v>0.43</c:v>
                </c:pt>
                <c:pt idx="58">
                  <c:v>0.42</c:v>
                </c:pt>
                <c:pt idx="59">
                  <c:v>0.41</c:v>
                </c:pt>
                <c:pt idx="60">
                  <c:v>0.4</c:v>
                </c:pt>
              </c:numCache>
            </c:numRef>
          </c:cat>
          <c:val>
            <c:numRef>
              <c:f>deep_cycling_penalty!$G$14:$G$74</c:f>
              <c:numCache>
                <c:formatCode>General</c:formatCode>
                <c:ptCount val="61"/>
                <c:pt idx="0">
                  <c:v>0.0</c:v>
                </c:pt>
                <c:pt idx="1">
                  <c:v>0.114839999999983</c:v>
                </c:pt>
                <c:pt idx="2">
                  <c:v>0.113679999999983</c:v>
                </c:pt>
                <c:pt idx="3">
                  <c:v>0.112520000000005</c:v>
                </c:pt>
                <c:pt idx="4">
                  <c:v>0.111360000000005</c:v>
                </c:pt>
                <c:pt idx="5">
                  <c:v>0.1102</c:v>
                </c:pt>
                <c:pt idx="6">
                  <c:v>0.109039999999998</c:v>
                </c:pt>
                <c:pt idx="7">
                  <c:v>0.107879999999996</c:v>
                </c:pt>
                <c:pt idx="8">
                  <c:v>0.106720000000002</c:v>
                </c:pt>
                <c:pt idx="9">
                  <c:v>0.10556</c:v>
                </c:pt>
                <c:pt idx="10">
                  <c:v>0.104400000000001</c:v>
                </c:pt>
                <c:pt idx="11">
                  <c:v>0.103239999999999</c:v>
                </c:pt>
                <c:pt idx="12">
                  <c:v>0.102079999999998</c:v>
                </c:pt>
                <c:pt idx="13">
                  <c:v>0.100920000000001</c:v>
                </c:pt>
                <c:pt idx="14">
                  <c:v>0.0997600000000002</c:v>
                </c:pt>
                <c:pt idx="15">
                  <c:v>0.0985999999999992</c:v>
                </c:pt>
                <c:pt idx="16">
                  <c:v>0.0974399999999995</c:v>
                </c:pt>
                <c:pt idx="17">
                  <c:v>0.0962799999999987</c:v>
                </c:pt>
                <c:pt idx="18">
                  <c:v>0.095120000000001</c:v>
                </c:pt>
                <c:pt idx="19">
                  <c:v>0.0939600000000003</c:v>
                </c:pt>
                <c:pt idx="20">
                  <c:v>0.0927999999999995</c:v>
                </c:pt>
                <c:pt idx="21">
                  <c:v>0.0916399999999989</c:v>
                </c:pt>
                <c:pt idx="22">
                  <c:v>0.0904799999999992</c:v>
                </c:pt>
                <c:pt idx="23">
                  <c:v>0.0893200000000009</c:v>
                </c:pt>
                <c:pt idx="24">
                  <c:v>0.0881600000000003</c:v>
                </c:pt>
                <c:pt idx="25">
                  <c:v>0.0869999999999997</c:v>
                </c:pt>
                <c:pt idx="26">
                  <c:v>0.0900523076923074</c:v>
                </c:pt>
                <c:pt idx="27">
                  <c:v>0.0926829629629632</c:v>
                </c:pt>
                <c:pt idx="28">
                  <c:v>0.094937142857143</c:v>
                </c:pt>
                <c:pt idx="29">
                  <c:v>0.0968537931034478</c:v>
                </c:pt>
                <c:pt idx="30">
                  <c:v>0.0984666666666666</c:v>
                </c:pt>
                <c:pt idx="31">
                  <c:v>0.0998051612903225</c:v>
                </c:pt>
                <c:pt idx="32">
                  <c:v>0.100895</c:v>
                </c:pt>
                <c:pt idx="33">
                  <c:v>0.101758787878787</c:v>
                </c:pt>
                <c:pt idx="34">
                  <c:v>0.102416470588235</c:v>
                </c:pt>
                <c:pt idx="35">
                  <c:v>0.102885714285714</c:v>
                </c:pt>
                <c:pt idx="36">
                  <c:v>0.103182222222222</c:v>
                </c:pt>
                <c:pt idx="37">
                  <c:v>0.10332</c:v>
                </c:pt>
                <c:pt idx="38">
                  <c:v>0.103311578947368</c:v>
                </c:pt>
                <c:pt idx="39">
                  <c:v>0.103168205128205</c:v>
                </c:pt>
                <c:pt idx="40">
                  <c:v>0.1029</c:v>
                </c:pt>
                <c:pt idx="41">
                  <c:v>0.102516097560976</c:v>
                </c:pt>
                <c:pt idx="42">
                  <c:v>0.102024761904762</c:v>
                </c:pt>
                <c:pt idx="43">
                  <c:v>0.101433488372093</c:v>
                </c:pt>
                <c:pt idx="44">
                  <c:v>0.100749090909091</c:v>
                </c:pt>
                <c:pt idx="45">
                  <c:v>0.0999777777777776</c:v>
                </c:pt>
                <c:pt idx="46">
                  <c:v>0.0991252173913044</c:v>
                </c:pt>
                <c:pt idx="47">
                  <c:v>0.0981965957446806</c:v>
                </c:pt>
                <c:pt idx="48">
                  <c:v>0.0971966666666664</c:v>
                </c:pt>
                <c:pt idx="49">
                  <c:v>0.0961297959183673</c:v>
                </c:pt>
                <c:pt idx="50">
                  <c:v>0.0949999999999999</c:v>
                </c:pt>
                <c:pt idx="51">
                  <c:v>0.10699294117647</c:v>
                </c:pt>
                <c:pt idx="52">
                  <c:v>0.117895384615385</c:v>
                </c:pt>
                <c:pt idx="53">
                  <c:v>0.127769056603774</c:v>
                </c:pt>
                <c:pt idx="54">
                  <c:v>0.136671111111111</c:v>
                </c:pt>
                <c:pt idx="55">
                  <c:v>0.144654545454546</c:v>
                </c:pt>
                <c:pt idx="56">
                  <c:v>0.151768571428572</c:v>
                </c:pt>
                <c:pt idx="57">
                  <c:v>0.158058947368421</c:v>
                </c:pt>
                <c:pt idx="58">
                  <c:v>0.163568275862069</c:v>
                </c:pt>
                <c:pt idx="59">
                  <c:v>0.168336271186441</c:v>
                </c:pt>
                <c:pt idx="60">
                  <c:v>0.1724</c:v>
                </c:pt>
              </c:numCache>
            </c:numRef>
          </c:val>
        </c:ser>
        <c:marker val="1"/>
        <c:axId val="575592568"/>
        <c:axId val="583161064"/>
      </c:lineChart>
      <c:catAx>
        <c:axId val="575592568"/>
        <c:scaling>
          <c:orientation val="minMax"/>
        </c:scaling>
        <c:axPos val="b"/>
        <c:numFmt formatCode="0%" sourceLinked="1"/>
        <c:tickLblPos val="nextTo"/>
        <c:crossAx val="583161064"/>
        <c:crosses val="autoZero"/>
        <c:auto val="1"/>
        <c:lblAlgn val="ctr"/>
        <c:lblOffset val="100"/>
      </c:catAx>
      <c:valAx>
        <c:axId val="583161064"/>
        <c:scaling>
          <c:orientation val="minMax"/>
        </c:scaling>
        <c:axPos val="l"/>
        <c:majorGridlines/>
        <c:numFmt formatCode="General" sourceLinked="1"/>
        <c:tickLblPos val="nextTo"/>
        <c:crossAx val="575592568"/>
        <c:crosses val="autoZero"/>
        <c:crossBetween val="between"/>
      </c:valAx>
    </c:plotArea>
    <c:legend>
      <c:legendPos val="r"/>
      <c:layout/>
    </c:legend>
    <c:plotVisOnly val="1"/>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10</xdr:col>
      <xdr:colOff>457200</xdr:colOff>
      <xdr:row>2</xdr:row>
      <xdr:rowOff>25400</xdr:rowOff>
    </xdr:from>
    <xdr:to>
      <xdr:col>15</xdr:col>
      <xdr:colOff>266700</xdr:colOff>
      <xdr:row>18</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177800</xdr:colOff>
      <xdr:row>2</xdr:row>
      <xdr:rowOff>50800</xdr:rowOff>
    </xdr:from>
    <xdr:to>
      <xdr:col>18</xdr:col>
      <xdr:colOff>787400</xdr:colOff>
      <xdr:row>18</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292100</xdr:colOff>
      <xdr:row>7</xdr:row>
      <xdr:rowOff>50800</xdr:rowOff>
    </xdr:from>
    <xdr:to>
      <xdr:col>16</xdr:col>
      <xdr:colOff>2006600</xdr:colOff>
      <xdr:row>23</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635000</xdr:colOff>
      <xdr:row>26</xdr:row>
      <xdr:rowOff>63500</xdr:rowOff>
    </xdr:from>
    <xdr:to>
      <xdr:col>18</xdr:col>
      <xdr:colOff>76200</xdr:colOff>
      <xdr:row>59</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787400</xdr:colOff>
      <xdr:row>13</xdr:row>
      <xdr:rowOff>12700</xdr:rowOff>
    </xdr:from>
    <xdr:to>
      <xdr:col>18</xdr:col>
      <xdr:colOff>482600</xdr:colOff>
      <xdr:row>52</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T114"/>
  <sheetViews>
    <sheetView tabSelected="1" zoomScale="120" workbookViewId="0">
      <pane xSplit="2" ySplit="4" topLeftCell="AL5" activePane="bottomRight" state="frozen"/>
      <selection pane="topRight" activeCell="C1" sqref="C1"/>
      <selection pane="bottomLeft" activeCell="A4" sqref="A4"/>
      <selection pane="bottomRight" activeCell="AP69" sqref="AP69"/>
    </sheetView>
  </sheetViews>
  <sheetFormatPr baseColWidth="10" defaultRowHeight="13"/>
  <cols>
    <col min="1" max="1" width="10.7109375" style="5"/>
    <col min="2" max="2" width="44.42578125" customWidth="1"/>
    <col min="3" max="3" width="17.140625" style="5" customWidth="1"/>
    <col min="4" max="5" width="17.140625" customWidth="1"/>
    <col min="6" max="6" width="12.5703125" customWidth="1"/>
    <col min="7" max="7" width="36.85546875" style="11" customWidth="1"/>
    <col min="8" max="8" width="17.28515625" customWidth="1"/>
    <col min="9" max="9" width="19" customWidth="1"/>
    <col min="10" max="10" width="19.85546875" customWidth="1"/>
    <col min="11" max="11" width="22.5703125" customWidth="1"/>
    <col min="12" max="12" width="17.85546875" customWidth="1"/>
    <col min="13" max="13" width="14" customWidth="1"/>
    <col min="15" max="16" width="16" customWidth="1"/>
    <col min="19" max="24" width="10.7109375" style="5"/>
    <col min="26" max="26" width="12.7109375" customWidth="1"/>
    <col min="31" max="33" width="10.7109375" style="29"/>
    <col min="34" max="34" width="15.140625" customWidth="1"/>
    <col min="35" max="35" width="10.7109375" style="12"/>
    <col min="36" max="36" width="18.140625" style="29" customWidth="1"/>
    <col min="37" max="37" width="10.7109375" style="26"/>
    <col min="38" max="38" width="10.7109375" style="15"/>
    <col min="39" max="40" width="10.7109375" style="26"/>
    <col min="41" max="41" width="10.7109375" style="29"/>
    <col min="42" max="42" width="29.7109375" style="29" customWidth="1"/>
    <col min="43" max="43" width="14" style="29" bestFit="1" customWidth="1"/>
    <col min="44" max="44" width="16.7109375" style="29" bestFit="1" customWidth="1"/>
    <col min="45" max="45" width="38.28515625" customWidth="1"/>
  </cols>
  <sheetData>
    <row r="1" spans="1:46" s="29" customFormat="1">
      <c r="A1" s="30" t="s">
        <v>95</v>
      </c>
    </row>
    <row r="2" spans="1:46" s="29" customFormat="1">
      <c r="A2" s="30" t="s">
        <v>89</v>
      </c>
    </row>
    <row r="3" spans="1:46" s="29" customFormat="1"/>
    <row r="4" spans="1:46">
      <c r="A4" s="5" t="s">
        <v>169</v>
      </c>
      <c r="B4" t="s">
        <v>12</v>
      </c>
      <c r="C4" s="5" t="s">
        <v>137</v>
      </c>
      <c r="D4" t="s">
        <v>222</v>
      </c>
      <c r="E4" t="s">
        <v>81</v>
      </c>
      <c r="F4" t="s">
        <v>152</v>
      </c>
      <c r="G4" s="11" t="s">
        <v>97</v>
      </c>
      <c r="H4" t="s">
        <v>79</v>
      </c>
      <c r="I4" t="s">
        <v>157</v>
      </c>
      <c r="J4" t="s">
        <v>178</v>
      </c>
      <c r="K4" t="s">
        <v>112</v>
      </c>
      <c r="L4" t="s">
        <v>101</v>
      </c>
      <c r="M4" t="s">
        <v>132</v>
      </c>
      <c r="N4" t="s">
        <v>11</v>
      </c>
      <c r="O4" t="s">
        <v>13</v>
      </c>
      <c r="P4" t="s">
        <v>80</v>
      </c>
      <c r="Q4" t="s">
        <v>192</v>
      </c>
      <c r="R4" t="s">
        <v>78</v>
      </c>
      <c r="S4" s="5" t="s">
        <v>43</v>
      </c>
      <c r="T4" s="5" t="s">
        <v>69</v>
      </c>
      <c r="U4" s="5" t="s">
        <v>70</v>
      </c>
      <c r="V4" s="5" t="s">
        <v>129</v>
      </c>
      <c r="W4" s="5" t="s">
        <v>130</v>
      </c>
      <c r="X4" s="5" t="s">
        <v>131</v>
      </c>
      <c r="Y4" s="5" t="s">
        <v>67</v>
      </c>
      <c r="Z4" t="s">
        <v>58</v>
      </c>
      <c r="AA4" t="s">
        <v>59</v>
      </c>
      <c r="AB4" t="s">
        <v>148</v>
      </c>
      <c r="AC4" t="s">
        <v>149</v>
      </c>
      <c r="AD4" t="s">
        <v>150</v>
      </c>
      <c r="AE4" s="29" t="s">
        <v>122</v>
      </c>
      <c r="AF4" s="29" t="s">
        <v>86</v>
      </c>
      <c r="AG4" s="29" t="s">
        <v>87</v>
      </c>
      <c r="AH4" t="s">
        <v>151</v>
      </c>
      <c r="AI4" t="s">
        <v>57</v>
      </c>
      <c r="AJ4" s="29" t="s">
        <v>114</v>
      </c>
      <c r="AK4" s="26" t="s">
        <v>219</v>
      </c>
      <c r="AL4" s="15" t="s">
        <v>44</v>
      </c>
      <c r="AM4" t="s">
        <v>217</v>
      </c>
      <c r="AN4" t="s">
        <v>218</v>
      </c>
      <c r="AO4" s="29" t="s">
        <v>104</v>
      </c>
      <c r="AP4" s="29" t="s">
        <v>16</v>
      </c>
      <c r="AQ4" s="33" t="s">
        <v>123</v>
      </c>
      <c r="AR4" s="33" t="s">
        <v>124</v>
      </c>
      <c r="AS4" s="12" t="s">
        <v>61</v>
      </c>
      <c r="AT4" s="29" t="s">
        <v>212</v>
      </c>
    </row>
    <row r="5" spans="1:46">
      <c r="A5" s="5">
        <v>1</v>
      </c>
      <c r="B5" t="s">
        <v>17</v>
      </c>
      <c r="C5" s="5">
        <v>2007</v>
      </c>
      <c r="D5">
        <v>2011</v>
      </c>
      <c r="E5" t="s">
        <v>82</v>
      </c>
      <c r="F5">
        <v>2009</v>
      </c>
      <c r="G5" s="11">
        <v>0.93</v>
      </c>
      <c r="H5">
        <v>2009</v>
      </c>
      <c r="I5">
        <v>989000</v>
      </c>
      <c r="J5" s="24">
        <v>7170</v>
      </c>
      <c r="K5">
        <v>2.65</v>
      </c>
      <c r="L5">
        <f>I5*G5*(1+O5)^(2007-H5)</f>
        <v>945115.88142919762</v>
      </c>
      <c r="M5">
        <f t="shared" ref="M5:M66" si="0">J5*G5</f>
        <v>6668.1</v>
      </c>
      <c r="N5">
        <f t="shared" ref="N5:N66" si="1">K5*G5</f>
        <v>2.4645000000000001</v>
      </c>
      <c r="O5">
        <v>-1.35E-2</v>
      </c>
      <c r="P5">
        <v>91289</v>
      </c>
      <c r="Q5">
        <v>6.47</v>
      </c>
      <c r="R5">
        <v>2</v>
      </c>
      <c r="S5" s="5">
        <v>0.25</v>
      </c>
      <c r="T5" s="5">
        <v>0.75</v>
      </c>
      <c r="U5" s="5">
        <v>0</v>
      </c>
      <c r="V5" s="5">
        <v>0</v>
      </c>
      <c r="W5" s="5">
        <v>0</v>
      </c>
      <c r="X5" s="5">
        <v>0</v>
      </c>
      <c r="Y5">
        <v>20</v>
      </c>
      <c r="Z5">
        <v>2.24E-2</v>
      </c>
      <c r="AA5">
        <v>6.0199999999999997E-2</v>
      </c>
      <c r="AB5">
        <v>0</v>
      </c>
      <c r="AC5">
        <v>0</v>
      </c>
      <c r="AD5">
        <v>0</v>
      </c>
      <c r="AE5" s="29">
        <v>0</v>
      </c>
      <c r="AF5" s="29">
        <v>1</v>
      </c>
      <c r="AG5" s="29">
        <v>0</v>
      </c>
      <c r="AH5">
        <v>0</v>
      </c>
      <c r="AI5">
        <v>1</v>
      </c>
      <c r="AJ5" s="29">
        <v>0</v>
      </c>
      <c r="AK5" s="26">
        <v>0</v>
      </c>
      <c r="AL5" s="15">
        <v>0</v>
      </c>
      <c r="AM5">
        <v>0</v>
      </c>
      <c r="AN5">
        <v>0</v>
      </c>
      <c r="AO5" s="29">
        <v>0.38</v>
      </c>
      <c r="AP5" s="29">
        <v>0.33</v>
      </c>
      <c r="AQ5" s="33">
        <v>0</v>
      </c>
      <c r="AR5" s="33">
        <v>0</v>
      </c>
      <c r="AS5" t="str">
        <f t="shared" ref="AS5:AS31" si="2">B5</f>
        <v>CCGT</v>
      </c>
      <c r="AT5" s="29" t="s">
        <v>74</v>
      </c>
    </row>
    <row r="6" spans="1:46">
      <c r="A6" s="5">
        <v>103</v>
      </c>
      <c r="B6" t="str">
        <f>SUBSTITUTE(B10,"_EP", "")</f>
        <v>CCGT_Cogen</v>
      </c>
      <c r="C6" s="29">
        <f>C10</f>
        <v>2007</v>
      </c>
      <c r="D6" s="29">
        <f>D5</f>
        <v>2011</v>
      </c>
      <c r="E6" s="29" t="str">
        <f>E5</f>
        <v>Gas</v>
      </c>
      <c r="F6" s="29"/>
      <c r="G6" s="29"/>
      <c r="H6" s="29"/>
      <c r="I6" s="29"/>
      <c r="J6" s="29"/>
      <c r="K6" s="29"/>
      <c r="L6" s="29">
        <f>L10</f>
        <v>751905</v>
      </c>
      <c r="M6" s="29">
        <f>M10</f>
        <v>5789.25</v>
      </c>
      <c r="N6" s="29">
        <f>N10</f>
        <v>2.7621000000000002</v>
      </c>
      <c r="O6" s="29">
        <f>O5</f>
        <v>-1.35E-2</v>
      </c>
      <c r="P6" s="29">
        <f>P5</f>
        <v>91289</v>
      </c>
      <c r="Q6" s="29">
        <f>Q10</f>
        <v>0</v>
      </c>
      <c r="R6" s="29">
        <f t="shared" ref="R6:AA6" si="3">R5</f>
        <v>2</v>
      </c>
      <c r="S6" s="29">
        <f t="shared" si="3"/>
        <v>0.25</v>
      </c>
      <c r="T6" s="29">
        <f t="shared" si="3"/>
        <v>0.75</v>
      </c>
      <c r="U6" s="29">
        <f t="shared" si="3"/>
        <v>0</v>
      </c>
      <c r="V6" s="29">
        <f t="shared" si="3"/>
        <v>0</v>
      </c>
      <c r="W6" s="29">
        <f t="shared" si="3"/>
        <v>0</v>
      </c>
      <c r="X6" s="29">
        <f t="shared" si="3"/>
        <v>0</v>
      </c>
      <c r="Y6" s="29">
        <f t="shared" si="3"/>
        <v>20</v>
      </c>
      <c r="Z6" s="29">
        <f t="shared" si="3"/>
        <v>2.24E-2</v>
      </c>
      <c r="AA6" s="29">
        <f t="shared" si="3"/>
        <v>6.0199999999999997E-2</v>
      </c>
      <c r="AB6" s="29">
        <f t="shared" ref="AB6:AH6" si="4">AB10</f>
        <v>0</v>
      </c>
      <c r="AC6" s="29">
        <f t="shared" si="4"/>
        <v>1</v>
      </c>
      <c r="AD6" s="29">
        <f t="shared" si="4"/>
        <v>1</v>
      </c>
      <c r="AE6" s="29">
        <v>0</v>
      </c>
      <c r="AF6" s="29">
        <f t="shared" si="4"/>
        <v>0</v>
      </c>
      <c r="AG6" s="29">
        <f t="shared" si="4"/>
        <v>1</v>
      </c>
      <c r="AH6" s="29">
        <f t="shared" si="4"/>
        <v>0</v>
      </c>
      <c r="AI6" s="29">
        <v>1</v>
      </c>
      <c r="AJ6" s="29">
        <f>AJ10</f>
        <v>1</v>
      </c>
      <c r="AK6" s="29">
        <f>AK10</f>
        <v>0</v>
      </c>
      <c r="AL6" s="29">
        <f>AL10</f>
        <v>0</v>
      </c>
      <c r="AM6" s="29">
        <f>AM10</f>
        <v>0</v>
      </c>
      <c r="AN6" s="29">
        <f>AN10</f>
        <v>0</v>
      </c>
      <c r="AO6" s="29">
        <v>0</v>
      </c>
      <c r="AP6" s="29">
        <v>0</v>
      </c>
      <c r="AQ6" s="33">
        <v>1</v>
      </c>
      <c r="AR6" s="33">
        <v>0</v>
      </c>
      <c r="AS6" s="29" t="str">
        <f t="shared" si="2"/>
        <v>CCGT_Cogen</v>
      </c>
      <c r="AT6" s="29" t="s">
        <v>88</v>
      </c>
    </row>
    <row r="7" spans="1:46">
      <c r="A7" s="5">
        <v>110</v>
      </c>
      <c r="B7" s="29" t="s">
        <v>198</v>
      </c>
      <c r="C7" s="5">
        <v>2007</v>
      </c>
      <c r="D7">
        <v>2016</v>
      </c>
      <c r="E7" s="29" t="s">
        <v>161</v>
      </c>
      <c r="L7">
        <f>0.75*L8</f>
        <v>1495433.5736031947</v>
      </c>
      <c r="M7" s="29">
        <f>0.75*M8</f>
        <v>20784.018750000003</v>
      </c>
      <c r="O7">
        <f>O8</f>
        <v>-1.8173506790955307E-2</v>
      </c>
      <c r="P7" s="29">
        <f>P6</f>
        <v>91289</v>
      </c>
      <c r="R7">
        <f>R8</f>
        <v>2</v>
      </c>
      <c r="S7" s="29">
        <f t="shared" ref="S7:AA7" si="5">S8</f>
        <v>0.25</v>
      </c>
      <c r="T7" s="29">
        <f t="shared" si="5"/>
        <v>0.75</v>
      </c>
      <c r="U7" s="29">
        <f t="shared" si="5"/>
        <v>0</v>
      </c>
      <c r="V7" s="29">
        <f t="shared" si="5"/>
        <v>0</v>
      </c>
      <c r="W7" s="29">
        <f t="shared" si="5"/>
        <v>0</v>
      </c>
      <c r="X7" s="29">
        <f t="shared" si="5"/>
        <v>0</v>
      </c>
      <c r="Y7" s="29">
        <f t="shared" si="5"/>
        <v>20</v>
      </c>
      <c r="Z7" s="29">
        <f t="shared" si="5"/>
        <v>2.24E-2</v>
      </c>
      <c r="AA7" s="29">
        <f t="shared" si="5"/>
        <v>6.0199999999999997E-2</v>
      </c>
      <c r="AB7">
        <v>0</v>
      </c>
      <c r="AC7">
        <v>1</v>
      </c>
      <c r="AD7">
        <v>1</v>
      </c>
      <c r="AE7" s="29">
        <v>0</v>
      </c>
      <c r="AF7" s="29">
        <v>0</v>
      </c>
      <c r="AG7" s="29">
        <v>1</v>
      </c>
      <c r="AH7">
        <v>0</v>
      </c>
      <c r="AI7" s="12">
        <v>1</v>
      </c>
      <c r="AJ7" s="29">
        <v>1</v>
      </c>
      <c r="AK7" s="26">
        <v>1</v>
      </c>
      <c r="AL7" s="15">
        <v>0</v>
      </c>
      <c r="AM7" s="26">
        <v>0</v>
      </c>
      <c r="AN7" s="26">
        <v>0</v>
      </c>
      <c r="AO7" s="29">
        <v>0</v>
      </c>
      <c r="AP7" s="29">
        <v>0</v>
      </c>
      <c r="AQ7" s="33">
        <v>1</v>
      </c>
      <c r="AR7" s="33">
        <v>0</v>
      </c>
      <c r="AS7" t="str">
        <f>B7</f>
        <v>CCGT_Cogen_CCS</v>
      </c>
      <c r="AT7" s="29" t="s">
        <v>184</v>
      </c>
    </row>
    <row r="8" spans="1:46" s="25" customFormat="1">
      <c r="A8" s="25">
        <v>34</v>
      </c>
      <c r="B8" s="25" t="s">
        <v>19</v>
      </c>
      <c r="C8" s="25">
        <v>2007</v>
      </c>
      <c r="D8" s="25">
        <v>2016</v>
      </c>
      <c r="E8" s="25" t="s">
        <v>100</v>
      </c>
      <c r="F8" s="25">
        <v>2010</v>
      </c>
      <c r="G8" s="25">
        <v>0.91610000000000003</v>
      </c>
      <c r="H8" s="25">
        <v>2010</v>
      </c>
      <c r="I8" s="25">
        <v>2060000</v>
      </c>
      <c r="J8" s="25">
        <v>30250</v>
      </c>
      <c r="K8" s="25">
        <v>6.25</v>
      </c>
      <c r="L8" s="29">
        <f>I8*G8*(1+O8)^(2007-H8)</f>
        <v>1993911.4314709262</v>
      </c>
      <c r="M8" s="26">
        <f>J8*G8</f>
        <v>27712.025000000001</v>
      </c>
      <c r="N8" s="26">
        <f>K8*G8</f>
        <v>5.725625</v>
      </c>
      <c r="O8" s="25">
        <v>-1.8173506790955307E-2</v>
      </c>
      <c r="P8" s="26">
        <v>91289</v>
      </c>
      <c r="Q8" s="25">
        <v>7.5250000000000004</v>
      </c>
      <c r="R8" s="26">
        <f t="shared" ref="R8:AA8" si="6">R5</f>
        <v>2</v>
      </c>
      <c r="S8" s="29">
        <f t="shared" si="6"/>
        <v>0.25</v>
      </c>
      <c r="T8" s="29">
        <f t="shared" si="6"/>
        <v>0.75</v>
      </c>
      <c r="U8" s="29">
        <f t="shared" si="6"/>
        <v>0</v>
      </c>
      <c r="V8" s="29">
        <f t="shared" si="6"/>
        <v>0</v>
      </c>
      <c r="W8" s="29">
        <f t="shared" si="6"/>
        <v>0</v>
      </c>
      <c r="X8" s="29">
        <f t="shared" si="6"/>
        <v>0</v>
      </c>
      <c r="Y8" s="29">
        <f t="shared" si="6"/>
        <v>20</v>
      </c>
      <c r="Z8" s="29">
        <f t="shared" si="6"/>
        <v>2.24E-2</v>
      </c>
      <c r="AA8" s="29">
        <f t="shared" si="6"/>
        <v>6.0199999999999997E-2</v>
      </c>
      <c r="AB8" s="25">
        <v>0</v>
      </c>
      <c r="AC8" s="25">
        <v>0</v>
      </c>
      <c r="AD8" s="25">
        <v>0</v>
      </c>
      <c r="AE8" s="29">
        <v>0</v>
      </c>
      <c r="AF8" s="29">
        <v>1</v>
      </c>
      <c r="AG8" s="29">
        <v>0</v>
      </c>
      <c r="AH8" s="25">
        <v>0</v>
      </c>
      <c r="AI8" s="25">
        <v>1</v>
      </c>
      <c r="AJ8" s="29">
        <v>0</v>
      </c>
      <c r="AK8" s="26">
        <v>1</v>
      </c>
      <c r="AL8" s="25">
        <v>0</v>
      </c>
      <c r="AM8" s="26">
        <v>0</v>
      </c>
      <c r="AN8" s="26">
        <v>0</v>
      </c>
      <c r="AO8" s="29">
        <v>0.38</v>
      </c>
      <c r="AP8" s="29">
        <v>0.33</v>
      </c>
      <c r="AQ8" s="33">
        <v>0</v>
      </c>
      <c r="AR8" s="33">
        <v>0</v>
      </c>
      <c r="AS8" s="29" t="str">
        <f t="shared" si="2"/>
        <v>CCGT_CCS</v>
      </c>
      <c r="AT8" s="29" t="s">
        <v>103</v>
      </c>
    </row>
    <row r="9" spans="1:46" s="5" customFormat="1">
      <c r="A9">
        <v>20</v>
      </c>
      <c r="B9" s="18" t="s">
        <v>134</v>
      </c>
      <c r="C9" s="29">
        <v>2007</v>
      </c>
      <c r="D9" s="29">
        <v>0</v>
      </c>
      <c r="E9" t="str">
        <f>E5</f>
        <v>Gas</v>
      </c>
      <c r="F9" s="29">
        <v>2009</v>
      </c>
      <c r="G9" s="29">
        <v>0.93</v>
      </c>
      <c r="H9" s="29">
        <v>2009</v>
      </c>
      <c r="I9" s="29">
        <v>1078000</v>
      </c>
      <c r="J9" s="29">
        <v>8300</v>
      </c>
      <c r="K9" s="5">
        <v>2.97</v>
      </c>
      <c r="L9" s="29">
        <f>I9*G9*(1+O9)^(2007-H9)</f>
        <v>1002540</v>
      </c>
      <c r="M9" s="29">
        <f>J9*G9</f>
        <v>7719</v>
      </c>
      <c r="N9" s="29">
        <f>K9*G9</f>
        <v>2.7621000000000002</v>
      </c>
      <c r="O9" s="5">
        <v>0</v>
      </c>
      <c r="P9" s="29">
        <f>P5</f>
        <v>91289</v>
      </c>
      <c r="Q9" s="5">
        <v>0</v>
      </c>
      <c r="R9" s="20">
        <v>2</v>
      </c>
      <c r="S9" s="20">
        <v>0.25</v>
      </c>
      <c r="T9" s="20">
        <v>0.75</v>
      </c>
      <c r="U9" s="20">
        <v>0</v>
      </c>
      <c r="V9" s="20">
        <v>0</v>
      </c>
      <c r="W9" s="20">
        <v>0</v>
      </c>
      <c r="X9" s="20">
        <v>0</v>
      </c>
      <c r="Y9" s="5">
        <v>20</v>
      </c>
      <c r="Z9" s="5">
        <v>2.24E-2</v>
      </c>
      <c r="AA9" s="5">
        <v>6.0199999999999997E-2</v>
      </c>
      <c r="AB9" s="5">
        <v>0</v>
      </c>
      <c r="AC9" s="5">
        <v>1</v>
      </c>
      <c r="AD9" s="5">
        <v>0</v>
      </c>
      <c r="AE9" s="29">
        <v>0</v>
      </c>
      <c r="AF9" s="29">
        <v>1</v>
      </c>
      <c r="AG9" s="29">
        <v>0</v>
      </c>
      <c r="AH9" s="5">
        <v>0</v>
      </c>
      <c r="AI9">
        <v>0</v>
      </c>
      <c r="AJ9" s="29">
        <v>0</v>
      </c>
      <c r="AK9" s="26">
        <v>0</v>
      </c>
      <c r="AL9" s="15">
        <v>0</v>
      </c>
      <c r="AM9">
        <v>0</v>
      </c>
      <c r="AN9">
        <v>0</v>
      </c>
      <c r="AO9" s="29">
        <v>0.38</v>
      </c>
      <c r="AP9" s="29">
        <v>0.33</v>
      </c>
      <c r="AQ9" s="33">
        <v>0</v>
      </c>
      <c r="AR9" s="33">
        <v>0</v>
      </c>
      <c r="AS9" s="29" t="str">
        <f t="shared" si="2"/>
        <v>CCGT_EP</v>
      </c>
      <c r="AT9" s="29" t="s">
        <v>75</v>
      </c>
    </row>
    <row r="10" spans="1:46" s="19" customFormat="1">
      <c r="A10" s="19">
        <v>32</v>
      </c>
      <c r="B10" s="19" t="s">
        <v>216</v>
      </c>
      <c r="C10" s="29">
        <v>2007</v>
      </c>
      <c r="D10" s="29">
        <v>0</v>
      </c>
      <c r="E10" s="19" t="str">
        <f>E9</f>
        <v>Gas</v>
      </c>
      <c r="F10" s="29">
        <f>F9</f>
        <v>2009</v>
      </c>
      <c r="G10" s="29">
        <f>G9</f>
        <v>0.93</v>
      </c>
      <c r="H10" s="29">
        <f>H9</f>
        <v>2009</v>
      </c>
      <c r="I10" s="19">
        <f>0.75 * I9</f>
        <v>808500</v>
      </c>
      <c r="J10" s="29">
        <f>0.75*J9</f>
        <v>6225</v>
      </c>
      <c r="K10" s="29">
        <f>K9</f>
        <v>2.97</v>
      </c>
      <c r="L10" s="29">
        <f>I10*G10*(1+O10)^(2007-H10)</f>
        <v>751905</v>
      </c>
      <c r="M10" s="29">
        <f>J10*G10</f>
        <v>5789.25</v>
      </c>
      <c r="N10" s="29">
        <f>K10*G10</f>
        <v>2.7621000000000002</v>
      </c>
      <c r="O10" s="19">
        <v>0</v>
      </c>
      <c r="P10" s="29">
        <f>P9</f>
        <v>91289</v>
      </c>
      <c r="Q10" s="19">
        <v>0</v>
      </c>
      <c r="R10" s="29">
        <f t="shared" ref="R10:AA10" si="7">R9</f>
        <v>2</v>
      </c>
      <c r="S10" s="29">
        <f t="shared" si="7"/>
        <v>0.25</v>
      </c>
      <c r="T10" s="29">
        <f t="shared" si="7"/>
        <v>0.75</v>
      </c>
      <c r="U10" s="29">
        <f t="shared" si="7"/>
        <v>0</v>
      </c>
      <c r="V10" s="29">
        <f t="shared" si="7"/>
        <v>0</v>
      </c>
      <c r="W10" s="29">
        <f t="shared" si="7"/>
        <v>0</v>
      </c>
      <c r="X10" s="29">
        <f t="shared" si="7"/>
        <v>0</v>
      </c>
      <c r="Y10" s="29">
        <f t="shared" si="7"/>
        <v>20</v>
      </c>
      <c r="Z10" s="29">
        <f t="shared" si="7"/>
        <v>2.24E-2</v>
      </c>
      <c r="AA10" s="29">
        <f t="shared" si="7"/>
        <v>6.0199999999999997E-2</v>
      </c>
      <c r="AB10" s="19">
        <v>0</v>
      </c>
      <c r="AC10" s="19">
        <v>1</v>
      </c>
      <c r="AD10" s="19">
        <v>1</v>
      </c>
      <c r="AE10" s="29">
        <v>0</v>
      </c>
      <c r="AF10" s="29">
        <v>0</v>
      </c>
      <c r="AG10" s="29">
        <v>1</v>
      </c>
      <c r="AH10" s="19">
        <v>0</v>
      </c>
      <c r="AI10" s="19">
        <v>0</v>
      </c>
      <c r="AJ10" s="29">
        <v>1</v>
      </c>
      <c r="AK10" s="26">
        <v>0</v>
      </c>
      <c r="AL10" s="19">
        <v>0</v>
      </c>
      <c r="AM10">
        <v>0</v>
      </c>
      <c r="AN10">
        <v>0</v>
      </c>
      <c r="AO10" s="29">
        <v>0</v>
      </c>
      <c r="AP10" s="29">
        <v>0</v>
      </c>
      <c r="AQ10" s="33">
        <v>1</v>
      </c>
      <c r="AR10" s="33">
        <v>0</v>
      </c>
      <c r="AS10" s="29" t="str">
        <f t="shared" si="2"/>
        <v>CCGT_Cogen_EP</v>
      </c>
      <c r="AT10" s="29" t="s">
        <v>1</v>
      </c>
    </row>
    <row r="11" spans="1:46">
      <c r="A11" s="5">
        <v>2</v>
      </c>
      <c r="B11" t="s">
        <v>18</v>
      </c>
      <c r="C11" s="5">
        <v>2007</v>
      </c>
      <c r="D11" s="29">
        <v>2011</v>
      </c>
      <c r="E11" t="s">
        <v>82</v>
      </c>
      <c r="F11">
        <v>2009</v>
      </c>
      <c r="G11" s="11">
        <v>0.93</v>
      </c>
      <c r="H11">
        <v>2009</v>
      </c>
      <c r="I11">
        <v>826000</v>
      </c>
      <c r="J11">
        <v>16330</v>
      </c>
      <c r="K11">
        <v>3.66</v>
      </c>
      <c r="L11" s="29">
        <f>I11*G11*(1+O11)^(2007-H11)</f>
        <v>790790.79656139307</v>
      </c>
      <c r="M11" s="11">
        <f>J11*G11</f>
        <v>15186.900000000001</v>
      </c>
      <c r="N11" s="11">
        <f>K11*G11</f>
        <v>3.4038000000000004</v>
      </c>
      <c r="O11">
        <v>-1.44E-2</v>
      </c>
      <c r="P11">
        <v>91289</v>
      </c>
      <c r="Q11">
        <v>8.5500000000000007</v>
      </c>
      <c r="R11">
        <v>2</v>
      </c>
      <c r="S11" s="5">
        <v>0.25</v>
      </c>
      <c r="T11" s="5">
        <v>0.75</v>
      </c>
      <c r="U11" s="5">
        <v>0</v>
      </c>
      <c r="V11" s="5">
        <v>0</v>
      </c>
      <c r="W11" s="5">
        <v>0</v>
      </c>
      <c r="X11" s="5">
        <v>0</v>
      </c>
      <c r="Y11">
        <v>20</v>
      </c>
      <c r="Z11">
        <v>4.1300000000000003E-2</v>
      </c>
      <c r="AA11">
        <v>3.1800000000000002E-2</v>
      </c>
      <c r="AB11">
        <v>0</v>
      </c>
      <c r="AC11">
        <v>0</v>
      </c>
      <c r="AD11">
        <v>0</v>
      </c>
      <c r="AE11" s="29">
        <v>0</v>
      </c>
      <c r="AF11" s="29">
        <v>1</v>
      </c>
      <c r="AG11" s="29">
        <v>0</v>
      </c>
      <c r="AH11">
        <v>0</v>
      </c>
      <c r="AI11">
        <v>1</v>
      </c>
      <c r="AJ11" s="29">
        <v>0</v>
      </c>
      <c r="AK11" s="26">
        <v>0</v>
      </c>
      <c r="AL11" s="15">
        <v>0</v>
      </c>
      <c r="AM11">
        <v>0</v>
      </c>
      <c r="AN11">
        <v>0</v>
      </c>
      <c r="AO11" s="29">
        <v>0.5</v>
      </c>
      <c r="AP11" s="29">
        <v>0.1</v>
      </c>
      <c r="AQ11" s="33">
        <v>0</v>
      </c>
      <c r="AR11" s="33">
        <v>0</v>
      </c>
      <c r="AS11" s="29" t="str">
        <f t="shared" si="2"/>
        <v>Gas_Combustion_Turbine</v>
      </c>
      <c r="AT11" s="29" t="s">
        <v>172</v>
      </c>
    </row>
    <row r="12" spans="1:46">
      <c r="A12" s="5">
        <v>101</v>
      </c>
      <c r="B12" t="str">
        <f>SUBSTITUTE(B16,"_EP", "")</f>
        <v>Gas_Combustion_Turbine_Cogen</v>
      </c>
      <c r="C12" s="29">
        <f>C16</f>
        <v>2007</v>
      </c>
      <c r="D12" s="29">
        <f>D11</f>
        <v>2011</v>
      </c>
      <c r="E12" s="29" t="str">
        <f>E16</f>
        <v>Gas</v>
      </c>
      <c r="F12" s="29"/>
      <c r="G12" s="29"/>
      <c r="H12" s="29"/>
      <c r="I12" s="29"/>
      <c r="J12" s="29"/>
      <c r="K12" s="29"/>
      <c r="L12" s="29">
        <f>L16</f>
        <v>857925</v>
      </c>
      <c r="M12" s="29">
        <f>M16</f>
        <v>12136.5</v>
      </c>
      <c r="N12" s="29">
        <f>N16</f>
        <v>3.8688000000000002</v>
      </c>
      <c r="O12" s="29">
        <f>O11</f>
        <v>-1.44E-2</v>
      </c>
      <c r="P12" s="29">
        <f>P11</f>
        <v>91289</v>
      </c>
      <c r="Q12" s="29">
        <v>0</v>
      </c>
      <c r="R12" s="29">
        <f t="shared" ref="R12:AA12" si="8">R11</f>
        <v>2</v>
      </c>
      <c r="S12" s="29">
        <f t="shared" si="8"/>
        <v>0.25</v>
      </c>
      <c r="T12" s="29">
        <f t="shared" si="8"/>
        <v>0.75</v>
      </c>
      <c r="U12" s="29">
        <f t="shared" si="8"/>
        <v>0</v>
      </c>
      <c r="V12" s="29">
        <f t="shared" si="8"/>
        <v>0</v>
      </c>
      <c r="W12" s="29">
        <f t="shared" si="8"/>
        <v>0</v>
      </c>
      <c r="X12" s="29">
        <f t="shared" si="8"/>
        <v>0</v>
      </c>
      <c r="Y12" s="29">
        <f t="shared" si="8"/>
        <v>20</v>
      </c>
      <c r="Z12" s="29">
        <f t="shared" si="8"/>
        <v>4.1300000000000003E-2</v>
      </c>
      <c r="AA12" s="29">
        <f t="shared" si="8"/>
        <v>3.1800000000000002E-2</v>
      </c>
      <c r="AB12" s="29">
        <f t="shared" ref="AB12:AH12" si="9">AB16</f>
        <v>0</v>
      </c>
      <c r="AC12" s="29">
        <f t="shared" si="9"/>
        <v>1</v>
      </c>
      <c r="AD12" s="29">
        <f t="shared" si="9"/>
        <v>1</v>
      </c>
      <c r="AE12" s="29">
        <v>0</v>
      </c>
      <c r="AF12" s="29">
        <f t="shared" si="9"/>
        <v>0</v>
      </c>
      <c r="AG12" s="29">
        <f t="shared" si="9"/>
        <v>1</v>
      </c>
      <c r="AH12" s="29">
        <f t="shared" si="9"/>
        <v>0</v>
      </c>
      <c r="AI12" s="29">
        <v>1</v>
      </c>
      <c r="AJ12" s="29">
        <f>AJ16</f>
        <v>1</v>
      </c>
      <c r="AK12" s="29">
        <f>AK16</f>
        <v>0</v>
      </c>
      <c r="AL12" s="29">
        <f>AL16</f>
        <v>0</v>
      </c>
      <c r="AM12" s="29">
        <f>AM16</f>
        <v>0</v>
      </c>
      <c r="AN12" s="29">
        <f>AN16</f>
        <v>0</v>
      </c>
      <c r="AO12" s="29">
        <v>0</v>
      </c>
      <c r="AP12" s="29">
        <v>0</v>
      </c>
      <c r="AQ12" s="33">
        <v>1</v>
      </c>
      <c r="AR12" s="33">
        <v>0</v>
      </c>
      <c r="AS12" s="29" t="str">
        <f t="shared" si="2"/>
        <v>Gas_Combustion_Turbine_Cogen</v>
      </c>
      <c r="AT12" s="29" t="s">
        <v>146</v>
      </c>
    </row>
    <row r="13" spans="1:46">
      <c r="A13" s="5">
        <v>111</v>
      </c>
      <c r="B13" s="29" t="s">
        <v>199</v>
      </c>
      <c r="C13" s="5">
        <v>2007</v>
      </c>
      <c r="D13" s="29">
        <v>2016</v>
      </c>
      <c r="E13" s="29" t="s">
        <v>161</v>
      </c>
      <c r="L13">
        <f>0.75*L14</f>
        <v>1379689.7599523412</v>
      </c>
      <c r="M13" s="29">
        <f>0.75*M14</f>
        <v>27173.118750000001</v>
      </c>
      <c r="O13">
        <f>O14</f>
        <v>-1.9385073910352327E-2</v>
      </c>
      <c r="P13" s="29">
        <v>91289</v>
      </c>
      <c r="R13">
        <f>R14</f>
        <v>2</v>
      </c>
      <c r="S13" s="29">
        <f t="shared" ref="S13:AA13" si="10">S14</f>
        <v>0.25</v>
      </c>
      <c r="T13" s="29">
        <f t="shared" si="10"/>
        <v>0.75</v>
      </c>
      <c r="U13" s="29">
        <f t="shared" si="10"/>
        <v>0</v>
      </c>
      <c r="V13" s="29">
        <f t="shared" si="10"/>
        <v>0</v>
      </c>
      <c r="W13" s="29">
        <f t="shared" si="10"/>
        <v>0</v>
      </c>
      <c r="X13" s="29">
        <f t="shared" si="10"/>
        <v>0</v>
      </c>
      <c r="Y13" s="29">
        <f t="shared" si="10"/>
        <v>20</v>
      </c>
      <c r="Z13" s="29">
        <f t="shared" si="10"/>
        <v>4.1300000000000003E-2</v>
      </c>
      <c r="AA13" s="29">
        <f t="shared" si="10"/>
        <v>3.1800000000000002E-2</v>
      </c>
      <c r="AB13">
        <v>0</v>
      </c>
      <c r="AC13">
        <v>1</v>
      </c>
      <c r="AD13">
        <v>1</v>
      </c>
      <c r="AE13" s="29">
        <v>0</v>
      </c>
      <c r="AF13" s="29">
        <v>0</v>
      </c>
      <c r="AG13" s="29">
        <v>1</v>
      </c>
      <c r="AH13">
        <v>0</v>
      </c>
      <c r="AI13" s="12">
        <v>1</v>
      </c>
      <c r="AJ13" s="29">
        <v>1</v>
      </c>
      <c r="AK13" s="26">
        <v>1</v>
      </c>
      <c r="AL13" s="15">
        <v>0</v>
      </c>
      <c r="AM13" s="26">
        <v>0</v>
      </c>
      <c r="AN13" s="26">
        <v>0</v>
      </c>
      <c r="AO13" s="29">
        <v>0</v>
      </c>
      <c r="AP13" s="29">
        <v>0</v>
      </c>
      <c r="AQ13" s="33">
        <v>1</v>
      </c>
      <c r="AR13" s="33">
        <v>0</v>
      </c>
      <c r="AS13" s="29" t="str">
        <f t="shared" si="2"/>
        <v>Gas_Combustion_Turbine_Cogen_CCS</v>
      </c>
      <c r="AT13" s="29" t="s">
        <v>193</v>
      </c>
    </row>
    <row r="14" spans="1:46" s="25" customFormat="1">
      <c r="A14" s="25">
        <v>35</v>
      </c>
      <c r="B14" s="25" t="s">
        <v>20</v>
      </c>
      <c r="C14" s="25">
        <v>2007</v>
      </c>
      <c r="D14" s="29">
        <v>2016</v>
      </c>
      <c r="E14" s="25" t="s">
        <v>100</v>
      </c>
      <c r="L14" s="29">
        <f>L11+(L8-L5)</f>
        <v>1839586.3466031216</v>
      </c>
      <c r="M14" s="29">
        <f>M11+(M8-M5)</f>
        <v>36230.825000000004</v>
      </c>
      <c r="N14" s="26">
        <f>N11+((N8-N5)*((Q14-Q11)/(Q8-Q5)))</f>
        <v>7.7133237635239542</v>
      </c>
      <c r="O14" s="25">
        <f>O11*(O8/O5)</f>
        <v>-1.9385073910352327E-2</v>
      </c>
      <c r="P14" s="26">
        <v>91289</v>
      </c>
      <c r="Q14" s="25">
        <f>Q11+Q11*((Q8/Q5)-1)</f>
        <v>9.9441653786707889</v>
      </c>
      <c r="R14" s="26">
        <f t="shared" ref="R14:AA14" si="11">R11</f>
        <v>2</v>
      </c>
      <c r="S14" s="29">
        <f t="shared" si="11"/>
        <v>0.25</v>
      </c>
      <c r="T14" s="29">
        <f t="shared" si="11"/>
        <v>0.75</v>
      </c>
      <c r="U14" s="29">
        <f t="shared" si="11"/>
        <v>0</v>
      </c>
      <c r="V14" s="29">
        <f t="shared" si="11"/>
        <v>0</v>
      </c>
      <c r="W14" s="29">
        <f t="shared" si="11"/>
        <v>0</v>
      </c>
      <c r="X14" s="29">
        <f t="shared" si="11"/>
        <v>0</v>
      </c>
      <c r="Y14" s="29">
        <f t="shared" si="11"/>
        <v>20</v>
      </c>
      <c r="Z14" s="29">
        <f t="shared" si="11"/>
        <v>4.1300000000000003E-2</v>
      </c>
      <c r="AA14" s="29">
        <f t="shared" si="11"/>
        <v>3.1800000000000002E-2</v>
      </c>
      <c r="AB14" s="25">
        <v>0</v>
      </c>
      <c r="AC14" s="25">
        <v>0</v>
      </c>
      <c r="AD14" s="25">
        <v>0</v>
      </c>
      <c r="AE14" s="29">
        <v>0</v>
      </c>
      <c r="AF14" s="29">
        <v>1</v>
      </c>
      <c r="AG14" s="29">
        <v>0</v>
      </c>
      <c r="AH14" s="26">
        <v>0</v>
      </c>
      <c r="AI14" s="26">
        <v>1</v>
      </c>
      <c r="AJ14" s="29">
        <v>0</v>
      </c>
      <c r="AK14" s="26">
        <v>1</v>
      </c>
      <c r="AL14" s="26">
        <v>0</v>
      </c>
      <c r="AM14" s="26">
        <v>0</v>
      </c>
      <c r="AN14" s="26">
        <v>0</v>
      </c>
      <c r="AO14" s="29">
        <v>0.5</v>
      </c>
      <c r="AP14" s="29">
        <v>0.1</v>
      </c>
      <c r="AQ14" s="33">
        <v>0</v>
      </c>
      <c r="AR14" s="33">
        <v>0</v>
      </c>
      <c r="AS14" s="29" t="str">
        <f t="shared" si="2"/>
        <v>Gas_Combustion_Turbine_CCS</v>
      </c>
      <c r="AT14" s="29" t="s">
        <v>121</v>
      </c>
    </row>
    <row r="15" spans="1:46" s="18" customFormat="1">
      <c r="A15" s="18">
        <v>17</v>
      </c>
      <c r="B15" s="18" t="s">
        <v>135</v>
      </c>
      <c r="C15" s="18">
        <v>2007</v>
      </c>
      <c r="D15" s="18">
        <v>0</v>
      </c>
      <c r="E15" s="18" t="str">
        <f>E11</f>
        <v>Gas</v>
      </c>
      <c r="F15" s="29">
        <v>2009</v>
      </c>
      <c r="G15" s="29">
        <v>0.93</v>
      </c>
      <c r="H15" s="29">
        <v>2009</v>
      </c>
      <c r="I15" s="29">
        <v>1230000</v>
      </c>
      <c r="J15" s="29">
        <v>17400</v>
      </c>
      <c r="K15" s="29">
        <v>4.16</v>
      </c>
      <c r="L15" s="29">
        <f>I15*G15*(1+O15)^(2007-H15)</f>
        <v>1143900</v>
      </c>
      <c r="M15" s="29">
        <f>J15*G15</f>
        <v>16182</v>
      </c>
      <c r="N15" s="29">
        <f>K15*G15</f>
        <v>3.8688000000000002</v>
      </c>
      <c r="O15" s="18">
        <v>0</v>
      </c>
      <c r="P15" s="29">
        <f>P11</f>
        <v>91289</v>
      </c>
      <c r="Q15" s="18">
        <v>0</v>
      </c>
      <c r="R15" s="29">
        <v>1</v>
      </c>
      <c r="S15" s="29">
        <v>1</v>
      </c>
      <c r="T15" s="29">
        <v>0</v>
      </c>
      <c r="U15" s="29">
        <f>U11</f>
        <v>0</v>
      </c>
      <c r="V15" s="29">
        <f>V11</f>
        <v>0</v>
      </c>
      <c r="W15" s="29">
        <f>W11</f>
        <v>0</v>
      </c>
      <c r="X15" s="29">
        <f>X11</f>
        <v>0</v>
      </c>
      <c r="Y15" s="29">
        <f>Y11</f>
        <v>20</v>
      </c>
      <c r="Z15" s="29">
        <v>4.1300000000000003E-2</v>
      </c>
      <c r="AA15" s="29">
        <v>3.1800000000000002E-2</v>
      </c>
      <c r="AB15" s="18">
        <v>0</v>
      </c>
      <c r="AC15" s="18">
        <v>1</v>
      </c>
      <c r="AD15" s="18">
        <v>0</v>
      </c>
      <c r="AE15" s="29">
        <v>0</v>
      </c>
      <c r="AF15" s="29">
        <v>1</v>
      </c>
      <c r="AG15" s="29">
        <v>0</v>
      </c>
      <c r="AH15" s="18">
        <v>0</v>
      </c>
      <c r="AI15" s="18">
        <v>0</v>
      </c>
      <c r="AJ15" s="29">
        <v>0</v>
      </c>
      <c r="AK15" s="26">
        <v>0</v>
      </c>
      <c r="AL15" s="18">
        <v>0</v>
      </c>
      <c r="AM15">
        <v>0</v>
      </c>
      <c r="AN15">
        <v>0</v>
      </c>
      <c r="AO15" s="29">
        <v>0.5</v>
      </c>
      <c r="AP15" s="29">
        <v>0.1</v>
      </c>
      <c r="AQ15" s="33">
        <v>0</v>
      </c>
      <c r="AR15" s="33">
        <v>0</v>
      </c>
      <c r="AS15" s="29" t="str">
        <f t="shared" si="2"/>
        <v>Gas_Combustion_Turbine_EP</v>
      </c>
      <c r="AT15" s="32" t="s">
        <v>153</v>
      </c>
    </row>
    <row r="16" spans="1:46" s="19" customFormat="1">
      <c r="A16" s="19">
        <v>29</v>
      </c>
      <c r="B16" s="19" t="s">
        <v>223</v>
      </c>
      <c r="C16" s="29">
        <v>2007</v>
      </c>
      <c r="D16" s="29">
        <f>D15</f>
        <v>0</v>
      </c>
      <c r="E16" s="19" t="s">
        <v>144</v>
      </c>
      <c r="F16" s="19">
        <f>F15</f>
        <v>2009</v>
      </c>
      <c r="G16" s="29">
        <f>G15</f>
        <v>0.93</v>
      </c>
      <c r="H16" s="29">
        <f>H15</f>
        <v>2009</v>
      </c>
      <c r="I16" s="19">
        <f>0.75 * I15</f>
        <v>922500</v>
      </c>
      <c r="J16" s="29">
        <f>0.75*J15</f>
        <v>13050</v>
      </c>
      <c r="K16" s="29">
        <f>K15</f>
        <v>4.16</v>
      </c>
      <c r="L16" s="29">
        <f>I16*G16*(1+O16)^(2007-H16)</f>
        <v>857925</v>
      </c>
      <c r="M16" s="29">
        <f>J16*G16</f>
        <v>12136.5</v>
      </c>
      <c r="N16" s="29">
        <f>K16*G16</f>
        <v>3.8688000000000002</v>
      </c>
      <c r="O16" s="19">
        <v>0</v>
      </c>
      <c r="P16" s="19">
        <f>P15</f>
        <v>91289</v>
      </c>
      <c r="Q16" s="19">
        <v>0</v>
      </c>
      <c r="R16" s="29">
        <f t="shared" ref="R16:AA16" si="12">R15</f>
        <v>1</v>
      </c>
      <c r="S16" s="29">
        <f t="shared" si="12"/>
        <v>1</v>
      </c>
      <c r="T16" s="29">
        <f t="shared" si="12"/>
        <v>0</v>
      </c>
      <c r="U16" s="29">
        <f t="shared" si="12"/>
        <v>0</v>
      </c>
      <c r="V16" s="29">
        <f t="shared" si="12"/>
        <v>0</v>
      </c>
      <c r="W16" s="29">
        <f t="shared" si="12"/>
        <v>0</v>
      </c>
      <c r="X16" s="29">
        <f t="shared" si="12"/>
        <v>0</v>
      </c>
      <c r="Y16" s="29">
        <f t="shared" si="12"/>
        <v>20</v>
      </c>
      <c r="Z16" s="29">
        <f t="shared" si="12"/>
        <v>4.1300000000000003E-2</v>
      </c>
      <c r="AA16" s="29">
        <f t="shared" si="12"/>
        <v>3.1800000000000002E-2</v>
      </c>
      <c r="AB16" s="19">
        <v>0</v>
      </c>
      <c r="AC16" s="19">
        <v>1</v>
      </c>
      <c r="AD16" s="19">
        <v>1</v>
      </c>
      <c r="AE16" s="29">
        <v>0</v>
      </c>
      <c r="AF16" s="29">
        <v>0</v>
      </c>
      <c r="AG16" s="29">
        <v>1</v>
      </c>
      <c r="AH16" s="19">
        <v>0</v>
      </c>
      <c r="AI16" s="19">
        <v>0</v>
      </c>
      <c r="AJ16" s="29">
        <v>1</v>
      </c>
      <c r="AK16" s="26">
        <v>0</v>
      </c>
      <c r="AL16" s="19">
        <v>0</v>
      </c>
      <c r="AM16">
        <v>0</v>
      </c>
      <c r="AN16">
        <v>0</v>
      </c>
      <c r="AO16" s="29">
        <v>0</v>
      </c>
      <c r="AP16" s="29">
        <v>0</v>
      </c>
      <c r="AQ16" s="33">
        <v>1</v>
      </c>
      <c r="AR16" s="33">
        <v>0</v>
      </c>
      <c r="AS16" s="29" t="str">
        <f t="shared" si="2"/>
        <v>Gas_Combustion_Turbine_Cogen_EP</v>
      </c>
      <c r="AT16" s="29" t="s">
        <v>37</v>
      </c>
    </row>
    <row r="17" spans="1:46">
      <c r="A17" s="5">
        <v>104</v>
      </c>
      <c r="B17" t="str">
        <f>SUBSTITUTE(B20,"_EP", "")</f>
        <v>Gas_Internal_Combustion_Engine_Cogen</v>
      </c>
      <c r="C17" s="29">
        <f>C20</f>
        <v>2007</v>
      </c>
      <c r="D17" s="29">
        <v>2011</v>
      </c>
      <c r="E17" s="29" t="str">
        <f>E20</f>
        <v>Gas</v>
      </c>
      <c r="F17" s="29"/>
      <c r="G17" s="29"/>
      <c r="H17" s="29"/>
      <c r="I17" s="29"/>
      <c r="J17" s="29"/>
      <c r="K17" s="29"/>
      <c r="L17" s="29">
        <f>L20</f>
        <v>857925</v>
      </c>
      <c r="M17" s="29">
        <f>M20</f>
        <v>30000</v>
      </c>
      <c r="N17" s="29">
        <f>N20</f>
        <v>3.8688000000000002</v>
      </c>
      <c r="O17" s="29">
        <f>O11</f>
        <v>-1.44E-2</v>
      </c>
      <c r="P17" s="29">
        <f t="shared" ref="P17:AA17" si="13">P20</f>
        <v>91289</v>
      </c>
      <c r="Q17" s="29">
        <f t="shared" si="13"/>
        <v>0</v>
      </c>
      <c r="R17" s="29">
        <f t="shared" si="13"/>
        <v>1</v>
      </c>
      <c r="S17" s="29">
        <f t="shared" si="13"/>
        <v>1</v>
      </c>
      <c r="T17" s="29">
        <f t="shared" si="13"/>
        <v>0</v>
      </c>
      <c r="U17" s="29">
        <f t="shared" si="13"/>
        <v>0</v>
      </c>
      <c r="V17" s="29">
        <f t="shared" si="13"/>
        <v>0</v>
      </c>
      <c r="W17" s="29">
        <f t="shared" si="13"/>
        <v>0</v>
      </c>
      <c r="X17" s="29">
        <f t="shared" si="13"/>
        <v>0</v>
      </c>
      <c r="Y17" s="29">
        <f t="shared" si="13"/>
        <v>20</v>
      </c>
      <c r="Z17" s="29">
        <f t="shared" si="13"/>
        <v>4.1300000000000003E-2</v>
      </c>
      <c r="AA17" s="29">
        <f t="shared" si="13"/>
        <v>3.1800000000000002E-2</v>
      </c>
      <c r="AB17" s="29">
        <v>0</v>
      </c>
      <c r="AC17" s="29">
        <v>1</v>
      </c>
      <c r="AD17" s="29">
        <v>1</v>
      </c>
      <c r="AE17" s="29">
        <v>0</v>
      </c>
      <c r="AF17" s="29">
        <v>0</v>
      </c>
      <c r="AG17" s="29">
        <v>1</v>
      </c>
      <c r="AH17" s="29">
        <v>0</v>
      </c>
      <c r="AI17" s="29">
        <v>1</v>
      </c>
      <c r="AJ17" s="29">
        <v>1</v>
      </c>
      <c r="AK17" s="29">
        <v>0</v>
      </c>
      <c r="AL17" s="29">
        <v>0</v>
      </c>
      <c r="AM17" s="29">
        <v>0</v>
      </c>
      <c r="AN17" s="29">
        <v>0</v>
      </c>
      <c r="AO17" s="29">
        <v>0</v>
      </c>
      <c r="AP17" s="29">
        <v>0</v>
      </c>
      <c r="AQ17" s="33">
        <v>1</v>
      </c>
      <c r="AR17" s="33">
        <v>0</v>
      </c>
      <c r="AS17" s="29" t="str">
        <f t="shared" si="2"/>
        <v>Gas_Internal_Combustion_Engine_Cogen</v>
      </c>
      <c r="AT17" s="29" t="s">
        <v>194</v>
      </c>
    </row>
    <row r="18" spans="1:46" s="29" customFormat="1">
      <c r="A18" s="29">
        <v>112</v>
      </c>
      <c r="B18" s="29" t="s">
        <v>160</v>
      </c>
      <c r="C18" s="29">
        <v>2007</v>
      </c>
      <c r="D18" s="29">
        <v>2016</v>
      </c>
      <c r="E18" s="29" t="s">
        <v>161</v>
      </c>
      <c r="L18" s="29">
        <f>L13</f>
        <v>1379689.7599523412</v>
      </c>
      <c r="M18" s="29">
        <f>M13</f>
        <v>27173.118750000001</v>
      </c>
      <c r="O18" s="29">
        <f>O13</f>
        <v>-1.9385073910352327E-2</v>
      </c>
      <c r="P18" s="29">
        <f>P13</f>
        <v>91289</v>
      </c>
      <c r="R18" s="29">
        <f>R13</f>
        <v>2</v>
      </c>
      <c r="S18" s="29">
        <f t="shared" ref="S18:AP18" si="14">S13</f>
        <v>0.25</v>
      </c>
      <c r="T18" s="29">
        <f t="shared" si="14"/>
        <v>0.75</v>
      </c>
      <c r="U18" s="29">
        <f t="shared" si="14"/>
        <v>0</v>
      </c>
      <c r="V18" s="29">
        <f t="shared" si="14"/>
        <v>0</v>
      </c>
      <c r="W18" s="29">
        <f t="shared" si="14"/>
        <v>0</v>
      </c>
      <c r="X18" s="29">
        <f t="shared" si="14"/>
        <v>0</v>
      </c>
      <c r="Y18" s="29">
        <f t="shared" si="14"/>
        <v>20</v>
      </c>
      <c r="Z18" s="29">
        <f t="shared" si="14"/>
        <v>4.1300000000000003E-2</v>
      </c>
      <c r="AA18" s="29">
        <f t="shared" si="14"/>
        <v>3.1800000000000002E-2</v>
      </c>
      <c r="AB18" s="29">
        <f t="shared" si="14"/>
        <v>0</v>
      </c>
      <c r="AC18" s="29">
        <f t="shared" si="14"/>
        <v>1</v>
      </c>
      <c r="AD18" s="29">
        <f t="shared" si="14"/>
        <v>1</v>
      </c>
      <c r="AE18" s="29">
        <v>0</v>
      </c>
      <c r="AF18" s="29">
        <f t="shared" si="14"/>
        <v>0</v>
      </c>
      <c r="AG18" s="29">
        <f t="shared" si="14"/>
        <v>1</v>
      </c>
      <c r="AH18" s="29">
        <f t="shared" si="14"/>
        <v>0</v>
      </c>
      <c r="AI18" s="29">
        <f t="shared" si="14"/>
        <v>1</v>
      </c>
      <c r="AJ18" s="29">
        <f t="shared" si="14"/>
        <v>1</v>
      </c>
      <c r="AK18" s="29">
        <f t="shared" si="14"/>
        <v>1</v>
      </c>
      <c r="AL18" s="29">
        <f t="shared" si="14"/>
        <v>0</v>
      </c>
      <c r="AM18" s="29">
        <f t="shared" si="14"/>
        <v>0</v>
      </c>
      <c r="AN18" s="29">
        <f t="shared" si="14"/>
        <v>0</v>
      </c>
      <c r="AO18" s="29">
        <f t="shared" si="14"/>
        <v>0</v>
      </c>
      <c r="AP18" s="29">
        <f t="shared" si="14"/>
        <v>0</v>
      </c>
      <c r="AQ18" s="33">
        <v>1</v>
      </c>
      <c r="AR18" s="33">
        <v>0</v>
      </c>
      <c r="AS18" s="29" t="str">
        <f t="shared" si="2"/>
        <v>Gas_Internal_Combustion_Engine_Cogen_CCS</v>
      </c>
      <c r="AT18" s="29" t="s">
        <v>196</v>
      </c>
    </row>
    <row r="19" spans="1:46" s="29" customFormat="1">
      <c r="A19" s="29">
        <v>24</v>
      </c>
      <c r="B19" s="29" t="s">
        <v>110</v>
      </c>
      <c r="C19" s="29">
        <v>2007</v>
      </c>
      <c r="D19" s="29">
        <v>0</v>
      </c>
      <c r="E19" s="29" t="str">
        <f t="shared" ref="E19:K19" si="15">E15</f>
        <v>Gas</v>
      </c>
      <c r="F19" s="29">
        <f t="shared" si="15"/>
        <v>2009</v>
      </c>
      <c r="G19" s="29">
        <f t="shared" si="15"/>
        <v>0.93</v>
      </c>
      <c r="H19" s="29">
        <f t="shared" si="15"/>
        <v>2009</v>
      </c>
      <c r="I19" s="29">
        <f t="shared" si="15"/>
        <v>1230000</v>
      </c>
      <c r="J19" s="29">
        <f t="shared" si="15"/>
        <v>17400</v>
      </c>
      <c r="K19" s="29">
        <f t="shared" si="15"/>
        <v>4.16</v>
      </c>
      <c r="L19" s="29">
        <f>I19*G19*(1+O19)^(2007-H19)</f>
        <v>1143900</v>
      </c>
      <c r="M19" s="29">
        <f t="shared" ref="M19:AA19" si="16">M15</f>
        <v>16182</v>
      </c>
      <c r="N19" s="29">
        <f t="shared" si="16"/>
        <v>3.8688000000000002</v>
      </c>
      <c r="O19" s="29">
        <f t="shared" si="16"/>
        <v>0</v>
      </c>
      <c r="P19" s="29">
        <f t="shared" si="16"/>
        <v>91289</v>
      </c>
      <c r="Q19" s="29">
        <f t="shared" si="16"/>
        <v>0</v>
      </c>
      <c r="R19" s="29">
        <f t="shared" si="16"/>
        <v>1</v>
      </c>
      <c r="S19" s="29">
        <f t="shared" si="16"/>
        <v>1</v>
      </c>
      <c r="T19" s="29">
        <f t="shared" si="16"/>
        <v>0</v>
      </c>
      <c r="U19" s="29">
        <f t="shared" si="16"/>
        <v>0</v>
      </c>
      <c r="V19" s="29">
        <f t="shared" si="16"/>
        <v>0</v>
      </c>
      <c r="W19" s="29">
        <f t="shared" si="16"/>
        <v>0</v>
      </c>
      <c r="X19" s="29">
        <f t="shared" si="16"/>
        <v>0</v>
      </c>
      <c r="Y19" s="29">
        <f t="shared" si="16"/>
        <v>20</v>
      </c>
      <c r="Z19" s="29">
        <f t="shared" si="16"/>
        <v>4.1300000000000003E-2</v>
      </c>
      <c r="AA19" s="29">
        <f t="shared" si="16"/>
        <v>3.1800000000000002E-2</v>
      </c>
      <c r="AB19" s="29">
        <v>0</v>
      </c>
      <c r="AC19" s="29">
        <v>1</v>
      </c>
      <c r="AD19" s="29">
        <v>0</v>
      </c>
      <c r="AE19" s="29">
        <v>0</v>
      </c>
      <c r="AF19" s="29">
        <v>1</v>
      </c>
      <c r="AG19" s="29">
        <v>0</v>
      </c>
      <c r="AH19" s="29">
        <v>0</v>
      </c>
      <c r="AI19" s="29">
        <v>0</v>
      </c>
      <c r="AJ19" s="29">
        <v>0</v>
      </c>
      <c r="AK19" s="29">
        <v>0</v>
      </c>
      <c r="AL19" s="29">
        <v>0</v>
      </c>
      <c r="AM19" s="29">
        <v>0</v>
      </c>
      <c r="AN19" s="29">
        <v>0</v>
      </c>
      <c r="AO19" s="29">
        <v>0.5</v>
      </c>
      <c r="AP19" s="29">
        <v>0.1</v>
      </c>
      <c r="AQ19" s="33">
        <v>0</v>
      </c>
      <c r="AR19" s="33">
        <v>0</v>
      </c>
      <c r="AS19" s="29" t="str">
        <f t="shared" si="2"/>
        <v>Gas_Internal_Combustion_Engine_EP</v>
      </c>
      <c r="AT19" s="29" t="s">
        <v>117</v>
      </c>
    </row>
    <row r="20" spans="1:46" s="29" customFormat="1">
      <c r="A20" s="29">
        <v>40</v>
      </c>
      <c r="B20" s="29" t="s">
        <v>215</v>
      </c>
      <c r="C20" s="29">
        <v>2007</v>
      </c>
      <c r="D20" s="29">
        <f>D19</f>
        <v>0</v>
      </c>
      <c r="E20" s="29" t="str">
        <f>E19</f>
        <v>Gas</v>
      </c>
      <c r="F20" s="29">
        <f>F19</f>
        <v>2009</v>
      </c>
      <c r="G20" s="29">
        <f>G19</f>
        <v>0.93</v>
      </c>
      <c r="H20" s="29">
        <f>H19</f>
        <v>2009</v>
      </c>
      <c r="I20" s="29">
        <f>0.75 * I19</f>
        <v>922500</v>
      </c>
      <c r="J20" s="29">
        <f>0.75*J19</f>
        <v>13050</v>
      </c>
      <c r="K20" s="29">
        <f>K19</f>
        <v>4.16</v>
      </c>
      <c r="L20" s="29">
        <f>I20*G20/(1+O20)^(H20-2007)</f>
        <v>857925</v>
      </c>
      <c r="M20">
        <v>30000</v>
      </c>
      <c r="N20" s="29">
        <f>K20*G20</f>
        <v>3.8688000000000002</v>
      </c>
      <c r="O20" s="29">
        <v>0</v>
      </c>
      <c r="P20" s="29">
        <f>P19</f>
        <v>91289</v>
      </c>
      <c r="Q20" s="29">
        <v>0</v>
      </c>
      <c r="R20" s="29">
        <f t="shared" ref="R20:AA20" si="17">R19</f>
        <v>1</v>
      </c>
      <c r="S20" s="29">
        <f t="shared" si="17"/>
        <v>1</v>
      </c>
      <c r="T20" s="29">
        <f t="shared" si="17"/>
        <v>0</v>
      </c>
      <c r="U20" s="29">
        <f t="shared" si="17"/>
        <v>0</v>
      </c>
      <c r="V20" s="29">
        <f t="shared" si="17"/>
        <v>0</v>
      </c>
      <c r="W20" s="29">
        <f t="shared" si="17"/>
        <v>0</v>
      </c>
      <c r="X20" s="29">
        <f t="shared" si="17"/>
        <v>0</v>
      </c>
      <c r="Y20" s="29">
        <f t="shared" si="17"/>
        <v>20</v>
      </c>
      <c r="Z20" s="29">
        <f t="shared" si="17"/>
        <v>4.1300000000000003E-2</v>
      </c>
      <c r="AA20" s="29">
        <f t="shared" si="17"/>
        <v>3.1800000000000002E-2</v>
      </c>
      <c r="AB20" s="29">
        <v>0</v>
      </c>
      <c r="AC20" s="29">
        <v>1</v>
      </c>
      <c r="AD20" s="29">
        <v>1</v>
      </c>
      <c r="AE20" s="29">
        <v>0</v>
      </c>
      <c r="AF20" s="29">
        <v>0</v>
      </c>
      <c r="AG20" s="29">
        <v>1</v>
      </c>
      <c r="AH20" s="29">
        <v>0</v>
      </c>
      <c r="AI20" s="29">
        <v>0</v>
      </c>
      <c r="AJ20" s="29">
        <v>1</v>
      </c>
      <c r="AK20" s="29">
        <v>0</v>
      </c>
      <c r="AL20" s="29">
        <v>0</v>
      </c>
      <c r="AM20" s="29">
        <v>0</v>
      </c>
      <c r="AN20" s="29">
        <v>0</v>
      </c>
      <c r="AO20" s="29">
        <v>0</v>
      </c>
      <c r="AP20" s="29">
        <v>0</v>
      </c>
      <c r="AQ20" s="33">
        <v>1</v>
      </c>
      <c r="AR20" s="33">
        <v>0</v>
      </c>
      <c r="AS20" s="29" t="str">
        <f t="shared" si="2"/>
        <v>Gas_Internal_Combustion_Engine_Cogen_EP</v>
      </c>
      <c r="AT20" s="29" t="s">
        <v>68</v>
      </c>
    </row>
    <row r="21" spans="1:46">
      <c r="A21" s="5">
        <v>102</v>
      </c>
      <c r="B21" t="str">
        <f>SUBSTITUTE(B24,"_EP", "")</f>
        <v>Gas_Steam_Turbine_Cogen</v>
      </c>
      <c r="C21" s="29">
        <f>C24</f>
        <v>2007</v>
      </c>
      <c r="D21" s="29">
        <v>2011</v>
      </c>
      <c r="E21" s="29" t="str">
        <f>E24</f>
        <v>Gas</v>
      </c>
      <c r="F21" s="29"/>
      <c r="G21" s="29"/>
      <c r="H21" s="29"/>
      <c r="I21" s="29"/>
      <c r="J21" s="29"/>
      <c r="K21" s="29"/>
      <c r="L21" s="29">
        <f t="shared" ref="L21:AH22" si="18">L24</f>
        <v>326250</v>
      </c>
      <c r="M21" s="29">
        <f t="shared" si="18"/>
        <v>20797.5</v>
      </c>
      <c r="N21" s="29">
        <f t="shared" si="18"/>
        <v>3.47</v>
      </c>
      <c r="O21" s="29">
        <f t="shared" si="18"/>
        <v>0</v>
      </c>
      <c r="P21" s="29">
        <f t="shared" si="18"/>
        <v>91289</v>
      </c>
      <c r="Q21" s="29">
        <f t="shared" si="18"/>
        <v>0</v>
      </c>
      <c r="R21" s="29">
        <f t="shared" si="18"/>
        <v>3</v>
      </c>
      <c r="S21" s="29">
        <f t="shared" si="18"/>
        <v>0.5</v>
      </c>
      <c r="T21" s="29">
        <f t="shared" si="18"/>
        <v>0.4</v>
      </c>
      <c r="U21" s="29">
        <f t="shared" si="18"/>
        <v>0.1</v>
      </c>
      <c r="V21" s="29">
        <f t="shared" si="18"/>
        <v>0</v>
      </c>
      <c r="W21" s="29">
        <f t="shared" si="18"/>
        <v>0</v>
      </c>
      <c r="X21" s="29">
        <f t="shared" si="18"/>
        <v>0</v>
      </c>
      <c r="Y21" s="29">
        <f t="shared" si="18"/>
        <v>45</v>
      </c>
      <c r="Z21" s="29">
        <f t="shared" si="18"/>
        <v>0.1</v>
      </c>
      <c r="AA21" s="29">
        <f t="shared" si="18"/>
        <v>2.5999999999999999E-2</v>
      </c>
      <c r="AB21" s="29">
        <f t="shared" si="18"/>
        <v>0</v>
      </c>
      <c r="AC21" s="29">
        <f t="shared" si="18"/>
        <v>1</v>
      </c>
      <c r="AD21" s="29">
        <f t="shared" si="18"/>
        <v>1</v>
      </c>
      <c r="AE21" s="29">
        <v>0</v>
      </c>
      <c r="AF21" s="29">
        <f t="shared" si="18"/>
        <v>0</v>
      </c>
      <c r="AG21" s="29">
        <f t="shared" si="18"/>
        <v>1</v>
      </c>
      <c r="AH21" s="29">
        <f t="shared" si="18"/>
        <v>0</v>
      </c>
      <c r="AI21" s="29">
        <v>1</v>
      </c>
      <c r="AJ21" s="29">
        <f>AJ24</f>
        <v>1</v>
      </c>
      <c r="AK21" s="29">
        <f>AK24</f>
        <v>0</v>
      </c>
      <c r="AL21" s="29">
        <f>AL24</f>
        <v>0</v>
      </c>
      <c r="AM21" s="29">
        <f>AM24</f>
        <v>0</v>
      </c>
      <c r="AN21" s="29">
        <f>AN24</f>
        <v>0</v>
      </c>
      <c r="AO21" s="29">
        <v>0</v>
      </c>
      <c r="AP21" s="29">
        <v>0</v>
      </c>
      <c r="AQ21" s="33">
        <v>1</v>
      </c>
      <c r="AR21" s="33">
        <v>0</v>
      </c>
      <c r="AS21" s="29" t="str">
        <f t="shared" si="2"/>
        <v>Gas_Steam_Turbine_Cogen</v>
      </c>
      <c r="AT21" s="29" t="str">
        <f>AT24</f>
        <v>Same as existing gas steam turbines, 75% capital cost and fixed cost</v>
      </c>
    </row>
    <row r="22" spans="1:46">
      <c r="A22" s="5">
        <v>113</v>
      </c>
      <c r="B22" s="29" t="s">
        <v>195</v>
      </c>
      <c r="C22" s="5">
        <v>2007</v>
      </c>
      <c r="D22" s="29">
        <v>2016</v>
      </c>
      <c r="E22" s="29" t="s">
        <v>161</v>
      </c>
      <c r="L22" s="29">
        <f>0.75*(L23+(L8-L5))</f>
        <v>1112846.6625312965</v>
      </c>
      <c r="M22" s="29">
        <f>0.75*(M23+(M8-M5))</f>
        <v>36580.443750000006</v>
      </c>
      <c r="P22" s="29">
        <f t="shared" si="18"/>
        <v>91289</v>
      </c>
      <c r="R22">
        <f>R21</f>
        <v>3</v>
      </c>
      <c r="S22" s="29">
        <f t="shared" ref="S22:Y22" si="19">S21</f>
        <v>0.5</v>
      </c>
      <c r="T22" s="29">
        <f t="shared" si="19"/>
        <v>0.4</v>
      </c>
      <c r="U22" s="29">
        <f t="shared" si="19"/>
        <v>0.1</v>
      </c>
      <c r="V22" s="29">
        <f t="shared" si="19"/>
        <v>0</v>
      </c>
      <c r="W22" s="29">
        <f t="shared" si="19"/>
        <v>0</v>
      </c>
      <c r="X22" s="29">
        <f t="shared" si="19"/>
        <v>0</v>
      </c>
      <c r="Y22" s="29">
        <f t="shared" si="19"/>
        <v>45</v>
      </c>
      <c r="Z22" s="29">
        <f>Z21</f>
        <v>0.1</v>
      </c>
      <c r="AA22" s="29">
        <f t="shared" ref="AA22:AB22" si="20">AA21</f>
        <v>2.5999999999999999E-2</v>
      </c>
      <c r="AB22" s="29">
        <f t="shared" si="20"/>
        <v>0</v>
      </c>
      <c r="AC22" s="29">
        <f t="shared" ref="AC22" si="21">AC21</f>
        <v>1</v>
      </c>
      <c r="AD22" s="29">
        <f t="shared" ref="AD22" si="22">AD21</f>
        <v>1</v>
      </c>
      <c r="AE22" s="29">
        <v>0</v>
      </c>
      <c r="AF22" s="29">
        <f t="shared" ref="AF22" si="23">AF21</f>
        <v>0</v>
      </c>
      <c r="AG22" s="29">
        <f t="shared" ref="AG22" si="24">AG21</f>
        <v>1</v>
      </c>
      <c r="AH22" s="29">
        <f t="shared" ref="AH22" si="25">AH21</f>
        <v>0</v>
      </c>
      <c r="AI22" s="29">
        <f t="shared" ref="AI22" si="26">AI21</f>
        <v>1</v>
      </c>
      <c r="AJ22" s="29">
        <f t="shared" ref="AJ22" si="27">AJ21</f>
        <v>1</v>
      </c>
      <c r="AK22" s="29">
        <v>1</v>
      </c>
      <c r="AL22" s="29">
        <f t="shared" ref="AL22:AM22" si="28">AL21</f>
        <v>0</v>
      </c>
      <c r="AM22" s="29">
        <f t="shared" si="28"/>
        <v>0</v>
      </c>
      <c r="AN22" s="29">
        <f t="shared" ref="AN22" si="29">AN21</f>
        <v>0</v>
      </c>
      <c r="AO22" s="29">
        <f t="shared" ref="AO22" si="30">AO21</f>
        <v>0</v>
      </c>
      <c r="AP22" s="29">
        <f t="shared" ref="AP22" si="31">AP21</f>
        <v>0</v>
      </c>
      <c r="AQ22" s="33">
        <v>1</v>
      </c>
      <c r="AR22" s="33">
        <v>0</v>
      </c>
      <c r="AS22" s="29" t="str">
        <f t="shared" si="2"/>
        <v>Gas_Steam_Turbine_Cogen_CCS</v>
      </c>
      <c r="AT22" s="29" t="s">
        <v>197</v>
      </c>
    </row>
    <row r="23" spans="1:46" s="5" customFormat="1">
      <c r="A23">
        <v>19</v>
      </c>
      <c r="B23" s="17" t="s">
        <v>65</v>
      </c>
      <c r="C23" s="29">
        <v>2007</v>
      </c>
      <c r="D23" s="29">
        <v>0</v>
      </c>
      <c r="E23" t="s">
        <v>96</v>
      </c>
      <c r="F23" s="29">
        <v>2007</v>
      </c>
      <c r="G23" s="29">
        <v>1</v>
      </c>
      <c r="H23" s="29">
        <v>2000</v>
      </c>
      <c r="I23" s="29">
        <v>435000</v>
      </c>
      <c r="J23" s="29">
        <v>27730</v>
      </c>
      <c r="K23" s="5">
        <v>3.47</v>
      </c>
      <c r="L23" s="29">
        <f>I23*G23*(1+O23)^(2007-H23)</f>
        <v>435000</v>
      </c>
      <c r="M23" s="29">
        <f>J23*G23</f>
        <v>27730</v>
      </c>
      <c r="N23" s="29">
        <f>K23*G23</f>
        <v>3.47</v>
      </c>
      <c r="O23" s="5">
        <v>0</v>
      </c>
      <c r="P23" s="29">
        <v>91289</v>
      </c>
      <c r="Q23" s="5">
        <v>0</v>
      </c>
      <c r="R23" s="20">
        <v>3</v>
      </c>
      <c r="S23" s="20">
        <v>0.5</v>
      </c>
      <c r="T23" s="20">
        <v>0.4</v>
      </c>
      <c r="U23" s="20">
        <v>0.1</v>
      </c>
      <c r="V23" s="20">
        <v>0</v>
      </c>
      <c r="W23" s="20">
        <v>0</v>
      </c>
      <c r="X23" s="20">
        <v>0</v>
      </c>
      <c r="Y23" s="5">
        <v>45</v>
      </c>
      <c r="Z23" s="5">
        <v>0.1</v>
      </c>
      <c r="AA23" s="5">
        <v>2.5999999999999999E-2</v>
      </c>
      <c r="AB23" s="5">
        <v>0</v>
      </c>
      <c r="AC23" s="5">
        <v>1</v>
      </c>
      <c r="AD23" s="5">
        <v>0</v>
      </c>
      <c r="AE23" s="29">
        <v>0</v>
      </c>
      <c r="AF23" s="29">
        <v>1</v>
      </c>
      <c r="AG23" s="29">
        <v>0</v>
      </c>
      <c r="AH23" s="5">
        <v>0</v>
      </c>
      <c r="AI23">
        <v>0</v>
      </c>
      <c r="AJ23" s="29">
        <v>0</v>
      </c>
      <c r="AK23" s="26">
        <v>0</v>
      </c>
      <c r="AL23" s="15">
        <v>0</v>
      </c>
      <c r="AM23">
        <v>0</v>
      </c>
      <c r="AN23">
        <v>0</v>
      </c>
      <c r="AO23" s="29">
        <v>0.31</v>
      </c>
      <c r="AP23" s="34">
        <v>0.04</v>
      </c>
      <c r="AQ23" s="34">
        <v>0</v>
      </c>
      <c r="AR23" s="34">
        <v>0</v>
      </c>
      <c r="AS23" s="29" t="str">
        <f t="shared" si="2"/>
        <v>Gas_Steam_Turbine_EP</v>
      </c>
      <c r="AT23" s="29" t="s">
        <v>120</v>
      </c>
    </row>
    <row r="24" spans="1:46" s="19" customFormat="1">
      <c r="A24" s="19">
        <v>31</v>
      </c>
      <c r="B24" s="19" t="s">
        <v>102</v>
      </c>
      <c r="C24" s="29">
        <v>2007</v>
      </c>
      <c r="D24" s="29">
        <v>0</v>
      </c>
      <c r="E24" s="19" t="str">
        <f>E23</f>
        <v>Gas</v>
      </c>
      <c r="F24" s="29">
        <f>F23</f>
        <v>2007</v>
      </c>
      <c r="G24" s="29">
        <f>G23</f>
        <v>1</v>
      </c>
      <c r="H24" s="29">
        <f>H23</f>
        <v>2000</v>
      </c>
      <c r="I24" s="19">
        <f>0.75 * I23</f>
        <v>326250</v>
      </c>
      <c r="J24" s="29">
        <f>0.75*J23</f>
        <v>20797.5</v>
      </c>
      <c r="K24" s="29">
        <f>K23</f>
        <v>3.47</v>
      </c>
      <c r="L24" s="29">
        <f>I24*G24*(1+O24)^(2007-H24)</f>
        <v>326250</v>
      </c>
      <c r="M24" s="29">
        <f>J24*G24</f>
        <v>20797.5</v>
      </c>
      <c r="N24" s="29">
        <f>K24*G24</f>
        <v>3.47</v>
      </c>
      <c r="O24" s="19">
        <v>0</v>
      </c>
      <c r="P24" s="29">
        <f t="shared" ref="P24:AA24" si="32">P23</f>
        <v>91289</v>
      </c>
      <c r="Q24" s="29">
        <f t="shared" si="32"/>
        <v>0</v>
      </c>
      <c r="R24" s="29">
        <f t="shared" si="32"/>
        <v>3</v>
      </c>
      <c r="S24" s="29">
        <f t="shared" si="32"/>
        <v>0.5</v>
      </c>
      <c r="T24" s="29">
        <f t="shared" si="32"/>
        <v>0.4</v>
      </c>
      <c r="U24" s="29">
        <f t="shared" si="32"/>
        <v>0.1</v>
      </c>
      <c r="V24" s="29">
        <f t="shared" si="32"/>
        <v>0</v>
      </c>
      <c r="W24" s="29">
        <f t="shared" si="32"/>
        <v>0</v>
      </c>
      <c r="X24" s="29">
        <f t="shared" si="32"/>
        <v>0</v>
      </c>
      <c r="Y24" s="29">
        <f t="shared" si="32"/>
        <v>45</v>
      </c>
      <c r="Z24" s="29">
        <f t="shared" si="32"/>
        <v>0.1</v>
      </c>
      <c r="AA24" s="29">
        <f t="shared" si="32"/>
        <v>2.5999999999999999E-2</v>
      </c>
      <c r="AB24" s="29">
        <v>0</v>
      </c>
      <c r="AC24" s="19">
        <v>1</v>
      </c>
      <c r="AD24" s="19">
        <v>1</v>
      </c>
      <c r="AE24" s="29">
        <v>0</v>
      </c>
      <c r="AF24" s="29">
        <v>0</v>
      </c>
      <c r="AG24" s="29">
        <v>1</v>
      </c>
      <c r="AH24" s="19">
        <v>0</v>
      </c>
      <c r="AI24" s="19">
        <v>0</v>
      </c>
      <c r="AJ24" s="29">
        <v>1</v>
      </c>
      <c r="AK24" s="26">
        <v>0</v>
      </c>
      <c r="AL24" s="19">
        <v>0</v>
      </c>
      <c r="AM24">
        <v>0</v>
      </c>
      <c r="AN24">
        <v>0</v>
      </c>
      <c r="AO24" s="29">
        <v>0</v>
      </c>
      <c r="AP24" s="29">
        <v>0</v>
      </c>
      <c r="AQ24" s="33">
        <v>1</v>
      </c>
      <c r="AR24" s="33">
        <v>0</v>
      </c>
      <c r="AS24" s="29" t="str">
        <f t="shared" si="2"/>
        <v>Gas_Steam_Turbine_Cogen_EP</v>
      </c>
      <c r="AT24" s="29" t="s">
        <v>0</v>
      </c>
    </row>
    <row r="25" spans="1:46">
      <c r="A25" s="5">
        <v>60</v>
      </c>
      <c r="B25" s="29" t="s">
        <v>23</v>
      </c>
      <c r="C25" s="24">
        <f>C15</f>
        <v>2007</v>
      </c>
      <c r="D25" s="24">
        <f>D15</f>
        <v>0</v>
      </c>
      <c r="E25" t="s">
        <v>24</v>
      </c>
      <c r="F25" s="24">
        <f t="shared" ref="F25:K25" si="33">F15</f>
        <v>2009</v>
      </c>
      <c r="G25" s="24">
        <f t="shared" si="33"/>
        <v>0.93</v>
      </c>
      <c r="H25" s="24">
        <f t="shared" si="33"/>
        <v>2009</v>
      </c>
      <c r="I25" s="24">
        <f t="shared" si="33"/>
        <v>1230000</v>
      </c>
      <c r="J25" s="24">
        <f t="shared" si="33"/>
        <v>17400</v>
      </c>
      <c r="K25" s="24">
        <f t="shared" si="33"/>
        <v>4.16</v>
      </c>
      <c r="L25" s="29">
        <f>I25*G25/(1+O25)^(H25-2007)</f>
        <v>1143900</v>
      </c>
      <c r="M25" s="24">
        <f t="shared" ref="M25:AI25" si="34">M15</f>
        <v>16182</v>
      </c>
      <c r="N25" s="24">
        <f t="shared" si="34"/>
        <v>3.8688000000000002</v>
      </c>
      <c r="O25" s="24">
        <f t="shared" si="34"/>
        <v>0</v>
      </c>
      <c r="P25" s="24">
        <f t="shared" si="34"/>
        <v>91289</v>
      </c>
      <c r="Q25" s="24">
        <f t="shared" si="34"/>
        <v>0</v>
      </c>
      <c r="R25" s="24">
        <f t="shared" si="34"/>
        <v>1</v>
      </c>
      <c r="S25" s="24">
        <f t="shared" si="34"/>
        <v>1</v>
      </c>
      <c r="T25" s="24">
        <f t="shared" si="34"/>
        <v>0</v>
      </c>
      <c r="U25" s="24">
        <f t="shared" si="34"/>
        <v>0</v>
      </c>
      <c r="V25" s="24">
        <f t="shared" si="34"/>
        <v>0</v>
      </c>
      <c r="W25" s="24">
        <f t="shared" si="34"/>
        <v>0</v>
      </c>
      <c r="X25" s="24">
        <f t="shared" si="34"/>
        <v>0</v>
      </c>
      <c r="Y25" s="24">
        <f t="shared" si="34"/>
        <v>20</v>
      </c>
      <c r="Z25" s="24">
        <f t="shared" si="34"/>
        <v>4.1300000000000003E-2</v>
      </c>
      <c r="AA25" s="24">
        <f t="shared" si="34"/>
        <v>3.1800000000000002E-2</v>
      </c>
      <c r="AB25" s="24">
        <f t="shared" si="34"/>
        <v>0</v>
      </c>
      <c r="AC25" s="24">
        <f t="shared" si="34"/>
        <v>1</v>
      </c>
      <c r="AD25" s="24">
        <f t="shared" si="34"/>
        <v>0</v>
      </c>
      <c r="AE25" s="24">
        <v>0</v>
      </c>
      <c r="AF25" s="24">
        <f t="shared" si="34"/>
        <v>1</v>
      </c>
      <c r="AG25" s="24">
        <f t="shared" si="34"/>
        <v>0</v>
      </c>
      <c r="AH25" s="24">
        <f t="shared" si="34"/>
        <v>0</v>
      </c>
      <c r="AI25" s="24">
        <f t="shared" si="34"/>
        <v>0</v>
      </c>
      <c r="AJ25" s="24">
        <v>0</v>
      </c>
      <c r="AK25" s="24">
        <f>AK15</f>
        <v>0</v>
      </c>
      <c r="AL25" s="24">
        <f>AL15</f>
        <v>0</v>
      </c>
      <c r="AM25" s="24">
        <f>AM15</f>
        <v>0</v>
      </c>
      <c r="AN25" s="24">
        <f>AN15</f>
        <v>0</v>
      </c>
      <c r="AO25" s="29">
        <v>0.5</v>
      </c>
      <c r="AP25" s="29">
        <v>0.1</v>
      </c>
      <c r="AQ25" s="33">
        <v>0</v>
      </c>
      <c r="AR25" s="33">
        <v>0</v>
      </c>
      <c r="AS25" s="29" t="str">
        <f t="shared" si="2"/>
        <v>DistillateFuelOil_Combustion_Turbine_EP</v>
      </c>
      <c r="AT25" s="29" t="s">
        <v>213</v>
      </c>
    </row>
    <row r="26" spans="1:46">
      <c r="A26" s="5">
        <v>61</v>
      </c>
      <c r="B26" t="s">
        <v>63</v>
      </c>
      <c r="C26" s="29">
        <f>C19</f>
        <v>2007</v>
      </c>
      <c r="D26" s="29">
        <f>D19</f>
        <v>0</v>
      </c>
      <c r="E26" t="s">
        <v>24</v>
      </c>
      <c r="F26" s="29">
        <f t="shared" ref="F26:K26" si="35">F19</f>
        <v>2009</v>
      </c>
      <c r="G26" s="29">
        <f t="shared" si="35"/>
        <v>0.93</v>
      </c>
      <c r="H26" s="29">
        <f t="shared" si="35"/>
        <v>2009</v>
      </c>
      <c r="I26">
        <f t="shared" si="35"/>
        <v>1230000</v>
      </c>
      <c r="J26" s="29">
        <f t="shared" si="35"/>
        <v>17400</v>
      </c>
      <c r="K26" s="29">
        <f t="shared" si="35"/>
        <v>4.16</v>
      </c>
      <c r="L26" s="29">
        <f>I26*G26/(1+O26)^(H26-2007)</f>
        <v>1143900</v>
      </c>
      <c r="M26" s="29">
        <f t="shared" ref="M26:AI26" si="36">M19</f>
        <v>16182</v>
      </c>
      <c r="N26" s="29">
        <f t="shared" si="36"/>
        <v>3.8688000000000002</v>
      </c>
      <c r="O26" s="29">
        <f t="shared" si="36"/>
        <v>0</v>
      </c>
      <c r="P26" s="29">
        <f t="shared" si="36"/>
        <v>91289</v>
      </c>
      <c r="Q26" s="29">
        <f t="shared" si="36"/>
        <v>0</v>
      </c>
      <c r="R26" s="29">
        <f t="shared" si="36"/>
        <v>1</v>
      </c>
      <c r="S26" s="29">
        <f t="shared" si="36"/>
        <v>1</v>
      </c>
      <c r="T26" s="29">
        <f t="shared" si="36"/>
        <v>0</v>
      </c>
      <c r="U26" s="29">
        <f t="shared" si="36"/>
        <v>0</v>
      </c>
      <c r="V26" s="29">
        <f t="shared" si="36"/>
        <v>0</v>
      </c>
      <c r="W26" s="29">
        <f t="shared" si="36"/>
        <v>0</v>
      </c>
      <c r="X26" s="29">
        <f t="shared" si="36"/>
        <v>0</v>
      </c>
      <c r="Y26" s="29">
        <f t="shared" si="36"/>
        <v>20</v>
      </c>
      <c r="Z26" s="29">
        <f t="shared" si="36"/>
        <v>4.1300000000000003E-2</v>
      </c>
      <c r="AA26" s="29">
        <f t="shared" si="36"/>
        <v>3.1800000000000002E-2</v>
      </c>
      <c r="AB26" s="29">
        <f t="shared" si="36"/>
        <v>0</v>
      </c>
      <c r="AC26" s="29">
        <f t="shared" si="36"/>
        <v>1</v>
      </c>
      <c r="AD26" s="29">
        <f t="shared" si="36"/>
        <v>0</v>
      </c>
      <c r="AE26" s="29">
        <v>0</v>
      </c>
      <c r="AF26" s="29">
        <f t="shared" si="36"/>
        <v>1</v>
      </c>
      <c r="AG26" s="29">
        <f t="shared" si="36"/>
        <v>0</v>
      </c>
      <c r="AH26" s="29">
        <f t="shared" si="36"/>
        <v>0</v>
      </c>
      <c r="AI26" s="29">
        <f t="shared" si="36"/>
        <v>0</v>
      </c>
      <c r="AJ26" s="24">
        <v>0</v>
      </c>
      <c r="AK26" s="29">
        <f>AK19</f>
        <v>0</v>
      </c>
      <c r="AL26" s="29">
        <f>AL19</f>
        <v>0</v>
      </c>
      <c r="AM26" s="29">
        <f>AM19</f>
        <v>0</v>
      </c>
      <c r="AN26" s="29">
        <f>AN19</f>
        <v>0</v>
      </c>
      <c r="AO26" s="29">
        <v>0.5</v>
      </c>
      <c r="AP26" s="29">
        <v>0.1</v>
      </c>
      <c r="AQ26" s="33">
        <v>0</v>
      </c>
      <c r="AR26" s="33">
        <v>0</v>
      </c>
      <c r="AS26" s="29" t="str">
        <f t="shared" si="2"/>
        <v>DistillateFuelOil_Internal_Combustion_Engine_EP</v>
      </c>
      <c r="AT26" s="29" t="s">
        <v>213</v>
      </c>
    </row>
    <row r="27" spans="1:46">
      <c r="A27" s="5">
        <v>8</v>
      </c>
      <c r="B27" t="s">
        <v>42</v>
      </c>
      <c r="C27" s="5">
        <v>2007</v>
      </c>
      <c r="D27" s="5">
        <v>2011</v>
      </c>
      <c r="E27" t="s">
        <v>140</v>
      </c>
      <c r="F27">
        <v>2007</v>
      </c>
      <c r="G27" s="11">
        <v>1</v>
      </c>
      <c r="H27">
        <v>2008</v>
      </c>
      <c r="I27">
        <v>2377000</v>
      </c>
      <c r="J27">
        <v>114250</v>
      </c>
      <c r="K27">
        <v>0.01</v>
      </c>
      <c r="L27" s="29">
        <f>I27*G27*(1+O27)^(2007-H27)</f>
        <v>2411728.8961038957</v>
      </c>
      <c r="M27" s="11">
        <f>J27*G27</f>
        <v>114250</v>
      </c>
      <c r="N27" s="11">
        <f>K27*G27</f>
        <v>0.01</v>
      </c>
      <c r="O27">
        <v>-1.44E-2</v>
      </c>
      <c r="P27">
        <v>91289</v>
      </c>
      <c r="Q27">
        <v>13.648</v>
      </c>
      <c r="R27">
        <v>2</v>
      </c>
      <c r="S27" s="5">
        <v>0.25</v>
      </c>
      <c r="T27" s="5">
        <v>0.75</v>
      </c>
      <c r="U27" s="5">
        <v>0</v>
      </c>
      <c r="V27" s="5">
        <v>0</v>
      </c>
      <c r="W27" s="5">
        <v>0</v>
      </c>
      <c r="X27" s="5">
        <v>0</v>
      </c>
      <c r="Y27">
        <v>30</v>
      </c>
      <c r="Z27" s="29">
        <v>4.1300000000000003E-2</v>
      </c>
      <c r="AA27" s="29">
        <v>3.1800000000000002E-2</v>
      </c>
      <c r="AB27">
        <v>0</v>
      </c>
      <c r="AC27">
        <v>1</v>
      </c>
      <c r="AD27">
        <v>1</v>
      </c>
      <c r="AE27" s="29">
        <v>0</v>
      </c>
      <c r="AF27" s="29">
        <v>0</v>
      </c>
      <c r="AG27" s="29">
        <v>0</v>
      </c>
      <c r="AH27">
        <v>0</v>
      </c>
      <c r="AI27">
        <v>1</v>
      </c>
      <c r="AJ27" s="29">
        <v>1</v>
      </c>
      <c r="AK27" s="26">
        <v>0</v>
      </c>
      <c r="AL27" s="15">
        <v>0</v>
      </c>
      <c r="AM27">
        <v>0</v>
      </c>
      <c r="AN27">
        <v>0</v>
      </c>
      <c r="AO27" s="29">
        <v>0</v>
      </c>
      <c r="AP27" s="29">
        <v>0</v>
      </c>
      <c r="AQ27" s="33">
        <v>1</v>
      </c>
      <c r="AR27" s="33">
        <v>0</v>
      </c>
      <c r="AS27" s="29" t="str">
        <f t="shared" si="2"/>
        <v>Bio_Gas</v>
      </c>
      <c r="AT27" s="29" t="s">
        <v>14</v>
      </c>
    </row>
    <row r="28" spans="1:46" s="25" customFormat="1">
      <c r="A28" s="25">
        <v>36</v>
      </c>
      <c r="B28" s="25" t="s">
        <v>21</v>
      </c>
      <c r="C28" s="25">
        <v>2007</v>
      </c>
      <c r="D28" s="29">
        <v>2016</v>
      </c>
      <c r="E28" s="25" t="s">
        <v>21</v>
      </c>
      <c r="I28" s="26"/>
      <c r="L28" s="29">
        <f>L27+2*(L14-L11)</f>
        <v>4509319.9961873535</v>
      </c>
      <c r="M28" s="29">
        <f>M27+2*(M14-M11)</f>
        <v>156337.85</v>
      </c>
      <c r="N28" s="26">
        <f>N27+(N14-N11)*((Q28-Q27)/(Q14-Q11))</f>
        <v>13.768217619783609</v>
      </c>
      <c r="O28" s="25">
        <f>O27*(O8/O5)</f>
        <v>-1.9385073910352327E-2</v>
      </c>
      <c r="P28" s="26">
        <v>91289</v>
      </c>
      <c r="Q28" s="25">
        <f>Q27+Q27*2*(Q14/Q11-1)</f>
        <v>18.098893353941268</v>
      </c>
      <c r="R28" s="26">
        <v>3</v>
      </c>
      <c r="S28" s="26">
        <v>0.8</v>
      </c>
      <c r="T28" s="26">
        <v>0.1</v>
      </c>
      <c r="U28" s="26">
        <v>0.1</v>
      </c>
      <c r="V28" s="26">
        <v>0</v>
      </c>
      <c r="W28" s="26">
        <v>0</v>
      </c>
      <c r="X28" s="26">
        <v>0</v>
      </c>
      <c r="Y28" s="26">
        <v>30</v>
      </c>
      <c r="Z28" s="26">
        <v>0.03</v>
      </c>
      <c r="AA28" s="26">
        <v>0.05</v>
      </c>
      <c r="AB28" s="25">
        <v>0</v>
      </c>
      <c r="AC28" s="25">
        <v>1</v>
      </c>
      <c r="AD28" s="25">
        <v>1</v>
      </c>
      <c r="AE28" s="29">
        <v>0</v>
      </c>
      <c r="AF28" s="29">
        <v>0</v>
      </c>
      <c r="AG28" s="29">
        <v>0</v>
      </c>
      <c r="AH28" s="26">
        <v>0</v>
      </c>
      <c r="AI28" s="26">
        <v>1</v>
      </c>
      <c r="AJ28" s="29">
        <v>1</v>
      </c>
      <c r="AK28" s="26">
        <v>1</v>
      </c>
      <c r="AL28" s="26">
        <v>0</v>
      </c>
      <c r="AM28" s="26">
        <v>0</v>
      </c>
      <c r="AN28" s="26">
        <v>0</v>
      </c>
      <c r="AO28" s="29">
        <v>0</v>
      </c>
      <c r="AP28" s="29">
        <v>0</v>
      </c>
      <c r="AQ28" s="33">
        <v>1</v>
      </c>
      <c r="AR28" s="33">
        <v>0</v>
      </c>
      <c r="AS28" s="29" t="str">
        <f t="shared" si="2"/>
        <v>Bio_Gas_CCS</v>
      </c>
      <c r="AT28" s="29" t="s">
        <v>183</v>
      </c>
    </row>
    <row r="29" spans="1:46">
      <c r="A29" s="5">
        <v>105</v>
      </c>
      <c r="B29" t="str">
        <f>SUBSTITUTE(B32,"_EP", "")</f>
        <v>Bio_Gas_Internal_Combustion_Engine_Cogen</v>
      </c>
      <c r="C29" s="29">
        <f>C32</f>
        <v>2007</v>
      </c>
      <c r="D29" s="29">
        <v>2011</v>
      </c>
      <c r="E29" s="29" t="str">
        <f>E32</f>
        <v>Bio_Gas</v>
      </c>
      <c r="F29" s="29"/>
      <c r="G29" s="29"/>
      <c r="H29" s="29"/>
      <c r="I29" s="29"/>
      <c r="J29" s="29"/>
      <c r="K29" s="29"/>
      <c r="L29" s="29">
        <f>L32</f>
        <v>1782750</v>
      </c>
      <c r="M29" s="29">
        <f>M32</f>
        <v>114250</v>
      </c>
      <c r="N29" s="29">
        <f>N32</f>
        <v>0.01</v>
      </c>
      <c r="O29" s="29">
        <f>O27</f>
        <v>-1.44E-2</v>
      </c>
      <c r="P29" s="29">
        <f t="shared" ref="P29:AA30" si="37">P32</f>
        <v>91289</v>
      </c>
      <c r="Q29" s="29">
        <f t="shared" si="37"/>
        <v>0</v>
      </c>
      <c r="R29" s="29">
        <f t="shared" si="37"/>
        <v>2</v>
      </c>
      <c r="S29" s="29">
        <f t="shared" si="37"/>
        <v>0.25</v>
      </c>
      <c r="T29" s="29">
        <f t="shared" si="37"/>
        <v>0.75</v>
      </c>
      <c r="U29" s="29">
        <f t="shared" si="37"/>
        <v>0</v>
      </c>
      <c r="V29" s="29">
        <f t="shared" si="37"/>
        <v>0</v>
      </c>
      <c r="W29" s="29">
        <f t="shared" si="37"/>
        <v>0</v>
      </c>
      <c r="X29" s="29">
        <f t="shared" si="37"/>
        <v>0</v>
      </c>
      <c r="Y29" s="29">
        <f t="shared" si="37"/>
        <v>30</v>
      </c>
      <c r="Z29" s="29">
        <f t="shared" si="37"/>
        <v>4.1300000000000003E-2</v>
      </c>
      <c r="AA29" s="29">
        <f t="shared" si="37"/>
        <v>3.1800000000000002E-2</v>
      </c>
      <c r="AB29" s="29">
        <v>0</v>
      </c>
      <c r="AC29" s="29">
        <v>1</v>
      </c>
      <c r="AD29" s="29">
        <v>1</v>
      </c>
      <c r="AE29" s="29">
        <v>0</v>
      </c>
      <c r="AF29" s="29">
        <v>0</v>
      </c>
      <c r="AG29" s="29">
        <v>1</v>
      </c>
      <c r="AH29" s="29">
        <v>0</v>
      </c>
      <c r="AI29" s="29">
        <v>1</v>
      </c>
      <c r="AJ29" s="29">
        <v>1</v>
      </c>
      <c r="AK29" s="29">
        <v>0</v>
      </c>
      <c r="AL29" s="29">
        <v>0</v>
      </c>
      <c r="AM29" s="29">
        <v>0</v>
      </c>
      <c r="AN29" s="29">
        <v>0</v>
      </c>
      <c r="AO29" s="29">
        <v>0</v>
      </c>
      <c r="AP29" s="29">
        <v>0</v>
      </c>
      <c r="AQ29" s="33">
        <v>1</v>
      </c>
      <c r="AR29" s="33">
        <v>0</v>
      </c>
      <c r="AS29" s="29" t="str">
        <f t="shared" si="2"/>
        <v>Bio_Gas_Internal_Combustion_Engine_Cogen</v>
      </c>
      <c r="AT29" s="29" t="str">
        <f>AT32</f>
        <v>Same as new Biogas, 75% capital cost and fixed cost</v>
      </c>
    </row>
    <row r="30" spans="1:46">
      <c r="A30" s="5">
        <v>114</v>
      </c>
      <c r="B30" s="29" t="s">
        <v>200</v>
      </c>
      <c r="C30" s="5">
        <v>2007</v>
      </c>
      <c r="D30">
        <v>2016</v>
      </c>
      <c r="E30" s="29" t="s">
        <v>162</v>
      </c>
      <c r="L30">
        <f>0.75*L28</f>
        <v>3381989.9971405151</v>
      </c>
      <c r="M30" s="29">
        <f>0.75*M28</f>
        <v>117253.38750000001</v>
      </c>
      <c r="O30">
        <f>O28</f>
        <v>-1.9385073910352327E-2</v>
      </c>
      <c r="P30" s="29">
        <f t="shared" si="37"/>
        <v>91289</v>
      </c>
      <c r="R30">
        <f>R28</f>
        <v>3</v>
      </c>
      <c r="S30" s="29">
        <f t="shared" ref="S30:AF30" si="38">S28</f>
        <v>0.8</v>
      </c>
      <c r="T30" s="29">
        <f t="shared" si="38"/>
        <v>0.1</v>
      </c>
      <c r="U30" s="29">
        <f t="shared" si="38"/>
        <v>0.1</v>
      </c>
      <c r="V30" s="29">
        <f t="shared" si="38"/>
        <v>0</v>
      </c>
      <c r="W30" s="29">
        <f t="shared" si="38"/>
        <v>0</v>
      </c>
      <c r="X30" s="29">
        <f t="shared" si="38"/>
        <v>0</v>
      </c>
      <c r="Y30" s="29">
        <f t="shared" si="38"/>
        <v>30</v>
      </c>
      <c r="Z30" s="29">
        <f>Z28</f>
        <v>0.03</v>
      </c>
      <c r="AA30" s="29">
        <f t="shared" si="38"/>
        <v>0.05</v>
      </c>
      <c r="AB30" s="29">
        <f>AB28</f>
        <v>0</v>
      </c>
      <c r="AC30" s="29">
        <f t="shared" si="38"/>
        <v>1</v>
      </c>
      <c r="AD30" s="29">
        <f t="shared" si="38"/>
        <v>1</v>
      </c>
      <c r="AE30" s="29">
        <v>0</v>
      </c>
      <c r="AF30" s="29">
        <f t="shared" si="38"/>
        <v>0</v>
      </c>
      <c r="AG30" s="29">
        <v>1</v>
      </c>
      <c r="AH30">
        <f>AH28</f>
        <v>0</v>
      </c>
      <c r="AI30" s="29">
        <f>AI28</f>
        <v>1</v>
      </c>
      <c r="AJ30" s="29">
        <f>AJ28</f>
        <v>1</v>
      </c>
      <c r="AK30" s="29">
        <f>AK28</f>
        <v>1</v>
      </c>
      <c r="AL30" s="29">
        <f t="shared" ref="AL30:AP30" si="39">AL28</f>
        <v>0</v>
      </c>
      <c r="AM30" s="29">
        <f t="shared" si="39"/>
        <v>0</v>
      </c>
      <c r="AN30" s="29">
        <f t="shared" si="39"/>
        <v>0</v>
      </c>
      <c r="AO30" s="29">
        <f t="shared" si="39"/>
        <v>0</v>
      </c>
      <c r="AP30" s="29">
        <f t="shared" si="39"/>
        <v>0</v>
      </c>
      <c r="AQ30" s="33">
        <v>1</v>
      </c>
      <c r="AR30" s="33">
        <v>0</v>
      </c>
      <c r="AS30" s="29" t="str">
        <f t="shared" si="2"/>
        <v>Bio_Gas_Internal_Combustion_Engine_Cogen_CCS</v>
      </c>
      <c r="AT30" s="29" t="s">
        <v>210</v>
      </c>
    </row>
    <row r="31" spans="1:46" s="29" customFormat="1">
      <c r="A31" s="29">
        <v>80</v>
      </c>
      <c r="B31" s="29" t="s">
        <v>118</v>
      </c>
      <c r="C31" s="24">
        <f t="shared" ref="C31:K31" si="40">C27</f>
        <v>2007</v>
      </c>
      <c r="D31" s="24">
        <f t="shared" si="40"/>
        <v>2011</v>
      </c>
      <c r="E31" s="24" t="str">
        <f t="shared" si="40"/>
        <v>Bio_Gas</v>
      </c>
      <c r="F31" s="24">
        <f t="shared" si="40"/>
        <v>2007</v>
      </c>
      <c r="G31" s="24">
        <f t="shared" si="40"/>
        <v>1</v>
      </c>
      <c r="H31" s="24">
        <f t="shared" si="40"/>
        <v>2008</v>
      </c>
      <c r="I31" s="24">
        <f t="shared" si="40"/>
        <v>2377000</v>
      </c>
      <c r="J31" s="24">
        <f t="shared" si="40"/>
        <v>114250</v>
      </c>
      <c r="K31" s="24">
        <f t="shared" si="40"/>
        <v>0.01</v>
      </c>
      <c r="L31" s="29">
        <f>I31*G31/(1+O31)^(H31-2007)</f>
        <v>2377000</v>
      </c>
      <c r="M31" s="24">
        <f>M27</f>
        <v>114250</v>
      </c>
      <c r="N31" s="24">
        <f>N27</f>
        <v>0.01</v>
      </c>
      <c r="O31" s="24">
        <v>0</v>
      </c>
      <c r="P31" s="24">
        <v>91289</v>
      </c>
      <c r="Q31" s="24">
        <v>0</v>
      </c>
      <c r="R31" s="24">
        <f t="shared" ref="R31:AH31" si="41">R27</f>
        <v>2</v>
      </c>
      <c r="S31" s="24">
        <f t="shared" si="41"/>
        <v>0.25</v>
      </c>
      <c r="T31" s="24">
        <f t="shared" si="41"/>
        <v>0.75</v>
      </c>
      <c r="U31" s="24">
        <f t="shared" si="41"/>
        <v>0</v>
      </c>
      <c r="V31" s="24">
        <f t="shared" si="41"/>
        <v>0</v>
      </c>
      <c r="W31" s="24">
        <f t="shared" si="41"/>
        <v>0</v>
      </c>
      <c r="X31" s="24">
        <f t="shared" si="41"/>
        <v>0</v>
      </c>
      <c r="Y31" s="24">
        <f t="shared" si="41"/>
        <v>30</v>
      </c>
      <c r="Z31" s="24">
        <f t="shared" si="41"/>
        <v>4.1300000000000003E-2</v>
      </c>
      <c r="AA31" s="24">
        <f t="shared" si="41"/>
        <v>3.1800000000000002E-2</v>
      </c>
      <c r="AB31" s="24">
        <f t="shared" si="41"/>
        <v>0</v>
      </c>
      <c r="AC31" s="24">
        <f t="shared" si="41"/>
        <v>1</v>
      </c>
      <c r="AD31" s="24">
        <f t="shared" si="41"/>
        <v>1</v>
      </c>
      <c r="AE31" s="24">
        <v>0</v>
      </c>
      <c r="AF31" s="24">
        <f t="shared" si="41"/>
        <v>0</v>
      </c>
      <c r="AG31" s="24">
        <f t="shared" si="41"/>
        <v>0</v>
      </c>
      <c r="AH31" s="24">
        <f t="shared" si="41"/>
        <v>0</v>
      </c>
      <c r="AI31" s="24">
        <v>0</v>
      </c>
      <c r="AJ31" s="24">
        <v>1</v>
      </c>
      <c r="AK31" s="24">
        <f>AK27</f>
        <v>0</v>
      </c>
      <c r="AL31" s="24">
        <f>AL27</f>
        <v>0</v>
      </c>
      <c r="AM31" s="24">
        <f>AM27</f>
        <v>0</v>
      </c>
      <c r="AN31" s="24">
        <f>AN27</f>
        <v>0</v>
      </c>
      <c r="AO31" s="29">
        <v>0</v>
      </c>
      <c r="AP31" s="29">
        <v>0</v>
      </c>
      <c r="AQ31" s="33">
        <v>1</v>
      </c>
      <c r="AR31" s="33">
        <v>0</v>
      </c>
      <c r="AS31" s="24" t="str">
        <f t="shared" si="2"/>
        <v>Bio_Gas_Internal_Combustion_Engine_EP</v>
      </c>
      <c r="AT31" s="24" t="s">
        <v>36</v>
      </c>
    </row>
    <row r="32" spans="1:46" s="29" customFormat="1">
      <c r="A32" s="29">
        <v>81</v>
      </c>
      <c r="B32" s="29" t="s">
        <v>119</v>
      </c>
      <c r="C32" s="29">
        <f>C31</f>
        <v>2007</v>
      </c>
      <c r="D32" s="29">
        <f t="shared" ref="D32:AN33" si="42">D31</f>
        <v>2011</v>
      </c>
      <c r="E32" s="29" t="str">
        <f t="shared" si="42"/>
        <v>Bio_Gas</v>
      </c>
      <c r="F32" s="29">
        <f t="shared" si="42"/>
        <v>2007</v>
      </c>
      <c r="G32" s="29">
        <f t="shared" si="42"/>
        <v>1</v>
      </c>
      <c r="H32" s="29">
        <f t="shared" si="42"/>
        <v>2008</v>
      </c>
      <c r="I32" s="29">
        <f>0.75*I31</f>
        <v>1782750</v>
      </c>
      <c r="J32" s="29">
        <f>0.75*J31</f>
        <v>85687.5</v>
      </c>
      <c r="K32" s="29">
        <f t="shared" si="42"/>
        <v>0.01</v>
      </c>
      <c r="L32" s="29">
        <f>I32*G32/(1+O32)^(H32-2007)</f>
        <v>1782750</v>
      </c>
      <c r="M32" s="29">
        <f t="shared" si="42"/>
        <v>114250</v>
      </c>
      <c r="N32" s="29">
        <f t="shared" si="42"/>
        <v>0.01</v>
      </c>
      <c r="O32" s="29">
        <f t="shared" si="42"/>
        <v>0</v>
      </c>
      <c r="P32" s="29">
        <f t="shared" si="42"/>
        <v>91289</v>
      </c>
      <c r="Q32" s="29">
        <f t="shared" si="42"/>
        <v>0</v>
      </c>
      <c r="R32" s="29">
        <f t="shared" si="42"/>
        <v>2</v>
      </c>
      <c r="S32" s="29">
        <f t="shared" si="42"/>
        <v>0.25</v>
      </c>
      <c r="T32" s="29">
        <f t="shared" si="42"/>
        <v>0.75</v>
      </c>
      <c r="U32" s="29">
        <f t="shared" si="42"/>
        <v>0</v>
      </c>
      <c r="V32" s="29">
        <f t="shared" si="42"/>
        <v>0</v>
      </c>
      <c r="W32" s="29">
        <f t="shared" si="42"/>
        <v>0</v>
      </c>
      <c r="X32" s="29">
        <f t="shared" si="42"/>
        <v>0</v>
      </c>
      <c r="Y32" s="29">
        <f t="shared" si="42"/>
        <v>30</v>
      </c>
      <c r="Z32" s="29">
        <f t="shared" si="42"/>
        <v>4.1300000000000003E-2</v>
      </c>
      <c r="AA32" s="29">
        <f t="shared" si="42"/>
        <v>3.1800000000000002E-2</v>
      </c>
      <c r="AB32" s="29">
        <f t="shared" si="42"/>
        <v>0</v>
      </c>
      <c r="AC32" s="29">
        <f t="shared" si="42"/>
        <v>1</v>
      </c>
      <c r="AD32" s="29">
        <f t="shared" si="42"/>
        <v>1</v>
      </c>
      <c r="AE32" s="29">
        <v>0</v>
      </c>
      <c r="AF32" s="29">
        <f t="shared" si="42"/>
        <v>0</v>
      </c>
      <c r="AG32" s="29">
        <v>1</v>
      </c>
      <c r="AH32" s="29">
        <f t="shared" si="42"/>
        <v>0</v>
      </c>
      <c r="AI32" s="29">
        <v>0</v>
      </c>
      <c r="AJ32" s="29">
        <v>1</v>
      </c>
      <c r="AK32" s="29">
        <f t="shared" si="42"/>
        <v>0</v>
      </c>
      <c r="AL32" s="29">
        <f t="shared" si="42"/>
        <v>0</v>
      </c>
      <c r="AM32" s="29">
        <f t="shared" si="42"/>
        <v>0</v>
      </c>
      <c r="AN32" s="29">
        <f t="shared" si="42"/>
        <v>0</v>
      </c>
      <c r="AO32" s="29">
        <v>0</v>
      </c>
      <c r="AP32" s="29">
        <v>0</v>
      </c>
      <c r="AQ32" s="33">
        <v>1</v>
      </c>
      <c r="AR32" s="33">
        <v>0</v>
      </c>
      <c r="AS32" s="24" t="str">
        <f t="shared" ref="AS32:AS33" si="43">B32</f>
        <v>Bio_Gas_Internal_Combustion_Engine_Cogen_EP</v>
      </c>
      <c r="AT32" s="29" t="s">
        <v>28</v>
      </c>
    </row>
    <row r="33" spans="1:46" s="29" customFormat="1">
      <c r="A33" s="29">
        <v>82</v>
      </c>
      <c r="B33" s="29" t="s">
        <v>202</v>
      </c>
      <c r="C33" s="29">
        <f>C23</f>
        <v>2007</v>
      </c>
      <c r="D33" s="29">
        <f>D23</f>
        <v>0</v>
      </c>
      <c r="E33" s="29" t="str">
        <f t="shared" si="42"/>
        <v>Bio_Gas</v>
      </c>
      <c r="L33" s="29">
        <f>L23+(L27-L11)</f>
        <v>2055938.0995425028</v>
      </c>
      <c r="M33" s="29">
        <f>M23+(M27-M11)</f>
        <v>126793.1</v>
      </c>
      <c r="N33" s="29">
        <f t="shared" ref="N33:AC33" si="44">N23</f>
        <v>3.47</v>
      </c>
      <c r="O33" s="29">
        <f t="shared" si="44"/>
        <v>0</v>
      </c>
      <c r="P33" s="29">
        <f t="shared" si="44"/>
        <v>91289</v>
      </c>
      <c r="Q33" s="29">
        <f t="shared" si="44"/>
        <v>0</v>
      </c>
      <c r="R33" s="29">
        <f t="shared" si="44"/>
        <v>3</v>
      </c>
      <c r="S33" s="29">
        <f t="shared" si="44"/>
        <v>0.5</v>
      </c>
      <c r="T33" s="29">
        <f t="shared" si="44"/>
        <v>0.4</v>
      </c>
      <c r="U33" s="29">
        <f t="shared" si="44"/>
        <v>0.1</v>
      </c>
      <c r="V33" s="29">
        <f t="shared" si="44"/>
        <v>0</v>
      </c>
      <c r="W33" s="29">
        <f t="shared" si="44"/>
        <v>0</v>
      </c>
      <c r="X33" s="29">
        <f t="shared" si="44"/>
        <v>0</v>
      </c>
      <c r="Y33" s="29">
        <f t="shared" si="44"/>
        <v>45</v>
      </c>
      <c r="Z33" s="29">
        <f t="shared" si="44"/>
        <v>0.1</v>
      </c>
      <c r="AA33" s="29">
        <f t="shared" si="44"/>
        <v>2.5999999999999999E-2</v>
      </c>
      <c r="AB33" s="29">
        <f t="shared" si="44"/>
        <v>0</v>
      </c>
      <c r="AC33" s="29">
        <f t="shared" si="44"/>
        <v>1</v>
      </c>
      <c r="AD33" s="29">
        <v>1</v>
      </c>
      <c r="AE33" s="29">
        <v>0</v>
      </c>
      <c r="AF33" s="29">
        <v>0</v>
      </c>
      <c r="AG33" s="29">
        <f>AG23</f>
        <v>0</v>
      </c>
      <c r="AH33" s="29">
        <f>AH23</f>
        <v>0</v>
      </c>
      <c r="AI33" s="29">
        <f>AI23</f>
        <v>0</v>
      </c>
      <c r="AJ33" s="29">
        <v>1</v>
      </c>
      <c r="AK33" s="29">
        <f>AK23</f>
        <v>0</v>
      </c>
      <c r="AL33" s="29">
        <f>AL23</f>
        <v>0</v>
      </c>
      <c r="AM33" s="29">
        <f>AM23</f>
        <v>0</v>
      </c>
      <c r="AN33" s="29">
        <f>AN23</f>
        <v>0</v>
      </c>
      <c r="AO33" s="29">
        <v>0</v>
      </c>
      <c r="AP33" s="29">
        <v>0</v>
      </c>
      <c r="AQ33" s="33">
        <v>1</v>
      </c>
      <c r="AR33" s="33">
        <v>0</v>
      </c>
      <c r="AS33" s="24" t="str">
        <f t="shared" si="43"/>
        <v>Bio_Gas_Steam_Turbine_EP</v>
      </c>
      <c r="AT33" s="29" t="s">
        <v>241</v>
      </c>
    </row>
    <row r="34" spans="1:46">
      <c r="A34" s="5">
        <v>106</v>
      </c>
      <c r="B34" t="str">
        <f>SUBSTITUTE(B36,"_EP", "")</f>
        <v>Bio_Liquid_Steam_Turbine_Cogen</v>
      </c>
      <c r="C34" s="29">
        <f>C36</f>
        <v>2007</v>
      </c>
      <c r="D34" s="29">
        <v>2011</v>
      </c>
      <c r="E34" s="29" t="str">
        <f>E36</f>
        <v>Bio_Liquid</v>
      </c>
      <c r="F34" s="29"/>
      <c r="G34" s="29"/>
      <c r="H34" s="29"/>
      <c r="I34" s="29"/>
      <c r="J34" s="29"/>
      <c r="K34" s="29"/>
      <c r="L34" s="29">
        <f>L36</f>
        <v>2292723.0992176426</v>
      </c>
      <c r="M34" s="29">
        <f>M36</f>
        <v>69401.25</v>
      </c>
      <c r="N34" s="29">
        <f>N36</f>
        <v>4.1292000000000009</v>
      </c>
      <c r="O34" s="29">
        <f>O39</f>
        <v>-5.4999999999999997E-3</v>
      </c>
      <c r="P34" s="29">
        <f t="shared" ref="P34:AA34" si="45">P36</f>
        <v>91289</v>
      </c>
      <c r="Q34" s="29">
        <f t="shared" si="45"/>
        <v>0</v>
      </c>
      <c r="R34" s="29">
        <f t="shared" si="45"/>
        <v>2</v>
      </c>
      <c r="S34" s="29">
        <f t="shared" si="45"/>
        <v>0.2</v>
      </c>
      <c r="T34" s="29">
        <f t="shared" si="45"/>
        <v>0.8</v>
      </c>
      <c r="U34" s="29">
        <f t="shared" si="45"/>
        <v>0</v>
      </c>
      <c r="V34" s="29">
        <f t="shared" si="45"/>
        <v>0</v>
      </c>
      <c r="W34" s="29">
        <f t="shared" si="45"/>
        <v>0</v>
      </c>
      <c r="X34" s="29">
        <f t="shared" si="45"/>
        <v>0</v>
      </c>
      <c r="Y34" s="29">
        <f t="shared" si="45"/>
        <v>20</v>
      </c>
      <c r="Z34" s="29">
        <f t="shared" si="45"/>
        <v>0.08</v>
      </c>
      <c r="AA34" s="29">
        <f t="shared" si="45"/>
        <v>0.03</v>
      </c>
      <c r="AB34" s="29">
        <v>0</v>
      </c>
      <c r="AC34" s="29">
        <v>1</v>
      </c>
      <c r="AD34" s="29">
        <v>1</v>
      </c>
      <c r="AE34" s="29">
        <v>0</v>
      </c>
      <c r="AF34" s="29">
        <v>0</v>
      </c>
      <c r="AG34" s="29">
        <v>1</v>
      </c>
      <c r="AH34" s="29">
        <v>0</v>
      </c>
      <c r="AI34" s="29">
        <v>1</v>
      </c>
      <c r="AJ34" s="29">
        <v>1</v>
      </c>
      <c r="AK34" s="29">
        <v>0</v>
      </c>
      <c r="AL34" s="29">
        <v>0</v>
      </c>
      <c r="AM34" s="29">
        <v>0</v>
      </c>
      <c r="AN34" s="29">
        <v>0</v>
      </c>
      <c r="AO34" s="29">
        <v>0</v>
      </c>
      <c r="AP34" s="29">
        <v>0</v>
      </c>
      <c r="AQ34" s="33">
        <v>1</v>
      </c>
      <c r="AR34" s="33">
        <v>0</v>
      </c>
      <c r="AS34" s="29" t="str">
        <f t="shared" ref="AS34:AS39" si="46">B34</f>
        <v>Bio_Liquid_Steam_Turbine_Cogen</v>
      </c>
      <c r="AT34" s="29" t="str">
        <f>AT36</f>
        <v>Same as new biomass steam turbine, 75% capital cost and fixed cost</v>
      </c>
    </row>
    <row r="35" spans="1:46">
      <c r="A35" s="5">
        <v>115</v>
      </c>
      <c r="B35" s="29" t="s">
        <v>158</v>
      </c>
      <c r="C35" s="5">
        <v>2007</v>
      </c>
      <c r="D35" s="29">
        <v>2016</v>
      </c>
      <c r="E35" s="29" t="s">
        <v>163</v>
      </c>
      <c r="L35">
        <f>L41</f>
        <v>2966454.2026252528</v>
      </c>
      <c r="M35" s="29">
        <f>M41</f>
        <v>92445.745500000005</v>
      </c>
      <c r="N35" s="29"/>
      <c r="O35" s="29">
        <f>O41</f>
        <v>-1.3707232165085709E-2</v>
      </c>
      <c r="P35" s="29">
        <f>P41</f>
        <v>91289</v>
      </c>
      <c r="R35" s="29">
        <f t="shared" ref="R35:AA35" si="47">R41</f>
        <v>2</v>
      </c>
      <c r="S35" s="29">
        <f t="shared" si="47"/>
        <v>0.2</v>
      </c>
      <c r="T35" s="29">
        <f t="shared" si="47"/>
        <v>0.8</v>
      </c>
      <c r="U35" s="29">
        <f t="shared" si="47"/>
        <v>0</v>
      </c>
      <c r="V35" s="29">
        <f t="shared" si="47"/>
        <v>0</v>
      </c>
      <c r="W35" s="29">
        <f t="shared" si="47"/>
        <v>0</v>
      </c>
      <c r="X35" s="29">
        <f t="shared" si="47"/>
        <v>0</v>
      </c>
      <c r="Y35" s="29">
        <f t="shared" si="47"/>
        <v>20</v>
      </c>
      <c r="Z35" s="29">
        <f t="shared" si="47"/>
        <v>0.08</v>
      </c>
      <c r="AA35" s="29">
        <f t="shared" si="47"/>
        <v>0.03</v>
      </c>
      <c r="AB35" s="29">
        <f>AB34</f>
        <v>0</v>
      </c>
      <c r="AC35" s="29">
        <f t="shared" ref="AC35:AP35" si="48">AC34</f>
        <v>1</v>
      </c>
      <c r="AD35" s="29">
        <f t="shared" si="48"/>
        <v>1</v>
      </c>
      <c r="AE35" s="29">
        <v>0</v>
      </c>
      <c r="AF35" s="29">
        <f t="shared" si="48"/>
        <v>0</v>
      </c>
      <c r="AG35" s="29">
        <f t="shared" si="48"/>
        <v>1</v>
      </c>
      <c r="AH35" s="29">
        <f t="shared" si="48"/>
        <v>0</v>
      </c>
      <c r="AI35" s="29">
        <f t="shared" si="48"/>
        <v>1</v>
      </c>
      <c r="AJ35" s="29">
        <f t="shared" si="48"/>
        <v>1</v>
      </c>
      <c r="AK35" s="29">
        <v>1</v>
      </c>
      <c r="AL35" s="29">
        <f t="shared" si="48"/>
        <v>0</v>
      </c>
      <c r="AM35" s="29">
        <f t="shared" si="48"/>
        <v>0</v>
      </c>
      <c r="AN35" s="29">
        <f t="shared" si="48"/>
        <v>0</v>
      </c>
      <c r="AO35" s="29">
        <f t="shared" si="48"/>
        <v>0</v>
      </c>
      <c r="AP35" s="29">
        <f t="shared" si="48"/>
        <v>0</v>
      </c>
      <c r="AQ35" s="33">
        <v>1</v>
      </c>
      <c r="AR35" s="33">
        <v>0</v>
      </c>
      <c r="AS35" s="29" t="str">
        <f t="shared" si="46"/>
        <v>Bio_Liquid_Steam_Turbine_Cogen_CCS</v>
      </c>
      <c r="AT35" s="29" t="s">
        <v>9</v>
      </c>
    </row>
    <row r="36" spans="1:46">
      <c r="A36" s="5">
        <v>85</v>
      </c>
      <c r="B36" t="s">
        <v>32</v>
      </c>
      <c r="C36" s="5">
        <f>C33</f>
        <v>2007</v>
      </c>
      <c r="D36" s="29">
        <f>D33</f>
        <v>0</v>
      </c>
      <c r="E36" s="29" t="s">
        <v>105</v>
      </c>
      <c r="F36" s="29"/>
      <c r="G36" s="29"/>
      <c r="H36" s="29"/>
      <c r="I36" s="29"/>
      <c r="J36" s="29"/>
      <c r="K36" s="29"/>
      <c r="L36" s="29">
        <f t="shared" ref="L36:AA36" si="49">L43</f>
        <v>2292723.0992176426</v>
      </c>
      <c r="M36" s="29">
        <f t="shared" si="49"/>
        <v>69401.25</v>
      </c>
      <c r="N36" s="29">
        <f t="shared" si="49"/>
        <v>4.1292000000000009</v>
      </c>
      <c r="O36" s="29">
        <f t="shared" si="49"/>
        <v>0</v>
      </c>
      <c r="P36" s="29">
        <f t="shared" si="49"/>
        <v>91289</v>
      </c>
      <c r="Q36" s="29">
        <f t="shared" si="49"/>
        <v>0</v>
      </c>
      <c r="R36" s="29">
        <f t="shared" si="49"/>
        <v>2</v>
      </c>
      <c r="S36" s="29">
        <f t="shared" si="49"/>
        <v>0.2</v>
      </c>
      <c r="T36" s="29">
        <f t="shared" si="49"/>
        <v>0.8</v>
      </c>
      <c r="U36" s="29">
        <f t="shared" si="49"/>
        <v>0</v>
      </c>
      <c r="V36" s="29">
        <f t="shared" si="49"/>
        <v>0</v>
      </c>
      <c r="W36" s="29">
        <f t="shared" si="49"/>
        <v>0</v>
      </c>
      <c r="X36" s="29">
        <f t="shared" si="49"/>
        <v>0</v>
      </c>
      <c r="Y36" s="29">
        <f t="shared" si="49"/>
        <v>20</v>
      </c>
      <c r="Z36" s="29">
        <f t="shared" si="49"/>
        <v>0.08</v>
      </c>
      <c r="AA36" s="29">
        <f t="shared" si="49"/>
        <v>0.03</v>
      </c>
      <c r="AB36" s="29">
        <f>AB33</f>
        <v>0</v>
      </c>
      <c r="AC36" s="29">
        <f>AC33</f>
        <v>1</v>
      </c>
      <c r="AD36" s="29">
        <f>AD33</f>
        <v>1</v>
      </c>
      <c r="AE36" s="29">
        <v>0</v>
      </c>
      <c r="AF36" s="29">
        <f>AF33</f>
        <v>0</v>
      </c>
      <c r="AG36" s="29">
        <v>1</v>
      </c>
      <c r="AH36" s="29">
        <f>AH33</f>
        <v>0</v>
      </c>
      <c r="AI36" s="29">
        <f>AI33</f>
        <v>0</v>
      </c>
      <c r="AJ36" s="29">
        <v>1</v>
      </c>
      <c r="AK36" s="29">
        <f>AK33</f>
        <v>0</v>
      </c>
      <c r="AL36" s="29">
        <f>AL33</f>
        <v>0</v>
      </c>
      <c r="AM36" s="29">
        <f>AM33</f>
        <v>0</v>
      </c>
      <c r="AN36" s="29">
        <f>AN33</f>
        <v>0</v>
      </c>
      <c r="AO36" s="29">
        <v>0</v>
      </c>
      <c r="AP36" s="29">
        <v>0</v>
      </c>
      <c r="AQ36" s="33">
        <v>1</v>
      </c>
      <c r="AR36" s="33">
        <v>0</v>
      </c>
      <c r="AS36" s="29" t="str">
        <f t="shared" si="46"/>
        <v>Bio_Liquid_Steam_Turbine_Cogen_EP</v>
      </c>
      <c r="AT36" s="29" t="s">
        <v>29</v>
      </c>
    </row>
    <row r="37" spans="1:46">
      <c r="A37" s="5">
        <v>10</v>
      </c>
      <c r="B37" t="s">
        <v>190</v>
      </c>
      <c r="C37" s="5">
        <v>2007</v>
      </c>
      <c r="D37" s="5">
        <v>2011</v>
      </c>
      <c r="E37" t="s">
        <v>77</v>
      </c>
      <c r="F37">
        <v>2009</v>
      </c>
      <c r="G37" s="11">
        <v>0.93</v>
      </c>
      <c r="H37">
        <v>2009</v>
      </c>
      <c r="I37">
        <v>2995000</v>
      </c>
      <c r="J37">
        <v>150000</v>
      </c>
      <c r="K37">
        <v>3.99</v>
      </c>
      <c r="L37" s="29">
        <f>I37*G37*(1+O37)^(2007-H37)</f>
        <v>2869663.4675536556</v>
      </c>
      <c r="M37" s="11">
        <f>J37*G37</f>
        <v>139500</v>
      </c>
      <c r="N37" s="11">
        <f>K37*G37</f>
        <v>3.7107000000000006</v>
      </c>
      <c r="O37">
        <v>-1.4800000000000001E-2</v>
      </c>
      <c r="P37">
        <v>91289</v>
      </c>
      <c r="Q37">
        <v>10.5</v>
      </c>
      <c r="R37">
        <v>2</v>
      </c>
      <c r="S37" s="5">
        <v>0.25</v>
      </c>
      <c r="T37" s="5">
        <v>0.75</v>
      </c>
      <c r="U37" s="5">
        <v>0</v>
      </c>
      <c r="V37" s="5">
        <v>0</v>
      </c>
      <c r="W37" s="5">
        <v>0</v>
      </c>
      <c r="X37" s="5">
        <v>0</v>
      </c>
      <c r="Y37">
        <v>20</v>
      </c>
      <c r="Z37">
        <v>0.08</v>
      </c>
      <c r="AA37">
        <v>0.03</v>
      </c>
      <c r="AB37">
        <v>0</v>
      </c>
      <c r="AC37">
        <v>1</v>
      </c>
      <c r="AD37">
        <v>1</v>
      </c>
      <c r="AE37" s="29">
        <v>0</v>
      </c>
      <c r="AF37" s="29">
        <v>0</v>
      </c>
      <c r="AG37" s="29">
        <v>0</v>
      </c>
      <c r="AH37">
        <v>0</v>
      </c>
      <c r="AI37">
        <v>1</v>
      </c>
      <c r="AJ37" s="29">
        <v>1</v>
      </c>
      <c r="AK37" s="26">
        <v>0</v>
      </c>
      <c r="AL37" s="15">
        <v>0</v>
      </c>
      <c r="AM37">
        <v>0</v>
      </c>
      <c r="AN37">
        <v>0</v>
      </c>
      <c r="AO37" s="29">
        <v>0</v>
      </c>
      <c r="AP37" s="29">
        <v>0</v>
      </c>
      <c r="AQ37" s="33">
        <v>1</v>
      </c>
      <c r="AR37" s="33">
        <v>0</v>
      </c>
      <c r="AS37" s="29" t="str">
        <f t="shared" si="46"/>
        <v>Biomass_IGCC</v>
      </c>
      <c r="AT37" t="s">
        <v>26</v>
      </c>
    </row>
    <row r="38" spans="1:46" s="25" customFormat="1">
      <c r="A38" s="25">
        <v>37</v>
      </c>
      <c r="B38" s="25" t="s">
        <v>22</v>
      </c>
      <c r="C38" s="25">
        <v>2007</v>
      </c>
      <c r="D38" s="29">
        <v>2016</v>
      </c>
      <c r="E38" s="25" t="s">
        <v>66</v>
      </c>
      <c r="I38" s="26"/>
      <c r="K38" s="26"/>
      <c r="L38" s="29">
        <f>L37+(L51-L50)</f>
        <v>4942575.6502073752</v>
      </c>
      <c r="M38" s="29">
        <f>M37+(M51-M50)</f>
        <v>158188.44</v>
      </c>
      <c r="N38" s="26">
        <f>N37+(N51-N50)*((Q38-Q37)/(Q51-Q50))</f>
        <v>5.0042963793103432</v>
      </c>
      <c r="O38" s="25">
        <f>O37*(O51/O50)</f>
        <v>-1.7047650087669619E-2</v>
      </c>
      <c r="P38" s="26">
        <v>91289</v>
      </c>
      <c r="Q38" s="25">
        <f>Q37+Q37*((Q51/Q50)-1)</f>
        <v>12.913793103448276</v>
      </c>
      <c r="R38" s="26">
        <f>R37</f>
        <v>2</v>
      </c>
      <c r="S38" s="26">
        <v>0.4</v>
      </c>
      <c r="T38" s="26">
        <v>0.3</v>
      </c>
      <c r="U38" s="26">
        <v>0.2</v>
      </c>
      <c r="V38" s="26">
        <v>0.1</v>
      </c>
      <c r="W38" s="26">
        <v>0</v>
      </c>
      <c r="X38" s="26">
        <v>0</v>
      </c>
      <c r="Y38" s="26">
        <v>40</v>
      </c>
      <c r="Z38" s="26">
        <v>0.06</v>
      </c>
      <c r="AA38" s="26">
        <v>0.1</v>
      </c>
      <c r="AB38" s="25">
        <v>0</v>
      </c>
      <c r="AC38" s="25">
        <v>1</v>
      </c>
      <c r="AD38" s="25">
        <v>1</v>
      </c>
      <c r="AE38" s="29">
        <v>0</v>
      </c>
      <c r="AF38" s="29">
        <v>0</v>
      </c>
      <c r="AG38" s="29">
        <v>0</v>
      </c>
      <c r="AH38" s="26">
        <v>0</v>
      </c>
      <c r="AI38" s="26">
        <v>1</v>
      </c>
      <c r="AJ38" s="29">
        <v>1</v>
      </c>
      <c r="AK38" s="26">
        <v>1</v>
      </c>
      <c r="AL38" s="26">
        <v>0</v>
      </c>
      <c r="AM38" s="26">
        <v>0</v>
      </c>
      <c r="AN38" s="26">
        <v>0</v>
      </c>
      <c r="AO38" s="29">
        <v>0</v>
      </c>
      <c r="AP38" s="29">
        <v>0</v>
      </c>
      <c r="AQ38" s="33">
        <v>1</v>
      </c>
      <c r="AR38" s="33">
        <v>0</v>
      </c>
      <c r="AS38" s="29" t="str">
        <f t="shared" si="46"/>
        <v>Biomass_IGCC_CCS</v>
      </c>
      <c r="AT38" s="29" t="s">
        <v>45</v>
      </c>
    </row>
    <row r="39" spans="1:46">
      <c r="A39" s="5">
        <v>9</v>
      </c>
      <c r="B39" t="s">
        <v>185</v>
      </c>
      <c r="C39" s="5">
        <v>2007</v>
      </c>
      <c r="D39" s="29">
        <v>2011</v>
      </c>
      <c r="E39" t="s">
        <v>77</v>
      </c>
      <c r="F39">
        <v>2009</v>
      </c>
      <c r="G39" s="11">
        <v>0.93</v>
      </c>
      <c r="H39">
        <v>2009</v>
      </c>
      <c r="I39">
        <v>3251000</v>
      </c>
      <c r="J39">
        <v>99500</v>
      </c>
      <c r="K39">
        <v>4.4400000000000004</v>
      </c>
      <c r="L39" s="29">
        <f>I39*G39*(1+O39)^(2007-H39)</f>
        <v>3056964.1322901901</v>
      </c>
      <c r="M39" s="11">
        <f>J39*G39</f>
        <v>92535</v>
      </c>
      <c r="N39" s="11">
        <f>K39*G39</f>
        <v>4.1292000000000009</v>
      </c>
      <c r="O39">
        <v>-5.4999999999999997E-3</v>
      </c>
      <c r="P39">
        <v>91289</v>
      </c>
      <c r="Q39">
        <v>10.5</v>
      </c>
      <c r="R39">
        <v>2</v>
      </c>
      <c r="S39" s="5">
        <v>0.2</v>
      </c>
      <c r="T39" s="5">
        <v>0.8</v>
      </c>
      <c r="U39" s="5">
        <v>0</v>
      </c>
      <c r="V39" s="5">
        <v>0</v>
      </c>
      <c r="W39" s="5">
        <v>0</v>
      </c>
      <c r="X39" s="5">
        <v>0</v>
      </c>
      <c r="Y39">
        <v>20</v>
      </c>
      <c r="Z39">
        <v>0.08</v>
      </c>
      <c r="AA39">
        <v>0.03</v>
      </c>
      <c r="AB39">
        <v>0</v>
      </c>
      <c r="AC39">
        <v>1</v>
      </c>
      <c r="AD39">
        <v>1</v>
      </c>
      <c r="AE39" s="29">
        <v>0</v>
      </c>
      <c r="AF39" s="29">
        <v>0</v>
      </c>
      <c r="AG39" s="29">
        <v>0</v>
      </c>
      <c r="AH39">
        <v>0</v>
      </c>
      <c r="AI39">
        <v>1</v>
      </c>
      <c r="AJ39" s="29">
        <v>1</v>
      </c>
      <c r="AK39" s="26">
        <v>0</v>
      </c>
      <c r="AL39" s="15">
        <v>0</v>
      </c>
      <c r="AM39">
        <v>0</v>
      </c>
      <c r="AN39">
        <v>0</v>
      </c>
      <c r="AO39" s="29">
        <v>0</v>
      </c>
      <c r="AP39" s="29">
        <v>0</v>
      </c>
      <c r="AQ39" s="33">
        <v>1</v>
      </c>
      <c r="AR39" s="33">
        <v>0</v>
      </c>
      <c r="AS39" s="29" t="str">
        <f t="shared" si="46"/>
        <v>Biomass_Steam_Turbine</v>
      </c>
      <c r="AT39" s="29" t="s">
        <v>147</v>
      </c>
    </row>
    <row r="40" spans="1:46">
      <c r="A40" s="5">
        <v>107</v>
      </c>
      <c r="B40" t="str">
        <f>SUBSTITUTE(B43,"_EP", "")</f>
        <v>Bio_Solid_Steam_Turbine_Cogen</v>
      </c>
      <c r="C40" s="29">
        <f>C43</f>
        <v>2007</v>
      </c>
      <c r="D40" s="29">
        <v>2011</v>
      </c>
      <c r="E40" s="29" t="str">
        <f>E43</f>
        <v>Bio_Solid</v>
      </c>
      <c r="F40" s="29"/>
      <c r="G40" s="29"/>
      <c r="H40" s="29"/>
      <c r="I40" s="29"/>
      <c r="J40" s="29"/>
      <c r="K40" s="29"/>
      <c r="L40" s="29">
        <f>L43</f>
        <v>2292723.0992176426</v>
      </c>
      <c r="M40" s="29">
        <f>M43</f>
        <v>69401.25</v>
      </c>
      <c r="N40" s="29">
        <f>N43</f>
        <v>4.1292000000000009</v>
      </c>
      <c r="O40" s="29">
        <f>O39</f>
        <v>-5.4999999999999997E-3</v>
      </c>
      <c r="P40" s="29">
        <f t="shared" ref="P40:AA40" si="50">P43</f>
        <v>91289</v>
      </c>
      <c r="Q40" s="29">
        <f t="shared" si="50"/>
        <v>0</v>
      </c>
      <c r="R40" s="29">
        <f t="shared" si="50"/>
        <v>2</v>
      </c>
      <c r="S40" s="29">
        <f t="shared" si="50"/>
        <v>0.2</v>
      </c>
      <c r="T40" s="29">
        <f t="shared" si="50"/>
        <v>0.8</v>
      </c>
      <c r="U40" s="29">
        <f t="shared" si="50"/>
        <v>0</v>
      </c>
      <c r="V40" s="29">
        <f t="shared" si="50"/>
        <v>0</v>
      </c>
      <c r="W40" s="29">
        <f t="shared" si="50"/>
        <v>0</v>
      </c>
      <c r="X40" s="29">
        <f t="shared" si="50"/>
        <v>0</v>
      </c>
      <c r="Y40" s="29">
        <f t="shared" si="50"/>
        <v>20</v>
      </c>
      <c r="Z40" s="29">
        <f t="shared" si="50"/>
        <v>0.08</v>
      </c>
      <c r="AA40" s="29">
        <f t="shared" si="50"/>
        <v>0.03</v>
      </c>
      <c r="AB40" s="29">
        <v>0</v>
      </c>
      <c r="AC40" s="29">
        <v>1</v>
      </c>
      <c r="AD40" s="29">
        <v>1</v>
      </c>
      <c r="AE40" s="29">
        <v>0</v>
      </c>
      <c r="AF40" s="29">
        <v>0</v>
      </c>
      <c r="AG40" s="29">
        <v>1</v>
      </c>
      <c r="AH40" s="29">
        <v>0</v>
      </c>
      <c r="AI40" s="29">
        <v>1</v>
      </c>
      <c r="AJ40" s="29">
        <v>1</v>
      </c>
      <c r="AK40" s="29">
        <v>0</v>
      </c>
      <c r="AL40" s="29">
        <v>0</v>
      </c>
      <c r="AM40" s="29">
        <v>0</v>
      </c>
      <c r="AN40" s="29">
        <v>0</v>
      </c>
      <c r="AO40" s="29">
        <v>0</v>
      </c>
      <c r="AP40" s="29">
        <v>0</v>
      </c>
      <c r="AQ40" s="33">
        <v>1</v>
      </c>
      <c r="AR40" s="33">
        <v>0</v>
      </c>
      <c r="AS40" s="29" t="str">
        <f t="shared" ref="AS40:AS41" si="51">B40</f>
        <v>Bio_Solid_Steam_Turbine_Cogen</v>
      </c>
      <c r="AT40" s="29" t="str">
        <f>AT43</f>
        <v>Same as new biomass steam turbine, 75% capital cost and fixed cost</v>
      </c>
    </row>
    <row r="41" spans="1:46">
      <c r="A41" s="5">
        <v>116</v>
      </c>
      <c r="B41" s="29" t="s">
        <v>201</v>
      </c>
      <c r="C41" s="5">
        <v>2007</v>
      </c>
      <c r="D41" s="29">
        <v>2016</v>
      </c>
      <c r="E41" s="29" t="s">
        <v>164</v>
      </c>
      <c r="L41">
        <f>L40+(L47-L46)</f>
        <v>2966454.2026252528</v>
      </c>
      <c r="M41" s="29">
        <f>M40+(M47-M46)</f>
        <v>92445.745500000005</v>
      </c>
      <c r="O41">
        <f>O47</f>
        <v>-1.3707232165085709E-2</v>
      </c>
      <c r="P41" s="29">
        <f>P47</f>
        <v>91289</v>
      </c>
      <c r="R41">
        <f>R40</f>
        <v>2</v>
      </c>
      <c r="S41" s="29">
        <f t="shared" ref="S41:AP41" si="52">S40</f>
        <v>0.2</v>
      </c>
      <c r="T41" s="29">
        <f t="shared" si="52"/>
        <v>0.8</v>
      </c>
      <c r="U41" s="29">
        <f t="shared" si="52"/>
        <v>0</v>
      </c>
      <c r="V41" s="29">
        <f t="shared" si="52"/>
        <v>0</v>
      </c>
      <c r="W41" s="29">
        <f t="shared" si="52"/>
        <v>0</v>
      </c>
      <c r="X41" s="29">
        <f t="shared" si="52"/>
        <v>0</v>
      </c>
      <c r="Y41" s="29">
        <f t="shared" si="52"/>
        <v>20</v>
      </c>
      <c r="Z41" s="29">
        <f t="shared" si="52"/>
        <v>0.08</v>
      </c>
      <c r="AA41" s="29">
        <f t="shared" si="52"/>
        <v>0.03</v>
      </c>
      <c r="AB41" s="29">
        <f t="shared" si="52"/>
        <v>0</v>
      </c>
      <c r="AC41" s="29">
        <f t="shared" si="52"/>
        <v>1</v>
      </c>
      <c r="AD41" s="29">
        <f t="shared" si="52"/>
        <v>1</v>
      </c>
      <c r="AE41" s="29">
        <v>0</v>
      </c>
      <c r="AF41" s="29">
        <f t="shared" si="52"/>
        <v>0</v>
      </c>
      <c r="AG41" s="29">
        <f t="shared" si="52"/>
        <v>1</v>
      </c>
      <c r="AH41" s="29">
        <f t="shared" si="52"/>
        <v>0</v>
      </c>
      <c r="AI41" s="29">
        <f t="shared" si="52"/>
        <v>1</v>
      </c>
      <c r="AJ41" s="29">
        <f t="shared" si="52"/>
        <v>1</v>
      </c>
      <c r="AK41" s="29">
        <v>1</v>
      </c>
      <c r="AL41" s="29">
        <f t="shared" si="52"/>
        <v>0</v>
      </c>
      <c r="AM41" s="29">
        <f t="shared" si="52"/>
        <v>0</v>
      </c>
      <c r="AN41" s="29">
        <f t="shared" si="52"/>
        <v>0</v>
      </c>
      <c r="AO41" s="29">
        <f t="shared" si="52"/>
        <v>0</v>
      </c>
      <c r="AP41" s="29">
        <f t="shared" si="52"/>
        <v>0</v>
      </c>
      <c r="AQ41" s="33">
        <v>1</v>
      </c>
      <c r="AR41" s="33">
        <v>0</v>
      </c>
      <c r="AS41" s="29" t="str">
        <f t="shared" si="51"/>
        <v>Bio_Solid_Steam_Turbine_Cogen_CCS</v>
      </c>
      <c r="AT41" s="29" t="s">
        <v>8</v>
      </c>
    </row>
    <row r="42" spans="1:46">
      <c r="A42" s="5">
        <v>90</v>
      </c>
      <c r="B42" t="s">
        <v>33</v>
      </c>
      <c r="C42" s="29">
        <f>C33</f>
        <v>2007</v>
      </c>
      <c r="D42" s="29">
        <f>D33</f>
        <v>0</v>
      </c>
      <c r="E42" s="29" t="s">
        <v>128</v>
      </c>
      <c r="F42" s="29"/>
      <c r="G42" s="29"/>
      <c r="H42" s="29"/>
      <c r="I42" s="29"/>
      <c r="J42" s="29"/>
      <c r="K42" s="29"/>
      <c r="L42" s="29">
        <f>L39</f>
        <v>3056964.1322901901</v>
      </c>
      <c r="M42" s="29">
        <f>M39</f>
        <v>92535</v>
      </c>
      <c r="N42" s="29">
        <f>N39</f>
        <v>4.1292000000000009</v>
      </c>
      <c r="O42" s="29">
        <f>O33</f>
        <v>0</v>
      </c>
      <c r="P42" s="29">
        <f>P39</f>
        <v>91289</v>
      </c>
      <c r="Q42" s="29">
        <v>0</v>
      </c>
      <c r="R42" s="29">
        <f t="shared" ref="R42:AA42" si="53">R39</f>
        <v>2</v>
      </c>
      <c r="S42" s="29">
        <f t="shared" si="53"/>
        <v>0.2</v>
      </c>
      <c r="T42" s="29">
        <f t="shared" si="53"/>
        <v>0.8</v>
      </c>
      <c r="U42" s="29">
        <f t="shared" si="53"/>
        <v>0</v>
      </c>
      <c r="V42" s="29">
        <f t="shared" si="53"/>
        <v>0</v>
      </c>
      <c r="W42" s="29">
        <f t="shared" si="53"/>
        <v>0</v>
      </c>
      <c r="X42" s="29">
        <f t="shared" si="53"/>
        <v>0</v>
      </c>
      <c r="Y42" s="29">
        <f t="shared" si="53"/>
        <v>20</v>
      </c>
      <c r="Z42" s="29">
        <f t="shared" si="53"/>
        <v>0.08</v>
      </c>
      <c r="AA42" s="29">
        <f t="shared" si="53"/>
        <v>0.03</v>
      </c>
      <c r="AB42" s="29">
        <f t="shared" ref="AB42:AI42" si="54">AB33</f>
        <v>0</v>
      </c>
      <c r="AC42" s="29">
        <f t="shared" si="54"/>
        <v>1</v>
      </c>
      <c r="AD42" s="29">
        <f t="shared" si="54"/>
        <v>1</v>
      </c>
      <c r="AE42" s="29">
        <v>0</v>
      </c>
      <c r="AF42" s="29">
        <f t="shared" si="54"/>
        <v>0</v>
      </c>
      <c r="AG42" s="29">
        <f t="shared" si="54"/>
        <v>0</v>
      </c>
      <c r="AH42" s="29">
        <f t="shared" si="54"/>
        <v>0</v>
      </c>
      <c r="AI42" s="29">
        <f t="shared" si="54"/>
        <v>0</v>
      </c>
      <c r="AJ42" s="29">
        <v>1</v>
      </c>
      <c r="AK42" s="29">
        <f>AK33</f>
        <v>0</v>
      </c>
      <c r="AL42" s="29">
        <f>AL33</f>
        <v>0</v>
      </c>
      <c r="AM42" s="29">
        <f>AM33</f>
        <v>0</v>
      </c>
      <c r="AN42" s="29">
        <f>AN33</f>
        <v>0</v>
      </c>
      <c r="AO42" s="29">
        <v>0</v>
      </c>
      <c r="AP42" s="29">
        <v>0</v>
      </c>
      <c r="AQ42" s="33">
        <v>1</v>
      </c>
      <c r="AR42" s="33">
        <v>0</v>
      </c>
      <c r="AS42" s="29" t="str">
        <f t="shared" ref="AS42:AS58" si="55">B42</f>
        <v>Bio_Solid_Steam_Turbine_EP</v>
      </c>
      <c r="AT42" s="29" t="s">
        <v>242</v>
      </c>
    </row>
    <row r="43" spans="1:46">
      <c r="A43" s="5">
        <v>91</v>
      </c>
      <c r="B43" t="s">
        <v>34</v>
      </c>
      <c r="C43" s="29">
        <f>C36</f>
        <v>2007</v>
      </c>
      <c r="D43" s="29">
        <f>D36</f>
        <v>0</v>
      </c>
      <c r="E43" s="29" t="s">
        <v>128</v>
      </c>
      <c r="F43" s="29"/>
      <c r="G43" s="29"/>
      <c r="H43" s="29"/>
      <c r="I43" s="29"/>
      <c r="J43" s="29"/>
      <c r="K43" s="29"/>
      <c r="L43" s="29">
        <f>0.75*L42</f>
        <v>2292723.0992176426</v>
      </c>
      <c r="M43" s="29">
        <f>0.75*M42</f>
        <v>69401.25</v>
      </c>
      <c r="N43" s="29">
        <f t="shared" ref="N43:AA43" si="56">N42</f>
        <v>4.1292000000000009</v>
      </c>
      <c r="O43" s="29">
        <f t="shared" si="56"/>
        <v>0</v>
      </c>
      <c r="P43" s="29">
        <f t="shared" si="56"/>
        <v>91289</v>
      </c>
      <c r="Q43" s="29">
        <f t="shared" si="56"/>
        <v>0</v>
      </c>
      <c r="R43" s="29">
        <f t="shared" si="56"/>
        <v>2</v>
      </c>
      <c r="S43" s="29">
        <f t="shared" si="56"/>
        <v>0.2</v>
      </c>
      <c r="T43" s="29">
        <f t="shared" si="56"/>
        <v>0.8</v>
      </c>
      <c r="U43" s="29">
        <f t="shared" si="56"/>
        <v>0</v>
      </c>
      <c r="V43" s="29">
        <f t="shared" si="56"/>
        <v>0</v>
      </c>
      <c r="W43" s="29">
        <f t="shared" si="56"/>
        <v>0</v>
      </c>
      <c r="X43" s="29">
        <f t="shared" si="56"/>
        <v>0</v>
      </c>
      <c r="Y43" s="29">
        <f t="shared" si="56"/>
        <v>20</v>
      </c>
      <c r="Z43" s="29">
        <f t="shared" si="56"/>
        <v>0.08</v>
      </c>
      <c r="AA43" s="29">
        <f t="shared" si="56"/>
        <v>0.03</v>
      </c>
      <c r="AB43" s="29">
        <f t="shared" ref="AB43:AI43" si="57">AB36</f>
        <v>0</v>
      </c>
      <c r="AC43" s="29">
        <f t="shared" si="57"/>
        <v>1</v>
      </c>
      <c r="AD43" s="29">
        <f t="shared" si="57"/>
        <v>1</v>
      </c>
      <c r="AE43" s="29">
        <v>0</v>
      </c>
      <c r="AF43" s="29">
        <f t="shared" si="57"/>
        <v>0</v>
      </c>
      <c r="AG43" s="29">
        <f t="shared" si="57"/>
        <v>1</v>
      </c>
      <c r="AH43" s="29">
        <f t="shared" si="57"/>
        <v>0</v>
      </c>
      <c r="AI43" s="29">
        <f t="shared" si="57"/>
        <v>0</v>
      </c>
      <c r="AJ43" s="29">
        <v>1</v>
      </c>
      <c r="AK43" s="29">
        <f>AK36</f>
        <v>0</v>
      </c>
      <c r="AL43" s="29">
        <f>AL36</f>
        <v>0</v>
      </c>
      <c r="AM43" s="29">
        <f>AM36</f>
        <v>0</v>
      </c>
      <c r="AN43" s="29">
        <f>AN36</f>
        <v>0</v>
      </c>
      <c r="AO43" s="29">
        <v>0</v>
      </c>
      <c r="AP43" s="29">
        <v>0</v>
      </c>
      <c r="AQ43" s="33">
        <v>1</v>
      </c>
      <c r="AR43" s="33">
        <v>0</v>
      </c>
      <c r="AS43" s="29" t="str">
        <f t="shared" si="55"/>
        <v>Bio_Solid_Steam_Turbine_Cogen_EP</v>
      </c>
      <c r="AT43" s="29" t="s">
        <v>29</v>
      </c>
    </row>
    <row r="44" spans="1:46">
      <c r="A44" s="5">
        <v>12</v>
      </c>
      <c r="B44" t="s">
        <v>141</v>
      </c>
      <c r="C44" s="5">
        <v>2007</v>
      </c>
      <c r="D44" s="29">
        <v>2011</v>
      </c>
      <c r="E44" t="s">
        <v>220</v>
      </c>
      <c r="F44">
        <v>2010</v>
      </c>
      <c r="G44" s="29">
        <v>0.91610000000000003</v>
      </c>
      <c r="H44">
        <v>2010</v>
      </c>
      <c r="I44">
        <v>2844000</v>
      </c>
      <c r="J44">
        <v>29670</v>
      </c>
      <c r="K44">
        <v>4.25</v>
      </c>
      <c r="L44" s="29">
        <f>I44*G44*(1+O44)^(2007-H44)</f>
        <v>2700659.1620950536</v>
      </c>
      <c r="M44" s="11">
        <f>J44*G44</f>
        <v>27180.687000000002</v>
      </c>
      <c r="N44" s="11">
        <f>K44*G44</f>
        <v>3.8934250000000001</v>
      </c>
      <c r="O44">
        <v>-1.1900000000000001E-2</v>
      </c>
      <c r="P44">
        <v>91289</v>
      </c>
      <c r="Q44">
        <v>8.8000000000000007</v>
      </c>
      <c r="R44">
        <v>2</v>
      </c>
      <c r="S44" s="5">
        <v>0.2</v>
      </c>
      <c r="T44" s="5">
        <v>0.8</v>
      </c>
      <c r="U44" s="5">
        <v>0</v>
      </c>
      <c r="V44" s="5">
        <v>0</v>
      </c>
      <c r="W44" s="5">
        <v>0</v>
      </c>
      <c r="X44" s="5">
        <v>0</v>
      </c>
      <c r="Y44">
        <v>40</v>
      </c>
      <c r="Z44">
        <v>0.05</v>
      </c>
      <c r="AA44">
        <v>0.15</v>
      </c>
      <c r="AB44">
        <v>0</v>
      </c>
      <c r="AC44">
        <v>0</v>
      </c>
      <c r="AD44">
        <v>0</v>
      </c>
      <c r="AE44" s="29">
        <v>1</v>
      </c>
      <c r="AF44" s="29">
        <v>0</v>
      </c>
      <c r="AG44" s="29">
        <v>0</v>
      </c>
      <c r="AH44">
        <v>0</v>
      </c>
      <c r="AI44">
        <v>1</v>
      </c>
      <c r="AJ44" s="29">
        <v>0</v>
      </c>
      <c r="AK44" s="26">
        <v>0</v>
      </c>
      <c r="AL44" s="15">
        <v>0</v>
      </c>
      <c r="AM44">
        <v>0</v>
      </c>
      <c r="AN44">
        <v>0</v>
      </c>
      <c r="AO44" s="29">
        <v>0</v>
      </c>
      <c r="AP44" s="29">
        <v>0</v>
      </c>
      <c r="AQ44" s="33">
        <v>0.4</v>
      </c>
      <c r="AR44" s="33">
        <v>0.05</v>
      </c>
      <c r="AS44" s="29" t="str">
        <f t="shared" si="55"/>
        <v>Coal_Steam_Turbine</v>
      </c>
      <c r="AT44" s="29" t="s">
        <v>179</v>
      </c>
    </row>
    <row r="45" spans="1:46" s="25" customFormat="1">
      <c r="A45" s="25">
        <v>39</v>
      </c>
      <c r="B45" s="25" t="s">
        <v>99</v>
      </c>
      <c r="C45" s="25">
        <v>2007</v>
      </c>
      <c r="D45" s="29">
        <v>2016</v>
      </c>
      <c r="E45" s="25" t="s">
        <v>15</v>
      </c>
      <c r="F45" s="25">
        <v>2010</v>
      </c>
      <c r="G45" s="25">
        <v>0.91610000000000003</v>
      </c>
      <c r="H45" s="25">
        <v>2010</v>
      </c>
      <c r="I45" s="26">
        <v>4579000</v>
      </c>
      <c r="J45" s="25">
        <v>63210</v>
      </c>
      <c r="K45" s="26">
        <v>9.0500000000000007</v>
      </c>
      <c r="L45" s="29">
        <f>I45*G45/(1+O45)^(H45-2007)</f>
        <v>4372159.3378768135</v>
      </c>
      <c r="M45" s="26">
        <f>J45*G45</f>
        <v>57906.681000000004</v>
      </c>
      <c r="N45" s="26">
        <f>K45*G45</f>
        <v>8.2907050000000009</v>
      </c>
      <c r="O45" s="25">
        <f>O44*(O51/O50)</f>
        <v>-1.3707232165085709E-2</v>
      </c>
      <c r="P45" s="26">
        <v>91289</v>
      </c>
      <c r="Q45" s="25">
        <v>12</v>
      </c>
      <c r="R45" s="26">
        <f t="shared" ref="R45:AA45" si="58">R44</f>
        <v>2</v>
      </c>
      <c r="S45" s="29">
        <f t="shared" si="58"/>
        <v>0.2</v>
      </c>
      <c r="T45" s="29">
        <f t="shared" si="58"/>
        <v>0.8</v>
      </c>
      <c r="U45" s="29">
        <f t="shared" si="58"/>
        <v>0</v>
      </c>
      <c r="V45" s="29">
        <f t="shared" si="58"/>
        <v>0</v>
      </c>
      <c r="W45" s="29">
        <f t="shared" si="58"/>
        <v>0</v>
      </c>
      <c r="X45" s="29">
        <f t="shared" si="58"/>
        <v>0</v>
      </c>
      <c r="Y45" s="29">
        <f t="shared" si="58"/>
        <v>40</v>
      </c>
      <c r="Z45" s="29">
        <f t="shared" si="58"/>
        <v>0.05</v>
      </c>
      <c r="AA45" s="29">
        <f t="shared" si="58"/>
        <v>0.15</v>
      </c>
      <c r="AB45" s="25">
        <v>0</v>
      </c>
      <c r="AC45" s="25">
        <v>0</v>
      </c>
      <c r="AD45" s="25">
        <v>0</v>
      </c>
      <c r="AE45" s="29">
        <v>1</v>
      </c>
      <c r="AF45" s="29">
        <v>0</v>
      </c>
      <c r="AG45" s="29">
        <v>0</v>
      </c>
      <c r="AH45" s="26">
        <v>0</v>
      </c>
      <c r="AI45" s="26">
        <v>1</v>
      </c>
      <c r="AJ45" s="29">
        <v>0</v>
      </c>
      <c r="AK45" s="26">
        <v>1</v>
      </c>
      <c r="AL45" s="26">
        <v>0</v>
      </c>
      <c r="AM45" s="26">
        <v>0</v>
      </c>
      <c r="AN45" s="26">
        <v>0</v>
      </c>
      <c r="AO45" s="29">
        <v>0</v>
      </c>
      <c r="AP45" s="29">
        <v>0</v>
      </c>
      <c r="AQ45" s="33">
        <v>0.4</v>
      </c>
      <c r="AR45" s="33">
        <v>0.05</v>
      </c>
      <c r="AS45" s="29" t="str">
        <f t="shared" si="55"/>
        <v>Coal_Steam_Turbine_CCS</v>
      </c>
      <c r="AT45" s="29" t="s">
        <v>35</v>
      </c>
    </row>
    <row r="46" spans="1:46">
      <c r="A46" s="5">
        <v>100</v>
      </c>
      <c r="B46" t="str">
        <f>SUBSTITUTE(B49,"_EP", "")</f>
        <v>Coal_Steam_Turbine_Cogen</v>
      </c>
      <c r="C46" s="29">
        <f>C49</f>
        <v>2007</v>
      </c>
      <c r="D46" s="29">
        <f>D44</f>
        <v>2011</v>
      </c>
      <c r="E46" s="29" t="str">
        <f>E44</f>
        <v>Coal</v>
      </c>
      <c r="F46" s="29"/>
      <c r="G46" s="29"/>
      <c r="H46" s="29"/>
      <c r="I46" s="29"/>
      <c r="J46" s="29"/>
      <c r="K46" s="29"/>
      <c r="L46" s="29">
        <f>L49</f>
        <v>2605388.4</v>
      </c>
      <c r="M46" s="29">
        <f>M49</f>
        <v>20385.51525</v>
      </c>
      <c r="N46" s="29">
        <f>N49</f>
        <v>3.8934250000000001</v>
      </c>
      <c r="O46" s="29">
        <f>O44</f>
        <v>-1.1900000000000001E-2</v>
      </c>
      <c r="P46" s="29">
        <f>P44</f>
        <v>91289</v>
      </c>
      <c r="Q46" s="29">
        <v>0</v>
      </c>
      <c r="R46">
        <f t="shared" ref="R46:AA46" si="59">R44</f>
        <v>2</v>
      </c>
      <c r="S46" s="29">
        <f t="shared" si="59"/>
        <v>0.2</v>
      </c>
      <c r="T46" s="29">
        <f t="shared" si="59"/>
        <v>0.8</v>
      </c>
      <c r="U46" s="29">
        <f t="shared" si="59"/>
        <v>0</v>
      </c>
      <c r="V46" s="29">
        <f t="shared" si="59"/>
        <v>0</v>
      </c>
      <c r="W46" s="29">
        <f t="shared" si="59"/>
        <v>0</v>
      </c>
      <c r="X46" s="29">
        <f t="shared" si="59"/>
        <v>0</v>
      </c>
      <c r="Y46" s="29">
        <f t="shared" si="59"/>
        <v>40</v>
      </c>
      <c r="Z46" s="29">
        <f t="shared" si="59"/>
        <v>0.05</v>
      </c>
      <c r="AA46" s="29">
        <f t="shared" si="59"/>
        <v>0.15</v>
      </c>
      <c r="AB46" s="29">
        <f t="shared" ref="AB46:AH46" si="60">AB49</f>
        <v>0</v>
      </c>
      <c r="AC46" s="29">
        <f t="shared" si="60"/>
        <v>1</v>
      </c>
      <c r="AD46" s="29">
        <f t="shared" si="60"/>
        <v>1</v>
      </c>
      <c r="AE46" s="29">
        <v>0</v>
      </c>
      <c r="AF46" s="29">
        <f t="shared" si="60"/>
        <v>0</v>
      </c>
      <c r="AG46" s="29">
        <f t="shared" si="60"/>
        <v>1</v>
      </c>
      <c r="AH46" s="29">
        <f t="shared" si="60"/>
        <v>0</v>
      </c>
      <c r="AI46" s="29">
        <v>1</v>
      </c>
      <c r="AJ46" s="29">
        <f>AJ49</f>
        <v>1</v>
      </c>
      <c r="AK46" s="29">
        <f>AK49</f>
        <v>0</v>
      </c>
      <c r="AL46" s="29">
        <f>AL49</f>
        <v>0</v>
      </c>
      <c r="AM46" s="29">
        <f>AM49</f>
        <v>0</v>
      </c>
      <c r="AN46" s="29">
        <f>AN49</f>
        <v>0</v>
      </c>
      <c r="AO46" s="29">
        <v>0</v>
      </c>
      <c r="AP46" s="29">
        <v>0</v>
      </c>
      <c r="AQ46" s="33">
        <v>1</v>
      </c>
      <c r="AR46" s="33">
        <v>0</v>
      </c>
      <c r="AS46" s="29" t="str">
        <f t="shared" si="55"/>
        <v>Coal_Steam_Turbine_Cogen</v>
      </c>
      <c r="AT46" s="29" t="s">
        <v>145</v>
      </c>
    </row>
    <row r="47" spans="1:46">
      <c r="A47" s="5">
        <v>117</v>
      </c>
      <c r="B47" s="29" t="s">
        <v>159</v>
      </c>
      <c r="C47" s="5">
        <v>2007</v>
      </c>
      <c r="D47" s="29">
        <v>2016</v>
      </c>
      <c r="E47" s="29" t="s">
        <v>165</v>
      </c>
      <c r="L47">
        <f>0.75*L45</f>
        <v>3279119.5034076101</v>
      </c>
      <c r="M47" s="29">
        <f>0.75*M45</f>
        <v>43430.010750000001</v>
      </c>
      <c r="O47">
        <f>O45</f>
        <v>-1.3707232165085709E-2</v>
      </c>
      <c r="P47" s="29">
        <f>P45</f>
        <v>91289</v>
      </c>
      <c r="R47" s="29">
        <f t="shared" ref="R47:AA47" si="61">R45</f>
        <v>2</v>
      </c>
      <c r="S47" s="29">
        <f t="shared" si="61"/>
        <v>0.2</v>
      </c>
      <c r="T47" s="29">
        <f t="shared" si="61"/>
        <v>0.8</v>
      </c>
      <c r="U47" s="29">
        <f t="shared" si="61"/>
        <v>0</v>
      </c>
      <c r="V47" s="29">
        <f t="shared" si="61"/>
        <v>0</v>
      </c>
      <c r="W47" s="29">
        <f t="shared" si="61"/>
        <v>0</v>
      </c>
      <c r="X47" s="29">
        <f t="shared" si="61"/>
        <v>0</v>
      </c>
      <c r="Y47" s="29">
        <f t="shared" si="61"/>
        <v>40</v>
      </c>
      <c r="Z47" s="29">
        <f t="shared" si="61"/>
        <v>0.05</v>
      </c>
      <c r="AA47" s="29">
        <f t="shared" si="61"/>
        <v>0.15</v>
      </c>
      <c r="AB47" s="29">
        <f>AB46</f>
        <v>0</v>
      </c>
      <c r="AC47" s="29">
        <f t="shared" ref="AC47:AP47" si="62">AC46</f>
        <v>1</v>
      </c>
      <c r="AD47" s="29">
        <f t="shared" si="62"/>
        <v>1</v>
      </c>
      <c r="AE47" s="29">
        <v>0</v>
      </c>
      <c r="AF47" s="29">
        <f t="shared" si="62"/>
        <v>0</v>
      </c>
      <c r="AG47" s="29">
        <f t="shared" si="62"/>
        <v>1</v>
      </c>
      <c r="AH47" s="29">
        <f t="shared" si="62"/>
        <v>0</v>
      </c>
      <c r="AI47" s="29">
        <f t="shared" si="62"/>
        <v>1</v>
      </c>
      <c r="AJ47" s="29">
        <f t="shared" si="62"/>
        <v>1</v>
      </c>
      <c r="AK47" s="29">
        <v>1</v>
      </c>
      <c r="AL47" s="29">
        <f t="shared" si="62"/>
        <v>0</v>
      </c>
      <c r="AM47" s="29">
        <f t="shared" si="62"/>
        <v>0</v>
      </c>
      <c r="AN47" s="29">
        <f t="shared" si="62"/>
        <v>0</v>
      </c>
      <c r="AO47" s="29">
        <f t="shared" si="62"/>
        <v>0</v>
      </c>
      <c r="AP47" s="29">
        <f t="shared" si="62"/>
        <v>0</v>
      </c>
      <c r="AQ47" s="33">
        <v>1</v>
      </c>
      <c r="AR47" s="33">
        <v>0</v>
      </c>
      <c r="AS47" s="29" t="str">
        <f t="shared" si="55"/>
        <v>Coal_Steam_Turbine_Cogen_CCS</v>
      </c>
      <c r="AT47" s="29" t="s">
        <v>211</v>
      </c>
    </row>
    <row r="48" spans="1:46" s="5" customFormat="1">
      <c r="A48">
        <v>18</v>
      </c>
      <c r="B48" s="17" t="s">
        <v>64</v>
      </c>
      <c r="C48">
        <v>2007</v>
      </c>
      <c r="D48" s="29">
        <v>0</v>
      </c>
      <c r="E48" t="str">
        <f t="shared" ref="E48:K48" si="63">E44</f>
        <v>Coal</v>
      </c>
      <c r="F48" s="29">
        <f t="shared" si="63"/>
        <v>2010</v>
      </c>
      <c r="G48" s="29">
        <f t="shared" si="63"/>
        <v>0.91610000000000003</v>
      </c>
      <c r="H48" s="29">
        <f t="shared" si="63"/>
        <v>2010</v>
      </c>
      <c r="I48" s="29">
        <f t="shared" si="63"/>
        <v>2844000</v>
      </c>
      <c r="J48" s="29">
        <f t="shared" si="63"/>
        <v>29670</v>
      </c>
      <c r="K48" s="29">
        <f t="shared" si="63"/>
        <v>4.25</v>
      </c>
      <c r="L48" s="29">
        <f>I48*G48*(1+O48)^(2007-H48)</f>
        <v>2605388.4</v>
      </c>
      <c r="M48" s="29">
        <f>M44</f>
        <v>27180.687000000002</v>
      </c>
      <c r="N48" s="29">
        <f>N44</f>
        <v>3.8934250000000001</v>
      </c>
      <c r="O48" s="5">
        <v>0</v>
      </c>
      <c r="P48" s="29">
        <f>P44</f>
        <v>91289</v>
      </c>
      <c r="Q48" s="5">
        <v>0</v>
      </c>
      <c r="R48" s="29">
        <f t="shared" ref="R48:AA48" si="64">R44</f>
        <v>2</v>
      </c>
      <c r="S48" s="29">
        <f t="shared" si="64"/>
        <v>0.2</v>
      </c>
      <c r="T48" s="29">
        <f t="shared" si="64"/>
        <v>0.8</v>
      </c>
      <c r="U48" s="29">
        <f t="shared" si="64"/>
        <v>0</v>
      </c>
      <c r="V48" s="29">
        <f t="shared" si="64"/>
        <v>0</v>
      </c>
      <c r="W48" s="29">
        <f t="shared" si="64"/>
        <v>0</v>
      </c>
      <c r="X48" s="29">
        <f t="shared" si="64"/>
        <v>0</v>
      </c>
      <c r="Y48" s="29">
        <f t="shared" si="64"/>
        <v>40</v>
      </c>
      <c r="Z48" s="29">
        <f t="shared" si="64"/>
        <v>0.05</v>
      </c>
      <c r="AA48" s="29">
        <f t="shared" si="64"/>
        <v>0.15</v>
      </c>
      <c r="AB48" s="5">
        <v>0</v>
      </c>
      <c r="AC48" s="5">
        <v>1</v>
      </c>
      <c r="AD48" s="5">
        <v>0</v>
      </c>
      <c r="AE48" s="29">
        <v>1</v>
      </c>
      <c r="AF48" s="29">
        <v>0</v>
      </c>
      <c r="AG48" s="29">
        <v>0</v>
      </c>
      <c r="AH48" s="5">
        <v>0</v>
      </c>
      <c r="AI48">
        <v>0</v>
      </c>
      <c r="AJ48" s="29">
        <v>0</v>
      </c>
      <c r="AK48" s="26">
        <v>0</v>
      </c>
      <c r="AL48" s="15">
        <v>0</v>
      </c>
      <c r="AM48">
        <v>0</v>
      </c>
      <c r="AN48">
        <v>0</v>
      </c>
      <c r="AO48" s="29">
        <v>0</v>
      </c>
      <c r="AP48" s="29">
        <v>0</v>
      </c>
      <c r="AQ48" s="33">
        <v>0.7</v>
      </c>
      <c r="AR48" s="33">
        <v>0.05</v>
      </c>
      <c r="AS48" s="29" t="str">
        <f t="shared" si="55"/>
        <v>Coal_Steam_Turbine_EP</v>
      </c>
      <c r="AT48" s="29" t="str">
        <f>AT44</f>
        <v>"Updated Capital Cost Estimates for Electricity Generation Plants," US EIA, November 2010; we assume the same lifetime, construction time, construction cost breakdown, and outage rates as for Coal IGCC</v>
      </c>
    </row>
    <row r="49" spans="1:46" s="19" customFormat="1">
      <c r="A49" s="19">
        <v>30</v>
      </c>
      <c r="B49" s="19" t="s">
        <v>191</v>
      </c>
      <c r="C49" s="29">
        <v>2007</v>
      </c>
      <c r="D49" s="29">
        <f t="shared" ref="D49:I49" si="65">D48</f>
        <v>0</v>
      </c>
      <c r="E49" s="19" t="str">
        <f t="shared" si="65"/>
        <v>Coal</v>
      </c>
      <c r="F49" s="29">
        <f t="shared" si="65"/>
        <v>2010</v>
      </c>
      <c r="G49" s="29">
        <f t="shared" si="65"/>
        <v>0.91610000000000003</v>
      </c>
      <c r="H49" s="29">
        <f t="shared" si="65"/>
        <v>2010</v>
      </c>
      <c r="I49" s="29">
        <f t="shared" si="65"/>
        <v>2844000</v>
      </c>
      <c r="J49" s="29">
        <f>0.75*J48</f>
        <v>22252.5</v>
      </c>
      <c r="K49" s="29">
        <f>K48</f>
        <v>4.25</v>
      </c>
      <c r="L49" s="29">
        <f>I49*G49*(1+O49)^(2007-H49)</f>
        <v>2605388.4</v>
      </c>
      <c r="M49" s="29">
        <f>J49*G49</f>
        <v>20385.51525</v>
      </c>
      <c r="N49" s="29">
        <f>K49*G49</f>
        <v>3.8934250000000001</v>
      </c>
      <c r="O49" s="19">
        <v>0</v>
      </c>
      <c r="P49" s="29">
        <f>P48</f>
        <v>91289</v>
      </c>
      <c r="Q49" s="19">
        <v>0</v>
      </c>
      <c r="R49" s="29">
        <f t="shared" ref="R49:AA49" si="66">R48</f>
        <v>2</v>
      </c>
      <c r="S49" s="29">
        <f t="shared" si="66"/>
        <v>0.2</v>
      </c>
      <c r="T49" s="29">
        <f t="shared" si="66"/>
        <v>0.8</v>
      </c>
      <c r="U49" s="29">
        <f t="shared" si="66"/>
        <v>0</v>
      </c>
      <c r="V49" s="29">
        <f t="shared" si="66"/>
        <v>0</v>
      </c>
      <c r="W49" s="29">
        <f t="shared" si="66"/>
        <v>0</v>
      </c>
      <c r="X49" s="29">
        <f t="shared" si="66"/>
        <v>0</v>
      </c>
      <c r="Y49" s="29">
        <f t="shared" si="66"/>
        <v>40</v>
      </c>
      <c r="Z49" s="29">
        <f t="shared" si="66"/>
        <v>0.05</v>
      </c>
      <c r="AA49" s="29">
        <f t="shared" si="66"/>
        <v>0.15</v>
      </c>
      <c r="AB49" s="19">
        <v>0</v>
      </c>
      <c r="AC49" s="19">
        <v>1</v>
      </c>
      <c r="AD49" s="19">
        <v>1</v>
      </c>
      <c r="AE49" s="29">
        <v>0</v>
      </c>
      <c r="AF49" s="29">
        <v>0</v>
      </c>
      <c r="AG49" s="29">
        <v>1</v>
      </c>
      <c r="AH49" s="19">
        <v>0</v>
      </c>
      <c r="AI49" s="19">
        <v>0</v>
      </c>
      <c r="AJ49" s="29">
        <v>1</v>
      </c>
      <c r="AK49" s="26">
        <v>0</v>
      </c>
      <c r="AL49" s="19">
        <v>0</v>
      </c>
      <c r="AM49">
        <v>0</v>
      </c>
      <c r="AN49">
        <v>0</v>
      </c>
      <c r="AO49" s="29">
        <v>0</v>
      </c>
      <c r="AP49" s="29">
        <v>0</v>
      </c>
      <c r="AQ49" s="33">
        <v>1</v>
      </c>
      <c r="AR49" s="33">
        <v>0</v>
      </c>
      <c r="AS49" s="29" t="str">
        <f t="shared" si="55"/>
        <v>Coal_Steam_Turbine_Cogen_EP</v>
      </c>
      <c r="AT49" s="29" t="s">
        <v>38</v>
      </c>
    </row>
    <row r="50" spans="1:46">
      <c r="A50" s="5">
        <v>11</v>
      </c>
      <c r="B50" t="s">
        <v>27</v>
      </c>
      <c r="C50" s="5">
        <v>2007</v>
      </c>
      <c r="D50" s="5">
        <v>2011</v>
      </c>
      <c r="E50" t="s">
        <v>220</v>
      </c>
      <c r="F50">
        <v>2010</v>
      </c>
      <c r="G50" s="11">
        <v>0.91610000000000003</v>
      </c>
      <c r="H50">
        <v>2010</v>
      </c>
      <c r="I50">
        <v>3221000</v>
      </c>
      <c r="J50">
        <v>48900</v>
      </c>
      <c r="K50">
        <v>6.87</v>
      </c>
      <c r="L50" s="29">
        <f>I50*G50*(1+O50)^(2007-H50)</f>
        <v>3085747.589886548</v>
      </c>
      <c r="M50" s="11">
        <f>J50*G50</f>
        <v>44797.29</v>
      </c>
      <c r="N50" s="11">
        <f>K50*G50</f>
        <v>6.2936070000000006</v>
      </c>
      <c r="O50">
        <v>-1.4800000000000001E-2</v>
      </c>
      <c r="P50">
        <v>91289</v>
      </c>
      <c r="Q50">
        <v>8.6999999999999993</v>
      </c>
      <c r="R50">
        <v>2</v>
      </c>
      <c r="S50" s="5">
        <v>0.2</v>
      </c>
      <c r="T50" s="5">
        <v>0.8</v>
      </c>
      <c r="U50" s="5">
        <v>0</v>
      </c>
      <c r="V50" s="5">
        <v>0</v>
      </c>
      <c r="W50" s="5">
        <v>0</v>
      </c>
      <c r="X50" s="5">
        <v>0</v>
      </c>
      <c r="Y50">
        <v>40</v>
      </c>
      <c r="Z50">
        <v>0.05</v>
      </c>
      <c r="AA50">
        <v>0.15</v>
      </c>
      <c r="AB50">
        <v>0</v>
      </c>
      <c r="AC50">
        <v>0</v>
      </c>
      <c r="AD50">
        <v>0</v>
      </c>
      <c r="AE50" s="29">
        <v>1</v>
      </c>
      <c r="AF50" s="29">
        <v>0</v>
      </c>
      <c r="AG50" s="29">
        <v>0</v>
      </c>
      <c r="AH50">
        <v>0</v>
      </c>
      <c r="AI50">
        <v>1</v>
      </c>
      <c r="AJ50" s="29">
        <v>0</v>
      </c>
      <c r="AK50" s="26">
        <v>0</v>
      </c>
      <c r="AL50" s="15">
        <v>0</v>
      </c>
      <c r="AM50">
        <v>0</v>
      </c>
      <c r="AN50">
        <v>0</v>
      </c>
      <c r="AO50" s="29">
        <v>0</v>
      </c>
      <c r="AP50" s="29">
        <v>0</v>
      </c>
      <c r="AQ50" s="33">
        <v>0.4</v>
      </c>
      <c r="AR50" s="33">
        <v>0.28999999999999998</v>
      </c>
      <c r="AS50" s="29" t="str">
        <f t="shared" si="55"/>
        <v>Coal_IGCC</v>
      </c>
      <c r="AT50" s="29" t="s">
        <v>127</v>
      </c>
    </row>
    <row r="51" spans="1:46" s="25" customFormat="1">
      <c r="A51" s="25">
        <v>38</v>
      </c>
      <c r="B51" s="25" t="s">
        <v>98</v>
      </c>
      <c r="C51" s="25">
        <v>2007</v>
      </c>
      <c r="D51" s="29">
        <v>2016</v>
      </c>
      <c r="E51" s="25" t="s">
        <v>15</v>
      </c>
      <c r="F51" s="25">
        <v>2010</v>
      </c>
      <c r="G51" s="25">
        <v>0.91610000000000003</v>
      </c>
      <c r="H51" s="25">
        <v>2010</v>
      </c>
      <c r="I51" s="25">
        <v>5348000</v>
      </c>
      <c r="J51" s="25">
        <v>69300</v>
      </c>
      <c r="K51" s="26">
        <v>8.0399999999999991</v>
      </c>
      <c r="L51" s="29">
        <f t="shared" ref="L51" si="67">I51*G51/(1+O51)^(H51-2007)</f>
        <v>5158659.7725402676</v>
      </c>
      <c r="M51" s="26">
        <f>J51*G51</f>
        <v>63485.73</v>
      </c>
      <c r="N51" s="26">
        <f>K51*G51</f>
        <v>7.3654439999999992</v>
      </c>
      <c r="O51" s="25">
        <v>-1.7047650087669619E-2</v>
      </c>
      <c r="P51" s="26">
        <v>91289</v>
      </c>
      <c r="Q51" s="25">
        <v>10.7</v>
      </c>
      <c r="R51" s="26">
        <f t="shared" ref="R51:AA51" si="68">R50</f>
        <v>2</v>
      </c>
      <c r="S51" s="29">
        <f t="shared" si="68"/>
        <v>0.2</v>
      </c>
      <c r="T51" s="29">
        <f t="shared" si="68"/>
        <v>0.8</v>
      </c>
      <c r="U51" s="29">
        <f t="shared" si="68"/>
        <v>0</v>
      </c>
      <c r="V51" s="29">
        <f t="shared" si="68"/>
        <v>0</v>
      </c>
      <c r="W51" s="29">
        <f t="shared" si="68"/>
        <v>0</v>
      </c>
      <c r="X51" s="29">
        <f t="shared" si="68"/>
        <v>0</v>
      </c>
      <c r="Y51" s="29">
        <f t="shared" si="68"/>
        <v>40</v>
      </c>
      <c r="Z51" s="29">
        <f t="shared" si="68"/>
        <v>0.05</v>
      </c>
      <c r="AA51" s="29">
        <f t="shared" si="68"/>
        <v>0.15</v>
      </c>
      <c r="AB51" s="25">
        <v>0</v>
      </c>
      <c r="AC51" s="25">
        <v>0</v>
      </c>
      <c r="AD51" s="25">
        <v>0</v>
      </c>
      <c r="AE51" s="29">
        <v>1</v>
      </c>
      <c r="AF51" s="29">
        <v>0</v>
      </c>
      <c r="AG51" s="29">
        <v>0</v>
      </c>
      <c r="AH51" s="26">
        <v>0</v>
      </c>
      <c r="AI51" s="26">
        <v>1</v>
      </c>
      <c r="AJ51" s="29">
        <v>0</v>
      </c>
      <c r="AK51" s="26">
        <v>1</v>
      </c>
      <c r="AL51" s="26">
        <v>0</v>
      </c>
      <c r="AM51" s="26">
        <v>0</v>
      </c>
      <c r="AN51" s="26">
        <v>0</v>
      </c>
      <c r="AO51" s="29">
        <v>0</v>
      </c>
      <c r="AP51" s="29">
        <v>0</v>
      </c>
      <c r="AQ51" s="33">
        <v>0.4</v>
      </c>
      <c r="AR51" s="33">
        <v>0.28999999999999998</v>
      </c>
      <c r="AS51" s="29" t="str">
        <f t="shared" si="55"/>
        <v>Coal_IGCC_CCS</v>
      </c>
      <c r="AT51" s="29" t="s">
        <v>182</v>
      </c>
    </row>
    <row r="52" spans="1:46">
      <c r="A52" s="5">
        <v>13</v>
      </c>
      <c r="B52" t="s">
        <v>142</v>
      </c>
      <c r="C52" s="5">
        <v>2007</v>
      </c>
      <c r="D52" s="29">
        <v>2011</v>
      </c>
      <c r="E52" t="s">
        <v>10</v>
      </c>
      <c r="F52">
        <v>2009</v>
      </c>
      <c r="G52" s="11">
        <v>0.93</v>
      </c>
      <c r="H52">
        <v>2009</v>
      </c>
      <c r="I52">
        <v>3950000</v>
      </c>
      <c r="J52">
        <v>147700</v>
      </c>
      <c r="K52">
        <v>5.18</v>
      </c>
      <c r="L52" s="29">
        <f t="shared" ref="L52:L58" si="69">I52*G52*(1+O52)^(2007-H52)</f>
        <v>3673500</v>
      </c>
      <c r="M52" s="11">
        <f>J52*G52</f>
        <v>137361</v>
      </c>
      <c r="N52" s="11">
        <f>K52*G52</f>
        <v>4.8174000000000001</v>
      </c>
      <c r="O52">
        <v>0</v>
      </c>
      <c r="P52">
        <v>91289</v>
      </c>
      <c r="Q52">
        <v>10.4</v>
      </c>
      <c r="R52">
        <v>6</v>
      </c>
      <c r="S52" s="5">
        <v>0.56000000000000005</v>
      </c>
      <c r="T52" s="5">
        <v>0.2</v>
      </c>
      <c r="U52" s="5">
        <v>0.14000000000000001</v>
      </c>
      <c r="V52" s="5">
        <v>0.06</v>
      </c>
      <c r="W52" s="5">
        <v>0.02</v>
      </c>
      <c r="X52" s="5">
        <v>0.02</v>
      </c>
      <c r="Y52">
        <v>40</v>
      </c>
      <c r="Z52">
        <v>2.7199999999999998E-2</v>
      </c>
      <c r="AA52">
        <v>0.11119999999999999</v>
      </c>
      <c r="AB52">
        <v>0</v>
      </c>
      <c r="AC52">
        <v>0</v>
      </c>
      <c r="AD52">
        <v>1</v>
      </c>
      <c r="AE52" s="29">
        <v>0</v>
      </c>
      <c r="AF52" s="29">
        <v>0</v>
      </c>
      <c r="AG52" s="29">
        <v>0</v>
      </c>
      <c r="AH52">
        <v>1000</v>
      </c>
      <c r="AI52">
        <v>1</v>
      </c>
      <c r="AJ52" s="29">
        <v>0</v>
      </c>
      <c r="AK52" s="26">
        <v>0</v>
      </c>
      <c r="AL52" s="15">
        <v>0</v>
      </c>
      <c r="AM52">
        <v>0</v>
      </c>
      <c r="AN52">
        <v>0</v>
      </c>
      <c r="AO52" s="29">
        <v>0</v>
      </c>
      <c r="AP52" s="29">
        <v>0</v>
      </c>
      <c r="AQ52" s="33">
        <v>1</v>
      </c>
      <c r="AR52" s="33">
        <v>0</v>
      </c>
      <c r="AS52" s="29" t="str">
        <f t="shared" si="55"/>
        <v>Nuclear</v>
      </c>
      <c r="AT52" s="29" t="s">
        <v>180</v>
      </c>
    </row>
    <row r="53" spans="1:46" s="5" customFormat="1">
      <c r="A53">
        <v>22</v>
      </c>
      <c r="B53" s="17" t="s">
        <v>113</v>
      </c>
      <c r="C53" s="29">
        <v>2007</v>
      </c>
      <c r="D53" s="29">
        <v>0</v>
      </c>
      <c r="E53" t="str">
        <f t="shared" ref="E53:K53" si="70">E52</f>
        <v>Uranium</v>
      </c>
      <c r="F53" s="29">
        <f t="shared" si="70"/>
        <v>2009</v>
      </c>
      <c r="G53" s="29">
        <f t="shared" si="70"/>
        <v>0.93</v>
      </c>
      <c r="H53" s="29">
        <f t="shared" si="70"/>
        <v>2009</v>
      </c>
      <c r="I53" s="29">
        <f t="shared" si="70"/>
        <v>3950000</v>
      </c>
      <c r="J53" s="29">
        <f t="shared" si="70"/>
        <v>147700</v>
      </c>
      <c r="K53" s="29">
        <f t="shared" si="70"/>
        <v>5.18</v>
      </c>
      <c r="L53" s="29">
        <f t="shared" si="69"/>
        <v>3673500</v>
      </c>
      <c r="M53" s="29">
        <f>M52</f>
        <v>137361</v>
      </c>
      <c r="N53" s="29">
        <f>N52</f>
        <v>4.8174000000000001</v>
      </c>
      <c r="O53" s="29">
        <v>0</v>
      </c>
      <c r="P53" s="29">
        <f>P52</f>
        <v>91289</v>
      </c>
      <c r="Q53" s="29">
        <v>0</v>
      </c>
      <c r="R53" s="29">
        <f t="shared" ref="R53:AA53" si="71">R52</f>
        <v>6</v>
      </c>
      <c r="S53" s="29">
        <f t="shared" si="71"/>
        <v>0.56000000000000005</v>
      </c>
      <c r="T53" s="29">
        <f t="shared" si="71"/>
        <v>0.2</v>
      </c>
      <c r="U53" s="29">
        <f t="shared" si="71"/>
        <v>0.14000000000000001</v>
      </c>
      <c r="V53" s="29">
        <f t="shared" si="71"/>
        <v>0.06</v>
      </c>
      <c r="W53" s="29">
        <f t="shared" si="71"/>
        <v>0.02</v>
      </c>
      <c r="X53" s="29">
        <f t="shared" si="71"/>
        <v>0.02</v>
      </c>
      <c r="Y53" s="29">
        <f t="shared" si="71"/>
        <v>40</v>
      </c>
      <c r="Z53" s="29">
        <f t="shared" si="71"/>
        <v>2.7199999999999998E-2</v>
      </c>
      <c r="AA53" s="29">
        <f t="shared" si="71"/>
        <v>0.11119999999999999</v>
      </c>
      <c r="AB53" s="5">
        <v>0</v>
      </c>
      <c r="AC53" s="5">
        <v>1</v>
      </c>
      <c r="AD53" s="5">
        <v>1</v>
      </c>
      <c r="AE53" s="29">
        <v>0</v>
      </c>
      <c r="AF53" s="29">
        <v>0</v>
      </c>
      <c r="AG53" s="29">
        <v>0</v>
      </c>
      <c r="AH53" s="5">
        <v>0</v>
      </c>
      <c r="AI53">
        <v>0</v>
      </c>
      <c r="AJ53" s="29">
        <v>0</v>
      </c>
      <c r="AK53" s="26">
        <v>0</v>
      </c>
      <c r="AL53" s="15">
        <v>0</v>
      </c>
      <c r="AM53">
        <v>0</v>
      </c>
      <c r="AN53">
        <v>0</v>
      </c>
      <c r="AO53" s="29">
        <v>0</v>
      </c>
      <c r="AP53" s="29">
        <v>0</v>
      </c>
      <c r="AQ53" s="33">
        <v>1</v>
      </c>
      <c r="AR53" s="33">
        <v>0</v>
      </c>
      <c r="AS53" s="29" t="str">
        <f t="shared" si="55"/>
        <v>Nuclear_EP</v>
      </c>
      <c r="AT53" s="29" t="s">
        <v>56</v>
      </c>
    </row>
    <row r="54" spans="1:46">
      <c r="A54" s="5">
        <v>14</v>
      </c>
      <c r="B54" t="s">
        <v>62</v>
      </c>
      <c r="C54" s="5">
        <v>2007</v>
      </c>
      <c r="D54" s="29">
        <v>2011</v>
      </c>
      <c r="E54" t="s">
        <v>115</v>
      </c>
      <c r="F54">
        <v>2009</v>
      </c>
      <c r="G54" s="11">
        <v>0.93</v>
      </c>
      <c r="H54">
        <v>2009</v>
      </c>
      <c r="I54">
        <v>4046000</v>
      </c>
      <c r="J54">
        <v>47440</v>
      </c>
      <c r="K54">
        <v>3.41</v>
      </c>
      <c r="L54" s="29">
        <f t="shared" si="69"/>
        <v>3839179.6755433115</v>
      </c>
      <c r="M54" s="11">
        <f>J54*G54</f>
        <v>44119.200000000004</v>
      </c>
      <c r="N54" s="11">
        <f>K54*G54</f>
        <v>3.1713000000000005</v>
      </c>
      <c r="O54">
        <v>-0.01</v>
      </c>
      <c r="P54">
        <v>65639</v>
      </c>
      <c r="Q54">
        <v>0</v>
      </c>
      <c r="R54">
        <v>3</v>
      </c>
      <c r="S54" s="5">
        <v>0.2</v>
      </c>
      <c r="T54" s="5">
        <v>0.4</v>
      </c>
      <c r="U54" s="5">
        <v>0.4</v>
      </c>
      <c r="V54" s="5">
        <v>0</v>
      </c>
      <c r="W54" s="5">
        <v>0</v>
      </c>
      <c r="X54" s="5">
        <v>0</v>
      </c>
      <c r="Y54">
        <v>30</v>
      </c>
      <c r="Z54">
        <v>2.5000000000000001E-2</v>
      </c>
      <c r="AA54">
        <v>0.04</v>
      </c>
      <c r="AB54">
        <v>0</v>
      </c>
      <c r="AC54">
        <v>1</v>
      </c>
      <c r="AD54">
        <v>1</v>
      </c>
      <c r="AE54" s="29">
        <v>0</v>
      </c>
      <c r="AF54" s="29">
        <v>0</v>
      </c>
      <c r="AG54" s="29">
        <v>0</v>
      </c>
      <c r="AH54">
        <v>0</v>
      </c>
      <c r="AI54">
        <v>1</v>
      </c>
      <c r="AJ54" s="29">
        <v>0</v>
      </c>
      <c r="AK54" s="26">
        <v>0</v>
      </c>
      <c r="AL54" s="15">
        <v>0</v>
      </c>
      <c r="AM54">
        <v>0</v>
      </c>
      <c r="AN54">
        <v>0</v>
      </c>
      <c r="AO54" s="29">
        <v>0</v>
      </c>
      <c r="AP54" s="29">
        <v>0</v>
      </c>
      <c r="AQ54" s="33">
        <v>1</v>
      </c>
      <c r="AR54" s="33">
        <v>0</v>
      </c>
      <c r="AS54" s="29" t="str">
        <f t="shared" si="55"/>
        <v>Geothermal</v>
      </c>
      <c r="AT54" s="29" t="s">
        <v>181</v>
      </c>
    </row>
    <row r="55" spans="1:46" s="5" customFormat="1">
      <c r="A55" s="29">
        <v>21</v>
      </c>
      <c r="B55" s="29" t="s">
        <v>214</v>
      </c>
      <c r="C55" s="29">
        <v>2007</v>
      </c>
      <c r="D55" s="29">
        <v>0</v>
      </c>
      <c r="E55" t="s">
        <v>62</v>
      </c>
      <c r="F55" s="29">
        <v>2009</v>
      </c>
      <c r="G55" s="29">
        <v>0.93</v>
      </c>
      <c r="H55" s="29">
        <v>2009</v>
      </c>
      <c r="I55" s="29">
        <v>3706000</v>
      </c>
      <c r="J55" s="29">
        <v>58380</v>
      </c>
      <c r="K55" s="5">
        <v>3.8</v>
      </c>
      <c r="L55" s="29">
        <f t="shared" si="69"/>
        <v>3446580</v>
      </c>
      <c r="M55" s="29">
        <f>J55*G55</f>
        <v>54293.4</v>
      </c>
      <c r="N55" s="29">
        <f>K55*G55</f>
        <v>3.5339999999999998</v>
      </c>
      <c r="O55" s="5">
        <v>0</v>
      </c>
      <c r="P55" s="29">
        <f>P11</f>
        <v>91289</v>
      </c>
      <c r="Q55" s="5">
        <v>0</v>
      </c>
      <c r="R55" s="20">
        <v>3</v>
      </c>
      <c r="S55" s="20">
        <v>0.2</v>
      </c>
      <c r="T55" s="20">
        <v>0.4</v>
      </c>
      <c r="U55" s="20">
        <v>0.4</v>
      </c>
      <c r="V55" s="20">
        <v>0</v>
      </c>
      <c r="W55" s="20">
        <v>0</v>
      </c>
      <c r="X55" s="20">
        <v>0</v>
      </c>
      <c r="Y55" s="5">
        <v>30</v>
      </c>
      <c r="Z55" s="5">
        <v>2.5000000000000001E-2</v>
      </c>
      <c r="AA55" s="5">
        <v>0.04</v>
      </c>
      <c r="AB55" s="5">
        <v>0</v>
      </c>
      <c r="AC55" s="5">
        <v>1</v>
      </c>
      <c r="AD55" s="5">
        <v>1</v>
      </c>
      <c r="AE55" s="29">
        <v>0</v>
      </c>
      <c r="AF55" s="29">
        <v>0</v>
      </c>
      <c r="AG55" s="29">
        <v>0</v>
      </c>
      <c r="AH55" s="5">
        <v>0</v>
      </c>
      <c r="AI55">
        <v>0</v>
      </c>
      <c r="AJ55" s="29">
        <v>0</v>
      </c>
      <c r="AK55" s="26">
        <v>0</v>
      </c>
      <c r="AL55" s="15">
        <v>0</v>
      </c>
      <c r="AM55">
        <v>0</v>
      </c>
      <c r="AN55">
        <v>0</v>
      </c>
      <c r="AO55" s="29">
        <v>0</v>
      </c>
      <c r="AP55" s="29">
        <v>0</v>
      </c>
      <c r="AQ55" s="33">
        <v>1</v>
      </c>
      <c r="AR55" s="33">
        <v>0</v>
      </c>
      <c r="AS55" s="29" t="str">
        <f t="shared" si="55"/>
        <v>Geothermal_EP</v>
      </c>
      <c r="AT55" s="29" t="s">
        <v>73</v>
      </c>
    </row>
    <row r="56" spans="1:46">
      <c r="A56" s="5">
        <v>6</v>
      </c>
      <c r="B56" s="11" t="s">
        <v>168</v>
      </c>
      <c r="C56" s="5">
        <v>2007</v>
      </c>
      <c r="D56" s="29">
        <v>2011</v>
      </c>
      <c r="E56" t="s">
        <v>139</v>
      </c>
      <c r="F56">
        <v>2009</v>
      </c>
      <c r="G56" s="11">
        <v>0.93</v>
      </c>
      <c r="H56">
        <v>2010</v>
      </c>
      <c r="I56">
        <f>5950000</f>
        <v>5950000</v>
      </c>
      <c r="J56">
        <v>10526</v>
      </c>
      <c r="K56">
        <v>0</v>
      </c>
      <c r="L56" s="29">
        <f t="shared" si="69"/>
        <v>6423526.7408997137</v>
      </c>
      <c r="M56" s="11">
        <f>J56*G56</f>
        <v>9789.18</v>
      </c>
      <c r="N56" s="11">
        <f>K56*G56</f>
        <v>0</v>
      </c>
      <c r="O56" s="11">
        <v>-4.8500000000000001E-2</v>
      </c>
      <c r="P56">
        <v>0</v>
      </c>
      <c r="Q56">
        <v>0</v>
      </c>
      <c r="R56">
        <v>1</v>
      </c>
      <c r="S56" s="5">
        <v>1</v>
      </c>
      <c r="T56" s="5">
        <v>0</v>
      </c>
      <c r="U56" s="5">
        <v>0</v>
      </c>
      <c r="V56" s="5">
        <v>0</v>
      </c>
      <c r="W56" s="5">
        <v>0</v>
      </c>
      <c r="X56" s="5">
        <v>0</v>
      </c>
      <c r="Y56">
        <v>20</v>
      </c>
      <c r="Z56">
        <v>0.02</v>
      </c>
      <c r="AA56">
        <v>0</v>
      </c>
      <c r="AB56">
        <v>1</v>
      </c>
      <c r="AC56">
        <v>1</v>
      </c>
      <c r="AD56">
        <v>0</v>
      </c>
      <c r="AE56" s="29">
        <v>0</v>
      </c>
      <c r="AF56" s="29">
        <v>0</v>
      </c>
      <c r="AG56" s="29">
        <v>0</v>
      </c>
      <c r="AH56">
        <v>0</v>
      </c>
      <c r="AI56">
        <v>1</v>
      </c>
      <c r="AJ56" s="29">
        <v>0</v>
      </c>
      <c r="AK56" s="26">
        <v>0</v>
      </c>
      <c r="AL56" s="15">
        <v>0</v>
      </c>
      <c r="AM56">
        <v>0</v>
      </c>
      <c r="AN56">
        <v>0</v>
      </c>
      <c r="AO56" s="29">
        <v>0</v>
      </c>
      <c r="AP56" s="29">
        <v>0</v>
      </c>
      <c r="AQ56" s="33">
        <v>0</v>
      </c>
      <c r="AR56" s="33">
        <v>0</v>
      </c>
      <c r="AS56" s="29" t="str">
        <f t="shared" si="55"/>
        <v>Residential_PV</v>
      </c>
      <c r="AT56" s="29" t="s">
        <v>173</v>
      </c>
    </row>
    <row r="57" spans="1:46" s="8" customFormat="1">
      <c r="A57" s="8">
        <v>25</v>
      </c>
      <c r="B57" s="13" t="s">
        <v>221</v>
      </c>
      <c r="C57" s="8">
        <v>2007</v>
      </c>
      <c r="D57" s="8">
        <v>2011</v>
      </c>
      <c r="E57" s="8" t="s">
        <v>76</v>
      </c>
      <c r="F57" s="8">
        <v>2009</v>
      </c>
      <c r="G57" s="11">
        <v>0.93</v>
      </c>
      <c r="H57" s="8">
        <v>2010</v>
      </c>
      <c r="I57" s="8">
        <v>5100000</v>
      </c>
      <c r="J57" s="9">
        <v>10526</v>
      </c>
      <c r="K57" s="8">
        <v>0</v>
      </c>
      <c r="L57" s="29">
        <f t="shared" si="69"/>
        <v>5457557.9160082508</v>
      </c>
      <c r="M57" s="11">
        <f>J57*G57</f>
        <v>9789.18</v>
      </c>
      <c r="N57" s="11">
        <f>K57*G57</f>
        <v>0</v>
      </c>
      <c r="O57" s="8">
        <v>-4.5699999999999998E-2</v>
      </c>
      <c r="P57" s="8">
        <v>0</v>
      </c>
      <c r="Q57" s="8">
        <v>0</v>
      </c>
      <c r="R57" s="8">
        <v>1</v>
      </c>
      <c r="S57" s="8">
        <v>1</v>
      </c>
      <c r="T57" s="8">
        <v>0</v>
      </c>
      <c r="U57" s="9">
        <v>0</v>
      </c>
      <c r="V57" s="9">
        <v>0</v>
      </c>
      <c r="W57" s="9">
        <v>0</v>
      </c>
      <c r="X57" s="9">
        <v>0</v>
      </c>
      <c r="Y57" s="8">
        <v>20</v>
      </c>
      <c r="Z57" s="9">
        <v>0.02</v>
      </c>
      <c r="AA57" s="9">
        <v>0</v>
      </c>
      <c r="AB57" s="8">
        <v>1</v>
      </c>
      <c r="AC57" s="8">
        <v>1</v>
      </c>
      <c r="AD57" s="8">
        <v>0</v>
      </c>
      <c r="AE57" s="29">
        <v>0</v>
      </c>
      <c r="AF57" s="29">
        <v>0</v>
      </c>
      <c r="AG57" s="29">
        <v>0</v>
      </c>
      <c r="AH57" s="8">
        <v>0</v>
      </c>
      <c r="AI57">
        <v>1</v>
      </c>
      <c r="AJ57" s="29">
        <v>0</v>
      </c>
      <c r="AK57" s="26">
        <v>0</v>
      </c>
      <c r="AL57" s="15">
        <v>0</v>
      </c>
      <c r="AM57">
        <v>0</v>
      </c>
      <c r="AN57">
        <v>0</v>
      </c>
      <c r="AO57" s="29">
        <v>0</v>
      </c>
      <c r="AP57" s="29">
        <v>0</v>
      </c>
      <c r="AQ57" s="33">
        <v>0</v>
      </c>
      <c r="AR57" s="33">
        <v>0</v>
      </c>
      <c r="AS57" s="29" t="str">
        <f t="shared" si="55"/>
        <v>Commercial_PV</v>
      </c>
      <c r="AT57" s="29" t="s">
        <v>126</v>
      </c>
    </row>
    <row r="58" spans="1:46" s="8" customFormat="1">
      <c r="A58" s="8">
        <v>26</v>
      </c>
      <c r="B58" s="8" t="s">
        <v>177</v>
      </c>
      <c r="C58" s="8">
        <v>2007</v>
      </c>
      <c r="D58" s="29">
        <v>2011</v>
      </c>
      <c r="E58" s="8" t="s">
        <v>76</v>
      </c>
      <c r="F58" s="8">
        <v>2009</v>
      </c>
      <c r="G58" s="11">
        <v>0.93</v>
      </c>
      <c r="H58" s="8">
        <v>2010</v>
      </c>
      <c r="I58" s="8">
        <v>4060000</v>
      </c>
      <c r="J58" s="9">
        <v>10526</v>
      </c>
      <c r="K58" s="8">
        <v>0</v>
      </c>
      <c r="L58" s="29">
        <f t="shared" si="69"/>
        <v>4231906.5280757435</v>
      </c>
      <c r="M58" s="11">
        <f>J58*G58</f>
        <v>9789.18</v>
      </c>
      <c r="N58" s="11">
        <f>K58*G58</f>
        <v>0</v>
      </c>
      <c r="O58" s="8">
        <v>-3.73E-2</v>
      </c>
      <c r="P58" s="8">
        <v>65639</v>
      </c>
      <c r="Q58" s="8">
        <v>0</v>
      </c>
      <c r="R58" s="8">
        <v>1</v>
      </c>
      <c r="S58" s="8">
        <v>1</v>
      </c>
      <c r="T58" s="8">
        <v>0</v>
      </c>
      <c r="U58" s="8">
        <v>0</v>
      </c>
      <c r="V58" s="8">
        <v>0</v>
      </c>
      <c r="W58" s="8">
        <v>0</v>
      </c>
      <c r="X58" s="8">
        <v>0</v>
      </c>
      <c r="Y58" s="8">
        <v>20</v>
      </c>
      <c r="Z58" s="9">
        <v>0.02</v>
      </c>
      <c r="AA58" s="9">
        <v>0</v>
      </c>
      <c r="AB58" s="8">
        <v>1</v>
      </c>
      <c r="AC58" s="8">
        <v>1</v>
      </c>
      <c r="AD58" s="8">
        <v>0</v>
      </c>
      <c r="AE58" s="29">
        <v>0</v>
      </c>
      <c r="AF58" s="29">
        <v>0</v>
      </c>
      <c r="AG58" s="29">
        <v>0</v>
      </c>
      <c r="AH58" s="8">
        <v>0</v>
      </c>
      <c r="AI58">
        <v>1</v>
      </c>
      <c r="AJ58" s="29">
        <v>1</v>
      </c>
      <c r="AK58" s="26">
        <v>0</v>
      </c>
      <c r="AL58" s="15">
        <v>0</v>
      </c>
      <c r="AM58">
        <v>0</v>
      </c>
      <c r="AN58">
        <v>0</v>
      </c>
      <c r="AO58" s="29">
        <v>0</v>
      </c>
      <c r="AP58" s="29">
        <v>0</v>
      </c>
      <c r="AQ58" s="33">
        <v>0</v>
      </c>
      <c r="AR58" s="33">
        <v>0</v>
      </c>
      <c r="AS58" s="29" t="str">
        <f t="shared" si="55"/>
        <v>Central_PV</v>
      </c>
      <c r="AT58" s="29" t="s">
        <v>126</v>
      </c>
    </row>
    <row r="59" spans="1:46" s="21" customFormat="1">
      <c r="A59" s="21">
        <v>3</v>
      </c>
      <c r="B59" s="21" t="s">
        <v>171</v>
      </c>
      <c r="C59" s="21">
        <v>2007</v>
      </c>
      <c r="D59" s="29">
        <v>2011</v>
      </c>
      <c r="E59" s="21" t="s">
        <v>167</v>
      </c>
      <c r="F59" s="21">
        <v>2010</v>
      </c>
      <c r="G59" s="21">
        <v>0.91610000000000003</v>
      </c>
      <c r="H59" s="21">
        <v>2010</v>
      </c>
      <c r="I59" s="21">
        <v>4700000</v>
      </c>
      <c r="J59" s="21">
        <v>17000</v>
      </c>
      <c r="K59" s="21">
        <v>0</v>
      </c>
      <c r="L59" s="29">
        <f t="shared" ref="L59:L68" si="72">I59*G59*(1+O59)^(2007-H59)</f>
        <v>5231490.0280357804</v>
      </c>
      <c r="M59" s="21">
        <f t="shared" si="0"/>
        <v>15573.7</v>
      </c>
      <c r="N59" s="21">
        <f t="shared" si="1"/>
        <v>0</v>
      </c>
      <c r="O59" s="21">
        <f>'CPV Cost Calcs'!D6</f>
        <v>-6.2858623743340614E-2</v>
      </c>
      <c r="P59" s="21">
        <v>65639</v>
      </c>
      <c r="Q59" s="21">
        <v>0</v>
      </c>
      <c r="R59" s="21">
        <v>3</v>
      </c>
      <c r="S59" s="22">
        <v>0.8</v>
      </c>
      <c r="T59" s="22">
        <v>0.1</v>
      </c>
      <c r="U59" s="22">
        <v>0.1</v>
      </c>
      <c r="V59" s="21">
        <v>0</v>
      </c>
      <c r="W59" s="21">
        <v>0</v>
      </c>
      <c r="X59" s="21">
        <v>0</v>
      </c>
      <c r="Y59" s="21">
        <v>25</v>
      </c>
      <c r="Z59" s="21">
        <v>2.7000000000000001E-3</v>
      </c>
      <c r="AA59" s="21">
        <v>5.4000000000000003E-3</v>
      </c>
      <c r="AB59" s="21">
        <v>1</v>
      </c>
      <c r="AC59" s="21">
        <v>1</v>
      </c>
      <c r="AD59" s="21">
        <v>0</v>
      </c>
      <c r="AE59" s="29">
        <v>0</v>
      </c>
      <c r="AF59" s="29">
        <v>0</v>
      </c>
      <c r="AG59" s="29">
        <v>0</v>
      </c>
      <c r="AH59" s="21">
        <v>0</v>
      </c>
      <c r="AI59" s="21">
        <v>1</v>
      </c>
      <c r="AJ59" s="29">
        <v>1</v>
      </c>
      <c r="AK59" s="26">
        <v>0</v>
      </c>
      <c r="AL59" s="21">
        <v>0</v>
      </c>
      <c r="AM59">
        <v>0</v>
      </c>
      <c r="AN59">
        <v>0</v>
      </c>
      <c r="AO59" s="29">
        <v>0</v>
      </c>
      <c r="AP59" s="29">
        <v>0</v>
      </c>
      <c r="AQ59" s="33">
        <v>0</v>
      </c>
      <c r="AR59" s="33">
        <v>0</v>
      </c>
      <c r="AS59" s="29" t="str">
        <f t="shared" ref="AS59:AS68" si="73">B59</f>
        <v>Concentrating_PV</v>
      </c>
      <c r="AT59" s="21" t="s">
        <v>30</v>
      </c>
    </row>
    <row r="60" spans="1:46" s="5" customFormat="1">
      <c r="A60" s="10">
        <v>27</v>
      </c>
      <c r="B60" s="9" t="s">
        <v>174</v>
      </c>
      <c r="C60" s="5">
        <v>2007</v>
      </c>
      <c r="D60" s="29">
        <v>2011</v>
      </c>
      <c r="E60" s="9" t="s">
        <v>76</v>
      </c>
      <c r="F60" s="5">
        <v>2009</v>
      </c>
      <c r="G60" s="11">
        <v>0.93</v>
      </c>
      <c r="H60" s="5">
        <v>2009</v>
      </c>
      <c r="I60" s="5">
        <v>3687000</v>
      </c>
      <c r="J60" s="29">
        <v>68000</v>
      </c>
      <c r="K60" s="9">
        <v>0</v>
      </c>
      <c r="L60" s="29">
        <f>I60*G60*(1+O60)^(2007-H60)</f>
        <v>3490417.0027632103</v>
      </c>
      <c r="M60" s="11">
        <f>J60*G60</f>
        <v>63240</v>
      </c>
      <c r="N60" s="11">
        <f>K60*G60</f>
        <v>0</v>
      </c>
      <c r="O60" s="9">
        <v>-8.8500000000000002E-3</v>
      </c>
      <c r="P60" s="9">
        <v>65639</v>
      </c>
      <c r="Q60" s="9">
        <v>0</v>
      </c>
      <c r="R60" s="5">
        <v>1</v>
      </c>
      <c r="S60" s="9">
        <v>1</v>
      </c>
      <c r="T60" s="9">
        <v>0</v>
      </c>
      <c r="U60" s="9">
        <v>0</v>
      </c>
      <c r="V60" s="9">
        <v>0</v>
      </c>
      <c r="W60" s="9">
        <v>0</v>
      </c>
      <c r="X60" s="9">
        <v>0</v>
      </c>
      <c r="Y60" s="9">
        <v>20</v>
      </c>
      <c r="Z60" s="9">
        <v>1.6E-2</v>
      </c>
      <c r="AA60" s="9">
        <v>2.1999999999999999E-2</v>
      </c>
      <c r="AB60" s="9">
        <v>1</v>
      </c>
      <c r="AC60" s="9">
        <v>1</v>
      </c>
      <c r="AD60" s="9">
        <v>0</v>
      </c>
      <c r="AE60" s="29">
        <v>0</v>
      </c>
      <c r="AF60" s="29">
        <v>0</v>
      </c>
      <c r="AG60" s="29">
        <v>0</v>
      </c>
      <c r="AH60" s="9">
        <v>0</v>
      </c>
      <c r="AI60">
        <v>1</v>
      </c>
      <c r="AJ60" s="29">
        <v>1</v>
      </c>
      <c r="AK60" s="26">
        <v>0</v>
      </c>
      <c r="AL60" s="15">
        <v>0</v>
      </c>
      <c r="AM60">
        <v>0</v>
      </c>
      <c r="AN60">
        <v>0</v>
      </c>
      <c r="AO60" s="29">
        <v>0</v>
      </c>
      <c r="AP60" s="29">
        <v>0</v>
      </c>
      <c r="AQ60" s="33">
        <v>0</v>
      </c>
      <c r="AR60" s="33">
        <v>0</v>
      </c>
      <c r="AS60" s="29" t="str">
        <f>B60</f>
        <v>CSP_Trough_No_Storage</v>
      </c>
      <c r="AT60" s="29" t="s">
        <v>85</v>
      </c>
    </row>
    <row r="61" spans="1:46" s="11" customFormat="1">
      <c r="A61" s="11">
        <v>7</v>
      </c>
      <c r="B61" s="11" t="s">
        <v>175</v>
      </c>
      <c r="C61" s="11">
        <v>2007</v>
      </c>
      <c r="D61" s="11">
        <v>2012</v>
      </c>
      <c r="E61" s="11" t="s">
        <v>76</v>
      </c>
      <c r="F61" s="11">
        <v>2009</v>
      </c>
      <c r="G61" s="11">
        <v>0.93</v>
      </c>
      <c r="H61" s="11">
        <v>2009</v>
      </c>
      <c r="I61" s="11">
        <f>I60+2591000</f>
        <v>6278000</v>
      </c>
      <c r="J61" s="11">
        <v>68000</v>
      </c>
      <c r="K61" s="11">
        <v>0</v>
      </c>
      <c r="L61" s="29">
        <f>I61*G61*(1+O61)^(2007-H61)</f>
        <v>5943270.3941815663</v>
      </c>
      <c r="M61" s="11">
        <f>J61*G61</f>
        <v>63240</v>
      </c>
      <c r="N61" s="11">
        <f>K61*G61</f>
        <v>0</v>
      </c>
      <c r="O61" s="11">
        <v>-8.8500000000000002E-3</v>
      </c>
      <c r="P61" s="11">
        <v>65639</v>
      </c>
      <c r="Q61" s="11">
        <v>0</v>
      </c>
      <c r="R61" s="11">
        <v>1</v>
      </c>
      <c r="S61" s="11">
        <v>1</v>
      </c>
      <c r="T61" s="11">
        <v>0</v>
      </c>
      <c r="U61" s="11">
        <v>0</v>
      </c>
      <c r="V61" s="11">
        <v>0</v>
      </c>
      <c r="W61" s="11">
        <v>0</v>
      </c>
      <c r="X61" s="11">
        <v>0</v>
      </c>
      <c r="Y61" s="11">
        <v>20</v>
      </c>
      <c r="Z61" s="29">
        <v>1.6E-2</v>
      </c>
      <c r="AA61" s="29">
        <v>2.1999999999999999E-2</v>
      </c>
      <c r="AB61" s="11">
        <v>1</v>
      </c>
      <c r="AC61" s="11">
        <v>1</v>
      </c>
      <c r="AD61" s="11">
        <v>0</v>
      </c>
      <c r="AE61" s="29">
        <v>0</v>
      </c>
      <c r="AF61" s="29">
        <v>0</v>
      </c>
      <c r="AG61" s="29">
        <v>0</v>
      </c>
      <c r="AH61" s="11">
        <v>0</v>
      </c>
      <c r="AI61">
        <v>1</v>
      </c>
      <c r="AJ61" s="29">
        <v>1</v>
      </c>
      <c r="AK61" s="26">
        <v>0</v>
      </c>
      <c r="AL61" s="15">
        <v>0</v>
      </c>
      <c r="AM61">
        <v>0</v>
      </c>
      <c r="AN61">
        <v>0</v>
      </c>
      <c r="AO61" s="29">
        <v>0</v>
      </c>
      <c r="AP61" s="29">
        <v>0</v>
      </c>
      <c r="AQ61" s="33">
        <v>0</v>
      </c>
      <c r="AR61" s="33">
        <v>0</v>
      </c>
      <c r="AS61" s="29" t="str">
        <f>B61</f>
        <v>CSP_Trough_6h_Storage</v>
      </c>
      <c r="AT61" s="29" t="s">
        <v>84</v>
      </c>
    </row>
    <row r="62" spans="1:46">
      <c r="A62" s="5">
        <v>5</v>
      </c>
      <c r="B62" t="s">
        <v>41</v>
      </c>
      <c r="C62" s="5">
        <v>2007</v>
      </c>
      <c r="D62" s="29">
        <v>2011</v>
      </c>
      <c r="E62" t="s">
        <v>136</v>
      </c>
      <c r="F62">
        <v>2009</v>
      </c>
      <c r="G62" s="11">
        <v>0.93</v>
      </c>
      <c r="H62">
        <v>2009</v>
      </c>
      <c r="I62">
        <v>5588000</v>
      </c>
      <c r="J62">
        <v>27400</v>
      </c>
      <c r="K62">
        <v>10.18</v>
      </c>
      <c r="L62" s="29">
        <f t="shared" si="72"/>
        <v>5334639.0616001952</v>
      </c>
      <c r="M62" s="11">
        <f t="shared" si="0"/>
        <v>25482</v>
      </c>
      <c r="N62" s="11">
        <f t="shared" si="1"/>
        <v>9.4673999999999996</v>
      </c>
      <c r="O62">
        <v>-1.2999999999999999E-2</v>
      </c>
      <c r="P62">
        <v>65639</v>
      </c>
      <c r="Q62">
        <v>0</v>
      </c>
      <c r="R62">
        <v>2</v>
      </c>
      <c r="S62" s="5">
        <v>0.05</v>
      </c>
      <c r="T62" s="5">
        <v>0.95</v>
      </c>
      <c r="U62" s="5">
        <v>0</v>
      </c>
      <c r="V62" s="5">
        <v>0</v>
      </c>
      <c r="W62" s="5">
        <v>0</v>
      </c>
      <c r="X62" s="5">
        <v>0</v>
      </c>
      <c r="Y62">
        <v>30</v>
      </c>
      <c r="Z62">
        <v>0.02</v>
      </c>
      <c r="AA62">
        <v>2.6200000000000001E-2</v>
      </c>
      <c r="AB62">
        <v>1</v>
      </c>
      <c r="AC62">
        <v>1</v>
      </c>
      <c r="AD62">
        <v>0</v>
      </c>
      <c r="AE62" s="29">
        <v>0</v>
      </c>
      <c r="AF62" s="29">
        <v>0</v>
      </c>
      <c r="AG62" s="29">
        <v>0</v>
      </c>
      <c r="AH62">
        <v>0</v>
      </c>
      <c r="AI62">
        <v>1</v>
      </c>
      <c r="AJ62" s="29">
        <v>0</v>
      </c>
      <c r="AK62" s="26">
        <v>0</v>
      </c>
      <c r="AL62" s="15">
        <v>0</v>
      </c>
      <c r="AM62">
        <v>0</v>
      </c>
      <c r="AN62">
        <v>0</v>
      </c>
      <c r="AO62" s="29">
        <v>0</v>
      </c>
      <c r="AP62" s="29">
        <v>0</v>
      </c>
      <c r="AQ62" s="33">
        <v>0</v>
      </c>
      <c r="AR62" s="33">
        <v>0</v>
      </c>
      <c r="AS62" s="29" t="str">
        <f t="shared" si="73"/>
        <v>Offshore_Wind</v>
      </c>
      <c r="AT62" s="29" t="s">
        <v>83</v>
      </c>
    </row>
    <row r="63" spans="1:46">
      <c r="A63" s="5">
        <v>4</v>
      </c>
      <c r="B63" t="s">
        <v>176</v>
      </c>
      <c r="C63" s="5">
        <v>2007</v>
      </c>
      <c r="D63" s="29">
        <v>2011</v>
      </c>
      <c r="E63" t="s">
        <v>136</v>
      </c>
      <c r="F63">
        <v>2009</v>
      </c>
      <c r="G63" s="11">
        <v>0.93</v>
      </c>
      <c r="H63">
        <v>2009</v>
      </c>
      <c r="I63">
        <v>1990000</v>
      </c>
      <c r="J63">
        <v>13700</v>
      </c>
      <c r="K63">
        <v>5.09</v>
      </c>
      <c r="L63" s="29">
        <f>I63*G63*(1+O63)^(2007-H63)</f>
        <v>1869346.7336683415</v>
      </c>
      <c r="M63" s="11">
        <f>J63*G63</f>
        <v>12741</v>
      </c>
      <c r="N63" s="11">
        <f>K63*G63</f>
        <v>4.7336999999999998</v>
      </c>
      <c r="O63">
        <v>-5.0000000000000001E-3</v>
      </c>
      <c r="P63">
        <v>65639</v>
      </c>
      <c r="Q63">
        <v>0</v>
      </c>
      <c r="R63">
        <v>2</v>
      </c>
      <c r="S63" s="5">
        <v>0.05</v>
      </c>
      <c r="T63" s="5">
        <v>0.95</v>
      </c>
      <c r="U63" s="5">
        <v>0</v>
      </c>
      <c r="V63" s="5">
        <v>0</v>
      </c>
      <c r="W63" s="5">
        <v>0</v>
      </c>
      <c r="X63" s="5">
        <v>0</v>
      </c>
      <c r="Y63">
        <v>30</v>
      </c>
      <c r="Z63">
        <v>0.02</v>
      </c>
      <c r="AA63">
        <v>1.3899999999999999E-2</v>
      </c>
      <c r="AB63">
        <v>1</v>
      </c>
      <c r="AC63">
        <v>1</v>
      </c>
      <c r="AD63">
        <v>0</v>
      </c>
      <c r="AE63" s="29">
        <v>0</v>
      </c>
      <c r="AF63" s="29">
        <v>0</v>
      </c>
      <c r="AG63" s="29">
        <v>0</v>
      </c>
      <c r="AH63">
        <v>0</v>
      </c>
      <c r="AI63">
        <v>1</v>
      </c>
      <c r="AJ63" s="29">
        <v>0</v>
      </c>
      <c r="AK63" s="26">
        <v>0</v>
      </c>
      <c r="AL63" s="15">
        <v>0</v>
      </c>
      <c r="AM63">
        <v>0</v>
      </c>
      <c r="AN63">
        <v>0</v>
      </c>
      <c r="AO63" s="29">
        <v>0</v>
      </c>
      <c r="AP63" s="29">
        <v>0</v>
      </c>
      <c r="AQ63" s="33">
        <v>0</v>
      </c>
      <c r="AR63" s="33">
        <v>0</v>
      </c>
      <c r="AS63" s="29" t="str">
        <f>B63</f>
        <v>Wind</v>
      </c>
      <c r="AT63" s="29" t="s">
        <v>83</v>
      </c>
    </row>
    <row r="64" spans="1:46" s="18" customFormat="1">
      <c r="A64" s="18">
        <v>23</v>
      </c>
      <c r="B64" s="18" t="s">
        <v>143</v>
      </c>
      <c r="C64" s="29">
        <v>2007</v>
      </c>
      <c r="D64" s="29">
        <v>0</v>
      </c>
      <c r="E64" s="18" t="str">
        <f t="shared" ref="E64:K64" si="74">E63</f>
        <v>Wind</v>
      </c>
      <c r="F64" s="29">
        <f t="shared" si="74"/>
        <v>2009</v>
      </c>
      <c r="G64" s="29">
        <f t="shared" si="74"/>
        <v>0.93</v>
      </c>
      <c r="H64" s="29">
        <f t="shared" si="74"/>
        <v>2009</v>
      </c>
      <c r="I64" s="29">
        <f t="shared" si="74"/>
        <v>1990000</v>
      </c>
      <c r="J64" s="29">
        <f t="shared" si="74"/>
        <v>13700</v>
      </c>
      <c r="K64" s="29">
        <f t="shared" si="74"/>
        <v>5.09</v>
      </c>
      <c r="L64" s="29">
        <f>I64*G64*(1+O64)^(2007-H64)</f>
        <v>1850700</v>
      </c>
      <c r="M64" s="29">
        <f>J64*G64</f>
        <v>12741</v>
      </c>
      <c r="N64" s="29">
        <f>K64*G64</f>
        <v>4.7336999999999998</v>
      </c>
      <c r="O64" s="18">
        <v>0</v>
      </c>
      <c r="P64" s="29">
        <v>91289</v>
      </c>
      <c r="Q64" s="18">
        <v>0</v>
      </c>
      <c r="R64" s="20">
        <f t="shared" ref="R64:AA64" si="75">R63</f>
        <v>2</v>
      </c>
      <c r="S64" s="29">
        <f t="shared" si="75"/>
        <v>0.05</v>
      </c>
      <c r="T64" s="29">
        <f t="shared" si="75"/>
        <v>0.95</v>
      </c>
      <c r="U64" s="29">
        <f t="shared" si="75"/>
        <v>0</v>
      </c>
      <c r="V64" s="29">
        <f t="shared" si="75"/>
        <v>0</v>
      </c>
      <c r="W64" s="29">
        <f t="shared" si="75"/>
        <v>0</v>
      </c>
      <c r="X64" s="29">
        <f t="shared" si="75"/>
        <v>0</v>
      </c>
      <c r="Y64" s="29">
        <f t="shared" si="75"/>
        <v>30</v>
      </c>
      <c r="Z64" s="29">
        <f t="shared" si="75"/>
        <v>0.02</v>
      </c>
      <c r="AA64" s="29">
        <f t="shared" si="75"/>
        <v>1.3899999999999999E-2</v>
      </c>
      <c r="AB64" s="18">
        <v>1</v>
      </c>
      <c r="AC64" s="18">
        <v>1</v>
      </c>
      <c r="AD64" s="18">
        <v>0</v>
      </c>
      <c r="AE64" s="29">
        <v>0</v>
      </c>
      <c r="AF64" s="29">
        <v>0</v>
      </c>
      <c r="AG64" s="29">
        <v>0</v>
      </c>
      <c r="AH64" s="18">
        <v>0</v>
      </c>
      <c r="AI64" s="18">
        <v>0</v>
      </c>
      <c r="AJ64" s="29">
        <v>0</v>
      </c>
      <c r="AK64" s="26">
        <v>0</v>
      </c>
      <c r="AL64" s="18">
        <v>0</v>
      </c>
      <c r="AM64">
        <v>0</v>
      </c>
      <c r="AN64">
        <v>0</v>
      </c>
      <c r="AO64" s="29">
        <v>0</v>
      </c>
      <c r="AP64" s="29">
        <v>0</v>
      </c>
      <c r="AQ64" s="33">
        <v>0</v>
      </c>
      <c r="AR64" s="33">
        <v>0</v>
      </c>
      <c r="AS64" s="29" t="str">
        <f>B64</f>
        <v>Wind_EP</v>
      </c>
      <c r="AT64" s="29" t="s">
        <v>116</v>
      </c>
    </row>
    <row r="65" spans="1:46">
      <c r="A65" s="5">
        <v>15</v>
      </c>
      <c r="B65" s="5" t="s">
        <v>186</v>
      </c>
      <c r="C65" s="5">
        <v>2007</v>
      </c>
      <c r="D65" s="29">
        <v>0</v>
      </c>
      <c r="E65" s="5" t="s">
        <v>188</v>
      </c>
      <c r="F65" s="5">
        <v>2010</v>
      </c>
      <c r="G65" s="11">
        <v>0.91610000000000003</v>
      </c>
      <c r="H65" s="5">
        <v>2010</v>
      </c>
      <c r="I65" s="5">
        <v>3076000</v>
      </c>
      <c r="J65">
        <v>13440</v>
      </c>
      <c r="K65">
        <v>0</v>
      </c>
      <c r="L65" s="29">
        <f t="shared" si="72"/>
        <v>2817923.6</v>
      </c>
      <c r="M65" s="11">
        <f t="shared" si="0"/>
        <v>12312.384</v>
      </c>
      <c r="N65" s="11">
        <f t="shared" si="1"/>
        <v>0</v>
      </c>
      <c r="O65">
        <v>0</v>
      </c>
      <c r="P65" s="5">
        <v>65639</v>
      </c>
      <c r="Q65">
        <v>0</v>
      </c>
      <c r="R65">
        <v>6</v>
      </c>
      <c r="S65" s="5">
        <v>0.1</v>
      </c>
      <c r="T65" s="5">
        <v>0.2</v>
      </c>
      <c r="U65" s="5">
        <v>0.2</v>
      </c>
      <c r="V65" s="5">
        <v>0.2</v>
      </c>
      <c r="W65" s="5">
        <v>0.2</v>
      </c>
      <c r="X65" s="5">
        <v>0.1</v>
      </c>
      <c r="Y65">
        <v>30</v>
      </c>
      <c r="Z65">
        <v>5.0999999999999997E-2</v>
      </c>
      <c r="AA65">
        <v>9.4E-2</v>
      </c>
      <c r="AB65">
        <v>0</v>
      </c>
      <c r="AC65">
        <v>1</v>
      </c>
      <c r="AD65">
        <v>0</v>
      </c>
      <c r="AE65" s="29">
        <v>0</v>
      </c>
      <c r="AF65" s="29">
        <v>0</v>
      </c>
      <c r="AG65" s="29">
        <v>0</v>
      </c>
      <c r="AH65">
        <v>0</v>
      </c>
      <c r="AI65">
        <v>0</v>
      </c>
      <c r="AJ65" s="29">
        <v>0</v>
      </c>
      <c r="AK65" s="26">
        <v>0</v>
      </c>
      <c r="AL65" s="15">
        <v>0</v>
      </c>
      <c r="AM65">
        <v>0</v>
      </c>
      <c r="AN65">
        <v>0</v>
      </c>
      <c r="AO65" s="29">
        <v>0</v>
      </c>
      <c r="AP65" s="29">
        <v>0</v>
      </c>
      <c r="AQ65" s="33">
        <v>0</v>
      </c>
      <c r="AR65" s="33">
        <v>0</v>
      </c>
      <c r="AS65" s="29" t="str">
        <f t="shared" si="73"/>
        <v>Hydro_NonPumped</v>
      </c>
      <c r="AT65" s="29" t="s">
        <v>40</v>
      </c>
    </row>
    <row r="66" spans="1:46">
      <c r="A66" s="5">
        <v>16</v>
      </c>
      <c r="B66" s="5" t="s">
        <v>187</v>
      </c>
      <c r="C66" s="5">
        <v>2007</v>
      </c>
      <c r="D66" s="29">
        <v>0</v>
      </c>
      <c r="E66" s="5" t="s">
        <v>189</v>
      </c>
      <c r="F66" s="29">
        <v>2010</v>
      </c>
      <c r="G66" s="29">
        <v>0.91610000000000003</v>
      </c>
      <c r="H66" s="5">
        <v>2010</v>
      </c>
      <c r="I66">
        <v>5595000</v>
      </c>
      <c r="J66">
        <v>13030</v>
      </c>
      <c r="K66">
        <v>0</v>
      </c>
      <c r="L66" s="29">
        <f t="shared" si="72"/>
        <v>5125579.5</v>
      </c>
      <c r="M66" s="11">
        <f t="shared" si="0"/>
        <v>11936.782999999999</v>
      </c>
      <c r="N66" s="11">
        <f t="shared" si="1"/>
        <v>0</v>
      </c>
      <c r="O66">
        <v>0</v>
      </c>
      <c r="P66" s="5">
        <v>65639</v>
      </c>
      <c r="Q66">
        <v>0</v>
      </c>
      <c r="R66">
        <v>6</v>
      </c>
      <c r="S66" s="7">
        <v>0.1</v>
      </c>
      <c r="T66" s="7">
        <v>0.2</v>
      </c>
      <c r="U66" s="7">
        <v>0.2</v>
      </c>
      <c r="V66" s="7">
        <v>0.2</v>
      </c>
      <c r="W66" s="7">
        <v>0.2</v>
      </c>
      <c r="X66" s="7">
        <v>0.1</v>
      </c>
      <c r="Y66">
        <v>30</v>
      </c>
      <c r="Z66" s="29">
        <v>5.0999999999999997E-2</v>
      </c>
      <c r="AA66" s="29">
        <v>9.4E-2</v>
      </c>
      <c r="AB66">
        <v>0</v>
      </c>
      <c r="AC66">
        <v>1</v>
      </c>
      <c r="AD66">
        <v>0</v>
      </c>
      <c r="AE66" s="29">
        <v>0</v>
      </c>
      <c r="AF66" s="29">
        <v>0</v>
      </c>
      <c r="AG66" s="29">
        <v>0</v>
      </c>
      <c r="AH66">
        <v>0</v>
      </c>
      <c r="AI66">
        <v>0</v>
      </c>
      <c r="AJ66" s="29">
        <v>0</v>
      </c>
      <c r="AK66" s="26">
        <v>0</v>
      </c>
      <c r="AL66" s="15">
        <v>1</v>
      </c>
      <c r="AM66">
        <v>0.74</v>
      </c>
      <c r="AN66">
        <v>1</v>
      </c>
      <c r="AO66" s="29">
        <v>0</v>
      </c>
      <c r="AP66" s="29">
        <v>0</v>
      </c>
      <c r="AQ66" s="33">
        <v>0</v>
      </c>
      <c r="AR66" s="33">
        <v>0</v>
      </c>
      <c r="AS66" s="29" t="str">
        <f t="shared" si="73"/>
        <v>Hydro_Pumped</v>
      </c>
      <c r="AT66" s="29" t="s">
        <v>138</v>
      </c>
    </row>
    <row r="67" spans="1:46" s="9" customFormat="1" ht="15" customHeight="1">
      <c r="A67" s="10">
        <v>28</v>
      </c>
      <c r="B67" s="14" t="s">
        <v>25</v>
      </c>
      <c r="C67" s="9">
        <v>2007</v>
      </c>
      <c r="D67" s="29">
        <v>2011</v>
      </c>
      <c r="E67" s="14" t="s">
        <v>166</v>
      </c>
      <c r="F67" s="9">
        <v>2010</v>
      </c>
      <c r="G67" s="16">
        <v>0.91610000000000003</v>
      </c>
      <c r="H67" s="9">
        <v>2010</v>
      </c>
      <c r="I67" s="9">
        <v>1200000</v>
      </c>
      <c r="J67" s="9">
        <v>10310</v>
      </c>
      <c r="K67" s="9">
        <v>3.1</v>
      </c>
      <c r="L67" s="29">
        <f t="shared" si="72"/>
        <v>1103287.0691553003</v>
      </c>
      <c r="M67" s="14">
        <f t="shared" ref="M67:M68" si="76">J67*G67</f>
        <v>9444.991</v>
      </c>
      <c r="N67" s="14">
        <f t="shared" ref="N67:N68" si="77">K67*G67</f>
        <v>2.8399100000000002</v>
      </c>
      <c r="O67" s="9">
        <v>-1.1999999999999999E-3</v>
      </c>
      <c r="P67" s="14">
        <v>91289</v>
      </c>
      <c r="Q67" s="9">
        <v>4.4000000000000004</v>
      </c>
      <c r="R67" s="9">
        <v>6</v>
      </c>
      <c r="S67" s="9">
        <v>0.1</v>
      </c>
      <c r="T67" s="9">
        <v>0.2</v>
      </c>
      <c r="U67" s="9">
        <v>0.2</v>
      </c>
      <c r="V67" s="9">
        <v>0.2</v>
      </c>
      <c r="W67" s="9">
        <v>0.2</v>
      </c>
      <c r="X67" s="9">
        <v>0.1</v>
      </c>
      <c r="Y67" s="9">
        <v>30</v>
      </c>
      <c r="Z67" s="9">
        <v>0.03</v>
      </c>
      <c r="AA67" s="9">
        <v>0.04</v>
      </c>
      <c r="AB67" s="9">
        <v>0</v>
      </c>
      <c r="AC67" s="9">
        <v>1</v>
      </c>
      <c r="AD67" s="9">
        <v>0</v>
      </c>
      <c r="AE67" s="29">
        <v>0</v>
      </c>
      <c r="AF67" s="29">
        <v>1</v>
      </c>
      <c r="AG67" s="29">
        <v>0</v>
      </c>
      <c r="AH67" s="9">
        <v>0</v>
      </c>
      <c r="AI67" s="12">
        <v>1</v>
      </c>
      <c r="AJ67" s="29">
        <v>0</v>
      </c>
      <c r="AK67" s="26">
        <v>0</v>
      </c>
      <c r="AL67" s="15">
        <v>1</v>
      </c>
      <c r="AM67">
        <v>0.81699999999999995</v>
      </c>
      <c r="AN67">
        <v>1.2</v>
      </c>
      <c r="AO67" s="29">
        <v>0.5</v>
      </c>
      <c r="AP67" s="29">
        <v>0.1</v>
      </c>
      <c r="AQ67" s="33">
        <v>0</v>
      </c>
      <c r="AR67" s="33">
        <v>0</v>
      </c>
      <c r="AS67" s="29" t="str">
        <f t="shared" si="73"/>
        <v>Compressed_Air_Energy_Storage</v>
      </c>
      <c r="AT67" s="28" t="s">
        <v>133</v>
      </c>
    </row>
    <row r="68" spans="1:46" s="22" customFormat="1">
      <c r="A68" s="31">
        <v>33</v>
      </c>
      <c r="B68" s="31" t="s">
        <v>71</v>
      </c>
      <c r="C68" s="31">
        <v>2007</v>
      </c>
      <c r="D68" s="31">
        <v>2011</v>
      </c>
      <c r="E68" s="31" t="s">
        <v>72</v>
      </c>
      <c r="F68" s="31">
        <v>2004</v>
      </c>
      <c r="G68" s="31">
        <v>1.1678999999999999</v>
      </c>
      <c r="H68" s="31">
        <v>2010</v>
      </c>
      <c r="I68" s="31">
        <v>3539000</v>
      </c>
      <c r="J68" s="31">
        <v>22100</v>
      </c>
      <c r="K68" s="31">
        <v>0.44500000000000001</v>
      </c>
      <c r="L68" s="29">
        <f t="shared" si="72"/>
        <v>4202867.8683228446</v>
      </c>
      <c r="M68" s="31">
        <f t="shared" si="76"/>
        <v>25810.59</v>
      </c>
      <c r="N68" s="31">
        <f t="shared" si="77"/>
        <v>0.5197155</v>
      </c>
      <c r="O68" s="31">
        <v>-5.5563899759500934E-3</v>
      </c>
      <c r="P68" s="31">
        <v>91289</v>
      </c>
      <c r="Q68" s="31">
        <v>0</v>
      </c>
      <c r="R68" s="31">
        <v>3</v>
      </c>
      <c r="S68" s="31">
        <v>0.8</v>
      </c>
      <c r="T68" s="31">
        <v>0.1</v>
      </c>
      <c r="U68" s="31">
        <v>0.1</v>
      </c>
      <c r="V68" s="31">
        <v>0</v>
      </c>
      <c r="W68" s="31">
        <v>0</v>
      </c>
      <c r="X68" s="31">
        <v>0</v>
      </c>
      <c r="Y68" s="31">
        <v>15</v>
      </c>
      <c r="Z68" s="31">
        <v>0.02</v>
      </c>
      <c r="AA68" s="31">
        <v>5.4999999999999997E-3</v>
      </c>
      <c r="AB68" s="31">
        <v>0</v>
      </c>
      <c r="AC68" s="31">
        <v>0</v>
      </c>
      <c r="AD68" s="31">
        <v>0</v>
      </c>
      <c r="AE68" s="31">
        <v>0</v>
      </c>
      <c r="AF68" s="31">
        <v>0</v>
      </c>
      <c r="AG68" s="31">
        <v>0</v>
      </c>
      <c r="AH68" s="31">
        <v>0</v>
      </c>
      <c r="AI68" s="31">
        <v>1</v>
      </c>
      <c r="AJ68" s="31">
        <v>0</v>
      </c>
      <c r="AK68" s="31">
        <v>0</v>
      </c>
      <c r="AL68" s="31">
        <v>1</v>
      </c>
      <c r="AM68" s="31">
        <v>0.76700000000000002</v>
      </c>
      <c r="AN68" s="31">
        <v>1</v>
      </c>
      <c r="AO68" s="31">
        <v>0</v>
      </c>
      <c r="AP68" s="31">
        <v>0</v>
      </c>
      <c r="AQ68" s="35">
        <v>0</v>
      </c>
      <c r="AR68" s="35">
        <v>0</v>
      </c>
      <c r="AS68" s="31" t="str">
        <f t="shared" si="73"/>
        <v>Battery_Storage</v>
      </c>
      <c r="AT68" s="31" t="s">
        <v>60</v>
      </c>
    </row>
    <row r="78" spans="1:46">
      <c r="B78" s="29"/>
      <c r="R78" s="5"/>
      <c r="X78"/>
    </row>
    <row r="79" spans="1:46">
      <c r="B79" s="29"/>
    </row>
    <row r="100" spans="12:40">
      <c r="L100" s="5"/>
      <c r="M100" s="5"/>
      <c r="N100" s="5"/>
      <c r="O100" s="5"/>
      <c r="P100" s="5"/>
      <c r="Q100" s="5"/>
      <c r="S100"/>
      <c r="T100"/>
      <c r="U100"/>
      <c r="V100"/>
      <c r="W100"/>
      <c r="X100"/>
      <c r="Y100" s="12"/>
      <c r="Z100" s="26"/>
      <c r="AA100" s="15"/>
      <c r="AB100" s="26"/>
      <c r="AC100" s="26"/>
      <c r="AI100"/>
      <c r="AK100"/>
      <c r="AL100"/>
      <c r="AM100"/>
      <c r="AN100"/>
    </row>
    <row r="101" spans="12:40">
      <c r="L101" s="5"/>
      <c r="M101" s="5"/>
      <c r="N101" s="5"/>
      <c r="O101" s="5"/>
      <c r="P101" s="5"/>
      <c r="Q101" s="5"/>
      <c r="S101"/>
      <c r="T101"/>
      <c r="U101"/>
      <c r="V101"/>
      <c r="W101"/>
      <c r="X101"/>
      <c r="Y101" s="12"/>
      <c r="Z101" s="26"/>
      <c r="AA101" s="15"/>
      <c r="AB101" s="26"/>
      <c r="AC101" s="26"/>
      <c r="AI101"/>
      <c r="AK101"/>
      <c r="AL101"/>
      <c r="AM101"/>
      <c r="AN101"/>
    </row>
    <row r="102" spans="12:40">
      <c r="L102" s="5"/>
      <c r="M102" s="5"/>
      <c r="N102" s="5"/>
      <c r="O102" s="5"/>
      <c r="P102" s="5"/>
      <c r="Q102" s="5"/>
      <c r="S102"/>
      <c r="T102"/>
      <c r="U102"/>
      <c r="V102"/>
      <c r="W102"/>
      <c r="X102"/>
      <c r="Y102" s="12"/>
      <c r="Z102" s="26"/>
      <c r="AA102" s="15"/>
      <c r="AB102" s="26"/>
      <c r="AC102" s="26"/>
      <c r="AI102"/>
      <c r="AK102"/>
      <c r="AL102"/>
      <c r="AM102"/>
      <c r="AN102"/>
    </row>
    <row r="113" spans="1:1">
      <c r="A113" s="29"/>
    </row>
    <row r="114" spans="1:1">
      <c r="A114" s="29"/>
    </row>
  </sheetData>
  <sheetCalcPr fullCalcOnLoad="1"/>
  <phoneticPr fontId="11"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M65"/>
  <sheetViews>
    <sheetView zoomScale="125" workbookViewId="0">
      <selection activeCell="E31" sqref="E31"/>
    </sheetView>
  </sheetViews>
  <sheetFormatPr baseColWidth="10" defaultRowHeight="13"/>
  <cols>
    <col min="1" max="1" width="10.7109375" style="4"/>
    <col min="2" max="2" width="32.85546875" customWidth="1"/>
    <col min="3" max="3" width="10.7109375" style="5"/>
    <col min="5" max="5" width="10.7109375" style="3"/>
    <col min="12" max="12" width="26.42578125" customWidth="1"/>
    <col min="25" max="27" width="10.7109375" style="29"/>
    <col min="30" max="30" width="10.7109375" style="29"/>
    <col min="31" max="31" width="10.7109375" style="26"/>
    <col min="35" max="38" width="10.7109375" style="29"/>
  </cols>
  <sheetData>
    <row r="1" spans="1:39" s="5" customFormat="1">
      <c r="A1" s="5" t="str">
        <f>generator_costs!A4</f>
        <v>technology_id</v>
      </c>
      <c r="B1" s="5" t="str">
        <f>generator_costs!B4</f>
        <v>technology</v>
      </c>
      <c r="C1" s="5" t="str">
        <f>generator_costs!C4</f>
        <v>price_and_dollar_year</v>
      </c>
      <c r="D1" s="5" t="str">
        <f>generator_costs!D4</f>
        <v>min_build_year</v>
      </c>
      <c r="E1" s="5" t="str">
        <f>generator_costs!E4</f>
        <v>fuel</v>
      </c>
      <c r="F1" s="5" t="str">
        <f>generator_costs!L4</f>
        <v>overnight_cost_$2007</v>
      </c>
      <c r="G1" s="5" t="str">
        <f>generator_costs!M4</f>
        <v>fixed_o_m_$2007</v>
      </c>
      <c r="H1" s="5" t="str">
        <f>generator_costs!N4</f>
        <v>var_o_m_$2007</v>
      </c>
      <c r="I1" s="5" t="str">
        <f>generator_costs!O4</f>
        <v>overnight_cost_change</v>
      </c>
      <c r="J1" s="5" t="str">
        <f>generator_costs!P4</f>
        <v>connect_cost_generic_$2007_per_mw</v>
      </c>
      <c r="K1" s="5" t="str">
        <f>generator_costs!Q4</f>
        <v>heat_rate_mbtu_per_mwh</v>
      </c>
      <c r="L1" s="29" t="str">
        <f>generator_costs!R4</f>
        <v>construction_time_years</v>
      </c>
      <c r="M1" s="29" t="str">
        <f>generator_costs!S4</f>
        <v>year_1_cost_fraction</v>
      </c>
      <c r="N1" s="29" t="str">
        <f>generator_costs!T4</f>
        <v>year_2_cost_fraction</v>
      </c>
      <c r="O1" s="29" t="str">
        <f>generator_costs!U4</f>
        <v>year_3_cost_fraction</v>
      </c>
      <c r="P1" s="29" t="str">
        <f>generator_costs!V4</f>
        <v>year_4_cost_fraction</v>
      </c>
      <c r="Q1" s="29" t="str">
        <f>generator_costs!W4</f>
        <v>year_5_cost_fraction</v>
      </c>
      <c r="R1" s="29" t="str">
        <f>generator_costs!X4</f>
        <v>year_6_cost_fraction</v>
      </c>
      <c r="S1" s="29" t="str">
        <f>generator_costs!Y4</f>
        <v>max_age_years</v>
      </c>
      <c r="T1" s="29" t="str">
        <f>generator_costs!Z4</f>
        <v>forced_outage_rate</v>
      </c>
      <c r="U1" s="29" t="str">
        <f>generator_costs!AA4</f>
        <v>scheduled_outage_rate</v>
      </c>
      <c r="V1" s="29" t="str">
        <f>generator_costs!AB4</f>
        <v>intermittent</v>
      </c>
      <c r="W1" s="29" t="str">
        <f>generator_costs!AC4</f>
        <v>resource_limited</v>
      </c>
      <c r="X1" s="29" t="str">
        <f>generator_costs!AD4</f>
        <v>baseload</v>
      </c>
      <c r="Y1" s="29" t="str">
        <f>generator_costs!AE4</f>
        <v>flexible_baseload</v>
      </c>
      <c r="Z1" s="29" t="str">
        <f>generator_costs!AF4</f>
        <v>dispatchable</v>
      </c>
      <c r="AA1" s="29" t="str">
        <f>generator_costs!AG4</f>
        <v>cogen</v>
      </c>
      <c r="AB1" s="29" t="str">
        <f>generator_costs!AH4</f>
        <v>min_build_capacity</v>
      </c>
      <c r="AC1" s="29" t="str">
        <f>generator_costs!AI4</f>
        <v>can_build_new</v>
      </c>
      <c r="AD1" s="29" t="str">
        <f>generator_costs!AJ4</f>
        <v>competes_for_space</v>
      </c>
      <c r="AE1" s="29" t="str">
        <f>generator_costs!AK4</f>
        <v>ccs</v>
      </c>
      <c r="AF1" s="29" t="str">
        <f>generator_costs!AL4</f>
        <v>storage</v>
      </c>
      <c r="AG1" s="29" t="str">
        <f>generator_costs!AM4</f>
        <v>storage_efficiency</v>
      </c>
      <c r="AH1" s="29" t="str">
        <f>generator_costs!AN4</f>
        <v>max_store_rate</v>
      </c>
      <c r="AI1" s="29" t="str">
        <f>generator_costs!AO4</f>
        <v>max_spinning_reserve_fraction_of_capacity</v>
      </c>
      <c r="AJ1" s="29" t="str">
        <f>generator_costs!AP4</f>
        <v>heat_rate_penalty_spinning_reserve</v>
      </c>
      <c r="AK1" s="29" t="str">
        <f>generator_costs!AQ4</f>
        <v>minimum_loading</v>
      </c>
      <c r="AL1" s="29" t="str">
        <f>generator_costs!AR4</f>
        <v>deep_cycling_penalty</v>
      </c>
      <c r="AM1" s="5" t="str">
        <f>generator_costs!AT4</f>
        <v>Data_Source</v>
      </c>
    </row>
    <row r="2" spans="1:39" s="5" customFormat="1">
      <c r="A2" s="5">
        <f>generator_costs!A5</f>
        <v>1</v>
      </c>
      <c r="B2" s="5" t="str">
        <f>generator_costs!B5</f>
        <v>CCGT</v>
      </c>
      <c r="C2" s="5">
        <f>generator_costs!C5</f>
        <v>2007</v>
      </c>
      <c r="D2" s="5">
        <f>generator_costs!D5</f>
        <v>2011</v>
      </c>
      <c r="E2" s="29" t="str">
        <f>generator_costs!E5</f>
        <v>Gas</v>
      </c>
      <c r="F2" s="29">
        <f>generator_costs!L5</f>
        <v>945115.88142919762</v>
      </c>
      <c r="G2" s="29">
        <f>generator_costs!M5</f>
        <v>6668.1</v>
      </c>
      <c r="H2" s="29">
        <f>generator_costs!N5</f>
        <v>2.4645000000000001</v>
      </c>
      <c r="I2" s="29">
        <f>generator_costs!O5</f>
        <v>-1.35E-2</v>
      </c>
      <c r="J2" s="29">
        <f>generator_costs!P5</f>
        <v>91289</v>
      </c>
      <c r="K2" s="29">
        <f>generator_costs!Q5</f>
        <v>6.47</v>
      </c>
      <c r="L2" s="29">
        <f>generator_costs!R5</f>
        <v>2</v>
      </c>
      <c r="M2" s="29">
        <f>generator_costs!S5</f>
        <v>0.25</v>
      </c>
      <c r="N2" s="29">
        <f>generator_costs!T5</f>
        <v>0.75</v>
      </c>
      <c r="O2" s="29">
        <f>generator_costs!U5</f>
        <v>0</v>
      </c>
      <c r="P2" s="29">
        <f>generator_costs!V5</f>
        <v>0</v>
      </c>
      <c r="Q2" s="29">
        <f>generator_costs!W5</f>
        <v>0</v>
      </c>
      <c r="R2" s="29">
        <f>generator_costs!X5</f>
        <v>0</v>
      </c>
      <c r="S2" s="29">
        <f>generator_costs!Y5</f>
        <v>20</v>
      </c>
      <c r="T2" s="29">
        <f>generator_costs!Z5</f>
        <v>2.24E-2</v>
      </c>
      <c r="U2" s="29">
        <f>generator_costs!AA5</f>
        <v>6.0199999999999997E-2</v>
      </c>
      <c r="V2" s="29">
        <f>generator_costs!AB5</f>
        <v>0</v>
      </c>
      <c r="W2" s="29">
        <f>generator_costs!AC5</f>
        <v>0</v>
      </c>
      <c r="X2" s="29">
        <f>generator_costs!AD5</f>
        <v>0</v>
      </c>
      <c r="Y2" s="29">
        <f>generator_costs!AE5</f>
        <v>0</v>
      </c>
      <c r="Z2" s="29">
        <f>generator_costs!AF5</f>
        <v>1</v>
      </c>
      <c r="AA2" s="29">
        <f>generator_costs!AG5</f>
        <v>0</v>
      </c>
      <c r="AB2" s="29">
        <f>generator_costs!AH5</f>
        <v>0</v>
      </c>
      <c r="AC2" s="29">
        <f>generator_costs!AI5</f>
        <v>1</v>
      </c>
      <c r="AD2" s="29">
        <f>generator_costs!AJ5</f>
        <v>0</v>
      </c>
      <c r="AE2" s="29">
        <f>generator_costs!AK5</f>
        <v>0</v>
      </c>
      <c r="AF2" s="29">
        <f>generator_costs!AL5</f>
        <v>0</v>
      </c>
      <c r="AG2" s="29">
        <f>generator_costs!AM5</f>
        <v>0</v>
      </c>
      <c r="AH2" s="29">
        <f>generator_costs!AN5</f>
        <v>0</v>
      </c>
      <c r="AI2" s="29">
        <f>generator_costs!AO5</f>
        <v>0.38</v>
      </c>
      <c r="AJ2" s="29">
        <f>generator_costs!AP5</f>
        <v>0.33</v>
      </c>
      <c r="AK2" s="29">
        <f>generator_costs!AQ5</f>
        <v>0</v>
      </c>
      <c r="AL2" s="29">
        <f>generator_costs!AR5</f>
        <v>0</v>
      </c>
      <c r="AM2" s="29" t="str">
        <f>generator_costs!AT5</f>
        <v>CEC COG Model Version 2.02-4-5-10; we picked the advanced CCGT technology (H Frame) for the new CCGT plants</v>
      </c>
    </row>
    <row r="3" spans="1:39" s="5" customFormat="1">
      <c r="A3" s="29">
        <f>generator_costs!A6</f>
        <v>103</v>
      </c>
      <c r="B3" s="29" t="str">
        <f>generator_costs!B6</f>
        <v>CCGT_Cogen</v>
      </c>
      <c r="C3" s="29">
        <f>generator_costs!C6</f>
        <v>2007</v>
      </c>
      <c r="D3" s="29">
        <f>generator_costs!D6</f>
        <v>2011</v>
      </c>
      <c r="E3" s="29" t="str">
        <f>generator_costs!E6</f>
        <v>Gas</v>
      </c>
      <c r="F3" s="29">
        <f>generator_costs!L6</f>
        <v>751905</v>
      </c>
      <c r="G3" s="29">
        <f>generator_costs!M6</f>
        <v>5789.25</v>
      </c>
      <c r="H3" s="29">
        <f>generator_costs!N6</f>
        <v>2.7621000000000002</v>
      </c>
      <c r="I3" s="29">
        <f>generator_costs!O6</f>
        <v>-1.35E-2</v>
      </c>
      <c r="J3" s="29">
        <f>generator_costs!P6</f>
        <v>91289</v>
      </c>
      <c r="K3" s="29">
        <f>generator_costs!Q6</f>
        <v>0</v>
      </c>
      <c r="L3" s="29">
        <f>generator_costs!R6</f>
        <v>2</v>
      </c>
      <c r="M3" s="29">
        <f>generator_costs!S6</f>
        <v>0.25</v>
      </c>
      <c r="N3" s="29">
        <f>generator_costs!T6</f>
        <v>0.75</v>
      </c>
      <c r="O3" s="29">
        <f>generator_costs!U6</f>
        <v>0</v>
      </c>
      <c r="P3" s="29">
        <f>generator_costs!V6</f>
        <v>0</v>
      </c>
      <c r="Q3" s="29">
        <f>generator_costs!W6</f>
        <v>0</v>
      </c>
      <c r="R3" s="29">
        <f>generator_costs!X6</f>
        <v>0</v>
      </c>
      <c r="S3" s="29">
        <f>generator_costs!Y6</f>
        <v>20</v>
      </c>
      <c r="T3" s="29">
        <f>generator_costs!Z6</f>
        <v>2.24E-2</v>
      </c>
      <c r="U3" s="29">
        <f>generator_costs!AA6</f>
        <v>6.0199999999999997E-2</v>
      </c>
      <c r="V3" s="29">
        <f>generator_costs!AB6</f>
        <v>0</v>
      </c>
      <c r="W3" s="29">
        <f>generator_costs!AC6</f>
        <v>1</v>
      </c>
      <c r="X3" s="29">
        <f>generator_costs!AD6</f>
        <v>1</v>
      </c>
      <c r="Y3" s="29">
        <f>generator_costs!AE6</f>
        <v>0</v>
      </c>
      <c r="Z3" s="29">
        <f>generator_costs!AF6</f>
        <v>0</v>
      </c>
      <c r="AA3" s="29">
        <f>generator_costs!AG6</f>
        <v>1</v>
      </c>
      <c r="AB3" s="29">
        <f>generator_costs!AH6</f>
        <v>0</v>
      </c>
      <c r="AC3" s="29">
        <f>generator_costs!AI6</f>
        <v>1</v>
      </c>
      <c r="AD3" s="29">
        <f>generator_costs!AJ6</f>
        <v>1</v>
      </c>
      <c r="AE3" s="29">
        <f>generator_costs!AK6</f>
        <v>0</v>
      </c>
      <c r="AF3" s="29">
        <f>generator_costs!AL6</f>
        <v>0</v>
      </c>
      <c r="AG3" s="29">
        <f>generator_costs!AM6</f>
        <v>0</v>
      </c>
      <c r="AH3" s="29">
        <f>generator_costs!AN6</f>
        <v>0</v>
      </c>
      <c r="AI3" s="29">
        <f>generator_costs!AO6</f>
        <v>0</v>
      </c>
      <c r="AJ3" s="29">
        <f>generator_costs!AP6</f>
        <v>0</v>
      </c>
      <c r="AK3" s="29">
        <f>generator_costs!AQ6</f>
        <v>1</v>
      </c>
      <c r="AL3" s="29">
        <f>generator_costs!AR6</f>
        <v>0</v>
      </c>
      <c r="AM3" s="29" t="str">
        <f>generator_costs!AT6</f>
        <v>Same as new CCGT, 75% capital cost and fixed cost</v>
      </c>
    </row>
    <row r="4" spans="1:39" s="21" customFormat="1">
      <c r="A4" s="29">
        <f>generator_costs!A7</f>
        <v>110</v>
      </c>
      <c r="B4" s="29" t="str">
        <f>generator_costs!B7</f>
        <v>CCGT_Cogen_CCS</v>
      </c>
      <c r="C4" s="29">
        <f>generator_costs!C7</f>
        <v>2007</v>
      </c>
      <c r="D4" s="29">
        <f>generator_costs!D7</f>
        <v>2016</v>
      </c>
      <c r="E4" s="29" t="str">
        <f>generator_costs!E7</f>
        <v>Gas_CCS</v>
      </c>
      <c r="F4" s="29">
        <f>generator_costs!L7</f>
        <v>1495433.5736031947</v>
      </c>
      <c r="G4" s="29">
        <f>generator_costs!M7</f>
        <v>20784.018750000003</v>
      </c>
      <c r="H4" s="29">
        <f>generator_costs!N7</f>
        <v>0</v>
      </c>
      <c r="I4" s="29">
        <f>generator_costs!O7</f>
        <v>-1.8173506790955307E-2</v>
      </c>
      <c r="J4" s="29">
        <f>generator_costs!P7</f>
        <v>91289</v>
      </c>
      <c r="K4" s="29">
        <f>generator_costs!Q7</f>
        <v>0</v>
      </c>
      <c r="L4" s="29">
        <f>generator_costs!R7</f>
        <v>2</v>
      </c>
      <c r="M4" s="29">
        <f>generator_costs!S7</f>
        <v>0.25</v>
      </c>
      <c r="N4" s="29">
        <f>generator_costs!T7</f>
        <v>0.75</v>
      </c>
      <c r="O4" s="29">
        <f>generator_costs!U7</f>
        <v>0</v>
      </c>
      <c r="P4" s="29">
        <f>generator_costs!V7</f>
        <v>0</v>
      </c>
      <c r="Q4" s="29">
        <f>generator_costs!W7</f>
        <v>0</v>
      </c>
      <c r="R4" s="29">
        <f>generator_costs!X7</f>
        <v>0</v>
      </c>
      <c r="S4" s="29">
        <f>generator_costs!Y7</f>
        <v>20</v>
      </c>
      <c r="T4" s="29">
        <f>generator_costs!Z7</f>
        <v>2.24E-2</v>
      </c>
      <c r="U4" s="29">
        <f>generator_costs!AA7</f>
        <v>6.0199999999999997E-2</v>
      </c>
      <c r="V4" s="29">
        <f>generator_costs!AB7</f>
        <v>0</v>
      </c>
      <c r="W4" s="29">
        <f>generator_costs!AC7</f>
        <v>1</v>
      </c>
      <c r="X4" s="29">
        <f>generator_costs!AD7</f>
        <v>1</v>
      </c>
      <c r="Y4" s="29">
        <f>generator_costs!AE7</f>
        <v>0</v>
      </c>
      <c r="Z4" s="29">
        <f>generator_costs!AF7</f>
        <v>0</v>
      </c>
      <c r="AA4" s="29">
        <f>generator_costs!AG7</f>
        <v>1</v>
      </c>
      <c r="AB4" s="29">
        <f>generator_costs!AH7</f>
        <v>0</v>
      </c>
      <c r="AC4" s="29">
        <f>generator_costs!AI7</f>
        <v>1</v>
      </c>
      <c r="AD4" s="29">
        <f>generator_costs!AJ7</f>
        <v>1</v>
      </c>
      <c r="AE4" s="29">
        <f>generator_costs!AK7</f>
        <v>1</v>
      </c>
      <c r="AF4" s="29">
        <f>generator_costs!AL7</f>
        <v>0</v>
      </c>
      <c r="AG4" s="29">
        <f>generator_costs!AM7</f>
        <v>0</v>
      </c>
      <c r="AH4" s="29">
        <f>generator_costs!AN7</f>
        <v>0</v>
      </c>
      <c r="AI4" s="29">
        <f>generator_costs!AO7</f>
        <v>0</v>
      </c>
      <c r="AJ4" s="29">
        <f>generator_costs!AP7</f>
        <v>0</v>
      </c>
      <c r="AK4" s="29">
        <f>generator_costs!AQ7</f>
        <v>1</v>
      </c>
      <c r="AL4" s="29">
        <f>generator_costs!AR7</f>
        <v>0</v>
      </c>
      <c r="AM4" s="29" t="str">
        <f>generator_costs!AT7</f>
        <v>Same as CCGT_CCS; 75% capital cost and fixed cost</v>
      </c>
    </row>
    <row r="5" spans="1:39" s="5" customFormat="1">
      <c r="A5" s="29">
        <f>generator_costs!A8</f>
        <v>34</v>
      </c>
      <c r="B5" s="29" t="str">
        <f>generator_costs!B8</f>
        <v>CCGT_CCS</v>
      </c>
      <c r="C5" s="29">
        <f>generator_costs!C8</f>
        <v>2007</v>
      </c>
      <c r="D5" s="29">
        <f>generator_costs!D8</f>
        <v>2016</v>
      </c>
      <c r="E5" s="29" t="str">
        <f>generator_costs!E8</f>
        <v>Gas_CCS</v>
      </c>
      <c r="F5" s="29">
        <f>generator_costs!L8</f>
        <v>1993911.4314709262</v>
      </c>
      <c r="G5" s="29">
        <f>generator_costs!M8</f>
        <v>27712.025000000001</v>
      </c>
      <c r="H5" s="29">
        <f>generator_costs!N8</f>
        <v>5.725625</v>
      </c>
      <c r="I5" s="29">
        <f>generator_costs!O8</f>
        <v>-1.8173506790955307E-2</v>
      </c>
      <c r="J5" s="29">
        <f>generator_costs!P8</f>
        <v>91289</v>
      </c>
      <c r="K5" s="29">
        <f>generator_costs!Q8</f>
        <v>7.5250000000000004</v>
      </c>
      <c r="L5" s="29">
        <f>generator_costs!R8</f>
        <v>2</v>
      </c>
      <c r="M5" s="29">
        <f>generator_costs!S8</f>
        <v>0.25</v>
      </c>
      <c r="N5" s="29">
        <f>generator_costs!T8</f>
        <v>0.75</v>
      </c>
      <c r="O5" s="29">
        <f>generator_costs!U8</f>
        <v>0</v>
      </c>
      <c r="P5" s="29">
        <f>generator_costs!V8</f>
        <v>0</v>
      </c>
      <c r="Q5" s="29">
        <f>generator_costs!W8</f>
        <v>0</v>
      </c>
      <c r="R5" s="29">
        <f>generator_costs!X8</f>
        <v>0</v>
      </c>
      <c r="S5" s="29">
        <f>generator_costs!Y8</f>
        <v>20</v>
      </c>
      <c r="T5" s="29">
        <f>generator_costs!Z8</f>
        <v>2.24E-2</v>
      </c>
      <c r="U5" s="29">
        <f>generator_costs!AA8</f>
        <v>6.0199999999999997E-2</v>
      </c>
      <c r="V5" s="29">
        <f>generator_costs!AB8</f>
        <v>0</v>
      </c>
      <c r="W5" s="29">
        <f>generator_costs!AC8</f>
        <v>0</v>
      </c>
      <c r="X5" s="29">
        <f>generator_costs!AD8</f>
        <v>0</v>
      </c>
      <c r="Y5" s="29">
        <f>generator_costs!AE8</f>
        <v>0</v>
      </c>
      <c r="Z5" s="29">
        <f>generator_costs!AF8</f>
        <v>1</v>
      </c>
      <c r="AA5" s="29">
        <f>generator_costs!AG8</f>
        <v>0</v>
      </c>
      <c r="AB5" s="29">
        <f>generator_costs!AH8</f>
        <v>0</v>
      </c>
      <c r="AC5" s="29">
        <f>generator_costs!AI8</f>
        <v>1</v>
      </c>
      <c r="AD5" s="29">
        <f>generator_costs!AJ8</f>
        <v>0</v>
      </c>
      <c r="AE5" s="29">
        <f>generator_costs!AK8</f>
        <v>1</v>
      </c>
      <c r="AF5" s="29">
        <f>generator_costs!AL8</f>
        <v>0</v>
      </c>
      <c r="AG5" s="29">
        <f>generator_costs!AM8</f>
        <v>0</v>
      </c>
      <c r="AH5" s="29">
        <f>generator_costs!AN8</f>
        <v>0</v>
      </c>
      <c r="AI5" s="29">
        <f>generator_costs!AO8</f>
        <v>0.38</v>
      </c>
      <c r="AJ5" s="29">
        <f>generator_costs!AP8</f>
        <v>0.33</v>
      </c>
      <c r="AK5" s="29">
        <f>generator_costs!AQ8</f>
        <v>0</v>
      </c>
      <c r="AL5" s="29">
        <f>generator_costs!AR8</f>
        <v>0</v>
      </c>
      <c r="AM5" s="29" t="str">
        <f>generator_costs!AT8</f>
        <v>"Updated Capital Cost Estimates for Electricity Generation Plants," US EIA, November 2010; the lifetime, construction time, construction cost breakdown, and outage rates are the same as CCGT</v>
      </c>
    </row>
    <row r="6" spans="1:39" s="5" customFormat="1">
      <c r="A6" s="29">
        <f>generator_costs!A9</f>
        <v>20</v>
      </c>
      <c r="B6" s="29" t="str">
        <f>generator_costs!B9</f>
        <v>CCGT_EP</v>
      </c>
      <c r="C6" s="29">
        <f>generator_costs!C9</f>
        <v>2007</v>
      </c>
      <c r="D6" s="29">
        <f>generator_costs!D9</f>
        <v>0</v>
      </c>
      <c r="E6" s="29" t="str">
        <f>generator_costs!E9</f>
        <v>Gas</v>
      </c>
      <c r="F6" s="29">
        <f>generator_costs!L9</f>
        <v>1002540</v>
      </c>
      <c r="G6" s="29">
        <f>generator_costs!M9</f>
        <v>7719</v>
      </c>
      <c r="H6" s="29">
        <f>generator_costs!N9</f>
        <v>2.7621000000000002</v>
      </c>
      <c r="I6" s="29">
        <f>generator_costs!O9</f>
        <v>0</v>
      </c>
      <c r="J6" s="29">
        <f>generator_costs!P9</f>
        <v>91289</v>
      </c>
      <c r="K6" s="29">
        <f>generator_costs!Q9</f>
        <v>0</v>
      </c>
      <c r="L6" s="29">
        <f>generator_costs!R9</f>
        <v>2</v>
      </c>
      <c r="M6" s="29">
        <f>generator_costs!S9</f>
        <v>0.25</v>
      </c>
      <c r="N6" s="29">
        <f>generator_costs!T9</f>
        <v>0.75</v>
      </c>
      <c r="O6" s="29">
        <f>generator_costs!U9</f>
        <v>0</v>
      </c>
      <c r="P6" s="29">
        <f>generator_costs!V9</f>
        <v>0</v>
      </c>
      <c r="Q6" s="29">
        <f>generator_costs!W9</f>
        <v>0</v>
      </c>
      <c r="R6" s="29">
        <f>generator_costs!X9</f>
        <v>0</v>
      </c>
      <c r="S6" s="29">
        <f>generator_costs!Y9</f>
        <v>20</v>
      </c>
      <c r="T6" s="29">
        <f>generator_costs!Z9</f>
        <v>2.24E-2</v>
      </c>
      <c r="U6" s="29">
        <f>generator_costs!AA9</f>
        <v>6.0199999999999997E-2</v>
      </c>
      <c r="V6" s="29">
        <f>generator_costs!AB9</f>
        <v>0</v>
      </c>
      <c r="W6" s="29">
        <f>generator_costs!AC9</f>
        <v>1</v>
      </c>
      <c r="X6" s="29">
        <f>generator_costs!AD9</f>
        <v>0</v>
      </c>
      <c r="Y6" s="29">
        <f>generator_costs!AE9</f>
        <v>0</v>
      </c>
      <c r="Z6" s="29">
        <f>generator_costs!AF9</f>
        <v>1</v>
      </c>
      <c r="AA6" s="29">
        <f>generator_costs!AG9</f>
        <v>0</v>
      </c>
      <c r="AB6" s="29">
        <f>generator_costs!AH9</f>
        <v>0</v>
      </c>
      <c r="AC6" s="29">
        <f>generator_costs!AI9</f>
        <v>0</v>
      </c>
      <c r="AD6" s="29">
        <f>generator_costs!AJ9</f>
        <v>0</v>
      </c>
      <c r="AE6" s="29">
        <f>generator_costs!AK9</f>
        <v>0</v>
      </c>
      <c r="AF6" s="29">
        <f>generator_costs!AL9</f>
        <v>0</v>
      </c>
      <c r="AG6" s="29">
        <f>generator_costs!AM9</f>
        <v>0</v>
      </c>
      <c r="AH6" s="29">
        <f>generator_costs!AN9</f>
        <v>0</v>
      </c>
      <c r="AI6" s="29">
        <f>generator_costs!AO9</f>
        <v>0.38</v>
      </c>
      <c r="AJ6" s="29">
        <f>generator_costs!AP9</f>
        <v>0.33</v>
      </c>
      <c r="AK6" s="29">
        <f>generator_costs!AQ9</f>
        <v>0</v>
      </c>
      <c r="AL6" s="29">
        <f>generator_costs!AR9</f>
        <v>0</v>
      </c>
      <c r="AM6" s="29" t="str">
        <f>generator_costs!AT9</f>
        <v>CEC COG Model Version 2.02-4-5-10; we picked the duct firing CCGT turbine for the existing CCGT technology</v>
      </c>
    </row>
    <row r="7" spans="1:39" s="5" customFormat="1">
      <c r="A7" s="29">
        <f>generator_costs!A10</f>
        <v>32</v>
      </c>
      <c r="B7" s="29" t="str">
        <f>generator_costs!B10</f>
        <v>CCGT_Cogen_EP</v>
      </c>
      <c r="C7" s="29">
        <f>generator_costs!C10</f>
        <v>2007</v>
      </c>
      <c r="D7" s="29">
        <f>generator_costs!D10</f>
        <v>0</v>
      </c>
      <c r="E7" s="29" t="str">
        <f>generator_costs!E10</f>
        <v>Gas</v>
      </c>
      <c r="F7" s="29">
        <f>generator_costs!L10</f>
        <v>751905</v>
      </c>
      <c r="G7" s="29">
        <f>generator_costs!M10</f>
        <v>5789.25</v>
      </c>
      <c r="H7" s="29">
        <f>generator_costs!N10</f>
        <v>2.7621000000000002</v>
      </c>
      <c r="I7" s="29">
        <f>generator_costs!O10</f>
        <v>0</v>
      </c>
      <c r="J7" s="29">
        <f>generator_costs!P10</f>
        <v>91289</v>
      </c>
      <c r="K7" s="29">
        <f>generator_costs!Q10</f>
        <v>0</v>
      </c>
      <c r="L7" s="29">
        <f>generator_costs!R10</f>
        <v>2</v>
      </c>
      <c r="M7" s="29">
        <f>generator_costs!S10</f>
        <v>0.25</v>
      </c>
      <c r="N7" s="29">
        <f>generator_costs!T10</f>
        <v>0.75</v>
      </c>
      <c r="O7" s="29">
        <f>generator_costs!U10</f>
        <v>0</v>
      </c>
      <c r="P7" s="29">
        <f>generator_costs!V10</f>
        <v>0</v>
      </c>
      <c r="Q7" s="29">
        <f>generator_costs!W10</f>
        <v>0</v>
      </c>
      <c r="R7" s="29">
        <f>generator_costs!X10</f>
        <v>0</v>
      </c>
      <c r="S7" s="29">
        <f>generator_costs!Y10</f>
        <v>20</v>
      </c>
      <c r="T7" s="29">
        <f>generator_costs!Z10</f>
        <v>2.24E-2</v>
      </c>
      <c r="U7" s="29">
        <f>generator_costs!AA10</f>
        <v>6.0199999999999997E-2</v>
      </c>
      <c r="V7" s="29">
        <f>generator_costs!AB10</f>
        <v>0</v>
      </c>
      <c r="W7" s="29">
        <f>generator_costs!AC10</f>
        <v>1</v>
      </c>
      <c r="X7" s="29">
        <f>generator_costs!AD10</f>
        <v>1</v>
      </c>
      <c r="Y7" s="29">
        <f>generator_costs!AE10</f>
        <v>0</v>
      </c>
      <c r="Z7" s="29">
        <f>generator_costs!AF10</f>
        <v>0</v>
      </c>
      <c r="AA7" s="29">
        <f>generator_costs!AG10</f>
        <v>1</v>
      </c>
      <c r="AB7" s="29">
        <f>generator_costs!AH10</f>
        <v>0</v>
      </c>
      <c r="AC7" s="29">
        <f>generator_costs!AI10</f>
        <v>0</v>
      </c>
      <c r="AD7" s="29">
        <f>generator_costs!AJ10</f>
        <v>1</v>
      </c>
      <c r="AE7" s="29">
        <f>generator_costs!AK10</f>
        <v>0</v>
      </c>
      <c r="AF7" s="29">
        <f>generator_costs!AL10</f>
        <v>0</v>
      </c>
      <c r="AG7" s="29">
        <f>generator_costs!AM10</f>
        <v>0</v>
      </c>
      <c r="AH7" s="29">
        <f>generator_costs!AN10</f>
        <v>0</v>
      </c>
      <c r="AI7" s="29">
        <f>generator_costs!AO10</f>
        <v>0</v>
      </c>
      <c r="AJ7" s="29">
        <f>generator_costs!AP10</f>
        <v>0</v>
      </c>
      <c r="AK7" s="29">
        <f>generator_costs!AQ10</f>
        <v>1</v>
      </c>
      <c r="AL7" s="29">
        <f>generator_costs!AR10</f>
        <v>0</v>
      </c>
      <c r="AM7" s="29" t="str">
        <f>generator_costs!AT10</f>
        <v>Same as existing CCGT, 75% capital cost and fixed cost</v>
      </c>
    </row>
    <row r="8" spans="1:39" s="5" customFormat="1">
      <c r="A8" s="29">
        <f>generator_costs!A11</f>
        <v>2</v>
      </c>
      <c r="B8" s="29" t="str">
        <f>generator_costs!B11</f>
        <v>Gas_Combustion_Turbine</v>
      </c>
      <c r="C8" s="29">
        <f>generator_costs!C11</f>
        <v>2007</v>
      </c>
      <c r="D8" s="29">
        <f>generator_costs!D11</f>
        <v>2011</v>
      </c>
      <c r="E8" s="29" t="str">
        <f>generator_costs!E11</f>
        <v>Gas</v>
      </c>
      <c r="F8" s="29">
        <f>generator_costs!L11</f>
        <v>790790.79656139307</v>
      </c>
      <c r="G8" s="29">
        <f>generator_costs!M11</f>
        <v>15186.900000000001</v>
      </c>
      <c r="H8" s="29">
        <f>generator_costs!N11</f>
        <v>3.4038000000000004</v>
      </c>
      <c r="I8" s="29">
        <f>generator_costs!O11</f>
        <v>-1.44E-2</v>
      </c>
      <c r="J8" s="29">
        <f>generator_costs!P11</f>
        <v>91289</v>
      </c>
      <c r="K8" s="29">
        <f>generator_costs!Q11</f>
        <v>8.5500000000000007</v>
      </c>
      <c r="L8" s="29">
        <f>generator_costs!R11</f>
        <v>2</v>
      </c>
      <c r="M8" s="29">
        <f>generator_costs!S11</f>
        <v>0.25</v>
      </c>
      <c r="N8" s="29">
        <f>generator_costs!T11</f>
        <v>0.75</v>
      </c>
      <c r="O8" s="29">
        <f>generator_costs!U11</f>
        <v>0</v>
      </c>
      <c r="P8" s="29">
        <f>generator_costs!V11</f>
        <v>0</v>
      </c>
      <c r="Q8" s="29">
        <f>generator_costs!W11</f>
        <v>0</v>
      </c>
      <c r="R8" s="29">
        <f>generator_costs!X11</f>
        <v>0</v>
      </c>
      <c r="S8" s="29">
        <f>generator_costs!Y11</f>
        <v>20</v>
      </c>
      <c r="T8" s="29">
        <f>generator_costs!Z11</f>
        <v>4.1300000000000003E-2</v>
      </c>
      <c r="U8" s="29">
        <f>generator_costs!AA11</f>
        <v>3.1800000000000002E-2</v>
      </c>
      <c r="V8" s="29">
        <f>generator_costs!AB11</f>
        <v>0</v>
      </c>
      <c r="W8" s="29">
        <f>generator_costs!AC11</f>
        <v>0</v>
      </c>
      <c r="X8" s="29">
        <f>generator_costs!AD11</f>
        <v>0</v>
      </c>
      <c r="Y8" s="29">
        <f>generator_costs!AE11</f>
        <v>0</v>
      </c>
      <c r="Z8" s="29">
        <f>generator_costs!AF11</f>
        <v>1</v>
      </c>
      <c r="AA8" s="29">
        <f>generator_costs!AG11</f>
        <v>0</v>
      </c>
      <c r="AB8" s="29">
        <f>generator_costs!AH11</f>
        <v>0</v>
      </c>
      <c r="AC8" s="29">
        <f>generator_costs!AI11</f>
        <v>1</v>
      </c>
      <c r="AD8" s="29">
        <f>generator_costs!AJ11</f>
        <v>0</v>
      </c>
      <c r="AE8" s="29">
        <f>generator_costs!AK11</f>
        <v>0</v>
      </c>
      <c r="AF8" s="29">
        <f>generator_costs!AL11</f>
        <v>0</v>
      </c>
      <c r="AG8" s="29">
        <f>generator_costs!AM11</f>
        <v>0</v>
      </c>
      <c r="AH8" s="29">
        <f>generator_costs!AN11</f>
        <v>0</v>
      </c>
      <c r="AI8" s="29">
        <f>generator_costs!AO11</f>
        <v>0.5</v>
      </c>
      <c r="AJ8" s="29">
        <f>generator_costs!AP11</f>
        <v>0.1</v>
      </c>
      <c r="AK8" s="29">
        <f>generator_costs!AQ11</f>
        <v>0</v>
      </c>
      <c r="AL8" s="29">
        <f>generator_costs!AR11</f>
        <v>0</v>
      </c>
      <c r="AM8" s="29" t="str">
        <f>generator_costs!AT11</f>
        <v>CEC COG Model Version 2.02-4-5-10; we picked the advanced combustion turbine as the new technology</v>
      </c>
    </row>
    <row r="9" spans="1:39" s="5" customFormat="1">
      <c r="A9" s="29">
        <f>generator_costs!A12</f>
        <v>101</v>
      </c>
      <c r="B9" s="29" t="str">
        <f>generator_costs!B12</f>
        <v>Gas_Combustion_Turbine_Cogen</v>
      </c>
      <c r="C9" s="29">
        <f>generator_costs!C12</f>
        <v>2007</v>
      </c>
      <c r="D9" s="29">
        <f>generator_costs!D12</f>
        <v>2011</v>
      </c>
      <c r="E9" s="29" t="str">
        <f>generator_costs!E12</f>
        <v>Gas</v>
      </c>
      <c r="F9" s="29">
        <f>generator_costs!L12</f>
        <v>857925</v>
      </c>
      <c r="G9" s="29">
        <f>generator_costs!M12</f>
        <v>12136.5</v>
      </c>
      <c r="H9" s="29">
        <f>generator_costs!N12</f>
        <v>3.8688000000000002</v>
      </c>
      <c r="I9" s="29">
        <f>generator_costs!O12</f>
        <v>-1.44E-2</v>
      </c>
      <c r="J9" s="29">
        <f>generator_costs!P12</f>
        <v>91289</v>
      </c>
      <c r="K9" s="29">
        <f>generator_costs!Q12</f>
        <v>0</v>
      </c>
      <c r="L9" s="29">
        <f>generator_costs!R12</f>
        <v>2</v>
      </c>
      <c r="M9" s="29">
        <f>generator_costs!S12</f>
        <v>0.25</v>
      </c>
      <c r="N9" s="29">
        <f>generator_costs!T12</f>
        <v>0.75</v>
      </c>
      <c r="O9" s="29">
        <f>generator_costs!U12</f>
        <v>0</v>
      </c>
      <c r="P9" s="29">
        <f>generator_costs!V12</f>
        <v>0</v>
      </c>
      <c r="Q9" s="29">
        <f>generator_costs!W12</f>
        <v>0</v>
      </c>
      <c r="R9" s="29">
        <f>generator_costs!X12</f>
        <v>0</v>
      </c>
      <c r="S9" s="29">
        <f>generator_costs!Y12</f>
        <v>20</v>
      </c>
      <c r="T9" s="29">
        <f>generator_costs!Z12</f>
        <v>4.1300000000000003E-2</v>
      </c>
      <c r="U9" s="29">
        <f>generator_costs!AA12</f>
        <v>3.1800000000000002E-2</v>
      </c>
      <c r="V9" s="29">
        <f>generator_costs!AB12</f>
        <v>0</v>
      </c>
      <c r="W9" s="29">
        <f>generator_costs!AC12</f>
        <v>1</v>
      </c>
      <c r="X9" s="29">
        <f>generator_costs!AD12</f>
        <v>1</v>
      </c>
      <c r="Y9" s="29">
        <f>generator_costs!AE12</f>
        <v>0</v>
      </c>
      <c r="Z9" s="29">
        <f>generator_costs!AF12</f>
        <v>0</v>
      </c>
      <c r="AA9" s="29">
        <f>generator_costs!AG12</f>
        <v>1</v>
      </c>
      <c r="AB9" s="29">
        <f>generator_costs!AH12</f>
        <v>0</v>
      </c>
      <c r="AC9" s="29">
        <f>generator_costs!AI12</f>
        <v>1</v>
      </c>
      <c r="AD9" s="29">
        <f>generator_costs!AJ12</f>
        <v>1</v>
      </c>
      <c r="AE9" s="29">
        <f>generator_costs!AK12</f>
        <v>0</v>
      </c>
      <c r="AF9" s="29">
        <f>generator_costs!AL12</f>
        <v>0</v>
      </c>
      <c r="AG9" s="29">
        <f>generator_costs!AM12</f>
        <v>0</v>
      </c>
      <c r="AH9" s="29">
        <f>generator_costs!AN12</f>
        <v>0</v>
      </c>
      <c r="AI9" s="29">
        <f>generator_costs!AO12</f>
        <v>0</v>
      </c>
      <c r="AJ9" s="29">
        <f>generator_costs!AP12</f>
        <v>0</v>
      </c>
      <c r="AK9" s="29">
        <f>generator_costs!AQ12</f>
        <v>1</v>
      </c>
      <c r="AL9" s="29">
        <f>generator_costs!AR12</f>
        <v>0</v>
      </c>
      <c r="AM9" s="29" t="str">
        <f>generator_costs!AT12</f>
        <v>Same as gas combustion turbines, 75% capital cost and fixed cost</v>
      </c>
    </row>
    <row r="10" spans="1:39" s="5" customFormat="1">
      <c r="A10" s="29">
        <f>generator_costs!A13</f>
        <v>111</v>
      </c>
      <c r="B10" s="29" t="str">
        <f>generator_costs!B13</f>
        <v>Gas_Combustion_Turbine_Cogen_CCS</v>
      </c>
      <c r="C10" s="29">
        <f>generator_costs!C13</f>
        <v>2007</v>
      </c>
      <c r="D10" s="29">
        <f>generator_costs!D13</f>
        <v>2016</v>
      </c>
      <c r="E10" s="29" t="str">
        <f>generator_costs!E13</f>
        <v>Gas_CCS</v>
      </c>
      <c r="F10" s="29">
        <f>generator_costs!L13</f>
        <v>1379689.7599523412</v>
      </c>
      <c r="G10" s="29">
        <f>generator_costs!M13</f>
        <v>27173.118750000001</v>
      </c>
      <c r="H10" s="29">
        <f>generator_costs!N13</f>
        <v>0</v>
      </c>
      <c r="I10" s="29">
        <f>generator_costs!O13</f>
        <v>-1.9385073910352327E-2</v>
      </c>
      <c r="J10" s="29">
        <f>generator_costs!P13</f>
        <v>91289</v>
      </c>
      <c r="K10" s="29">
        <f>generator_costs!Q13</f>
        <v>0</v>
      </c>
      <c r="L10" s="29">
        <f>generator_costs!R13</f>
        <v>2</v>
      </c>
      <c r="M10" s="29">
        <f>generator_costs!S13</f>
        <v>0.25</v>
      </c>
      <c r="N10" s="29">
        <f>generator_costs!T13</f>
        <v>0.75</v>
      </c>
      <c r="O10" s="29">
        <f>generator_costs!U13</f>
        <v>0</v>
      </c>
      <c r="P10" s="29">
        <f>generator_costs!V13</f>
        <v>0</v>
      </c>
      <c r="Q10" s="29">
        <f>generator_costs!W13</f>
        <v>0</v>
      </c>
      <c r="R10" s="29">
        <f>generator_costs!X13</f>
        <v>0</v>
      </c>
      <c r="S10" s="29">
        <f>generator_costs!Y13</f>
        <v>20</v>
      </c>
      <c r="T10" s="29">
        <f>generator_costs!Z13</f>
        <v>4.1300000000000003E-2</v>
      </c>
      <c r="U10" s="29">
        <f>generator_costs!AA13</f>
        <v>3.1800000000000002E-2</v>
      </c>
      <c r="V10" s="29">
        <f>generator_costs!AB13</f>
        <v>0</v>
      </c>
      <c r="W10" s="29">
        <f>generator_costs!AC13</f>
        <v>1</v>
      </c>
      <c r="X10" s="29">
        <f>generator_costs!AD13</f>
        <v>1</v>
      </c>
      <c r="Y10" s="29">
        <f>generator_costs!AE13</f>
        <v>0</v>
      </c>
      <c r="Z10" s="29">
        <f>generator_costs!AF13</f>
        <v>0</v>
      </c>
      <c r="AA10" s="29">
        <f>generator_costs!AG13</f>
        <v>1</v>
      </c>
      <c r="AB10" s="29">
        <f>generator_costs!AH13</f>
        <v>0</v>
      </c>
      <c r="AC10" s="29">
        <f>generator_costs!AI13</f>
        <v>1</v>
      </c>
      <c r="AD10" s="29">
        <f>generator_costs!AJ13</f>
        <v>1</v>
      </c>
      <c r="AE10" s="29">
        <f>generator_costs!AK13</f>
        <v>1</v>
      </c>
      <c r="AF10" s="29">
        <f>generator_costs!AL13</f>
        <v>0</v>
      </c>
      <c r="AG10" s="29">
        <f>generator_costs!AM13</f>
        <v>0</v>
      </c>
      <c r="AH10" s="29">
        <f>generator_costs!AN13</f>
        <v>0</v>
      </c>
      <c r="AI10" s="29">
        <f>generator_costs!AO13</f>
        <v>0</v>
      </c>
      <c r="AJ10" s="29">
        <f>generator_costs!AP13</f>
        <v>0</v>
      </c>
      <c r="AK10" s="29">
        <f>generator_costs!AQ13</f>
        <v>1</v>
      </c>
      <c r="AL10" s="29">
        <f>generator_costs!AR13</f>
        <v>0</v>
      </c>
      <c r="AM10" s="29" t="str">
        <f>generator_costs!AT13</f>
        <v>Same as gas combustion turbine CCS; 75% capital cost and fixed cost</v>
      </c>
    </row>
    <row r="11" spans="1:39" s="5" customFormat="1">
      <c r="A11" s="29">
        <f>generator_costs!A14</f>
        <v>35</v>
      </c>
      <c r="B11" s="29" t="str">
        <f>generator_costs!B14</f>
        <v>Gas_Combustion_Turbine_CCS</v>
      </c>
      <c r="C11" s="29">
        <f>generator_costs!C14</f>
        <v>2007</v>
      </c>
      <c r="D11" s="29">
        <f>generator_costs!D14</f>
        <v>2016</v>
      </c>
      <c r="E11" s="29" t="str">
        <f>generator_costs!E14</f>
        <v>Gas_CCS</v>
      </c>
      <c r="F11" s="29">
        <f>generator_costs!L14</f>
        <v>1839586.3466031216</v>
      </c>
      <c r="G11" s="29">
        <f>generator_costs!M14</f>
        <v>36230.825000000004</v>
      </c>
      <c r="H11" s="29">
        <f>generator_costs!N14</f>
        <v>7.7133237635239542</v>
      </c>
      <c r="I11" s="29">
        <f>generator_costs!O14</f>
        <v>-1.9385073910352327E-2</v>
      </c>
      <c r="J11" s="29">
        <f>generator_costs!P14</f>
        <v>91289</v>
      </c>
      <c r="K11" s="29">
        <f>generator_costs!Q14</f>
        <v>9.9441653786707889</v>
      </c>
      <c r="L11" s="29">
        <f>generator_costs!R14</f>
        <v>2</v>
      </c>
      <c r="M11" s="29">
        <f>generator_costs!S14</f>
        <v>0.25</v>
      </c>
      <c r="N11" s="29">
        <f>generator_costs!T14</f>
        <v>0.75</v>
      </c>
      <c r="O11" s="29">
        <f>generator_costs!U14</f>
        <v>0</v>
      </c>
      <c r="P11" s="29">
        <f>generator_costs!V14</f>
        <v>0</v>
      </c>
      <c r="Q11" s="29">
        <f>generator_costs!W14</f>
        <v>0</v>
      </c>
      <c r="R11" s="29">
        <f>generator_costs!X14</f>
        <v>0</v>
      </c>
      <c r="S11" s="29">
        <f>generator_costs!Y14</f>
        <v>20</v>
      </c>
      <c r="T11" s="29">
        <f>generator_costs!Z14</f>
        <v>4.1300000000000003E-2</v>
      </c>
      <c r="U11" s="29">
        <f>generator_costs!AA14</f>
        <v>3.1800000000000002E-2</v>
      </c>
      <c r="V11" s="29">
        <f>generator_costs!AB14</f>
        <v>0</v>
      </c>
      <c r="W11" s="29">
        <f>generator_costs!AC14</f>
        <v>0</v>
      </c>
      <c r="X11" s="29">
        <f>generator_costs!AD14</f>
        <v>0</v>
      </c>
      <c r="Y11" s="29">
        <f>generator_costs!AE14</f>
        <v>0</v>
      </c>
      <c r="Z11" s="29">
        <f>generator_costs!AF14</f>
        <v>1</v>
      </c>
      <c r="AA11" s="29">
        <f>generator_costs!AG14</f>
        <v>0</v>
      </c>
      <c r="AB11" s="29">
        <f>generator_costs!AH14</f>
        <v>0</v>
      </c>
      <c r="AC11" s="29">
        <f>generator_costs!AI14</f>
        <v>1</v>
      </c>
      <c r="AD11" s="29">
        <f>generator_costs!AJ14</f>
        <v>0</v>
      </c>
      <c r="AE11" s="29">
        <f>generator_costs!AK14</f>
        <v>1</v>
      </c>
      <c r="AF11" s="29">
        <f>generator_costs!AL14</f>
        <v>0</v>
      </c>
      <c r="AG11" s="29">
        <f>generator_costs!AM14</f>
        <v>0</v>
      </c>
      <c r="AH11" s="29">
        <f>generator_costs!AN14</f>
        <v>0</v>
      </c>
      <c r="AI11" s="29">
        <f>generator_costs!AO14</f>
        <v>0.5</v>
      </c>
      <c r="AJ11" s="29">
        <f>generator_costs!AP14</f>
        <v>0.1</v>
      </c>
      <c r="AK11" s="29">
        <f>generator_costs!AQ14</f>
        <v>0</v>
      </c>
      <c r="AL11" s="29">
        <f>generator_costs!AR14</f>
        <v>0</v>
      </c>
      <c r="AM11" s="29" t="str">
        <f>generator_costs!AT14</f>
        <v>We assumed that the capital cost and fixed cost for adding a CCS system increase by the same amount (per W) as for CCGT; we assumed CCS combustion turbine heat rate increases by the same percentage relative to non-CCS combustion turbines as CCS to non-CCS CCGT heat rates; we also assume that there's an adder per MWh for variable costs -- we assume that the difference in variable cost scales with the difference in heat rates</v>
      </c>
    </row>
    <row r="12" spans="1:39" s="5" customFormat="1">
      <c r="A12" s="29">
        <f>generator_costs!A15</f>
        <v>17</v>
      </c>
      <c r="B12" s="29" t="str">
        <f>generator_costs!B15</f>
        <v>Gas_Combustion_Turbine_EP</v>
      </c>
      <c r="C12" s="29">
        <f>generator_costs!C15</f>
        <v>2007</v>
      </c>
      <c r="D12" s="29">
        <f>generator_costs!D15</f>
        <v>0</v>
      </c>
      <c r="E12" s="29" t="str">
        <f>generator_costs!E15</f>
        <v>Gas</v>
      </c>
      <c r="F12" s="29">
        <f>generator_costs!L15</f>
        <v>1143900</v>
      </c>
      <c r="G12" s="29">
        <f>generator_costs!M15</f>
        <v>16182</v>
      </c>
      <c r="H12" s="29">
        <f>generator_costs!N15</f>
        <v>3.8688000000000002</v>
      </c>
      <c r="I12" s="29">
        <f>generator_costs!O15</f>
        <v>0</v>
      </c>
      <c r="J12" s="29">
        <f>generator_costs!P15</f>
        <v>91289</v>
      </c>
      <c r="K12" s="29">
        <f>generator_costs!Q15</f>
        <v>0</v>
      </c>
      <c r="L12" s="29">
        <f>generator_costs!R15</f>
        <v>1</v>
      </c>
      <c r="M12" s="29">
        <f>generator_costs!S15</f>
        <v>1</v>
      </c>
      <c r="N12" s="29">
        <f>generator_costs!T15</f>
        <v>0</v>
      </c>
      <c r="O12" s="29">
        <f>generator_costs!U15</f>
        <v>0</v>
      </c>
      <c r="P12" s="29">
        <f>generator_costs!V15</f>
        <v>0</v>
      </c>
      <c r="Q12" s="29">
        <f>generator_costs!W15</f>
        <v>0</v>
      </c>
      <c r="R12" s="29">
        <f>generator_costs!X15</f>
        <v>0</v>
      </c>
      <c r="S12" s="29">
        <f>generator_costs!Y15</f>
        <v>20</v>
      </c>
      <c r="T12" s="29">
        <f>generator_costs!Z15</f>
        <v>4.1300000000000003E-2</v>
      </c>
      <c r="U12" s="29">
        <f>generator_costs!AA15</f>
        <v>3.1800000000000002E-2</v>
      </c>
      <c r="V12" s="29">
        <f>generator_costs!AB15</f>
        <v>0</v>
      </c>
      <c r="W12" s="29">
        <f>generator_costs!AC15</f>
        <v>1</v>
      </c>
      <c r="X12" s="29">
        <f>generator_costs!AD15</f>
        <v>0</v>
      </c>
      <c r="Y12" s="29">
        <f>generator_costs!AE15</f>
        <v>0</v>
      </c>
      <c r="Z12" s="29">
        <f>generator_costs!AF15</f>
        <v>1</v>
      </c>
      <c r="AA12" s="29">
        <f>generator_costs!AG15</f>
        <v>0</v>
      </c>
      <c r="AB12" s="29">
        <f>generator_costs!AH15</f>
        <v>0</v>
      </c>
      <c r="AC12" s="29">
        <f>generator_costs!AI15</f>
        <v>0</v>
      </c>
      <c r="AD12" s="29">
        <f>generator_costs!AJ15</f>
        <v>0</v>
      </c>
      <c r="AE12" s="29">
        <f>generator_costs!AK15</f>
        <v>0</v>
      </c>
      <c r="AF12" s="29">
        <f>generator_costs!AL15</f>
        <v>0</v>
      </c>
      <c r="AG12" s="29">
        <f>generator_costs!AM15</f>
        <v>0</v>
      </c>
      <c r="AH12" s="29">
        <f>generator_costs!AN15</f>
        <v>0</v>
      </c>
      <c r="AI12" s="29">
        <f>generator_costs!AO15</f>
        <v>0.5</v>
      </c>
      <c r="AJ12" s="29">
        <f>generator_costs!AP15</f>
        <v>0.1</v>
      </c>
      <c r="AK12" s="29">
        <f>generator_costs!AQ15</f>
        <v>0</v>
      </c>
      <c r="AL12" s="29">
        <f>generator_costs!AR15</f>
        <v>0</v>
      </c>
      <c r="AM12" s="29" t="str">
        <f>generator_costs!AT15</f>
        <v>CEC COG Model Version 2.02-4-5-10; we picked 100 MW combustion turbine as the existing technology</v>
      </c>
    </row>
    <row r="13" spans="1:39" s="5" customFormat="1">
      <c r="A13" s="29">
        <f>generator_costs!A16</f>
        <v>29</v>
      </c>
      <c r="B13" s="29" t="str">
        <f>generator_costs!B16</f>
        <v>Gas_Combustion_Turbine_Cogen_EP</v>
      </c>
      <c r="C13" s="29">
        <f>generator_costs!C16</f>
        <v>2007</v>
      </c>
      <c r="D13" s="29">
        <f>generator_costs!D16</f>
        <v>0</v>
      </c>
      <c r="E13" s="29" t="str">
        <f>generator_costs!E16</f>
        <v>Gas</v>
      </c>
      <c r="F13" s="29">
        <f>generator_costs!L16</f>
        <v>857925</v>
      </c>
      <c r="G13" s="29">
        <f>generator_costs!M16</f>
        <v>12136.5</v>
      </c>
      <c r="H13" s="29">
        <f>generator_costs!N16</f>
        <v>3.8688000000000002</v>
      </c>
      <c r="I13" s="29">
        <f>generator_costs!O16</f>
        <v>0</v>
      </c>
      <c r="J13" s="29">
        <f>generator_costs!P16</f>
        <v>91289</v>
      </c>
      <c r="K13" s="29">
        <f>generator_costs!Q16</f>
        <v>0</v>
      </c>
      <c r="L13" s="29">
        <f>generator_costs!R16</f>
        <v>1</v>
      </c>
      <c r="M13" s="29">
        <f>generator_costs!S16</f>
        <v>1</v>
      </c>
      <c r="N13" s="29">
        <f>generator_costs!T16</f>
        <v>0</v>
      </c>
      <c r="O13" s="29">
        <f>generator_costs!U16</f>
        <v>0</v>
      </c>
      <c r="P13" s="29">
        <f>generator_costs!V16</f>
        <v>0</v>
      </c>
      <c r="Q13" s="29">
        <f>generator_costs!W16</f>
        <v>0</v>
      </c>
      <c r="R13" s="29">
        <f>generator_costs!X16</f>
        <v>0</v>
      </c>
      <c r="S13" s="29">
        <f>generator_costs!Y16</f>
        <v>20</v>
      </c>
      <c r="T13" s="29">
        <f>generator_costs!Z16</f>
        <v>4.1300000000000003E-2</v>
      </c>
      <c r="U13" s="29">
        <f>generator_costs!AA16</f>
        <v>3.1800000000000002E-2</v>
      </c>
      <c r="V13" s="29">
        <f>generator_costs!AB16</f>
        <v>0</v>
      </c>
      <c r="W13" s="29">
        <f>generator_costs!AC16</f>
        <v>1</v>
      </c>
      <c r="X13" s="29">
        <f>generator_costs!AD16</f>
        <v>1</v>
      </c>
      <c r="Y13" s="29">
        <f>generator_costs!AE16</f>
        <v>0</v>
      </c>
      <c r="Z13" s="29">
        <f>generator_costs!AF16</f>
        <v>0</v>
      </c>
      <c r="AA13" s="29">
        <f>generator_costs!AG16</f>
        <v>1</v>
      </c>
      <c r="AB13" s="29">
        <f>generator_costs!AH16</f>
        <v>0</v>
      </c>
      <c r="AC13" s="29">
        <f>generator_costs!AI16</f>
        <v>0</v>
      </c>
      <c r="AD13" s="29">
        <f>generator_costs!AJ16</f>
        <v>1</v>
      </c>
      <c r="AE13" s="29">
        <f>generator_costs!AK16</f>
        <v>0</v>
      </c>
      <c r="AF13" s="29">
        <f>generator_costs!AL16</f>
        <v>0</v>
      </c>
      <c r="AG13" s="29">
        <f>generator_costs!AM16</f>
        <v>0</v>
      </c>
      <c r="AH13" s="29">
        <f>generator_costs!AN16</f>
        <v>0</v>
      </c>
      <c r="AI13" s="29">
        <f>generator_costs!AO16</f>
        <v>0</v>
      </c>
      <c r="AJ13" s="29">
        <f>generator_costs!AP16</f>
        <v>0</v>
      </c>
      <c r="AK13" s="29">
        <f>generator_costs!AQ16</f>
        <v>1</v>
      </c>
      <c r="AL13" s="29">
        <f>generator_costs!AR16</f>
        <v>0</v>
      </c>
      <c r="AM13" s="29" t="str">
        <f>generator_costs!AT16</f>
        <v>Same as existing combustion turbines, 75% capital cost and fixed cost</v>
      </c>
    </row>
    <row r="14" spans="1:39">
      <c r="A14" s="29">
        <f>generator_costs!A17</f>
        <v>104</v>
      </c>
      <c r="B14" s="29" t="str">
        <f>generator_costs!B17</f>
        <v>Gas_Internal_Combustion_Engine_Cogen</v>
      </c>
      <c r="C14" s="29">
        <f>generator_costs!C17</f>
        <v>2007</v>
      </c>
      <c r="D14" s="29">
        <f>generator_costs!D17</f>
        <v>2011</v>
      </c>
      <c r="E14" s="29" t="str">
        <f>generator_costs!E17</f>
        <v>Gas</v>
      </c>
      <c r="F14" s="29">
        <f>generator_costs!L17</f>
        <v>857925</v>
      </c>
      <c r="G14" s="29">
        <f>generator_costs!M17</f>
        <v>30000</v>
      </c>
      <c r="H14" s="29">
        <f>generator_costs!N17</f>
        <v>3.8688000000000002</v>
      </c>
      <c r="I14" s="29">
        <f>generator_costs!O17</f>
        <v>-1.44E-2</v>
      </c>
      <c r="J14" s="29">
        <f>generator_costs!P17</f>
        <v>91289</v>
      </c>
      <c r="K14" s="29">
        <f>generator_costs!Q17</f>
        <v>0</v>
      </c>
      <c r="L14" s="29">
        <f>generator_costs!R17</f>
        <v>1</v>
      </c>
      <c r="M14" s="29">
        <f>generator_costs!S17</f>
        <v>1</v>
      </c>
      <c r="N14" s="29">
        <f>generator_costs!T17</f>
        <v>0</v>
      </c>
      <c r="O14" s="29">
        <f>generator_costs!U17</f>
        <v>0</v>
      </c>
      <c r="P14" s="29">
        <f>generator_costs!V17</f>
        <v>0</v>
      </c>
      <c r="Q14" s="29">
        <f>generator_costs!W17</f>
        <v>0</v>
      </c>
      <c r="R14" s="29">
        <f>generator_costs!X17</f>
        <v>0</v>
      </c>
      <c r="S14" s="29">
        <f>generator_costs!Y17</f>
        <v>20</v>
      </c>
      <c r="T14" s="29">
        <f>generator_costs!Z17</f>
        <v>4.1300000000000003E-2</v>
      </c>
      <c r="U14" s="29">
        <f>generator_costs!AA17</f>
        <v>3.1800000000000002E-2</v>
      </c>
      <c r="V14" s="29">
        <f>generator_costs!AB17</f>
        <v>0</v>
      </c>
      <c r="W14" s="29">
        <f>generator_costs!AC17</f>
        <v>1</v>
      </c>
      <c r="X14" s="29">
        <f>generator_costs!AD17</f>
        <v>1</v>
      </c>
      <c r="Y14" s="29">
        <f>generator_costs!AE17</f>
        <v>0</v>
      </c>
      <c r="Z14" s="29">
        <f>generator_costs!AF17</f>
        <v>0</v>
      </c>
      <c r="AA14" s="29">
        <f>generator_costs!AG17</f>
        <v>1</v>
      </c>
      <c r="AB14" s="29">
        <f>generator_costs!AH17</f>
        <v>0</v>
      </c>
      <c r="AC14" s="29">
        <f>generator_costs!AI17</f>
        <v>1</v>
      </c>
      <c r="AD14" s="29">
        <f>generator_costs!AJ17</f>
        <v>1</v>
      </c>
      <c r="AE14" s="29">
        <f>generator_costs!AK17</f>
        <v>0</v>
      </c>
      <c r="AF14" s="29">
        <f>generator_costs!AL17</f>
        <v>0</v>
      </c>
      <c r="AG14" s="29">
        <f>generator_costs!AM17</f>
        <v>0</v>
      </c>
      <c r="AH14" s="29">
        <f>generator_costs!AN17</f>
        <v>0</v>
      </c>
      <c r="AI14" s="29">
        <f>generator_costs!AO17</f>
        <v>0</v>
      </c>
      <c r="AJ14" s="29">
        <f>generator_costs!AP17</f>
        <v>0</v>
      </c>
      <c r="AK14" s="29">
        <f>generator_costs!AQ17</f>
        <v>1</v>
      </c>
      <c r="AL14" s="29">
        <f>generator_costs!AR17</f>
        <v>0</v>
      </c>
      <c r="AM14" s="29" t="str">
        <f>generator_costs!AT17</f>
        <v>Same as Gas_Internal_Combustion_Engine_Cogen_EP (which already includes the 75% of capital and fixed costs)</v>
      </c>
    </row>
    <row r="15" spans="1:39">
      <c r="A15" s="29">
        <f>generator_costs!A18</f>
        <v>112</v>
      </c>
      <c r="B15" s="29" t="str">
        <f>generator_costs!B18</f>
        <v>Gas_Internal_Combustion_Engine_Cogen_CCS</v>
      </c>
      <c r="C15" s="29">
        <f>generator_costs!C18</f>
        <v>2007</v>
      </c>
      <c r="D15" s="29">
        <f>generator_costs!D18</f>
        <v>2016</v>
      </c>
      <c r="E15" s="29" t="str">
        <f>generator_costs!E18</f>
        <v>Gas_CCS</v>
      </c>
      <c r="F15" s="29">
        <f>generator_costs!L18</f>
        <v>1379689.7599523412</v>
      </c>
      <c r="G15" s="29">
        <f>generator_costs!M18</f>
        <v>27173.118750000001</v>
      </c>
      <c r="H15" s="29">
        <f>generator_costs!N18</f>
        <v>0</v>
      </c>
      <c r="I15" s="29">
        <f>generator_costs!O18</f>
        <v>-1.9385073910352327E-2</v>
      </c>
      <c r="J15" s="29">
        <f>generator_costs!P18</f>
        <v>91289</v>
      </c>
      <c r="K15" s="29">
        <f>generator_costs!Q18</f>
        <v>0</v>
      </c>
      <c r="L15" s="29">
        <f>generator_costs!R18</f>
        <v>2</v>
      </c>
      <c r="M15" s="29">
        <f>generator_costs!S18</f>
        <v>0.25</v>
      </c>
      <c r="N15" s="29">
        <f>generator_costs!T18</f>
        <v>0.75</v>
      </c>
      <c r="O15" s="29">
        <f>generator_costs!U18</f>
        <v>0</v>
      </c>
      <c r="P15" s="29">
        <f>generator_costs!V18</f>
        <v>0</v>
      </c>
      <c r="Q15" s="29">
        <f>generator_costs!W18</f>
        <v>0</v>
      </c>
      <c r="R15" s="29">
        <f>generator_costs!X18</f>
        <v>0</v>
      </c>
      <c r="S15" s="29">
        <f>generator_costs!Y18</f>
        <v>20</v>
      </c>
      <c r="T15" s="29">
        <f>generator_costs!Z18</f>
        <v>4.1300000000000003E-2</v>
      </c>
      <c r="U15" s="29">
        <f>generator_costs!AA18</f>
        <v>3.1800000000000002E-2</v>
      </c>
      <c r="V15" s="29">
        <f>generator_costs!AB18</f>
        <v>0</v>
      </c>
      <c r="W15" s="29">
        <f>generator_costs!AC18</f>
        <v>1</v>
      </c>
      <c r="X15" s="29">
        <f>generator_costs!AD18</f>
        <v>1</v>
      </c>
      <c r="Y15" s="29">
        <f>generator_costs!AE18</f>
        <v>0</v>
      </c>
      <c r="Z15" s="29">
        <f>generator_costs!AF18</f>
        <v>0</v>
      </c>
      <c r="AA15" s="29">
        <f>generator_costs!AG18</f>
        <v>1</v>
      </c>
      <c r="AB15" s="29">
        <f>generator_costs!AH18</f>
        <v>0</v>
      </c>
      <c r="AC15" s="29">
        <f>generator_costs!AI18</f>
        <v>1</v>
      </c>
      <c r="AD15" s="29">
        <f>generator_costs!AJ18</f>
        <v>1</v>
      </c>
      <c r="AE15" s="29">
        <f>generator_costs!AK18</f>
        <v>1</v>
      </c>
      <c r="AF15" s="29">
        <f>generator_costs!AL18</f>
        <v>0</v>
      </c>
      <c r="AG15" s="29">
        <f>generator_costs!AM18</f>
        <v>0</v>
      </c>
      <c r="AH15" s="29">
        <f>generator_costs!AN18</f>
        <v>0</v>
      </c>
      <c r="AI15" s="29">
        <f>generator_costs!AO18</f>
        <v>0</v>
      </c>
      <c r="AJ15" s="29">
        <f>generator_costs!AP18</f>
        <v>0</v>
      </c>
      <c r="AK15" s="29">
        <f>generator_costs!AQ18</f>
        <v>1</v>
      </c>
      <c r="AL15" s="29">
        <f>generator_costs!AR18</f>
        <v>0</v>
      </c>
      <c r="AM15" s="29" t="str">
        <f>generator_costs!AT18</f>
        <v>Same as Gas_Combustion_Turbine_Cogen_CCS</v>
      </c>
    </row>
    <row r="16" spans="1:39">
      <c r="A16" s="29">
        <f>generator_costs!A19</f>
        <v>24</v>
      </c>
      <c r="B16" s="29" t="str">
        <f>generator_costs!B19</f>
        <v>Gas_Internal_Combustion_Engine_EP</v>
      </c>
      <c r="C16" s="29">
        <f>generator_costs!C19</f>
        <v>2007</v>
      </c>
      <c r="D16" s="29">
        <f>generator_costs!D19</f>
        <v>0</v>
      </c>
      <c r="E16" s="29" t="str">
        <f>generator_costs!E19</f>
        <v>Gas</v>
      </c>
      <c r="F16" s="29">
        <f>generator_costs!L19</f>
        <v>1143900</v>
      </c>
      <c r="G16" s="29">
        <f>generator_costs!M19</f>
        <v>16182</v>
      </c>
      <c r="H16" s="29">
        <f>generator_costs!N19</f>
        <v>3.8688000000000002</v>
      </c>
      <c r="I16" s="29">
        <f>generator_costs!O19</f>
        <v>0</v>
      </c>
      <c r="J16" s="29">
        <f>generator_costs!P19</f>
        <v>91289</v>
      </c>
      <c r="K16" s="29">
        <f>generator_costs!Q19</f>
        <v>0</v>
      </c>
      <c r="L16" s="29">
        <f>generator_costs!R19</f>
        <v>1</v>
      </c>
      <c r="M16" s="29">
        <f>generator_costs!S19</f>
        <v>1</v>
      </c>
      <c r="N16" s="29">
        <f>generator_costs!T19</f>
        <v>0</v>
      </c>
      <c r="O16" s="29">
        <f>generator_costs!U19</f>
        <v>0</v>
      </c>
      <c r="P16" s="29">
        <f>generator_costs!V19</f>
        <v>0</v>
      </c>
      <c r="Q16" s="29">
        <f>generator_costs!W19</f>
        <v>0</v>
      </c>
      <c r="R16" s="29">
        <f>generator_costs!X19</f>
        <v>0</v>
      </c>
      <c r="S16" s="29">
        <f>generator_costs!Y19</f>
        <v>20</v>
      </c>
      <c r="T16" s="29">
        <f>generator_costs!Z19</f>
        <v>4.1300000000000003E-2</v>
      </c>
      <c r="U16" s="29">
        <f>generator_costs!AA19</f>
        <v>3.1800000000000002E-2</v>
      </c>
      <c r="V16" s="29">
        <f>generator_costs!AB19</f>
        <v>0</v>
      </c>
      <c r="W16" s="29">
        <f>generator_costs!AC19</f>
        <v>1</v>
      </c>
      <c r="X16" s="29">
        <f>generator_costs!AD19</f>
        <v>0</v>
      </c>
      <c r="Y16" s="29">
        <f>generator_costs!AE19</f>
        <v>0</v>
      </c>
      <c r="Z16" s="29">
        <f>generator_costs!AF19</f>
        <v>1</v>
      </c>
      <c r="AA16" s="29">
        <f>generator_costs!AG19</f>
        <v>0</v>
      </c>
      <c r="AB16" s="29">
        <f>generator_costs!AH19</f>
        <v>0</v>
      </c>
      <c r="AC16" s="29">
        <f>generator_costs!AI19</f>
        <v>0</v>
      </c>
      <c r="AD16" s="29">
        <f>generator_costs!AJ19</f>
        <v>0</v>
      </c>
      <c r="AE16" s="29">
        <f>generator_costs!AK19</f>
        <v>0</v>
      </c>
      <c r="AF16" s="29">
        <f>generator_costs!AL19</f>
        <v>0</v>
      </c>
      <c r="AG16" s="29">
        <f>generator_costs!AM19</f>
        <v>0</v>
      </c>
      <c r="AH16" s="29">
        <f>generator_costs!AN19</f>
        <v>0</v>
      </c>
      <c r="AI16" s="29">
        <f>generator_costs!AO19</f>
        <v>0.5</v>
      </c>
      <c r="AJ16" s="29">
        <f>generator_costs!AP19</f>
        <v>0.1</v>
      </c>
      <c r="AK16" s="29">
        <f>generator_costs!AQ19</f>
        <v>0</v>
      </c>
      <c r="AL16" s="29">
        <f>generator_costs!AR19</f>
        <v>0</v>
      </c>
      <c r="AM16" s="29" t="str">
        <f>generator_costs!AT19</f>
        <v>Same as existing gas combustion turbines</v>
      </c>
    </row>
    <row r="17" spans="1:39">
      <c r="A17" s="29">
        <f>generator_costs!A20</f>
        <v>40</v>
      </c>
      <c r="B17" s="29" t="str">
        <f>generator_costs!B20</f>
        <v>Gas_Internal_Combustion_Engine_Cogen_EP</v>
      </c>
      <c r="C17" s="29">
        <f>generator_costs!C20</f>
        <v>2007</v>
      </c>
      <c r="D17" s="29">
        <f>generator_costs!D20</f>
        <v>0</v>
      </c>
      <c r="E17" s="29" t="str">
        <f>generator_costs!E20</f>
        <v>Gas</v>
      </c>
      <c r="F17" s="29">
        <f>generator_costs!L20</f>
        <v>857925</v>
      </c>
      <c r="G17" s="29">
        <f>generator_costs!M20</f>
        <v>30000</v>
      </c>
      <c r="H17" s="29">
        <f>generator_costs!N20</f>
        <v>3.8688000000000002</v>
      </c>
      <c r="I17" s="29">
        <f>generator_costs!O20</f>
        <v>0</v>
      </c>
      <c r="J17" s="29">
        <f>generator_costs!P20</f>
        <v>91289</v>
      </c>
      <c r="K17" s="29">
        <f>generator_costs!Q20</f>
        <v>0</v>
      </c>
      <c r="L17" s="29">
        <f>generator_costs!R20</f>
        <v>1</v>
      </c>
      <c r="M17" s="29">
        <f>generator_costs!S20</f>
        <v>1</v>
      </c>
      <c r="N17" s="29">
        <f>generator_costs!T20</f>
        <v>0</v>
      </c>
      <c r="O17" s="29">
        <f>generator_costs!U20</f>
        <v>0</v>
      </c>
      <c r="P17" s="29">
        <f>generator_costs!V20</f>
        <v>0</v>
      </c>
      <c r="Q17" s="29">
        <f>generator_costs!W20</f>
        <v>0</v>
      </c>
      <c r="R17" s="29">
        <f>generator_costs!X20</f>
        <v>0</v>
      </c>
      <c r="S17" s="29">
        <f>generator_costs!Y20</f>
        <v>20</v>
      </c>
      <c r="T17" s="29">
        <f>generator_costs!Z20</f>
        <v>4.1300000000000003E-2</v>
      </c>
      <c r="U17" s="29">
        <f>generator_costs!AA20</f>
        <v>3.1800000000000002E-2</v>
      </c>
      <c r="V17" s="29">
        <f>generator_costs!AB20</f>
        <v>0</v>
      </c>
      <c r="W17" s="29">
        <f>generator_costs!AC20</f>
        <v>1</v>
      </c>
      <c r="X17" s="29">
        <f>generator_costs!AD20</f>
        <v>1</v>
      </c>
      <c r="Y17" s="29">
        <f>generator_costs!AE20</f>
        <v>0</v>
      </c>
      <c r="Z17" s="29">
        <f>generator_costs!AF20</f>
        <v>0</v>
      </c>
      <c r="AA17" s="29">
        <f>generator_costs!AG20</f>
        <v>1</v>
      </c>
      <c r="AB17" s="29">
        <f>generator_costs!AH20</f>
        <v>0</v>
      </c>
      <c r="AC17" s="29">
        <f>generator_costs!AI20</f>
        <v>0</v>
      </c>
      <c r="AD17" s="29">
        <f>generator_costs!AJ20</f>
        <v>1</v>
      </c>
      <c r="AE17" s="29">
        <f>generator_costs!AK20</f>
        <v>0</v>
      </c>
      <c r="AF17" s="29">
        <f>generator_costs!AL20</f>
        <v>0</v>
      </c>
      <c r="AG17" s="29">
        <f>generator_costs!AM20</f>
        <v>0</v>
      </c>
      <c r="AH17" s="29">
        <f>generator_costs!AN20</f>
        <v>0</v>
      </c>
      <c r="AI17" s="29">
        <f>generator_costs!AO20</f>
        <v>0</v>
      </c>
      <c r="AJ17" s="29">
        <f>generator_costs!AP20</f>
        <v>0</v>
      </c>
      <c r="AK17" s="29">
        <f>generator_costs!AQ20</f>
        <v>1</v>
      </c>
      <c r="AL17" s="29">
        <f>generator_costs!AR20</f>
        <v>0</v>
      </c>
      <c r="AM17" s="29" t="str">
        <f>generator_costs!AT20</f>
        <v>Same as existing Gas Internal Combustion Engine, 75% capital cost and fixed cost</v>
      </c>
    </row>
    <row r="18" spans="1:39">
      <c r="A18" s="29">
        <f>generator_costs!A21</f>
        <v>102</v>
      </c>
      <c r="B18" s="29" t="str">
        <f>generator_costs!B21</f>
        <v>Gas_Steam_Turbine_Cogen</v>
      </c>
      <c r="C18" s="29">
        <f>generator_costs!C21</f>
        <v>2007</v>
      </c>
      <c r="D18" s="29">
        <f>generator_costs!D21</f>
        <v>2011</v>
      </c>
      <c r="E18" s="29" t="str">
        <f>generator_costs!E21</f>
        <v>Gas</v>
      </c>
      <c r="F18" s="29">
        <f>generator_costs!L21</f>
        <v>326250</v>
      </c>
      <c r="G18" s="29">
        <f>generator_costs!M21</f>
        <v>20797.5</v>
      </c>
      <c r="H18" s="29">
        <f>generator_costs!N21</f>
        <v>3.47</v>
      </c>
      <c r="I18" s="29">
        <f>generator_costs!O21</f>
        <v>0</v>
      </c>
      <c r="J18" s="29">
        <f>generator_costs!P21</f>
        <v>91289</v>
      </c>
      <c r="K18" s="29">
        <f>generator_costs!Q21</f>
        <v>0</v>
      </c>
      <c r="L18" s="29">
        <f>generator_costs!R21</f>
        <v>3</v>
      </c>
      <c r="M18" s="29">
        <f>generator_costs!S21</f>
        <v>0.5</v>
      </c>
      <c r="N18" s="29">
        <f>generator_costs!T21</f>
        <v>0.4</v>
      </c>
      <c r="O18" s="29">
        <f>generator_costs!U21</f>
        <v>0.1</v>
      </c>
      <c r="P18" s="29">
        <f>generator_costs!V21</f>
        <v>0</v>
      </c>
      <c r="Q18" s="29">
        <f>generator_costs!W21</f>
        <v>0</v>
      </c>
      <c r="R18" s="29">
        <f>generator_costs!X21</f>
        <v>0</v>
      </c>
      <c r="S18" s="29">
        <f>generator_costs!Y21</f>
        <v>45</v>
      </c>
      <c r="T18" s="29">
        <f>generator_costs!Z21</f>
        <v>0.1</v>
      </c>
      <c r="U18" s="29">
        <f>generator_costs!AA21</f>
        <v>2.5999999999999999E-2</v>
      </c>
      <c r="V18" s="29">
        <f>generator_costs!AB21</f>
        <v>0</v>
      </c>
      <c r="W18" s="29">
        <f>generator_costs!AC21</f>
        <v>1</v>
      </c>
      <c r="X18" s="29">
        <f>generator_costs!AD21</f>
        <v>1</v>
      </c>
      <c r="Y18" s="29">
        <f>generator_costs!AE21</f>
        <v>0</v>
      </c>
      <c r="Z18" s="29">
        <f>generator_costs!AF21</f>
        <v>0</v>
      </c>
      <c r="AA18" s="29">
        <f>generator_costs!AG21</f>
        <v>1</v>
      </c>
      <c r="AB18" s="29">
        <f>generator_costs!AH21</f>
        <v>0</v>
      </c>
      <c r="AC18" s="29">
        <f>generator_costs!AI21</f>
        <v>1</v>
      </c>
      <c r="AD18" s="29">
        <f>generator_costs!AJ21</f>
        <v>1</v>
      </c>
      <c r="AE18" s="29">
        <f>generator_costs!AK21</f>
        <v>0</v>
      </c>
      <c r="AF18" s="29">
        <f>generator_costs!AL21</f>
        <v>0</v>
      </c>
      <c r="AG18" s="29">
        <f>generator_costs!AM21</f>
        <v>0</v>
      </c>
      <c r="AH18" s="29">
        <f>generator_costs!AN21</f>
        <v>0</v>
      </c>
      <c r="AI18" s="29">
        <f>generator_costs!AO21</f>
        <v>0</v>
      </c>
      <c r="AJ18" s="29">
        <f>generator_costs!AP21</f>
        <v>0</v>
      </c>
      <c r="AK18" s="29">
        <f>generator_costs!AQ21</f>
        <v>1</v>
      </c>
      <c r="AL18" s="29">
        <f>generator_costs!AR21</f>
        <v>0</v>
      </c>
      <c r="AM18" s="29" t="str">
        <f>generator_costs!AT21</f>
        <v>Same as existing gas steam turbines, 75% capital cost and fixed cost</v>
      </c>
    </row>
    <row r="19" spans="1:39">
      <c r="A19" s="29">
        <f>generator_costs!A22</f>
        <v>113</v>
      </c>
      <c r="B19" s="29" t="str">
        <f>generator_costs!B22</f>
        <v>Gas_Steam_Turbine_Cogen_CCS</v>
      </c>
      <c r="C19" s="29">
        <f>generator_costs!C22</f>
        <v>2007</v>
      </c>
      <c r="D19" s="29">
        <f>generator_costs!D22</f>
        <v>2016</v>
      </c>
      <c r="E19" s="29" t="str">
        <f>generator_costs!E22</f>
        <v>Gas_CCS</v>
      </c>
      <c r="F19" s="29">
        <f>generator_costs!L22</f>
        <v>1112846.6625312965</v>
      </c>
      <c r="G19" s="29">
        <f>generator_costs!M22</f>
        <v>36580.443750000006</v>
      </c>
      <c r="H19" s="29">
        <f>generator_costs!N22</f>
        <v>0</v>
      </c>
      <c r="I19" s="29">
        <f>generator_costs!O22</f>
        <v>0</v>
      </c>
      <c r="J19" s="29">
        <f>generator_costs!P22</f>
        <v>91289</v>
      </c>
      <c r="K19" s="29">
        <f>generator_costs!Q22</f>
        <v>0</v>
      </c>
      <c r="L19" s="29">
        <f>generator_costs!R22</f>
        <v>3</v>
      </c>
      <c r="M19" s="29">
        <f>generator_costs!S22</f>
        <v>0.5</v>
      </c>
      <c r="N19" s="29">
        <f>generator_costs!T22</f>
        <v>0.4</v>
      </c>
      <c r="O19" s="29">
        <f>generator_costs!U22</f>
        <v>0.1</v>
      </c>
      <c r="P19" s="29">
        <f>generator_costs!V22</f>
        <v>0</v>
      </c>
      <c r="Q19" s="29">
        <f>generator_costs!W22</f>
        <v>0</v>
      </c>
      <c r="R19" s="29">
        <f>generator_costs!X22</f>
        <v>0</v>
      </c>
      <c r="S19" s="29">
        <f>generator_costs!Y22</f>
        <v>45</v>
      </c>
      <c r="T19" s="29">
        <f>generator_costs!Z22</f>
        <v>0.1</v>
      </c>
      <c r="U19" s="29">
        <f>generator_costs!AA22</f>
        <v>2.5999999999999999E-2</v>
      </c>
      <c r="V19" s="29">
        <f>generator_costs!AB22</f>
        <v>0</v>
      </c>
      <c r="W19" s="29">
        <f>generator_costs!AC22</f>
        <v>1</v>
      </c>
      <c r="X19" s="29">
        <f>generator_costs!AD22</f>
        <v>1</v>
      </c>
      <c r="Y19" s="29">
        <f>generator_costs!AE22</f>
        <v>0</v>
      </c>
      <c r="Z19" s="29">
        <f>generator_costs!AF22</f>
        <v>0</v>
      </c>
      <c r="AA19" s="29">
        <f>generator_costs!AG22</f>
        <v>1</v>
      </c>
      <c r="AB19" s="29">
        <f>generator_costs!AH22</f>
        <v>0</v>
      </c>
      <c r="AC19" s="29">
        <f>generator_costs!AI22</f>
        <v>1</v>
      </c>
      <c r="AD19" s="29">
        <f>generator_costs!AJ22</f>
        <v>1</v>
      </c>
      <c r="AE19" s="29">
        <f>generator_costs!AK22</f>
        <v>1</v>
      </c>
      <c r="AF19" s="29">
        <f>generator_costs!AL22</f>
        <v>0</v>
      </c>
      <c r="AG19" s="29">
        <f>generator_costs!AM22</f>
        <v>0</v>
      </c>
      <c r="AH19" s="29">
        <f>generator_costs!AN22</f>
        <v>0</v>
      </c>
      <c r="AI19" s="29">
        <f>generator_costs!AO22</f>
        <v>0</v>
      </c>
      <c r="AJ19" s="29">
        <f>generator_costs!AP22</f>
        <v>0</v>
      </c>
      <c r="AK19" s="29">
        <f>generator_costs!AQ22</f>
        <v>1</v>
      </c>
      <c r="AL19" s="29">
        <f>generator_costs!AR22</f>
        <v>0</v>
      </c>
      <c r="AM19" s="29" t="str">
        <f>generator_costs!AT22</f>
        <v>Capital and fixed cost equal to 75% of Gas_Steam_Turbine_EP + difference between CCGT_CCS and CCGT, other flags like Gas_Steam_Turbine_Cogen (except ccs)</v>
      </c>
    </row>
    <row r="20" spans="1:39">
      <c r="A20" s="29">
        <f>generator_costs!A23</f>
        <v>19</v>
      </c>
      <c r="B20" s="29" t="str">
        <f>generator_costs!B23</f>
        <v>Gas_Steam_Turbine_EP</v>
      </c>
      <c r="C20" s="29">
        <f>generator_costs!C23</f>
        <v>2007</v>
      </c>
      <c r="D20" s="29">
        <f>generator_costs!D23</f>
        <v>0</v>
      </c>
      <c r="E20" s="29" t="str">
        <f>generator_costs!E23</f>
        <v>Gas</v>
      </c>
      <c r="F20" s="29">
        <f>generator_costs!L23</f>
        <v>435000</v>
      </c>
      <c r="G20" s="29">
        <f>generator_costs!M23</f>
        <v>27730</v>
      </c>
      <c r="H20" s="29">
        <f>generator_costs!N23</f>
        <v>3.47</v>
      </c>
      <c r="I20" s="29">
        <f>generator_costs!O23</f>
        <v>0</v>
      </c>
      <c r="J20" s="29">
        <f>generator_costs!P23</f>
        <v>91289</v>
      </c>
      <c r="K20" s="29">
        <f>generator_costs!Q23</f>
        <v>0</v>
      </c>
      <c r="L20" s="29">
        <f>generator_costs!R23</f>
        <v>3</v>
      </c>
      <c r="M20" s="29">
        <f>generator_costs!S23</f>
        <v>0.5</v>
      </c>
      <c r="N20" s="29">
        <f>generator_costs!T23</f>
        <v>0.4</v>
      </c>
      <c r="O20" s="29">
        <f>generator_costs!U23</f>
        <v>0.1</v>
      </c>
      <c r="P20" s="29">
        <f>generator_costs!V23</f>
        <v>0</v>
      </c>
      <c r="Q20" s="29">
        <f>generator_costs!W23</f>
        <v>0</v>
      </c>
      <c r="R20" s="29">
        <f>generator_costs!X23</f>
        <v>0</v>
      </c>
      <c r="S20" s="29">
        <f>generator_costs!Y23</f>
        <v>45</v>
      </c>
      <c r="T20" s="29">
        <f>generator_costs!Z23</f>
        <v>0.1</v>
      </c>
      <c r="U20" s="29">
        <f>generator_costs!AA23</f>
        <v>2.5999999999999999E-2</v>
      </c>
      <c r="V20" s="29">
        <f>generator_costs!AB23</f>
        <v>0</v>
      </c>
      <c r="W20" s="29">
        <f>generator_costs!AC23</f>
        <v>1</v>
      </c>
      <c r="X20" s="29">
        <f>generator_costs!AD23</f>
        <v>0</v>
      </c>
      <c r="Y20" s="29">
        <f>generator_costs!AE23</f>
        <v>0</v>
      </c>
      <c r="Z20" s="29">
        <f>generator_costs!AF23</f>
        <v>1</v>
      </c>
      <c r="AA20" s="29">
        <f>generator_costs!AG23</f>
        <v>0</v>
      </c>
      <c r="AB20" s="29">
        <f>generator_costs!AH23</f>
        <v>0</v>
      </c>
      <c r="AC20" s="29">
        <f>generator_costs!AI23</f>
        <v>0</v>
      </c>
      <c r="AD20" s="29">
        <f>generator_costs!AJ23</f>
        <v>0</v>
      </c>
      <c r="AE20" s="29">
        <f>generator_costs!AK23</f>
        <v>0</v>
      </c>
      <c r="AF20" s="29">
        <f>generator_costs!AL23</f>
        <v>0</v>
      </c>
      <c r="AG20" s="29">
        <f>generator_costs!AM23</f>
        <v>0</v>
      </c>
      <c r="AH20" s="29">
        <f>generator_costs!AN23</f>
        <v>0</v>
      </c>
      <c r="AI20" s="29">
        <f>generator_costs!AO23</f>
        <v>0.31</v>
      </c>
      <c r="AJ20" s="29">
        <f>generator_costs!AP23</f>
        <v>0.04</v>
      </c>
      <c r="AK20" s="29">
        <f>generator_costs!AQ23</f>
        <v>0</v>
      </c>
      <c r="AL20" s="29">
        <f>generator_costs!AR23</f>
        <v>0</v>
      </c>
      <c r="AM20" s="29" t="str">
        <f>generator_costs!AT23</f>
        <v>ReEDs Sheet, took OGS (Oil Gas Steam)</v>
      </c>
    </row>
    <row r="21" spans="1:39">
      <c r="A21" s="29">
        <f>generator_costs!A24</f>
        <v>31</v>
      </c>
      <c r="B21" s="29" t="str">
        <f>generator_costs!B24</f>
        <v>Gas_Steam_Turbine_Cogen_EP</v>
      </c>
      <c r="C21" s="29">
        <f>generator_costs!C24</f>
        <v>2007</v>
      </c>
      <c r="D21" s="29">
        <f>generator_costs!D24</f>
        <v>0</v>
      </c>
      <c r="E21" s="29" t="str">
        <f>generator_costs!E24</f>
        <v>Gas</v>
      </c>
      <c r="F21" s="29">
        <f>generator_costs!L24</f>
        <v>326250</v>
      </c>
      <c r="G21" s="29">
        <f>generator_costs!M24</f>
        <v>20797.5</v>
      </c>
      <c r="H21" s="29">
        <f>generator_costs!N24</f>
        <v>3.47</v>
      </c>
      <c r="I21" s="29">
        <f>generator_costs!O24</f>
        <v>0</v>
      </c>
      <c r="J21" s="29">
        <f>generator_costs!P24</f>
        <v>91289</v>
      </c>
      <c r="K21" s="29">
        <f>generator_costs!Q24</f>
        <v>0</v>
      </c>
      <c r="L21" s="29">
        <f>generator_costs!R24</f>
        <v>3</v>
      </c>
      <c r="M21" s="29">
        <f>generator_costs!S24</f>
        <v>0.5</v>
      </c>
      <c r="N21" s="29">
        <f>generator_costs!T24</f>
        <v>0.4</v>
      </c>
      <c r="O21" s="29">
        <f>generator_costs!U24</f>
        <v>0.1</v>
      </c>
      <c r="P21" s="29">
        <f>generator_costs!V24</f>
        <v>0</v>
      </c>
      <c r="Q21" s="29">
        <f>generator_costs!W24</f>
        <v>0</v>
      </c>
      <c r="R21" s="29">
        <f>generator_costs!X24</f>
        <v>0</v>
      </c>
      <c r="S21" s="29">
        <f>generator_costs!Y24</f>
        <v>45</v>
      </c>
      <c r="T21" s="29">
        <f>generator_costs!Z24</f>
        <v>0.1</v>
      </c>
      <c r="U21" s="29">
        <f>generator_costs!AA24</f>
        <v>2.5999999999999999E-2</v>
      </c>
      <c r="V21" s="29">
        <f>generator_costs!AB24</f>
        <v>0</v>
      </c>
      <c r="W21" s="29">
        <f>generator_costs!AC24</f>
        <v>1</v>
      </c>
      <c r="X21" s="29">
        <f>generator_costs!AD24</f>
        <v>1</v>
      </c>
      <c r="Y21" s="29">
        <f>generator_costs!AE24</f>
        <v>0</v>
      </c>
      <c r="Z21" s="29">
        <f>generator_costs!AF24</f>
        <v>0</v>
      </c>
      <c r="AA21" s="29">
        <f>generator_costs!AG24</f>
        <v>1</v>
      </c>
      <c r="AB21" s="29">
        <f>generator_costs!AH24</f>
        <v>0</v>
      </c>
      <c r="AC21" s="29">
        <f>generator_costs!AI24</f>
        <v>0</v>
      </c>
      <c r="AD21" s="29">
        <f>generator_costs!AJ24</f>
        <v>1</v>
      </c>
      <c r="AE21" s="29">
        <f>generator_costs!AK24</f>
        <v>0</v>
      </c>
      <c r="AF21" s="29">
        <f>generator_costs!AL24</f>
        <v>0</v>
      </c>
      <c r="AG21" s="29">
        <f>generator_costs!AM24</f>
        <v>0</v>
      </c>
      <c r="AH21" s="29">
        <f>generator_costs!AN24</f>
        <v>0</v>
      </c>
      <c r="AI21" s="29">
        <f>generator_costs!AO24</f>
        <v>0</v>
      </c>
      <c r="AJ21" s="29">
        <f>generator_costs!AP24</f>
        <v>0</v>
      </c>
      <c r="AK21" s="29">
        <f>generator_costs!AQ24</f>
        <v>1</v>
      </c>
      <c r="AL21" s="29">
        <f>generator_costs!AR24</f>
        <v>0</v>
      </c>
      <c r="AM21" s="29" t="str">
        <f>generator_costs!AT24</f>
        <v>Same as existing gas steam turbines, 75% capital cost and fixed cost</v>
      </c>
    </row>
    <row r="22" spans="1:39">
      <c r="A22" s="29">
        <f>generator_costs!A25</f>
        <v>60</v>
      </c>
      <c r="B22" s="29" t="str">
        <f>generator_costs!B25</f>
        <v>DistillateFuelOil_Combustion_Turbine_EP</v>
      </c>
      <c r="C22" s="29">
        <f>generator_costs!C25</f>
        <v>2007</v>
      </c>
      <c r="D22" s="29">
        <f>generator_costs!D25</f>
        <v>0</v>
      </c>
      <c r="E22" s="29" t="str">
        <f>generator_costs!E25</f>
        <v>DistillateFuelOil</v>
      </c>
      <c r="F22" s="29">
        <f>generator_costs!L25</f>
        <v>1143900</v>
      </c>
      <c r="G22" s="29">
        <f>generator_costs!M25</f>
        <v>16182</v>
      </c>
      <c r="H22" s="29">
        <f>generator_costs!N25</f>
        <v>3.8688000000000002</v>
      </c>
      <c r="I22" s="29">
        <f>generator_costs!O25</f>
        <v>0</v>
      </c>
      <c r="J22" s="29">
        <f>generator_costs!P25</f>
        <v>91289</v>
      </c>
      <c r="K22" s="29">
        <f>generator_costs!Q25</f>
        <v>0</v>
      </c>
      <c r="L22" s="29">
        <f>generator_costs!R25</f>
        <v>1</v>
      </c>
      <c r="M22" s="29">
        <f>generator_costs!S25</f>
        <v>1</v>
      </c>
      <c r="N22" s="29">
        <f>generator_costs!T25</f>
        <v>0</v>
      </c>
      <c r="O22" s="29">
        <f>generator_costs!U25</f>
        <v>0</v>
      </c>
      <c r="P22" s="29">
        <f>generator_costs!V25</f>
        <v>0</v>
      </c>
      <c r="Q22" s="29">
        <f>generator_costs!W25</f>
        <v>0</v>
      </c>
      <c r="R22" s="29">
        <f>generator_costs!X25</f>
        <v>0</v>
      </c>
      <c r="S22" s="29">
        <f>generator_costs!Y25</f>
        <v>20</v>
      </c>
      <c r="T22" s="29">
        <f>generator_costs!Z25</f>
        <v>4.1300000000000003E-2</v>
      </c>
      <c r="U22" s="29">
        <f>generator_costs!AA25</f>
        <v>3.1800000000000002E-2</v>
      </c>
      <c r="V22" s="29">
        <f>generator_costs!AB25</f>
        <v>0</v>
      </c>
      <c r="W22" s="29">
        <f>generator_costs!AC25</f>
        <v>1</v>
      </c>
      <c r="X22" s="29">
        <f>generator_costs!AD25</f>
        <v>0</v>
      </c>
      <c r="Y22" s="29">
        <f>generator_costs!AE25</f>
        <v>0</v>
      </c>
      <c r="Z22" s="29">
        <f>generator_costs!AF25</f>
        <v>1</v>
      </c>
      <c r="AA22" s="29">
        <f>generator_costs!AG25</f>
        <v>0</v>
      </c>
      <c r="AB22" s="29">
        <f>generator_costs!AH25</f>
        <v>0</v>
      </c>
      <c r="AC22" s="29">
        <f>generator_costs!AI25</f>
        <v>0</v>
      </c>
      <c r="AD22" s="29">
        <f>generator_costs!AJ25</f>
        <v>0</v>
      </c>
      <c r="AE22" s="29">
        <f>generator_costs!AK25</f>
        <v>0</v>
      </c>
      <c r="AF22" s="29">
        <f>generator_costs!AL25</f>
        <v>0</v>
      </c>
      <c r="AG22" s="29">
        <f>generator_costs!AM25</f>
        <v>0</v>
      </c>
      <c r="AH22" s="29">
        <f>generator_costs!AN25</f>
        <v>0</v>
      </c>
      <c r="AI22" s="29">
        <f>generator_costs!AO25</f>
        <v>0.5</v>
      </c>
      <c r="AJ22" s="29">
        <f>generator_costs!AP25</f>
        <v>0.1</v>
      </c>
      <c r="AK22" s="29">
        <f>generator_costs!AQ25</f>
        <v>0</v>
      </c>
      <c r="AL22" s="29">
        <f>generator_costs!AR25</f>
        <v>0</v>
      </c>
      <c r="AM22" s="29" t="str">
        <f>generator_costs!AT25</f>
        <v>Same as existing Gas Combustion Turbine</v>
      </c>
    </row>
    <row r="23" spans="1:39">
      <c r="A23" s="29">
        <f>generator_costs!A26</f>
        <v>61</v>
      </c>
      <c r="B23" s="29" t="str">
        <f>generator_costs!B26</f>
        <v>DistillateFuelOil_Internal_Combustion_Engine_EP</v>
      </c>
      <c r="C23" s="29">
        <f>generator_costs!C26</f>
        <v>2007</v>
      </c>
      <c r="D23" s="29">
        <f>generator_costs!D26</f>
        <v>0</v>
      </c>
      <c r="E23" s="29" t="str">
        <f>generator_costs!E26</f>
        <v>DistillateFuelOil</v>
      </c>
      <c r="F23" s="29">
        <f>generator_costs!L26</f>
        <v>1143900</v>
      </c>
      <c r="G23" s="29">
        <f>generator_costs!M26</f>
        <v>16182</v>
      </c>
      <c r="H23" s="29">
        <f>generator_costs!N26</f>
        <v>3.8688000000000002</v>
      </c>
      <c r="I23" s="29">
        <f>generator_costs!O26</f>
        <v>0</v>
      </c>
      <c r="J23" s="29">
        <f>generator_costs!P26</f>
        <v>91289</v>
      </c>
      <c r="K23" s="29">
        <f>generator_costs!Q26</f>
        <v>0</v>
      </c>
      <c r="L23" s="29">
        <f>generator_costs!R26</f>
        <v>1</v>
      </c>
      <c r="M23" s="29">
        <f>generator_costs!S26</f>
        <v>1</v>
      </c>
      <c r="N23" s="29">
        <f>generator_costs!T26</f>
        <v>0</v>
      </c>
      <c r="O23" s="29">
        <f>generator_costs!U26</f>
        <v>0</v>
      </c>
      <c r="P23" s="29">
        <f>generator_costs!V26</f>
        <v>0</v>
      </c>
      <c r="Q23" s="29">
        <f>generator_costs!W26</f>
        <v>0</v>
      </c>
      <c r="R23" s="29">
        <f>generator_costs!X26</f>
        <v>0</v>
      </c>
      <c r="S23" s="29">
        <f>generator_costs!Y26</f>
        <v>20</v>
      </c>
      <c r="T23" s="29">
        <f>generator_costs!Z26</f>
        <v>4.1300000000000003E-2</v>
      </c>
      <c r="U23" s="29">
        <f>generator_costs!AA26</f>
        <v>3.1800000000000002E-2</v>
      </c>
      <c r="V23" s="29">
        <f>generator_costs!AB26</f>
        <v>0</v>
      </c>
      <c r="W23" s="29">
        <f>generator_costs!AC26</f>
        <v>1</v>
      </c>
      <c r="X23" s="29">
        <f>generator_costs!AD26</f>
        <v>0</v>
      </c>
      <c r="Y23" s="29">
        <f>generator_costs!AE26</f>
        <v>0</v>
      </c>
      <c r="Z23" s="29">
        <f>generator_costs!AF26</f>
        <v>1</v>
      </c>
      <c r="AA23" s="29">
        <f>generator_costs!AG26</f>
        <v>0</v>
      </c>
      <c r="AB23" s="29">
        <f>generator_costs!AH26</f>
        <v>0</v>
      </c>
      <c r="AC23" s="29">
        <f>generator_costs!AI26</f>
        <v>0</v>
      </c>
      <c r="AD23" s="29">
        <f>generator_costs!AJ26</f>
        <v>0</v>
      </c>
      <c r="AE23" s="29">
        <f>generator_costs!AK26</f>
        <v>0</v>
      </c>
      <c r="AF23" s="29">
        <f>generator_costs!AL26</f>
        <v>0</v>
      </c>
      <c r="AG23" s="29">
        <f>generator_costs!AM26</f>
        <v>0</v>
      </c>
      <c r="AH23" s="29">
        <f>generator_costs!AN26</f>
        <v>0</v>
      </c>
      <c r="AI23" s="29">
        <f>generator_costs!AO26</f>
        <v>0.5</v>
      </c>
      <c r="AJ23" s="29">
        <f>generator_costs!AP26</f>
        <v>0.1</v>
      </c>
      <c r="AK23" s="29">
        <f>generator_costs!AQ26</f>
        <v>0</v>
      </c>
      <c r="AL23" s="29">
        <f>generator_costs!AR26</f>
        <v>0</v>
      </c>
      <c r="AM23" s="29" t="str">
        <f>generator_costs!AT26</f>
        <v>Same as existing Gas Combustion Turbine</v>
      </c>
    </row>
    <row r="24" spans="1:39">
      <c r="A24" s="29">
        <f>generator_costs!A27</f>
        <v>8</v>
      </c>
      <c r="B24" s="29" t="str">
        <f>generator_costs!B27</f>
        <v>Bio_Gas</v>
      </c>
      <c r="C24" s="29">
        <f>generator_costs!C27</f>
        <v>2007</v>
      </c>
      <c r="D24" s="29">
        <f>generator_costs!D27</f>
        <v>2011</v>
      </c>
      <c r="E24" s="29" t="str">
        <f>generator_costs!E27</f>
        <v>Bio_Gas</v>
      </c>
      <c r="F24" s="29">
        <f>generator_costs!L27</f>
        <v>2411728.8961038957</v>
      </c>
      <c r="G24" s="29">
        <f>generator_costs!M27</f>
        <v>114250</v>
      </c>
      <c r="H24" s="29">
        <f>generator_costs!N27</f>
        <v>0.01</v>
      </c>
      <c r="I24" s="29">
        <f>generator_costs!O27</f>
        <v>-1.44E-2</v>
      </c>
      <c r="J24" s="29">
        <f>generator_costs!P27</f>
        <v>91289</v>
      </c>
      <c r="K24" s="29">
        <f>generator_costs!Q27</f>
        <v>13.648</v>
      </c>
      <c r="L24" s="29">
        <f>generator_costs!R27</f>
        <v>2</v>
      </c>
      <c r="M24" s="29">
        <f>generator_costs!S27</f>
        <v>0.25</v>
      </c>
      <c r="N24" s="29">
        <f>generator_costs!T27</f>
        <v>0.75</v>
      </c>
      <c r="O24" s="29">
        <f>generator_costs!U27</f>
        <v>0</v>
      </c>
      <c r="P24" s="29">
        <f>generator_costs!V27</f>
        <v>0</v>
      </c>
      <c r="Q24" s="29">
        <f>generator_costs!W27</f>
        <v>0</v>
      </c>
      <c r="R24" s="29">
        <f>generator_costs!X27</f>
        <v>0</v>
      </c>
      <c r="S24" s="29">
        <f>generator_costs!Y27</f>
        <v>30</v>
      </c>
      <c r="T24" s="29">
        <f>generator_costs!Z27</f>
        <v>4.1300000000000003E-2</v>
      </c>
      <c r="U24" s="29">
        <f>generator_costs!AA27</f>
        <v>3.1800000000000002E-2</v>
      </c>
      <c r="V24" s="29">
        <f>generator_costs!AB27</f>
        <v>0</v>
      </c>
      <c r="W24" s="29">
        <f>generator_costs!AC27</f>
        <v>1</v>
      </c>
      <c r="X24" s="29">
        <f>generator_costs!AD27</f>
        <v>1</v>
      </c>
      <c r="Y24" s="29">
        <f>generator_costs!AE27</f>
        <v>0</v>
      </c>
      <c r="Z24" s="29">
        <f>generator_costs!AF27</f>
        <v>0</v>
      </c>
      <c r="AA24" s="29">
        <f>generator_costs!AG27</f>
        <v>0</v>
      </c>
      <c r="AB24" s="29">
        <f>generator_costs!AH27</f>
        <v>0</v>
      </c>
      <c r="AC24" s="29">
        <f>generator_costs!AI27</f>
        <v>1</v>
      </c>
      <c r="AD24" s="29">
        <f>generator_costs!AJ27</f>
        <v>1</v>
      </c>
      <c r="AE24" s="29">
        <f>generator_costs!AK27</f>
        <v>0</v>
      </c>
      <c r="AF24" s="29">
        <f>generator_costs!AL27</f>
        <v>0</v>
      </c>
      <c r="AG24" s="29">
        <f>generator_costs!AM27</f>
        <v>0</v>
      </c>
      <c r="AH24" s="29">
        <f>generator_costs!AN27</f>
        <v>0</v>
      </c>
      <c r="AI24" s="29">
        <f>generator_costs!AO27</f>
        <v>0</v>
      </c>
      <c r="AJ24" s="29">
        <f>generator_costs!AP27</f>
        <v>0</v>
      </c>
      <c r="AK24" s="29">
        <f>generator_costs!AQ27</f>
        <v>1</v>
      </c>
      <c r="AL24" s="29">
        <f>generator_costs!AR27</f>
        <v>0</v>
      </c>
      <c r="AM24" s="29" t="str">
        <f>generator_costs!AT27</f>
        <v>EIA, cost declination rate, construction time, lifetime, outage rates assumed to be equal to gas combustion turbine</v>
      </c>
    </row>
    <row r="25" spans="1:39">
      <c r="A25" s="29">
        <f>generator_costs!A28</f>
        <v>36</v>
      </c>
      <c r="B25" s="29" t="str">
        <f>generator_costs!B28</f>
        <v>Bio_Gas_CCS</v>
      </c>
      <c r="C25" s="29">
        <f>generator_costs!C28</f>
        <v>2007</v>
      </c>
      <c r="D25" s="29">
        <f>generator_costs!D28</f>
        <v>2016</v>
      </c>
      <c r="E25" s="29" t="str">
        <f>generator_costs!E28</f>
        <v>Bio_Gas_CCS</v>
      </c>
      <c r="F25" s="29">
        <f>generator_costs!L28</f>
        <v>4509319.9961873535</v>
      </c>
      <c r="G25" s="29">
        <f>generator_costs!M28</f>
        <v>156337.85</v>
      </c>
      <c r="H25" s="29">
        <f>generator_costs!N28</f>
        <v>13.768217619783609</v>
      </c>
      <c r="I25" s="29">
        <f>generator_costs!O28</f>
        <v>-1.9385073910352327E-2</v>
      </c>
      <c r="J25" s="29">
        <f>generator_costs!P28</f>
        <v>91289</v>
      </c>
      <c r="K25" s="29">
        <f>generator_costs!Q28</f>
        <v>18.098893353941268</v>
      </c>
      <c r="L25" s="29">
        <f>generator_costs!R28</f>
        <v>3</v>
      </c>
      <c r="M25" s="29">
        <f>generator_costs!S28</f>
        <v>0.8</v>
      </c>
      <c r="N25" s="29">
        <f>generator_costs!T28</f>
        <v>0.1</v>
      </c>
      <c r="O25" s="29">
        <f>generator_costs!U28</f>
        <v>0.1</v>
      </c>
      <c r="P25" s="29">
        <f>generator_costs!V28</f>
        <v>0</v>
      </c>
      <c r="Q25" s="29">
        <f>generator_costs!W28</f>
        <v>0</v>
      </c>
      <c r="R25" s="29">
        <f>generator_costs!X28</f>
        <v>0</v>
      </c>
      <c r="S25" s="29">
        <f>generator_costs!Y28</f>
        <v>30</v>
      </c>
      <c r="T25" s="29">
        <f>generator_costs!Z28</f>
        <v>0.03</v>
      </c>
      <c r="U25" s="29">
        <f>generator_costs!AA28</f>
        <v>0.05</v>
      </c>
      <c r="V25" s="29">
        <f>generator_costs!AB28</f>
        <v>0</v>
      </c>
      <c r="W25" s="29">
        <f>generator_costs!AC28</f>
        <v>1</v>
      </c>
      <c r="X25" s="29">
        <f>generator_costs!AD28</f>
        <v>1</v>
      </c>
      <c r="Y25" s="29">
        <f>generator_costs!AE28</f>
        <v>0</v>
      </c>
      <c r="Z25" s="29">
        <f>generator_costs!AF28</f>
        <v>0</v>
      </c>
      <c r="AA25" s="29">
        <f>generator_costs!AG28</f>
        <v>0</v>
      </c>
      <c r="AB25" s="29">
        <f>generator_costs!AH28</f>
        <v>0</v>
      </c>
      <c r="AC25" s="29">
        <f>generator_costs!AI28</f>
        <v>1</v>
      </c>
      <c r="AD25" s="29">
        <f>generator_costs!AJ28</f>
        <v>1</v>
      </c>
      <c r="AE25" s="29">
        <f>generator_costs!AK28</f>
        <v>1</v>
      </c>
      <c r="AF25" s="29">
        <f>generator_costs!AL28</f>
        <v>0</v>
      </c>
      <c r="AG25" s="29">
        <f>generator_costs!AM28</f>
        <v>0</v>
      </c>
      <c r="AH25" s="29">
        <f>generator_costs!AN28</f>
        <v>0</v>
      </c>
      <c r="AI25" s="29">
        <f>generator_costs!AO28</f>
        <v>0</v>
      </c>
      <c r="AJ25" s="29">
        <f>generator_costs!AP28</f>
        <v>0</v>
      </c>
      <c r="AK25" s="29">
        <f>generator_costs!AQ28</f>
        <v>1</v>
      </c>
      <c r="AL25" s="29">
        <f>generator_costs!AR28</f>
        <v>0</v>
      </c>
      <c r="AM25" s="29" t="str">
        <f>generator_costs!AT28</f>
        <v>We assumed that the capital cost and fixed cost for adding a CCS system increase by the same amount (per W) as for gas combustion turbine; as biogas contains 50% pre-combustion CO2, we assumed that the biogas-CCS heat rate was the biogas non-CCS heat rate plus double the difference between CCS to non-CCS combustion turbine heat rates; we also assume a similar multiplier to variable costs</v>
      </c>
    </row>
    <row r="26" spans="1:39">
      <c r="A26" s="29">
        <f>generator_costs!A29</f>
        <v>105</v>
      </c>
      <c r="B26" s="29" t="str">
        <f>generator_costs!B29</f>
        <v>Bio_Gas_Internal_Combustion_Engine_Cogen</v>
      </c>
      <c r="C26" s="29">
        <f>generator_costs!C29</f>
        <v>2007</v>
      </c>
      <c r="D26" s="29">
        <f>generator_costs!D29</f>
        <v>2011</v>
      </c>
      <c r="E26" s="29" t="str">
        <f>generator_costs!E29</f>
        <v>Bio_Gas</v>
      </c>
      <c r="F26" s="29">
        <f>generator_costs!L29</f>
        <v>1782750</v>
      </c>
      <c r="G26" s="29">
        <f>generator_costs!M29</f>
        <v>114250</v>
      </c>
      <c r="H26" s="29">
        <f>generator_costs!N29</f>
        <v>0.01</v>
      </c>
      <c r="I26" s="29">
        <f>generator_costs!O29</f>
        <v>-1.44E-2</v>
      </c>
      <c r="J26" s="29">
        <f>generator_costs!P29</f>
        <v>91289</v>
      </c>
      <c r="K26" s="29">
        <f>generator_costs!Q29</f>
        <v>0</v>
      </c>
      <c r="L26" s="29">
        <f>generator_costs!R29</f>
        <v>2</v>
      </c>
      <c r="M26" s="29">
        <f>generator_costs!S29</f>
        <v>0.25</v>
      </c>
      <c r="N26" s="29">
        <f>generator_costs!T29</f>
        <v>0.75</v>
      </c>
      <c r="O26" s="29">
        <f>generator_costs!U29</f>
        <v>0</v>
      </c>
      <c r="P26" s="29">
        <f>generator_costs!V29</f>
        <v>0</v>
      </c>
      <c r="Q26" s="29">
        <f>generator_costs!W29</f>
        <v>0</v>
      </c>
      <c r="R26" s="29">
        <f>generator_costs!X29</f>
        <v>0</v>
      </c>
      <c r="S26" s="29">
        <f>generator_costs!Y29</f>
        <v>30</v>
      </c>
      <c r="T26" s="29">
        <f>generator_costs!Z29</f>
        <v>4.1300000000000003E-2</v>
      </c>
      <c r="U26" s="29">
        <f>generator_costs!AA29</f>
        <v>3.1800000000000002E-2</v>
      </c>
      <c r="V26" s="29">
        <f>generator_costs!AB29</f>
        <v>0</v>
      </c>
      <c r="W26" s="29">
        <f>generator_costs!AC29</f>
        <v>1</v>
      </c>
      <c r="X26" s="29">
        <f>generator_costs!AD29</f>
        <v>1</v>
      </c>
      <c r="Y26" s="29">
        <f>generator_costs!AE29</f>
        <v>0</v>
      </c>
      <c r="Z26" s="29">
        <f>generator_costs!AF29</f>
        <v>0</v>
      </c>
      <c r="AA26" s="29">
        <f>generator_costs!AG29</f>
        <v>1</v>
      </c>
      <c r="AB26" s="29">
        <f>generator_costs!AH29</f>
        <v>0</v>
      </c>
      <c r="AC26" s="29">
        <f>generator_costs!AI29</f>
        <v>1</v>
      </c>
      <c r="AD26" s="29">
        <f>generator_costs!AJ29</f>
        <v>1</v>
      </c>
      <c r="AE26" s="29">
        <f>generator_costs!AK29</f>
        <v>0</v>
      </c>
      <c r="AF26" s="29">
        <f>generator_costs!AL29</f>
        <v>0</v>
      </c>
      <c r="AG26" s="29">
        <f>generator_costs!AM29</f>
        <v>0</v>
      </c>
      <c r="AH26" s="29">
        <f>generator_costs!AN29</f>
        <v>0</v>
      </c>
      <c r="AI26" s="29">
        <f>generator_costs!AO29</f>
        <v>0</v>
      </c>
      <c r="AJ26" s="29">
        <f>generator_costs!AP29</f>
        <v>0</v>
      </c>
      <c r="AK26" s="29">
        <f>generator_costs!AQ29</f>
        <v>1</v>
      </c>
      <c r="AL26" s="29">
        <f>generator_costs!AR29</f>
        <v>0</v>
      </c>
      <c r="AM26" s="29" t="str">
        <f>generator_costs!AT29</f>
        <v>Same as new Biogas, 75% capital cost and fixed cost</v>
      </c>
    </row>
    <row r="27" spans="1:39">
      <c r="A27" s="29">
        <f>generator_costs!A30</f>
        <v>114</v>
      </c>
      <c r="B27" s="29" t="str">
        <f>generator_costs!B30</f>
        <v>Bio_Gas_Internal_Combustion_Engine_Cogen_CCS</v>
      </c>
      <c r="C27" s="29">
        <f>generator_costs!C30</f>
        <v>2007</v>
      </c>
      <c r="D27" s="29">
        <f>generator_costs!D30</f>
        <v>2016</v>
      </c>
      <c r="E27" s="29" t="str">
        <f>generator_costs!E30</f>
        <v>Bio_Gas_CCS</v>
      </c>
      <c r="F27" s="29">
        <f>generator_costs!L30</f>
        <v>3381989.9971405151</v>
      </c>
      <c r="G27" s="29">
        <f>generator_costs!M30</f>
        <v>117253.38750000001</v>
      </c>
      <c r="H27" s="29">
        <f>generator_costs!N30</f>
        <v>0</v>
      </c>
      <c r="I27" s="29">
        <f>generator_costs!O30</f>
        <v>-1.9385073910352327E-2</v>
      </c>
      <c r="J27" s="29">
        <f>generator_costs!P30</f>
        <v>91289</v>
      </c>
      <c r="K27" s="29">
        <f>generator_costs!Q30</f>
        <v>0</v>
      </c>
      <c r="L27" s="29">
        <f>generator_costs!R30</f>
        <v>3</v>
      </c>
      <c r="M27" s="29">
        <f>generator_costs!S30</f>
        <v>0.8</v>
      </c>
      <c r="N27" s="29">
        <f>generator_costs!T30</f>
        <v>0.1</v>
      </c>
      <c r="O27" s="29">
        <f>generator_costs!U30</f>
        <v>0.1</v>
      </c>
      <c r="P27" s="29">
        <f>generator_costs!V30</f>
        <v>0</v>
      </c>
      <c r="Q27" s="29">
        <f>generator_costs!W30</f>
        <v>0</v>
      </c>
      <c r="R27" s="29">
        <f>generator_costs!X30</f>
        <v>0</v>
      </c>
      <c r="S27" s="29">
        <f>generator_costs!Y30</f>
        <v>30</v>
      </c>
      <c r="T27" s="29">
        <f>generator_costs!Z30</f>
        <v>0.03</v>
      </c>
      <c r="U27" s="29">
        <f>generator_costs!AA30</f>
        <v>0.05</v>
      </c>
      <c r="V27" s="29">
        <f>generator_costs!AB30</f>
        <v>0</v>
      </c>
      <c r="W27" s="29">
        <f>generator_costs!AC30</f>
        <v>1</v>
      </c>
      <c r="X27" s="29">
        <f>generator_costs!AD30</f>
        <v>1</v>
      </c>
      <c r="Y27" s="29">
        <f>generator_costs!AE30</f>
        <v>0</v>
      </c>
      <c r="Z27" s="29">
        <f>generator_costs!AF30</f>
        <v>0</v>
      </c>
      <c r="AA27" s="29">
        <f>generator_costs!AG30</f>
        <v>1</v>
      </c>
      <c r="AB27" s="29">
        <f>generator_costs!AH30</f>
        <v>0</v>
      </c>
      <c r="AC27" s="29">
        <f>generator_costs!AI30</f>
        <v>1</v>
      </c>
      <c r="AD27" s="29">
        <f>generator_costs!AJ30</f>
        <v>1</v>
      </c>
      <c r="AE27" s="29">
        <f>generator_costs!AK30</f>
        <v>1</v>
      </c>
      <c r="AF27" s="29">
        <f>generator_costs!AL30</f>
        <v>0</v>
      </c>
      <c r="AG27" s="29">
        <f>generator_costs!AM30</f>
        <v>0</v>
      </c>
      <c r="AH27" s="29">
        <f>generator_costs!AN30</f>
        <v>0</v>
      </c>
      <c r="AI27" s="29">
        <f>generator_costs!AO30</f>
        <v>0</v>
      </c>
      <c r="AJ27" s="29">
        <f>generator_costs!AP30</f>
        <v>0</v>
      </c>
      <c r="AK27" s="29">
        <f>generator_costs!AQ30</f>
        <v>1</v>
      </c>
      <c r="AL27" s="29">
        <f>generator_costs!AR30</f>
        <v>0</v>
      </c>
      <c r="AM27" s="29" t="str">
        <f>generator_costs!AT30</f>
        <v>Same as new Biogas_CCS, 75% capital cost and fixed cost</v>
      </c>
    </row>
    <row r="28" spans="1:39">
      <c r="A28" s="29">
        <f>generator_costs!A31</f>
        <v>80</v>
      </c>
      <c r="B28" s="29" t="str">
        <f>generator_costs!B31</f>
        <v>Bio_Gas_Internal_Combustion_Engine_EP</v>
      </c>
      <c r="C28" s="29">
        <f>generator_costs!C31</f>
        <v>2007</v>
      </c>
      <c r="D28" s="29">
        <f>generator_costs!D31</f>
        <v>2011</v>
      </c>
      <c r="E28" s="29" t="str">
        <f>generator_costs!E31</f>
        <v>Bio_Gas</v>
      </c>
      <c r="F28" s="29">
        <f>generator_costs!L31</f>
        <v>2377000</v>
      </c>
      <c r="G28" s="29">
        <f>generator_costs!M31</f>
        <v>114250</v>
      </c>
      <c r="H28" s="29">
        <f>generator_costs!N31</f>
        <v>0.01</v>
      </c>
      <c r="I28" s="29">
        <f>generator_costs!O31</f>
        <v>0</v>
      </c>
      <c r="J28" s="29">
        <f>generator_costs!P31</f>
        <v>91289</v>
      </c>
      <c r="K28" s="29">
        <f>generator_costs!Q31</f>
        <v>0</v>
      </c>
      <c r="L28" s="29">
        <f>generator_costs!R31</f>
        <v>2</v>
      </c>
      <c r="M28" s="29">
        <f>generator_costs!S31</f>
        <v>0.25</v>
      </c>
      <c r="N28" s="29">
        <f>generator_costs!T31</f>
        <v>0.75</v>
      </c>
      <c r="O28" s="29">
        <f>generator_costs!U31</f>
        <v>0</v>
      </c>
      <c r="P28" s="29">
        <f>generator_costs!V31</f>
        <v>0</v>
      </c>
      <c r="Q28" s="29">
        <f>generator_costs!W31</f>
        <v>0</v>
      </c>
      <c r="R28" s="29">
        <f>generator_costs!X31</f>
        <v>0</v>
      </c>
      <c r="S28" s="29">
        <f>generator_costs!Y31</f>
        <v>30</v>
      </c>
      <c r="T28" s="29">
        <f>generator_costs!Z31</f>
        <v>4.1300000000000003E-2</v>
      </c>
      <c r="U28" s="29">
        <f>generator_costs!AA31</f>
        <v>3.1800000000000002E-2</v>
      </c>
      <c r="V28" s="29">
        <f>generator_costs!AB31</f>
        <v>0</v>
      </c>
      <c r="W28" s="29">
        <f>generator_costs!AC31</f>
        <v>1</v>
      </c>
      <c r="X28" s="29">
        <f>generator_costs!AD31</f>
        <v>1</v>
      </c>
      <c r="Y28" s="29">
        <f>generator_costs!AE31</f>
        <v>0</v>
      </c>
      <c r="Z28" s="29">
        <f>generator_costs!AF31</f>
        <v>0</v>
      </c>
      <c r="AA28" s="29">
        <f>generator_costs!AG31</f>
        <v>0</v>
      </c>
      <c r="AB28" s="29">
        <f>generator_costs!AH31</f>
        <v>0</v>
      </c>
      <c r="AC28" s="29">
        <f>generator_costs!AI31</f>
        <v>0</v>
      </c>
      <c r="AD28" s="29">
        <f>generator_costs!AJ31</f>
        <v>1</v>
      </c>
      <c r="AE28" s="29">
        <f>generator_costs!AK31</f>
        <v>0</v>
      </c>
      <c r="AF28" s="29">
        <f>generator_costs!AL31</f>
        <v>0</v>
      </c>
      <c r="AG28" s="29">
        <f>generator_costs!AM31</f>
        <v>0</v>
      </c>
      <c r="AH28" s="29">
        <f>generator_costs!AN31</f>
        <v>0</v>
      </c>
      <c r="AI28" s="29">
        <f>generator_costs!AO31</f>
        <v>0</v>
      </c>
      <c r="AJ28" s="29">
        <f>generator_costs!AP31</f>
        <v>0</v>
      </c>
      <c r="AK28" s="29">
        <f>generator_costs!AQ31</f>
        <v>1</v>
      </c>
      <c r="AL28" s="29">
        <f>generator_costs!AR31</f>
        <v>0</v>
      </c>
      <c r="AM28" s="29" t="str">
        <f>generator_costs!AT31</f>
        <v>Same as new Biogas</v>
      </c>
    </row>
    <row r="29" spans="1:39">
      <c r="A29" s="29">
        <f>generator_costs!A32</f>
        <v>81</v>
      </c>
      <c r="B29" s="29" t="str">
        <f>generator_costs!B32</f>
        <v>Bio_Gas_Internal_Combustion_Engine_Cogen_EP</v>
      </c>
      <c r="C29" s="29">
        <f>generator_costs!C32</f>
        <v>2007</v>
      </c>
      <c r="D29" s="29">
        <f>generator_costs!D32</f>
        <v>2011</v>
      </c>
      <c r="E29" s="29" t="str">
        <f>generator_costs!E32</f>
        <v>Bio_Gas</v>
      </c>
      <c r="F29" s="29">
        <f>generator_costs!L32</f>
        <v>1782750</v>
      </c>
      <c r="G29" s="29">
        <f>generator_costs!M32</f>
        <v>114250</v>
      </c>
      <c r="H29" s="29">
        <f>generator_costs!N32</f>
        <v>0.01</v>
      </c>
      <c r="I29" s="29">
        <f>generator_costs!O32</f>
        <v>0</v>
      </c>
      <c r="J29" s="29">
        <f>generator_costs!P32</f>
        <v>91289</v>
      </c>
      <c r="K29" s="29">
        <f>generator_costs!Q32</f>
        <v>0</v>
      </c>
      <c r="L29" s="29">
        <f>generator_costs!R32</f>
        <v>2</v>
      </c>
      <c r="M29" s="29">
        <f>generator_costs!S32</f>
        <v>0.25</v>
      </c>
      <c r="N29" s="29">
        <f>generator_costs!T32</f>
        <v>0.75</v>
      </c>
      <c r="O29" s="29">
        <f>generator_costs!U32</f>
        <v>0</v>
      </c>
      <c r="P29" s="29">
        <f>generator_costs!V32</f>
        <v>0</v>
      </c>
      <c r="Q29" s="29">
        <f>generator_costs!W32</f>
        <v>0</v>
      </c>
      <c r="R29" s="29">
        <f>generator_costs!X32</f>
        <v>0</v>
      </c>
      <c r="S29" s="29">
        <f>generator_costs!Y32</f>
        <v>30</v>
      </c>
      <c r="T29" s="29">
        <f>generator_costs!Z32</f>
        <v>4.1300000000000003E-2</v>
      </c>
      <c r="U29" s="29">
        <f>generator_costs!AA32</f>
        <v>3.1800000000000002E-2</v>
      </c>
      <c r="V29" s="29">
        <f>generator_costs!AB32</f>
        <v>0</v>
      </c>
      <c r="W29" s="29">
        <f>generator_costs!AC32</f>
        <v>1</v>
      </c>
      <c r="X29" s="29">
        <f>generator_costs!AD32</f>
        <v>1</v>
      </c>
      <c r="Y29" s="29">
        <f>generator_costs!AE32</f>
        <v>0</v>
      </c>
      <c r="Z29" s="29">
        <f>generator_costs!AF32</f>
        <v>0</v>
      </c>
      <c r="AA29" s="29">
        <f>generator_costs!AG32</f>
        <v>1</v>
      </c>
      <c r="AB29" s="29">
        <f>generator_costs!AH32</f>
        <v>0</v>
      </c>
      <c r="AC29" s="29">
        <f>generator_costs!AI32</f>
        <v>0</v>
      </c>
      <c r="AD29" s="29">
        <f>generator_costs!AJ32</f>
        <v>1</v>
      </c>
      <c r="AE29" s="29">
        <f>generator_costs!AK32</f>
        <v>0</v>
      </c>
      <c r="AF29" s="29">
        <f>generator_costs!AL32</f>
        <v>0</v>
      </c>
      <c r="AG29" s="29">
        <f>generator_costs!AM32</f>
        <v>0</v>
      </c>
      <c r="AH29" s="29">
        <f>generator_costs!AN32</f>
        <v>0</v>
      </c>
      <c r="AI29" s="29">
        <f>generator_costs!AO32</f>
        <v>0</v>
      </c>
      <c r="AJ29" s="29">
        <f>generator_costs!AP32</f>
        <v>0</v>
      </c>
      <c r="AK29" s="29">
        <f>generator_costs!AQ32</f>
        <v>1</v>
      </c>
      <c r="AL29" s="29">
        <f>generator_costs!AR32</f>
        <v>0</v>
      </c>
      <c r="AM29" s="29" t="str">
        <f>generator_costs!AT32</f>
        <v>Same as new Biogas, 75% capital cost and fixed cost</v>
      </c>
    </row>
    <row r="30" spans="1:39">
      <c r="A30" s="29">
        <f>generator_costs!A33</f>
        <v>82</v>
      </c>
      <c r="B30" s="29" t="str">
        <f>generator_costs!B33</f>
        <v>Bio_Gas_Steam_Turbine_EP</v>
      </c>
      <c r="C30" s="29">
        <f>generator_costs!C33</f>
        <v>2007</v>
      </c>
      <c r="D30" s="29">
        <f>generator_costs!D33</f>
        <v>0</v>
      </c>
      <c r="E30" s="29" t="str">
        <f>generator_costs!E33</f>
        <v>Bio_Gas</v>
      </c>
      <c r="F30" s="29">
        <f>generator_costs!L33</f>
        <v>2055938.0995425028</v>
      </c>
      <c r="G30" s="29">
        <f>generator_costs!M33</f>
        <v>126793.1</v>
      </c>
      <c r="H30" s="29">
        <f>generator_costs!N33</f>
        <v>3.47</v>
      </c>
      <c r="I30" s="29">
        <f>generator_costs!O33</f>
        <v>0</v>
      </c>
      <c r="J30" s="29">
        <f>generator_costs!P33</f>
        <v>91289</v>
      </c>
      <c r="K30" s="29">
        <f>generator_costs!Q33</f>
        <v>0</v>
      </c>
      <c r="L30" s="29">
        <f>generator_costs!R33</f>
        <v>3</v>
      </c>
      <c r="M30" s="29">
        <f>generator_costs!S33</f>
        <v>0.5</v>
      </c>
      <c r="N30" s="29">
        <f>generator_costs!T33</f>
        <v>0.4</v>
      </c>
      <c r="O30" s="29">
        <f>generator_costs!U33</f>
        <v>0.1</v>
      </c>
      <c r="P30" s="29">
        <f>generator_costs!V33</f>
        <v>0</v>
      </c>
      <c r="Q30" s="29">
        <f>generator_costs!W33</f>
        <v>0</v>
      </c>
      <c r="R30" s="29">
        <f>generator_costs!X33</f>
        <v>0</v>
      </c>
      <c r="S30" s="29">
        <f>generator_costs!Y33</f>
        <v>45</v>
      </c>
      <c r="T30" s="29">
        <f>generator_costs!Z33</f>
        <v>0.1</v>
      </c>
      <c r="U30" s="29">
        <f>generator_costs!AA33</f>
        <v>2.5999999999999999E-2</v>
      </c>
      <c r="V30" s="29">
        <f>generator_costs!AB33</f>
        <v>0</v>
      </c>
      <c r="W30" s="29">
        <f>generator_costs!AC33</f>
        <v>1</v>
      </c>
      <c r="X30" s="29">
        <f>generator_costs!AD33</f>
        <v>1</v>
      </c>
      <c r="Y30" s="29">
        <f>generator_costs!AE33</f>
        <v>0</v>
      </c>
      <c r="Z30" s="29">
        <f>generator_costs!AF33</f>
        <v>0</v>
      </c>
      <c r="AA30" s="29">
        <f>generator_costs!AG33</f>
        <v>0</v>
      </c>
      <c r="AB30" s="29">
        <f>generator_costs!AH33</f>
        <v>0</v>
      </c>
      <c r="AC30" s="29">
        <f>generator_costs!AI33</f>
        <v>0</v>
      </c>
      <c r="AD30" s="29">
        <f>generator_costs!AJ33</f>
        <v>1</v>
      </c>
      <c r="AE30" s="29">
        <f>generator_costs!AK33</f>
        <v>0</v>
      </c>
      <c r="AF30" s="29">
        <f>generator_costs!AL33</f>
        <v>0</v>
      </c>
      <c r="AG30" s="29">
        <f>generator_costs!AM33</f>
        <v>0</v>
      </c>
      <c r="AH30" s="29">
        <f>generator_costs!AN33</f>
        <v>0</v>
      </c>
      <c r="AI30" s="29">
        <f>generator_costs!AO33</f>
        <v>0</v>
      </c>
      <c r="AJ30" s="29">
        <f>generator_costs!AP33</f>
        <v>0</v>
      </c>
      <c r="AK30" s="29">
        <f>generator_costs!AQ33</f>
        <v>1</v>
      </c>
      <c r="AL30" s="29">
        <f>generator_costs!AR33</f>
        <v>0</v>
      </c>
      <c r="AM30" s="29" t="str">
        <f>generator_costs!AT33</f>
        <v>Everything but costs same as gas steam turbine; captial and fixed costs are assumed to be the gas steam turbine cost plus the difference between biogas and gas combustion turbine</v>
      </c>
    </row>
    <row r="31" spans="1:39">
      <c r="A31" s="29">
        <f>generator_costs!A34</f>
        <v>106</v>
      </c>
      <c r="B31" s="29" t="str">
        <f>generator_costs!B34</f>
        <v>Bio_Liquid_Steam_Turbine_Cogen</v>
      </c>
      <c r="C31" s="29">
        <f>generator_costs!C34</f>
        <v>2007</v>
      </c>
      <c r="D31" s="29">
        <f>generator_costs!D34</f>
        <v>2011</v>
      </c>
      <c r="E31" s="29" t="str">
        <f>generator_costs!E34</f>
        <v>Bio_Liquid</v>
      </c>
      <c r="F31" s="29">
        <f>generator_costs!L34</f>
        <v>2292723.0992176426</v>
      </c>
      <c r="G31" s="29">
        <f>generator_costs!M34</f>
        <v>69401.25</v>
      </c>
      <c r="H31" s="29">
        <f>generator_costs!N34</f>
        <v>4.1292000000000009</v>
      </c>
      <c r="I31" s="29">
        <f>generator_costs!O34</f>
        <v>-5.4999999999999997E-3</v>
      </c>
      <c r="J31" s="29">
        <f>generator_costs!P34</f>
        <v>91289</v>
      </c>
      <c r="K31" s="29">
        <f>generator_costs!Q34</f>
        <v>0</v>
      </c>
      <c r="L31" s="29">
        <f>generator_costs!R34</f>
        <v>2</v>
      </c>
      <c r="M31" s="29">
        <f>generator_costs!S34</f>
        <v>0.2</v>
      </c>
      <c r="N31" s="29">
        <f>generator_costs!T34</f>
        <v>0.8</v>
      </c>
      <c r="O31" s="29">
        <f>generator_costs!U34</f>
        <v>0</v>
      </c>
      <c r="P31" s="29">
        <f>generator_costs!V34</f>
        <v>0</v>
      </c>
      <c r="Q31" s="29">
        <f>generator_costs!W34</f>
        <v>0</v>
      </c>
      <c r="R31" s="29">
        <f>generator_costs!X34</f>
        <v>0</v>
      </c>
      <c r="S31" s="29">
        <f>generator_costs!Y34</f>
        <v>20</v>
      </c>
      <c r="T31" s="29">
        <f>generator_costs!Z34</f>
        <v>0.08</v>
      </c>
      <c r="U31" s="29">
        <f>generator_costs!AA34</f>
        <v>0.03</v>
      </c>
      <c r="V31" s="29">
        <f>generator_costs!AB34</f>
        <v>0</v>
      </c>
      <c r="W31" s="29">
        <f>generator_costs!AC34</f>
        <v>1</v>
      </c>
      <c r="X31" s="29">
        <f>generator_costs!AD34</f>
        <v>1</v>
      </c>
      <c r="Y31" s="29">
        <f>generator_costs!AE34</f>
        <v>0</v>
      </c>
      <c r="Z31" s="29">
        <f>generator_costs!AF34</f>
        <v>0</v>
      </c>
      <c r="AA31" s="29">
        <f>generator_costs!AG34</f>
        <v>1</v>
      </c>
      <c r="AB31" s="29">
        <f>generator_costs!AH34</f>
        <v>0</v>
      </c>
      <c r="AC31" s="29">
        <f>generator_costs!AI34</f>
        <v>1</v>
      </c>
      <c r="AD31" s="29">
        <f>generator_costs!AJ34</f>
        <v>1</v>
      </c>
      <c r="AE31" s="29">
        <f>generator_costs!AK34</f>
        <v>0</v>
      </c>
      <c r="AF31" s="29">
        <f>generator_costs!AL34</f>
        <v>0</v>
      </c>
      <c r="AG31" s="29">
        <f>generator_costs!AM34</f>
        <v>0</v>
      </c>
      <c r="AH31" s="29">
        <f>generator_costs!AN34</f>
        <v>0</v>
      </c>
      <c r="AI31" s="29">
        <f>generator_costs!AO34</f>
        <v>0</v>
      </c>
      <c r="AJ31" s="29">
        <f>generator_costs!AP34</f>
        <v>0</v>
      </c>
      <c r="AK31" s="29">
        <f>generator_costs!AQ34</f>
        <v>1</v>
      </c>
      <c r="AL31" s="29">
        <f>generator_costs!AR34</f>
        <v>0</v>
      </c>
      <c r="AM31" s="29" t="str">
        <f>generator_costs!AT34</f>
        <v>Same as new biomass steam turbine, 75% capital cost and fixed cost</v>
      </c>
    </row>
    <row r="32" spans="1:39">
      <c r="A32" s="29">
        <f>generator_costs!A35</f>
        <v>115</v>
      </c>
      <c r="B32" s="29" t="str">
        <f>generator_costs!B35</f>
        <v>Bio_Liquid_Steam_Turbine_Cogen_CCS</v>
      </c>
      <c r="C32" s="29">
        <f>generator_costs!C35</f>
        <v>2007</v>
      </c>
      <c r="D32" s="29">
        <f>generator_costs!D35</f>
        <v>2016</v>
      </c>
      <c r="E32" s="29" t="str">
        <f>generator_costs!E35</f>
        <v>Bio_Liquid_CCS</v>
      </c>
      <c r="F32" s="29">
        <f>generator_costs!L35</f>
        <v>2966454.2026252528</v>
      </c>
      <c r="G32" s="29">
        <f>generator_costs!M35</f>
        <v>92445.745500000005</v>
      </c>
      <c r="H32" s="29">
        <f>generator_costs!N35</f>
        <v>0</v>
      </c>
      <c r="I32" s="29">
        <f>generator_costs!O35</f>
        <v>-1.3707232165085709E-2</v>
      </c>
      <c r="J32" s="29">
        <f>generator_costs!P35</f>
        <v>91289</v>
      </c>
      <c r="K32" s="29">
        <f>generator_costs!Q35</f>
        <v>0</v>
      </c>
      <c r="L32" s="29">
        <f>generator_costs!R35</f>
        <v>2</v>
      </c>
      <c r="M32" s="29">
        <f>generator_costs!S35</f>
        <v>0.2</v>
      </c>
      <c r="N32" s="29">
        <f>generator_costs!T35</f>
        <v>0.8</v>
      </c>
      <c r="O32" s="29">
        <f>generator_costs!U35</f>
        <v>0</v>
      </c>
      <c r="P32" s="29">
        <f>generator_costs!V35</f>
        <v>0</v>
      </c>
      <c r="Q32" s="29">
        <f>generator_costs!W35</f>
        <v>0</v>
      </c>
      <c r="R32" s="29">
        <f>generator_costs!X35</f>
        <v>0</v>
      </c>
      <c r="S32" s="29">
        <f>generator_costs!Y35</f>
        <v>20</v>
      </c>
      <c r="T32" s="29">
        <f>generator_costs!Z35</f>
        <v>0.08</v>
      </c>
      <c r="U32" s="29">
        <f>generator_costs!AA35</f>
        <v>0.03</v>
      </c>
      <c r="V32" s="29">
        <f>generator_costs!AB35</f>
        <v>0</v>
      </c>
      <c r="W32" s="29">
        <f>generator_costs!AC35</f>
        <v>1</v>
      </c>
      <c r="X32" s="29">
        <f>generator_costs!AD35</f>
        <v>1</v>
      </c>
      <c r="Y32" s="29">
        <f>generator_costs!AE35</f>
        <v>0</v>
      </c>
      <c r="Z32" s="29">
        <f>generator_costs!AF35</f>
        <v>0</v>
      </c>
      <c r="AA32" s="29">
        <f>generator_costs!AG35</f>
        <v>1</v>
      </c>
      <c r="AB32" s="29">
        <f>generator_costs!AH35</f>
        <v>0</v>
      </c>
      <c r="AC32" s="29">
        <f>generator_costs!AI35</f>
        <v>1</v>
      </c>
      <c r="AD32" s="29">
        <f>generator_costs!AJ35</f>
        <v>1</v>
      </c>
      <c r="AE32" s="29">
        <f>generator_costs!AK35</f>
        <v>1</v>
      </c>
      <c r="AF32" s="29">
        <f>generator_costs!AL35</f>
        <v>0</v>
      </c>
      <c r="AG32" s="29">
        <f>generator_costs!AM35</f>
        <v>0</v>
      </c>
      <c r="AH32" s="29">
        <f>generator_costs!AN35</f>
        <v>0</v>
      </c>
      <c r="AI32" s="29">
        <f>generator_costs!AO35</f>
        <v>0</v>
      </c>
      <c r="AJ32" s="29">
        <f>generator_costs!AP35</f>
        <v>0</v>
      </c>
      <c r="AK32" s="29">
        <f>generator_costs!AQ35</f>
        <v>1</v>
      </c>
      <c r="AL32" s="29">
        <f>generator_costs!AR35</f>
        <v>0</v>
      </c>
      <c r="AM32" s="29" t="str">
        <f>generator_costs!AT35</f>
        <v>Costs are same as Bio_Solid_Steam_Turbine_Cogen_CCS; flags same as Bio_Liquid_Steam_Turbine_Cogen</v>
      </c>
    </row>
    <row r="33" spans="1:39">
      <c r="A33" s="29">
        <f>generator_costs!A36</f>
        <v>85</v>
      </c>
      <c r="B33" s="29" t="str">
        <f>generator_costs!B36</f>
        <v>Bio_Liquid_Steam_Turbine_Cogen_EP</v>
      </c>
      <c r="C33" s="29">
        <f>generator_costs!C36</f>
        <v>2007</v>
      </c>
      <c r="D33" s="29">
        <f>generator_costs!D36</f>
        <v>0</v>
      </c>
      <c r="E33" s="29" t="str">
        <f>generator_costs!E36</f>
        <v>Bio_Liquid</v>
      </c>
      <c r="F33" s="29">
        <f>generator_costs!L36</f>
        <v>2292723.0992176426</v>
      </c>
      <c r="G33" s="29">
        <f>generator_costs!M36</f>
        <v>69401.25</v>
      </c>
      <c r="H33" s="29">
        <f>generator_costs!N36</f>
        <v>4.1292000000000009</v>
      </c>
      <c r="I33" s="29">
        <f>generator_costs!O36</f>
        <v>0</v>
      </c>
      <c r="J33" s="29">
        <f>generator_costs!P36</f>
        <v>91289</v>
      </c>
      <c r="K33" s="29">
        <f>generator_costs!Q36</f>
        <v>0</v>
      </c>
      <c r="L33" s="29">
        <f>generator_costs!R36</f>
        <v>2</v>
      </c>
      <c r="M33" s="29">
        <f>generator_costs!S36</f>
        <v>0.2</v>
      </c>
      <c r="N33" s="29">
        <f>generator_costs!T36</f>
        <v>0.8</v>
      </c>
      <c r="O33" s="29">
        <f>generator_costs!U36</f>
        <v>0</v>
      </c>
      <c r="P33" s="29">
        <f>generator_costs!V36</f>
        <v>0</v>
      </c>
      <c r="Q33" s="29">
        <f>generator_costs!W36</f>
        <v>0</v>
      </c>
      <c r="R33" s="29">
        <f>generator_costs!X36</f>
        <v>0</v>
      </c>
      <c r="S33" s="29">
        <f>generator_costs!Y36</f>
        <v>20</v>
      </c>
      <c r="T33" s="29">
        <f>generator_costs!Z36</f>
        <v>0.08</v>
      </c>
      <c r="U33" s="29">
        <f>generator_costs!AA36</f>
        <v>0.03</v>
      </c>
      <c r="V33" s="29">
        <f>generator_costs!AB36</f>
        <v>0</v>
      </c>
      <c r="W33" s="29">
        <f>generator_costs!AC36</f>
        <v>1</v>
      </c>
      <c r="X33" s="29">
        <f>generator_costs!AD36</f>
        <v>1</v>
      </c>
      <c r="Y33" s="29">
        <f>generator_costs!AE36</f>
        <v>0</v>
      </c>
      <c r="Z33" s="29">
        <f>generator_costs!AF36</f>
        <v>0</v>
      </c>
      <c r="AA33" s="29">
        <f>generator_costs!AG36</f>
        <v>1</v>
      </c>
      <c r="AB33" s="29">
        <f>generator_costs!AH36</f>
        <v>0</v>
      </c>
      <c r="AC33" s="29">
        <f>generator_costs!AI36</f>
        <v>0</v>
      </c>
      <c r="AD33" s="29">
        <f>generator_costs!AJ36</f>
        <v>1</v>
      </c>
      <c r="AE33" s="29">
        <f>generator_costs!AK36</f>
        <v>0</v>
      </c>
      <c r="AF33" s="29">
        <f>generator_costs!AL36</f>
        <v>0</v>
      </c>
      <c r="AG33" s="29">
        <f>generator_costs!AM36</f>
        <v>0</v>
      </c>
      <c r="AH33" s="29">
        <f>generator_costs!AN36</f>
        <v>0</v>
      </c>
      <c r="AI33" s="29">
        <f>generator_costs!AO36</f>
        <v>0</v>
      </c>
      <c r="AJ33" s="29">
        <f>generator_costs!AP36</f>
        <v>0</v>
      </c>
      <c r="AK33" s="29">
        <f>generator_costs!AQ36</f>
        <v>1</v>
      </c>
      <c r="AL33" s="29">
        <f>generator_costs!AR36</f>
        <v>0</v>
      </c>
      <c r="AM33" s="29" t="str">
        <f>generator_costs!AT36</f>
        <v>Same as new biomass steam turbine, 75% capital cost and fixed cost</v>
      </c>
    </row>
    <row r="34" spans="1:39">
      <c r="A34" s="29">
        <f>generator_costs!A37</f>
        <v>10</v>
      </c>
      <c r="B34" s="29" t="str">
        <f>generator_costs!B37</f>
        <v>Biomass_IGCC</v>
      </c>
      <c r="C34" s="29">
        <f>generator_costs!C37</f>
        <v>2007</v>
      </c>
      <c r="D34" s="29">
        <f>generator_costs!D37</f>
        <v>2011</v>
      </c>
      <c r="E34" s="29" t="str">
        <f>generator_costs!E37</f>
        <v>Bio_Solid</v>
      </c>
      <c r="F34" s="29">
        <f>generator_costs!L37</f>
        <v>2869663.4675536556</v>
      </c>
      <c r="G34" s="29">
        <f>generator_costs!M37</f>
        <v>139500</v>
      </c>
      <c r="H34" s="29">
        <f>generator_costs!N37</f>
        <v>3.7107000000000006</v>
      </c>
      <c r="I34" s="29">
        <f>generator_costs!O37</f>
        <v>-1.4800000000000001E-2</v>
      </c>
      <c r="J34" s="29">
        <f>generator_costs!P37</f>
        <v>91289</v>
      </c>
      <c r="K34" s="29">
        <f>generator_costs!Q37</f>
        <v>10.5</v>
      </c>
      <c r="L34" s="29">
        <f>generator_costs!R37</f>
        <v>2</v>
      </c>
      <c r="M34" s="29">
        <f>generator_costs!S37</f>
        <v>0.25</v>
      </c>
      <c r="N34" s="29">
        <f>generator_costs!T37</f>
        <v>0.75</v>
      </c>
      <c r="O34" s="29">
        <f>generator_costs!U37</f>
        <v>0</v>
      </c>
      <c r="P34" s="29">
        <f>generator_costs!V37</f>
        <v>0</v>
      </c>
      <c r="Q34" s="29">
        <f>generator_costs!W37</f>
        <v>0</v>
      </c>
      <c r="R34" s="29">
        <f>generator_costs!X37</f>
        <v>0</v>
      </c>
      <c r="S34" s="29">
        <f>generator_costs!Y37</f>
        <v>20</v>
      </c>
      <c r="T34" s="29">
        <f>generator_costs!Z37</f>
        <v>0.08</v>
      </c>
      <c r="U34" s="29">
        <f>generator_costs!AA37</f>
        <v>0.03</v>
      </c>
      <c r="V34" s="29">
        <f>generator_costs!AB37</f>
        <v>0</v>
      </c>
      <c r="W34" s="29">
        <f>generator_costs!AC37</f>
        <v>1</v>
      </c>
      <c r="X34" s="29">
        <f>generator_costs!AD37</f>
        <v>1</v>
      </c>
      <c r="Y34" s="29">
        <f>generator_costs!AE37</f>
        <v>0</v>
      </c>
      <c r="Z34" s="29">
        <f>generator_costs!AF37</f>
        <v>0</v>
      </c>
      <c r="AA34" s="29">
        <f>generator_costs!AG37</f>
        <v>0</v>
      </c>
      <c r="AB34" s="29">
        <f>generator_costs!AH37</f>
        <v>0</v>
      </c>
      <c r="AC34" s="29">
        <f>generator_costs!AI37</f>
        <v>1</v>
      </c>
      <c r="AD34" s="29">
        <f>generator_costs!AJ37</f>
        <v>1</v>
      </c>
      <c r="AE34" s="29">
        <f>generator_costs!AK37</f>
        <v>0</v>
      </c>
      <c r="AF34" s="29">
        <f>generator_costs!AL37</f>
        <v>0</v>
      </c>
      <c r="AG34" s="29">
        <f>generator_costs!AM37</f>
        <v>0</v>
      </c>
      <c r="AH34" s="29">
        <f>generator_costs!AN37</f>
        <v>0</v>
      </c>
      <c r="AI34" s="29">
        <f>generator_costs!AO37</f>
        <v>0</v>
      </c>
      <c r="AJ34" s="29">
        <f>generator_costs!AP37</f>
        <v>0</v>
      </c>
      <c r="AK34" s="29">
        <f>generator_costs!AQ37</f>
        <v>1</v>
      </c>
      <c r="AL34" s="29">
        <f>generator_costs!AR37</f>
        <v>0</v>
      </c>
      <c r="AM34" s="29" t="str">
        <f>generator_costs!AT37</f>
        <v>EIA, cost declination rate, construction time, lifetime, outage rates assumed to be equal to coal IGCC</v>
      </c>
    </row>
    <row r="35" spans="1:39">
      <c r="A35" s="29">
        <f>generator_costs!A38</f>
        <v>37</v>
      </c>
      <c r="B35" s="29" t="str">
        <f>generator_costs!B38</f>
        <v>Biomass_IGCC_CCS</v>
      </c>
      <c r="C35" s="29">
        <f>generator_costs!C38</f>
        <v>2007</v>
      </c>
      <c r="D35" s="29">
        <f>generator_costs!D38</f>
        <v>2016</v>
      </c>
      <c r="E35" s="29" t="str">
        <f>generator_costs!E38</f>
        <v>Bio_Solid_CCS</v>
      </c>
      <c r="F35" s="29">
        <f>generator_costs!L38</f>
        <v>4942575.6502073752</v>
      </c>
      <c r="G35" s="29">
        <f>generator_costs!M38</f>
        <v>158188.44</v>
      </c>
      <c r="H35" s="29">
        <f>generator_costs!N38</f>
        <v>5.0042963793103432</v>
      </c>
      <c r="I35" s="29">
        <f>generator_costs!O38</f>
        <v>-1.7047650087669619E-2</v>
      </c>
      <c r="J35" s="29">
        <f>generator_costs!P38</f>
        <v>91289</v>
      </c>
      <c r="K35" s="29">
        <f>generator_costs!Q38</f>
        <v>12.913793103448276</v>
      </c>
      <c r="L35" s="29">
        <f>generator_costs!R38</f>
        <v>2</v>
      </c>
      <c r="M35" s="29">
        <f>generator_costs!S38</f>
        <v>0.4</v>
      </c>
      <c r="N35" s="29">
        <f>generator_costs!T38</f>
        <v>0.3</v>
      </c>
      <c r="O35" s="29">
        <f>generator_costs!U38</f>
        <v>0.2</v>
      </c>
      <c r="P35" s="29">
        <f>generator_costs!V38</f>
        <v>0.1</v>
      </c>
      <c r="Q35" s="29">
        <f>generator_costs!W38</f>
        <v>0</v>
      </c>
      <c r="R35" s="29">
        <f>generator_costs!X38</f>
        <v>0</v>
      </c>
      <c r="S35" s="29">
        <f>generator_costs!Y38</f>
        <v>40</v>
      </c>
      <c r="T35" s="29">
        <f>generator_costs!Z38</f>
        <v>0.06</v>
      </c>
      <c r="U35" s="29">
        <f>generator_costs!AA38</f>
        <v>0.1</v>
      </c>
      <c r="V35" s="29">
        <f>generator_costs!AB38</f>
        <v>0</v>
      </c>
      <c r="W35" s="29">
        <f>generator_costs!AC38</f>
        <v>1</v>
      </c>
      <c r="X35" s="29">
        <f>generator_costs!AD38</f>
        <v>1</v>
      </c>
      <c r="Y35" s="29">
        <f>generator_costs!AE38</f>
        <v>0</v>
      </c>
      <c r="Z35" s="29">
        <f>generator_costs!AF38</f>
        <v>0</v>
      </c>
      <c r="AA35" s="29">
        <f>generator_costs!AG38</f>
        <v>0</v>
      </c>
      <c r="AB35" s="29">
        <f>generator_costs!AH38</f>
        <v>0</v>
      </c>
      <c r="AC35" s="29">
        <f>generator_costs!AI38</f>
        <v>1</v>
      </c>
      <c r="AD35" s="29">
        <f>generator_costs!AJ38</f>
        <v>1</v>
      </c>
      <c r="AE35" s="29">
        <f>generator_costs!AK38</f>
        <v>1</v>
      </c>
      <c r="AF35" s="29">
        <f>generator_costs!AL38</f>
        <v>0</v>
      </c>
      <c r="AG35" s="29">
        <f>generator_costs!AM38</f>
        <v>0</v>
      </c>
      <c r="AH35" s="29">
        <f>generator_costs!AN38</f>
        <v>0</v>
      </c>
      <c r="AI35" s="29">
        <f>generator_costs!AO38</f>
        <v>0</v>
      </c>
      <c r="AJ35" s="29">
        <f>generator_costs!AP38</f>
        <v>0</v>
      </c>
      <c r="AK35" s="29">
        <f>generator_costs!AQ38</f>
        <v>1</v>
      </c>
      <c r="AL35" s="29">
        <f>generator_costs!AR38</f>
        <v>0</v>
      </c>
      <c r="AM35" s="29" t="str">
        <f>generator_costs!AT38</f>
        <v>We assumed that the capital cost and fixed cost for adding a CCS system increase by the same amount (per W) as for Coal IGCC;  we assumed CCS biomass IGCC heat rate increases by the same percentage relative to non-CCS biomass IGCC as CCS to non-CCS coal IGCC heat rates; we also assume that there's an adder per MWh for variable costs -- we assume that the difference in variable cost scales with the difference in heat rates</v>
      </c>
    </row>
    <row r="36" spans="1:39">
      <c r="A36" s="29">
        <f>generator_costs!A39</f>
        <v>9</v>
      </c>
      <c r="B36" s="29" t="str">
        <f>generator_costs!B39</f>
        <v>Biomass_Steam_Turbine</v>
      </c>
      <c r="C36" s="29">
        <f>generator_costs!C39</f>
        <v>2007</v>
      </c>
      <c r="D36" s="29">
        <f>generator_costs!D39</f>
        <v>2011</v>
      </c>
      <c r="E36" s="29" t="str">
        <f>generator_costs!E39</f>
        <v>Bio_Solid</v>
      </c>
      <c r="F36" s="29">
        <f>generator_costs!L39</f>
        <v>3056964.1322901901</v>
      </c>
      <c r="G36" s="29">
        <f>generator_costs!M39</f>
        <v>92535</v>
      </c>
      <c r="H36" s="29">
        <f>generator_costs!N39</f>
        <v>4.1292000000000009</v>
      </c>
      <c r="I36" s="29">
        <f>generator_costs!O39</f>
        <v>-5.4999999999999997E-3</v>
      </c>
      <c r="J36" s="29">
        <f>generator_costs!P39</f>
        <v>91289</v>
      </c>
      <c r="K36" s="29">
        <f>generator_costs!Q39</f>
        <v>10.5</v>
      </c>
      <c r="L36" s="29">
        <f>generator_costs!R39</f>
        <v>2</v>
      </c>
      <c r="M36" s="29">
        <f>generator_costs!S39</f>
        <v>0.2</v>
      </c>
      <c r="N36" s="29">
        <f>generator_costs!T39</f>
        <v>0.8</v>
      </c>
      <c r="O36" s="29">
        <f>generator_costs!U39</f>
        <v>0</v>
      </c>
      <c r="P36" s="29">
        <f>generator_costs!V39</f>
        <v>0</v>
      </c>
      <c r="Q36" s="29">
        <f>generator_costs!W39</f>
        <v>0</v>
      </c>
      <c r="R36" s="29">
        <f>generator_costs!X39</f>
        <v>0</v>
      </c>
      <c r="S36" s="29">
        <f>generator_costs!Y39</f>
        <v>20</v>
      </c>
      <c r="T36" s="29">
        <f>generator_costs!Z39</f>
        <v>0.08</v>
      </c>
      <c r="U36" s="29">
        <f>generator_costs!AA39</f>
        <v>0.03</v>
      </c>
      <c r="V36" s="29">
        <f>generator_costs!AB39</f>
        <v>0</v>
      </c>
      <c r="W36" s="29">
        <f>generator_costs!AC39</f>
        <v>1</v>
      </c>
      <c r="X36" s="29">
        <f>generator_costs!AD39</f>
        <v>1</v>
      </c>
      <c r="Y36" s="29">
        <f>generator_costs!AE39</f>
        <v>0</v>
      </c>
      <c r="Z36" s="29">
        <f>generator_costs!AF39</f>
        <v>0</v>
      </c>
      <c r="AA36" s="29">
        <f>generator_costs!AG39</f>
        <v>0</v>
      </c>
      <c r="AB36" s="29">
        <f>generator_costs!AH39</f>
        <v>0</v>
      </c>
      <c r="AC36" s="29">
        <f>generator_costs!AI39</f>
        <v>1</v>
      </c>
      <c r="AD36" s="29">
        <f>generator_costs!AJ39</f>
        <v>1</v>
      </c>
      <c r="AE36" s="29">
        <f>generator_costs!AK39</f>
        <v>0</v>
      </c>
      <c r="AF36" s="29">
        <f>generator_costs!AL39</f>
        <v>0</v>
      </c>
      <c r="AG36" s="29">
        <f>generator_costs!AM39</f>
        <v>0</v>
      </c>
      <c r="AH36" s="29">
        <f>generator_costs!AN39</f>
        <v>0</v>
      </c>
      <c r="AI36" s="29">
        <f>generator_costs!AO39</f>
        <v>0</v>
      </c>
      <c r="AJ36" s="29">
        <f>generator_costs!AP39</f>
        <v>0</v>
      </c>
      <c r="AK36" s="29">
        <f>generator_costs!AQ39</f>
        <v>1</v>
      </c>
      <c r="AL36" s="29">
        <f>generator_costs!AR39</f>
        <v>0</v>
      </c>
      <c r="AM36" s="29" t="str">
        <f>generator_costs!AT39</f>
        <v>CEC COG Model Version 2.02-4-5-10; we chose the fluidized bed biomass technology because it's more advanced</v>
      </c>
    </row>
    <row r="37" spans="1:39">
      <c r="A37" s="29">
        <f>generator_costs!A40</f>
        <v>107</v>
      </c>
      <c r="B37" s="29" t="str">
        <f>generator_costs!B40</f>
        <v>Bio_Solid_Steam_Turbine_Cogen</v>
      </c>
      <c r="C37" s="29">
        <f>generator_costs!C40</f>
        <v>2007</v>
      </c>
      <c r="D37" s="29">
        <f>generator_costs!D40</f>
        <v>2011</v>
      </c>
      <c r="E37" s="29" t="str">
        <f>generator_costs!E40</f>
        <v>Bio_Solid</v>
      </c>
      <c r="F37" s="29">
        <f>generator_costs!L40</f>
        <v>2292723.0992176426</v>
      </c>
      <c r="G37" s="29">
        <f>generator_costs!M40</f>
        <v>69401.25</v>
      </c>
      <c r="H37" s="29">
        <f>generator_costs!N40</f>
        <v>4.1292000000000009</v>
      </c>
      <c r="I37" s="29">
        <f>generator_costs!O40</f>
        <v>-5.4999999999999997E-3</v>
      </c>
      <c r="J37" s="29">
        <f>generator_costs!P40</f>
        <v>91289</v>
      </c>
      <c r="K37" s="29">
        <f>generator_costs!Q40</f>
        <v>0</v>
      </c>
      <c r="L37" s="29">
        <f>generator_costs!R40</f>
        <v>2</v>
      </c>
      <c r="M37" s="29">
        <f>generator_costs!S40</f>
        <v>0.2</v>
      </c>
      <c r="N37" s="29">
        <f>generator_costs!T40</f>
        <v>0.8</v>
      </c>
      <c r="O37" s="29">
        <f>generator_costs!U40</f>
        <v>0</v>
      </c>
      <c r="P37" s="29">
        <f>generator_costs!V40</f>
        <v>0</v>
      </c>
      <c r="Q37" s="29">
        <f>generator_costs!W40</f>
        <v>0</v>
      </c>
      <c r="R37" s="29">
        <f>generator_costs!X40</f>
        <v>0</v>
      </c>
      <c r="S37" s="29">
        <f>generator_costs!Y40</f>
        <v>20</v>
      </c>
      <c r="T37" s="29">
        <f>generator_costs!Z40</f>
        <v>0.08</v>
      </c>
      <c r="U37" s="29">
        <f>generator_costs!AA40</f>
        <v>0.03</v>
      </c>
      <c r="V37" s="29">
        <f>generator_costs!AB40</f>
        <v>0</v>
      </c>
      <c r="W37" s="29">
        <f>generator_costs!AC40</f>
        <v>1</v>
      </c>
      <c r="X37" s="29">
        <f>generator_costs!AD40</f>
        <v>1</v>
      </c>
      <c r="Y37" s="29">
        <f>generator_costs!AE40</f>
        <v>0</v>
      </c>
      <c r="Z37" s="29">
        <f>generator_costs!AF40</f>
        <v>0</v>
      </c>
      <c r="AA37" s="29">
        <f>generator_costs!AG40</f>
        <v>1</v>
      </c>
      <c r="AB37" s="29">
        <f>generator_costs!AH40</f>
        <v>0</v>
      </c>
      <c r="AC37" s="29">
        <f>generator_costs!AI40</f>
        <v>1</v>
      </c>
      <c r="AD37" s="29">
        <f>generator_costs!AJ40</f>
        <v>1</v>
      </c>
      <c r="AE37" s="29">
        <f>generator_costs!AK40</f>
        <v>0</v>
      </c>
      <c r="AF37" s="29">
        <f>generator_costs!AL40</f>
        <v>0</v>
      </c>
      <c r="AG37" s="29">
        <f>generator_costs!AM40</f>
        <v>0</v>
      </c>
      <c r="AH37" s="29">
        <f>generator_costs!AN40</f>
        <v>0</v>
      </c>
      <c r="AI37" s="29">
        <f>generator_costs!AO40</f>
        <v>0</v>
      </c>
      <c r="AJ37" s="29">
        <f>generator_costs!AP40</f>
        <v>0</v>
      </c>
      <c r="AK37" s="29">
        <f>generator_costs!AQ40</f>
        <v>1</v>
      </c>
      <c r="AL37" s="29">
        <f>generator_costs!AR40</f>
        <v>0</v>
      </c>
      <c r="AM37" s="29" t="str">
        <f>generator_costs!AT40</f>
        <v>Same as new biomass steam turbine, 75% capital cost and fixed cost</v>
      </c>
    </row>
    <row r="38" spans="1:39">
      <c r="A38" s="29">
        <f>generator_costs!A41</f>
        <v>116</v>
      </c>
      <c r="B38" s="29" t="str">
        <f>generator_costs!B41</f>
        <v>Bio_Solid_Steam_Turbine_Cogen_CCS</v>
      </c>
      <c r="C38" s="29">
        <f>generator_costs!C41</f>
        <v>2007</v>
      </c>
      <c r="D38" s="29">
        <f>generator_costs!D41</f>
        <v>2016</v>
      </c>
      <c r="E38" s="29" t="str">
        <f>generator_costs!E41</f>
        <v>Bio_Solid_CCS</v>
      </c>
      <c r="F38" s="29">
        <f>generator_costs!L41</f>
        <v>2966454.2026252528</v>
      </c>
      <c r="G38" s="29">
        <f>generator_costs!M41</f>
        <v>92445.745500000005</v>
      </c>
      <c r="H38" s="29">
        <f>generator_costs!N41</f>
        <v>0</v>
      </c>
      <c r="I38" s="29">
        <f>generator_costs!O41</f>
        <v>-1.3707232165085709E-2</v>
      </c>
      <c r="J38" s="29">
        <f>generator_costs!P41</f>
        <v>91289</v>
      </c>
      <c r="K38" s="29">
        <f>generator_costs!Q41</f>
        <v>0</v>
      </c>
      <c r="L38" s="29">
        <f>generator_costs!R41</f>
        <v>2</v>
      </c>
      <c r="M38" s="29">
        <f>generator_costs!S41</f>
        <v>0.2</v>
      </c>
      <c r="N38" s="29">
        <f>generator_costs!T41</f>
        <v>0.8</v>
      </c>
      <c r="O38" s="29">
        <f>generator_costs!U41</f>
        <v>0</v>
      </c>
      <c r="P38" s="29">
        <f>generator_costs!V41</f>
        <v>0</v>
      </c>
      <c r="Q38" s="29">
        <f>generator_costs!W41</f>
        <v>0</v>
      </c>
      <c r="R38" s="29">
        <f>generator_costs!X41</f>
        <v>0</v>
      </c>
      <c r="S38" s="29">
        <f>generator_costs!Y41</f>
        <v>20</v>
      </c>
      <c r="T38" s="29">
        <f>generator_costs!Z41</f>
        <v>0.08</v>
      </c>
      <c r="U38" s="29">
        <f>generator_costs!AA41</f>
        <v>0.03</v>
      </c>
      <c r="V38" s="29">
        <f>generator_costs!AB41</f>
        <v>0</v>
      </c>
      <c r="W38" s="29">
        <f>generator_costs!AC41</f>
        <v>1</v>
      </c>
      <c r="X38" s="29">
        <f>generator_costs!AD41</f>
        <v>1</v>
      </c>
      <c r="Y38" s="29">
        <f>generator_costs!AE41</f>
        <v>0</v>
      </c>
      <c r="Z38" s="29">
        <f>generator_costs!AF41</f>
        <v>0</v>
      </c>
      <c r="AA38" s="29">
        <f>generator_costs!AG41</f>
        <v>1</v>
      </c>
      <c r="AB38" s="29">
        <f>generator_costs!AH41</f>
        <v>0</v>
      </c>
      <c r="AC38" s="29">
        <f>generator_costs!AI41</f>
        <v>1</v>
      </c>
      <c r="AD38" s="29">
        <f>generator_costs!AJ41</f>
        <v>1</v>
      </c>
      <c r="AE38" s="29">
        <f>generator_costs!AK41</f>
        <v>1</v>
      </c>
      <c r="AF38" s="29">
        <f>generator_costs!AL41</f>
        <v>0</v>
      </c>
      <c r="AG38" s="29">
        <f>generator_costs!AM41</f>
        <v>0</v>
      </c>
      <c r="AH38" s="29">
        <f>generator_costs!AN41</f>
        <v>0</v>
      </c>
      <c r="AI38" s="29">
        <f>generator_costs!AO41</f>
        <v>0</v>
      </c>
      <c r="AJ38" s="29">
        <f>generator_costs!AP41</f>
        <v>0</v>
      </c>
      <c r="AK38" s="29">
        <f>generator_costs!AQ41</f>
        <v>1</v>
      </c>
      <c r="AL38" s="29">
        <f>generator_costs!AR41</f>
        <v>0</v>
      </c>
      <c r="AM38" s="29" t="str">
        <f>generator_costs!AT41</f>
        <v>Capital and fixed cost equal to cost for Bio_Solid_Steam_Turbine_Cogen plus the difference between Coal_Steam_Turbine_Cogen_CCS and Coal_Steam_Turbine_Cogen; overnight cost change like Coal_Steam_Turbine_Cogen_CCS; other params like Bio_Solid_Steam_Turbine_Cogen</v>
      </c>
    </row>
    <row r="39" spans="1:39">
      <c r="A39" s="29">
        <f>generator_costs!A42</f>
        <v>90</v>
      </c>
      <c r="B39" s="29" t="str">
        <f>generator_costs!B42</f>
        <v>Bio_Solid_Steam_Turbine_EP</v>
      </c>
      <c r="C39" s="29">
        <f>generator_costs!C42</f>
        <v>2007</v>
      </c>
      <c r="D39" s="29">
        <f>generator_costs!D42</f>
        <v>0</v>
      </c>
      <c r="E39" s="29" t="str">
        <f>generator_costs!E42</f>
        <v>Bio_Solid</v>
      </c>
      <c r="F39" s="29">
        <f>generator_costs!L42</f>
        <v>3056964.1322901901</v>
      </c>
      <c r="G39" s="29">
        <f>generator_costs!M42</f>
        <v>92535</v>
      </c>
      <c r="H39" s="29">
        <f>generator_costs!N42</f>
        <v>4.1292000000000009</v>
      </c>
      <c r="I39" s="29">
        <f>generator_costs!O42</f>
        <v>0</v>
      </c>
      <c r="J39" s="29">
        <f>generator_costs!P42</f>
        <v>91289</v>
      </c>
      <c r="K39" s="29">
        <f>generator_costs!Q42</f>
        <v>0</v>
      </c>
      <c r="L39" s="29">
        <f>generator_costs!R42</f>
        <v>2</v>
      </c>
      <c r="M39" s="29">
        <f>generator_costs!S42</f>
        <v>0.2</v>
      </c>
      <c r="N39" s="29">
        <f>generator_costs!T42</f>
        <v>0.8</v>
      </c>
      <c r="O39" s="29">
        <f>generator_costs!U42</f>
        <v>0</v>
      </c>
      <c r="P39" s="29">
        <f>generator_costs!V42</f>
        <v>0</v>
      </c>
      <c r="Q39" s="29">
        <f>generator_costs!W42</f>
        <v>0</v>
      </c>
      <c r="R39" s="29">
        <f>generator_costs!X42</f>
        <v>0</v>
      </c>
      <c r="S39" s="29">
        <f>generator_costs!Y42</f>
        <v>20</v>
      </c>
      <c r="T39" s="29">
        <f>generator_costs!Z42</f>
        <v>0.08</v>
      </c>
      <c r="U39" s="29">
        <f>generator_costs!AA42</f>
        <v>0.03</v>
      </c>
      <c r="V39" s="29">
        <f>generator_costs!AB42</f>
        <v>0</v>
      </c>
      <c r="W39" s="29">
        <f>generator_costs!AC42</f>
        <v>1</v>
      </c>
      <c r="X39" s="29">
        <f>generator_costs!AD42</f>
        <v>1</v>
      </c>
      <c r="Y39" s="29">
        <f>generator_costs!AE42</f>
        <v>0</v>
      </c>
      <c r="Z39" s="29">
        <f>generator_costs!AF42</f>
        <v>0</v>
      </c>
      <c r="AA39" s="29">
        <f>generator_costs!AG42</f>
        <v>0</v>
      </c>
      <c r="AB39" s="29">
        <f>generator_costs!AH42</f>
        <v>0</v>
      </c>
      <c r="AC39" s="29">
        <f>generator_costs!AI42</f>
        <v>0</v>
      </c>
      <c r="AD39" s="29">
        <f>generator_costs!AJ42</f>
        <v>1</v>
      </c>
      <c r="AE39" s="29">
        <f>generator_costs!AK42</f>
        <v>0</v>
      </c>
      <c r="AF39" s="29">
        <f>generator_costs!AL42</f>
        <v>0</v>
      </c>
      <c r="AG39" s="29">
        <f>generator_costs!AM42</f>
        <v>0</v>
      </c>
      <c r="AH39" s="29">
        <f>generator_costs!AN42</f>
        <v>0</v>
      </c>
      <c r="AI39" s="29">
        <f>generator_costs!AO42</f>
        <v>0</v>
      </c>
      <c r="AJ39" s="29">
        <f>generator_costs!AP42</f>
        <v>0</v>
      </c>
      <c r="AK39" s="29">
        <f>generator_costs!AQ42</f>
        <v>1</v>
      </c>
      <c r="AL39" s="29">
        <f>generator_costs!AR42</f>
        <v>0</v>
      </c>
      <c r="AM39" s="29" t="str">
        <f>generator_costs!AT42</f>
        <v>Same as new biomass steam turbine</v>
      </c>
    </row>
    <row r="40" spans="1:39" s="27" customFormat="1">
      <c r="A40" s="29">
        <f>generator_costs!A43</f>
        <v>91</v>
      </c>
      <c r="B40" s="29" t="str">
        <f>generator_costs!B43</f>
        <v>Bio_Solid_Steam_Turbine_Cogen_EP</v>
      </c>
      <c r="C40" s="29">
        <f>generator_costs!C43</f>
        <v>2007</v>
      </c>
      <c r="D40" s="29">
        <f>generator_costs!D43</f>
        <v>0</v>
      </c>
      <c r="E40" s="29" t="str">
        <f>generator_costs!E43</f>
        <v>Bio_Solid</v>
      </c>
      <c r="F40" s="29">
        <f>generator_costs!L43</f>
        <v>2292723.0992176426</v>
      </c>
      <c r="G40" s="29">
        <f>generator_costs!M43</f>
        <v>69401.25</v>
      </c>
      <c r="H40" s="29">
        <f>generator_costs!N43</f>
        <v>4.1292000000000009</v>
      </c>
      <c r="I40" s="29">
        <f>generator_costs!O43</f>
        <v>0</v>
      </c>
      <c r="J40" s="29">
        <f>generator_costs!P43</f>
        <v>91289</v>
      </c>
      <c r="K40" s="29">
        <f>generator_costs!Q43</f>
        <v>0</v>
      </c>
      <c r="L40" s="29">
        <f>generator_costs!R43</f>
        <v>2</v>
      </c>
      <c r="M40" s="29">
        <f>generator_costs!S43</f>
        <v>0.2</v>
      </c>
      <c r="N40" s="29">
        <f>generator_costs!T43</f>
        <v>0.8</v>
      </c>
      <c r="O40" s="29">
        <f>generator_costs!U43</f>
        <v>0</v>
      </c>
      <c r="P40" s="29">
        <f>generator_costs!V43</f>
        <v>0</v>
      </c>
      <c r="Q40" s="29">
        <f>generator_costs!W43</f>
        <v>0</v>
      </c>
      <c r="R40" s="29">
        <f>generator_costs!X43</f>
        <v>0</v>
      </c>
      <c r="S40" s="29">
        <f>generator_costs!Y43</f>
        <v>20</v>
      </c>
      <c r="T40" s="29">
        <f>generator_costs!Z43</f>
        <v>0.08</v>
      </c>
      <c r="U40" s="29">
        <f>generator_costs!AA43</f>
        <v>0.03</v>
      </c>
      <c r="V40" s="29">
        <f>generator_costs!AB43</f>
        <v>0</v>
      </c>
      <c r="W40" s="29">
        <f>generator_costs!AC43</f>
        <v>1</v>
      </c>
      <c r="X40" s="29">
        <f>generator_costs!AD43</f>
        <v>1</v>
      </c>
      <c r="Y40" s="29">
        <f>generator_costs!AE43</f>
        <v>0</v>
      </c>
      <c r="Z40" s="29">
        <f>generator_costs!AF43</f>
        <v>0</v>
      </c>
      <c r="AA40" s="29">
        <f>generator_costs!AG43</f>
        <v>1</v>
      </c>
      <c r="AB40" s="29">
        <f>generator_costs!AH43</f>
        <v>0</v>
      </c>
      <c r="AC40" s="29">
        <f>generator_costs!AI43</f>
        <v>0</v>
      </c>
      <c r="AD40" s="29">
        <f>generator_costs!AJ43</f>
        <v>1</v>
      </c>
      <c r="AE40" s="29">
        <f>generator_costs!AK43</f>
        <v>0</v>
      </c>
      <c r="AF40" s="29">
        <f>generator_costs!AL43</f>
        <v>0</v>
      </c>
      <c r="AG40" s="29">
        <f>generator_costs!AM43</f>
        <v>0</v>
      </c>
      <c r="AH40" s="29">
        <f>generator_costs!AN43</f>
        <v>0</v>
      </c>
      <c r="AI40" s="29">
        <f>generator_costs!AO43</f>
        <v>0</v>
      </c>
      <c r="AJ40" s="29">
        <f>generator_costs!AP43</f>
        <v>0</v>
      </c>
      <c r="AK40" s="29">
        <f>generator_costs!AQ43</f>
        <v>1</v>
      </c>
      <c r="AL40" s="29">
        <f>generator_costs!AR43</f>
        <v>0</v>
      </c>
      <c r="AM40" s="29" t="str">
        <f>generator_costs!AT43</f>
        <v>Same as new biomass steam turbine, 75% capital cost and fixed cost</v>
      </c>
    </row>
    <row r="41" spans="1:39" s="27" customFormat="1">
      <c r="A41" s="29">
        <f>generator_costs!A44</f>
        <v>12</v>
      </c>
      <c r="B41" s="29" t="str">
        <f>generator_costs!B44</f>
        <v>Coal_Steam_Turbine</v>
      </c>
      <c r="C41" s="29">
        <f>generator_costs!C44</f>
        <v>2007</v>
      </c>
      <c r="D41" s="29">
        <f>generator_costs!D44</f>
        <v>2011</v>
      </c>
      <c r="E41" s="29" t="str">
        <f>generator_costs!E44</f>
        <v>Coal</v>
      </c>
      <c r="F41" s="29">
        <f>generator_costs!L44</f>
        <v>2700659.1620950536</v>
      </c>
      <c r="G41" s="29">
        <f>generator_costs!M44</f>
        <v>27180.687000000002</v>
      </c>
      <c r="H41" s="29">
        <f>generator_costs!N44</f>
        <v>3.8934250000000001</v>
      </c>
      <c r="I41" s="29">
        <f>generator_costs!O44</f>
        <v>-1.1900000000000001E-2</v>
      </c>
      <c r="J41" s="29">
        <f>generator_costs!P44</f>
        <v>91289</v>
      </c>
      <c r="K41" s="29">
        <f>generator_costs!Q44</f>
        <v>8.8000000000000007</v>
      </c>
      <c r="L41" s="29">
        <f>generator_costs!R44</f>
        <v>2</v>
      </c>
      <c r="M41" s="29">
        <f>generator_costs!S44</f>
        <v>0.2</v>
      </c>
      <c r="N41" s="29">
        <f>generator_costs!T44</f>
        <v>0.8</v>
      </c>
      <c r="O41" s="29">
        <f>generator_costs!U44</f>
        <v>0</v>
      </c>
      <c r="P41" s="29">
        <f>generator_costs!V44</f>
        <v>0</v>
      </c>
      <c r="Q41" s="29">
        <f>generator_costs!W44</f>
        <v>0</v>
      </c>
      <c r="R41" s="29">
        <f>generator_costs!X44</f>
        <v>0</v>
      </c>
      <c r="S41" s="29">
        <f>generator_costs!Y44</f>
        <v>40</v>
      </c>
      <c r="T41" s="29">
        <f>generator_costs!Z44</f>
        <v>0.05</v>
      </c>
      <c r="U41" s="29">
        <f>generator_costs!AA44</f>
        <v>0.15</v>
      </c>
      <c r="V41" s="29">
        <f>generator_costs!AB44</f>
        <v>0</v>
      </c>
      <c r="W41" s="29">
        <f>generator_costs!AC44</f>
        <v>0</v>
      </c>
      <c r="X41" s="29">
        <f>generator_costs!AD44</f>
        <v>0</v>
      </c>
      <c r="Y41" s="29">
        <f>generator_costs!AE44</f>
        <v>1</v>
      </c>
      <c r="Z41" s="29">
        <f>generator_costs!AF44</f>
        <v>0</v>
      </c>
      <c r="AA41" s="29">
        <f>generator_costs!AG44</f>
        <v>0</v>
      </c>
      <c r="AB41" s="29">
        <f>generator_costs!AH44</f>
        <v>0</v>
      </c>
      <c r="AC41" s="29">
        <f>generator_costs!AI44</f>
        <v>1</v>
      </c>
      <c r="AD41" s="29">
        <f>generator_costs!AJ44</f>
        <v>0</v>
      </c>
      <c r="AE41" s="29">
        <f>generator_costs!AK44</f>
        <v>0</v>
      </c>
      <c r="AF41" s="29">
        <f>generator_costs!AL44</f>
        <v>0</v>
      </c>
      <c r="AG41" s="29">
        <f>generator_costs!AM44</f>
        <v>0</v>
      </c>
      <c r="AH41" s="29">
        <f>generator_costs!AN44</f>
        <v>0</v>
      </c>
      <c r="AI41" s="29">
        <f>generator_costs!AO44</f>
        <v>0</v>
      </c>
      <c r="AJ41" s="29">
        <f>generator_costs!AP44</f>
        <v>0</v>
      </c>
      <c r="AK41" s="29">
        <f>generator_costs!AQ44</f>
        <v>0.4</v>
      </c>
      <c r="AL41" s="29">
        <f>generator_costs!AR44</f>
        <v>0.05</v>
      </c>
      <c r="AM41" s="29" t="str">
        <f>generator_costs!AT44</f>
        <v>"Updated Capital Cost Estimates for Electricity Generation Plants," US EIA, November 2010; we assume the same lifetime, construction time, construction cost breakdown, and outage rates as for Coal IGCC</v>
      </c>
    </row>
    <row r="42" spans="1:39" s="27" customFormat="1">
      <c r="A42" s="29">
        <f>generator_costs!A45</f>
        <v>39</v>
      </c>
      <c r="B42" s="29" t="str">
        <f>generator_costs!B45</f>
        <v>Coal_Steam_Turbine_CCS</v>
      </c>
      <c r="C42" s="29">
        <f>generator_costs!C45</f>
        <v>2007</v>
      </c>
      <c r="D42" s="29">
        <f>generator_costs!D45</f>
        <v>2016</v>
      </c>
      <c r="E42" s="29" t="str">
        <f>generator_costs!E45</f>
        <v>Coal_CCS</v>
      </c>
      <c r="F42" s="29">
        <f>generator_costs!L45</f>
        <v>4372159.3378768135</v>
      </c>
      <c r="G42" s="29">
        <f>generator_costs!M45</f>
        <v>57906.681000000004</v>
      </c>
      <c r="H42" s="29">
        <f>generator_costs!N45</f>
        <v>8.2907050000000009</v>
      </c>
      <c r="I42" s="29">
        <f>generator_costs!O45</f>
        <v>-1.3707232165085709E-2</v>
      </c>
      <c r="J42" s="29">
        <f>generator_costs!P45</f>
        <v>91289</v>
      </c>
      <c r="K42" s="29">
        <f>generator_costs!Q45</f>
        <v>12</v>
      </c>
      <c r="L42" s="29">
        <f>generator_costs!R45</f>
        <v>2</v>
      </c>
      <c r="M42" s="29">
        <f>generator_costs!S45</f>
        <v>0.2</v>
      </c>
      <c r="N42" s="29">
        <f>generator_costs!T45</f>
        <v>0.8</v>
      </c>
      <c r="O42" s="29">
        <f>generator_costs!U45</f>
        <v>0</v>
      </c>
      <c r="P42" s="29">
        <f>generator_costs!V45</f>
        <v>0</v>
      </c>
      <c r="Q42" s="29">
        <f>generator_costs!W45</f>
        <v>0</v>
      </c>
      <c r="R42" s="29">
        <f>generator_costs!X45</f>
        <v>0</v>
      </c>
      <c r="S42" s="29">
        <f>generator_costs!Y45</f>
        <v>40</v>
      </c>
      <c r="T42" s="29">
        <f>generator_costs!Z45</f>
        <v>0.05</v>
      </c>
      <c r="U42" s="29">
        <f>generator_costs!AA45</f>
        <v>0.15</v>
      </c>
      <c r="V42" s="29">
        <f>generator_costs!AB45</f>
        <v>0</v>
      </c>
      <c r="W42" s="29">
        <f>generator_costs!AC45</f>
        <v>0</v>
      </c>
      <c r="X42" s="29">
        <f>generator_costs!AD45</f>
        <v>0</v>
      </c>
      <c r="Y42" s="29">
        <f>generator_costs!AE45</f>
        <v>1</v>
      </c>
      <c r="Z42" s="29">
        <f>generator_costs!AF45</f>
        <v>0</v>
      </c>
      <c r="AA42" s="29">
        <f>generator_costs!AG45</f>
        <v>0</v>
      </c>
      <c r="AB42" s="29">
        <f>generator_costs!AH45</f>
        <v>0</v>
      </c>
      <c r="AC42" s="29">
        <f>generator_costs!AI45</f>
        <v>1</v>
      </c>
      <c r="AD42" s="29">
        <f>generator_costs!AJ45</f>
        <v>0</v>
      </c>
      <c r="AE42" s="29">
        <f>generator_costs!AK45</f>
        <v>1</v>
      </c>
      <c r="AF42" s="29">
        <f>generator_costs!AL45</f>
        <v>0</v>
      </c>
      <c r="AG42" s="29">
        <f>generator_costs!AM45</f>
        <v>0</v>
      </c>
      <c r="AH42" s="29">
        <f>generator_costs!AN45</f>
        <v>0</v>
      </c>
      <c r="AI42" s="29">
        <f>generator_costs!AO45</f>
        <v>0</v>
      </c>
      <c r="AJ42" s="29">
        <f>generator_costs!AP45</f>
        <v>0</v>
      </c>
      <c r="AK42" s="29">
        <f>generator_costs!AQ45</f>
        <v>0.4</v>
      </c>
      <c r="AL42" s="29">
        <f>generator_costs!AR45</f>
        <v>0.05</v>
      </c>
      <c r="AM42" s="29" t="str">
        <f>generator_costs!AT45</f>
        <v>"Updated Capital Cost Estimates for Electricity Generation Plants," US EIA, November 2010; chose the dual unit rather than the single unit costs because if we're installing CCS, we're likley installing a lot; the lifetime, construction time, construction cost breakdown, and outage rates are the same as Coal Steam Turbine</v>
      </c>
    </row>
    <row r="43" spans="1:39" s="27" customFormat="1">
      <c r="A43" s="29">
        <f>generator_costs!A46</f>
        <v>100</v>
      </c>
      <c r="B43" s="29" t="str">
        <f>generator_costs!B46</f>
        <v>Coal_Steam_Turbine_Cogen</v>
      </c>
      <c r="C43" s="29">
        <f>generator_costs!C46</f>
        <v>2007</v>
      </c>
      <c r="D43" s="29">
        <f>generator_costs!D46</f>
        <v>2011</v>
      </c>
      <c r="E43" s="29" t="str">
        <f>generator_costs!E46</f>
        <v>Coal</v>
      </c>
      <c r="F43" s="29">
        <f>generator_costs!L46</f>
        <v>2605388.4</v>
      </c>
      <c r="G43" s="29">
        <f>generator_costs!M46</f>
        <v>20385.51525</v>
      </c>
      <c r="H43" s="29">
        <f>generator_costs!N46</f>
        <v>3.8934250000000001</v>
      </c>
      <c r="I43" s="29">
        <f>generator_costs!O46</f>
        <v>-1.1900000000000001E-2</v>
      </c>
      <c r="J43" s="29">
        <f>generator_costs!P46</f>
        <v>91289</v>
      </c>
      <c r="K43" s="29">
        <f>generator_costs!Q46</f>
        <v>0</v>
      </c>
      <c r="L43" s="29">
        <f>generator_costs!R46</f>
        <v>2</v>
      </c>
      <c r="M43" s="29">
        <f>generator_costs!S46</f>
        <v>0.2</v>
      </c>
      <c r="N43" s="29">
        <f>generator_costs!T46</f>
        <v>0.8</v>
      </c>
      <c r="O43" s="29">
        <f>generator_costs!U46</f>
        <v>0</v>
      </c>
      <c r="P43" s="29">
        <f>generator_costs!V46</f>
        <v>0</v>
      </c>
      <c r="Q43" s="29">
        <f>generator_costs!W46</f>
        <v>0</v>
      </c>
      <c r="R43" s="29">
        <f>generator_costs!X46</f>
        <v>0</v>
      </c>
      <c r="S43" s="29">
        <f>generator_costs!Y46</f>
        <v>40</v>
      </c>
      <c r="T43" s="29">
        <f>generator_costs!Z46</f>
        <v>0.05</v>
      </c>
      <c r="U43" s="29">
        <f>generator_costs!AA46</f>
        <v>0.15</v>
      </c>
      <c r="V43" s="29">
        <f>generator_costs!AB46</f>
        <v>0</v>
      </c>
      <c r="W43" s="29">
        <f>generator_costs!AC46</f>
        <v>1</v>
      </c>
      <c r="X43" s="29">
        <f>generator_costs!AD46</f>
        <v>1</v>
      </c>
      <c r="Y43" s="29">
        <f>generator_costs!AE46</f>
        <v>0</v>
      </c>
      <c r="Z43" s="29">
        <f>generator_costs!AF46</f>
        <v>0</v>
      </c>
      <c r="AA43" s="29">
        <f>generator_costs!AG46</f>
        <v>1</v>
      </c>
      <c r="AB43" s="29">
        <f>generator_costs!AH46</f>
        <v>0</v>
      </c>
      <c r="AC43" s="29">
        <f>generator_costs!AI46</f>
        <v>1</v>
      </c>
      <c r="AD43" s="29">
        <f>generator_costs!AJ46</f>
        <v>1</v>
      </c>
      <c r="AE43" s="29">
        <f>generator_costs!AK46</f>
        <v>0</v>
      </c>
      <c r="AF43" s="29">
        <f>generator_costs!AL46</f>
        <v>0</v>
      </c>
      <c r="AG43" s="29">
        <f>generator_costs!AM46</f>
        <v>0</v>
      </c>
      <c r="AH43" s="29">
        <f>generator_costs!AN46</f>
        <v>0</v>
      </c>
      <c r="AI43" s="29">
        <f>generator_costs!AO46</f>
        <v>0</v>
      </c>
      <c r="AJ43" s="29">
        <f>generator_costs!AP46</f>
        <v>0</v>
      </c>
      <c r="AK43" s="29">
        <f>generator_costs!AQ46</f>
        <v>1</v>
      </c>
      <c r="AL43" s="29">
        <f>generator_costs!AR46</f>
        <v>0</v>
      </c>
      <c r="AM43" s="29" t="str">
        <f>generator_costs!AT46</f>
        <v>Same as new coal steam turbines, 75% capital cost and fixed cost</v>
      </c>
    </row>
    <row r="44" spans="1:39" s="27" customFormat="1">
      <c r="A44" s="29">
        <f>generator_costs!A47</f>
        <v>117</v>
      </c>
      <c r="B44" s="29" t="str">
        <f>generator_costs!B47</f>
        <v>Coal_Steam_Turbine_Cogen_CCS</v>
      </c>
      <c r="C44" s="29">
        <f>generator_costs!C47</f>
        <v>2007</v>
      </c>
      <c r="D44" s="29">
        <f>generator_costs!D47</f>
        <v>2016</v>
      </c>
      <c r="E44" s="29" t="str">
        <f>generator_costs!E47</f>
        <v>Coal_CCS</v>
      </c>
      <c r="F44" s="29">
        <f>generator_costs!L47</f>
        <v>3279119.5034076101</v>
      </c>
      <c r="G44" s="29">
        <f>generator_costs!M47</f>
        <v>43430.010750000001</v>
      </c>
      <c r="H44" s="29">
        <f>generator_costs!N47</f>
        <v>0</v>
      </c>
      <c r="I44" s="29">
        <f>generator_costs!O47</f>
        <v>-1.3707232165085709E-2</v>
      </c>
      <c r="J44" s="29">
        <f>generator_costs!P47</f>
        <v>91289</v>
      </c>
      <c r="K44" s="29">
        <f>generator_costs!Q47</f>
        <v>0</v>
      </c>
      <c r="L44" s="29">
        <f>generator_costs!R47</f>
        <v>2</v>
      </c>
      <c r="M44" s="29">
        <f>generator_costs!S47</f>
        <v>0.2</v>
      </c>
      <c r="N44" s="29">
        <f>generator_costs!T47</f>
        <v>0.8</v>
      </c>
      <c r="O44" s="29">
        <f>generator_costs!U47</f>
        <v>0</v>
      </c>
      <c r="P44" s="29">
        <f>generator_costs!V47</f>
        <v>0</v>
      </c>
      <c r="Q44" s="29">
        <f>generator_costs!W47</f>
        <v>0</v>
      </c>
      <c r="R44" s="29">
        <f>generator_costs!X47</f>
        <v>0</v>
      </c>
      <c r="S44" s="29">
        <f>generator_costs!Y47</f>
        <v>40</v>
      </c>
      <c r="T44" s="29">
        <f>generator_costs!Z47</f>
        <v>0.05</v>
      </c>
      <c r="U44" s="29">
        <f>generator_costs!AA47</f>
        <v>0.15</v>
      </c>
      <c r="V44" s="29">
        <f>generator_costs!AB47</f>
        <v>0</v>
      </c>
      <c r="W44" s="29">
        <f>generator_costs!AC47</f>
        <v>1</v>
      </c>
      <c r="X44" s="29">
        <f>generator_costs!AD47</f>
        <v>1</v>
      </c>
      <c r="Y44" s="29">
        <f>generator_costs!AE47</f>
        <v>0</v>
      </c>
      <c r="Z44" s="29">
        <f>generator_costs!AF47</f>
        <v>0</v>
      </c>
      <c r="AA44" s="29">
        <f>generator_costs!AG47</f>
        <v>1</v>
      </c>
      <c r="AB44" s="29">
        <f>generator_costs!AH47</f>
        <v>0</v>
      </c>
      <c r="AC44" s="29">
        <f>generator_costs!AI47</f>
        <v>1</v>
      </c>
      <c r="AD44" s="29">
        <f>generator_costs!AJ47</f>
        <v>1</v>
      </c>
      <c r="AE44" s="29">
        <f>generator_costs!AK47</f>
        <v>1</v>
      </c>
      <c r="AF44" s="29">
        <f>generator_costs!AL47</f>
        <v>0</v>
      </c>
      <c r="AG44" s="29">
        <f>generator_costs!AM47</f>
        <v>0</v>
      </c>
      <c r="AH44" s="29">
        <f>generator_costs!AN47</f>
        <v>0</v>
      </c>
      <c r="AI44" s="29">
        <f>generator_costs!AO47</f>
        <v>0</v>
      </c>
      <c r="AJ44" s="29">
        <f>generator_costs!AP47</f>
        <v>0</v>
      </c>
      <c r="AK44" s="29">
        <f>generator_costs!AQ47</f>
        <v>1</v>
      </c>
      <c r="AL44" s="29">
        <f>generator_costs!AR47</f>
        <v>0</v>
      </c>
      <c r="AM44" s="29" t="str">
        <f>generator_costs!AT47</f>
        <v>Capital and fixed cost equal to 75% of Coal_Steam_Turbine_CCS</v>
      </c>
    </row>
    <row r="45" spans="1:39" s="27" customFormat="1">
      <c r="A45" s="29">
        <f>generator_costs!A48</f>
        <v>18</v>
      </c>
      <c r="B45" s="29" t="str">
        <f>generator_costs!B48</f>
        <v>Coal_Steam_Turbine_EP</v>
      </c>
      <c r="C45" s="29">
        <f>generator_costs!C48</f>
        <v>2007</v>
      </c>
      <c r="D45" s="29">
        <f>generator_costs!D48</f>
        <v>0</v>
      </c>
      <c r="E45" s="29" t="str">
        <f>generator_costs!E48</f>
        <v>Coal</v>
      </c>
      <c r="F45" s="29">
        <f>generator_costs!L48</f>
        <v>2605388.4</v>
      </c>
      <c r="G45" s="29">
        <f>generator_costs!M48</f>
        <v>27180.687000000002</v>
      </c>
      <c r="H45" s="29">
        <f>generator_costs!N48</f>
        <v>3.8934250000000001</v>
      </c>
      <c r="I45" s="29">
        <f>generator_costs!O48</f>
        <v>0</v>
      </c>
      <c r="J45" s="29">
        <f>generator_costs!P48</f>
        <v>91289</v>
      </c>
      <c r="K45" s="29">
        <f>generator_costs!Q48</f>
        <v>0</v>
      </c>
      <c r="L45" s="29">
        <f>generator_costs!R48</f>
        <v>2</v>
      </c>
      <c r="M45" s="29">
        <f>generator_costs!S48</f>
        <v>0.2</v>
      </c>
      <c r="N45" s="29">
        <f>generator_costs!T48</f>
        <v>0.8</v>
      </c>
      <c r="O45" s="29">
        <f>generator_costs!U48</f>
        <v>0</v>
      </c>
      <c r="P45" s="29">
        <f>generator_costs!V48</f>
        <v>0</v>
      </c>
      <c r="Q45" s="29">
        <f>generator_costs!W48</f>
        <v>0</v>
      </c>
      <c r="R45" s="29">
        <f>generator_costs!X48</f>
        <v>0</v>
      </c>
      <c r="S45" s="29">
        <f>generator_costs!Y48</f>
        <v>40</v>
      </c>
      <c r="T45" s="29">
        <f>generator_costs!Z48</f>
        <v>0.05</v>
      </c>
      <c r="U45" s="29">
        <f>generator_costs!AA48</f>
        <v>0.15</v>
      </c>
      <c r="V45" s="29">
        <f>generator_costs!AB48</f>
        <v>0</v>
      </c>
      <c r="W45" s="29">
        <f>generator_costs!AC48</f>
        <v>1</v>
      </c>
      <c r="X45" s="29">
        <f>generator_costs!AD48</f>
        <v>0</v>
      </c>
      <c r="Y45" s="29">
        <f>generator_costs!AE48</f>
        <v>1</v>
      </c>
      <c r="Z45" s="29">
        <f>generator_costs!AF48</f>
        <v>0</v>
      </c>
      <c r="AA45" s="29">
        <f>generator_costs!AG48</f>
        <v>0</v>
      </c>
      <c r="AB45" s="29">
        <f>generator_costs!AH48</f>
        <v>0</v>
      </c>
      <c r="AC45" s="29">
        <f>generator_costs!AI48</f>
        <v>0</v>
      </c>
      <c r="AD45" s="29">
        <f>generator_costs!AJ48</f>
        <v>0</v>
      </c>
      <c r="AE45" s="29">
        <f>generator_costs!AK48</f>
        <v>0</v>
      </c>
      <c r="AF45" s="29">
        <f>generator_costs!AL48</f>
        <v>0</v>
      </c>
      <c r="AG45" s="29">
        <f>generator_costs!AM48</f>
        <v>0</v>
      </c>
      <c r="AH45" s="29">
        <f>generator_costs!AN48</f>
        <v>0</v>
      </c>
      <c r="AI45" s="29">
        <f>generator_costs!AO48</f>
        <v>0</v>
      </c>
      <c r="AJ45" s="29">
        <f>generator_costs!AP48</f>
        <v>0</v>
      </c>
      <c r="AK45" s="29">
        <f>generator_costs!AQ48</f>
        <v>0.7</v>
      </c>
      <c r="AL45" s="29">
        <f>generator_costs!AR48</f>
        <v>0.05</v>
      </c>
      <c r="AM45" s="29" t="str">
        <f>generator_costs!AT48</f>
        <v>"Updated Capital Cost Estimates for Electricity Generation Plants," US EIA, November 2010; we assume the same lifetime, construction time, construction cost breakdown, and outage rates as for Coal IGCC</v>
      </c>
    </row>
    <row r="46" spans="1:39" s="27" customFormat="1">
      <c r="A46" s="29">
        <f>generator_costs!A49</f>
        <v>30</v>
      </c>
      <c r="B46" s="29" t="str">
        <f>generator_costs!B49</f>
        <v>Coal_Steam_Turbine_Cogen_EP</v>
      </c>
      <c r="C46" s="29">
        <f>generator_costs!C49</f>
        <v>2007</v>
      </c>
      <c r="D46" s="29">
        <f>generator_costs!D49</f>
        <v>0</v>
      </c>
      <c r="E46" s="29" t="str">
        <f>generator_costs!E49</f>
        <v>Coal</v>
      </c>
      <c r="F46" s="29">
        <f>generator_costs!L49</f>
        <v>2605388.4</v>
      </c>
      <c r="G46" s="29">
        <f>generator_costs!M49</f>
        <v>20385.51525</v>
      </c>
      <c r="H46" s="29">
        <f>generator_costs!N49</f>
        <v>3.8934250000000001</v>
      </c>
      <c r="I46" s="29">
        <f>generator_costs!O49</f>
        <v>0</v>
      </c>
      <c r="J46" s="29">
        <f>generator_costs!P49</f>
        <v>91289</v>
      </c>
      <c r="K46" s="29">
        <f>generator_costs!Q49</f>
        <v>0</v>
      </c>
      <c r="L46" s="29">
        <f>generator_costs!R49</f>
        <v>2</v>
      </c>
      <c r="M46" s="29">
        <f>generator_costs!S49</f>
        <v>0.2</v>
      </c>
      <c r="N46" s="29">
        <f>generator_costs!T49</f>
        <v>0.8</v>
      </c>
      <c r="O46" s="29">
        <f>generator_costs!U49</f>
        <v>0</v>
      </c>
      <c r="P46" s="29">
        <f>generator_costs!V49</f>
        <v>0</v>
      </c>
      <c r="Q46" s="29">
        <f>generator_costs!W49</f>
        <v>0</v>
      </c>
      <c r="R46" s="29">
        <f>generator_costs!X49</f>
        <v>0</v>
      </c>
      <c r="S46" s="29">
        <f>generator_costs!Y49</f>
        <v>40</v>
      </c>
      <c r="T46" s="29">
        <f>generator_costs!Z49</f>
        <v>0.05</v>
      </c>
      <c r="U46" s="29">
        <f>generator_costs!AA49</f>
        <v>0.15</v>
      </c>
      <c r="V46" s="29">
        <f>generator_costs!AB49</f>
        <v>0</v>
      </c>
      <c r="W46" s="29">
        <f>generator_costs!AC49</f>
        <v>1</v>
      </c>
      <c r="X46" s="29">
        <f>generator_costs!AD49</f>
        <v>1</v>
      </c>
      <c r="Y46" s="29">
        <f>generator_costs!AE49</f>
        <v>0</v>
      </c>
      <c r="Z46" s="29">
        <f>generator_costs!AF49</f>
        <v>0</v>
      </c>
      <c r="AA46" s="29">
        <f>generator_costs!AG49</f>
        <v>1</v>
      </c>
      <c r="AB46" s="29">
        <f>generator_costs!AH49</f>
        <v>0</v>
      </c>
      <c r="AC46" s="29">
        <f>generator_costs!AI49</f>
        <v>0</v>
      </c>
      <c r="AD46" s="29">
        <f>generator_costs!AJ49</f>
        <v>1</v>
      </c>
      <c r="AE46" s="29">
        <f>generator_costs!AK49</f>
        <v>0</v>
      </c>
      <c r="AF46" s="29">
        <f>generator_costs!AL49</f>
        <v>0</v>
      </c>
      <c r="AG46" s="29">
        <f>generator_costs!AM49</f>
        <v>0</v>
      </c>
      <c r="AH46" s="29">
        <f>generator_costs!AN49</f>
        <v>0</v>
      </c>
      <c r="AI46" s="29">
        <f>generator_costs!AO49</f>
        <v>0</v>
      </c>
      <c r="AJ46" s="29">
        <f>generator_costs!AP49</f>
        <v>0</v>
      </c>
      <c r="AK46" s="29">
        <f>generator_costs!AQ49</f>
        <v>1</v>
      </c>
      <c r="AL46" s="29">
        <f>generator_costs!AR49</f>
        <v>0</v>
      </c>
      <c r="AM46" s="29" t="str">
        <f>generator_costs!AT49</f>
        <v>Same as existing coal steam turbines, 75% capital cost and fixed cost</v>
      </c>
    </row>
    <row r="47" spans="1:39" s="27" customFormat="1">
      <c r="A47" s="29">
        <f>generator_costs!A50</f>
        <v>11</v>
      </c>
      <c r="B47" s="29" t="str">
        <f>generator_costs!B50</f>
        <v>Coal_IGCC</v>
      </c>
      <c r="C47" s="29">
        <f>generator_costs!C50</f>
        <v>2007</v>
      </c>
      <c r="D47" s="29">
        <f>generator_costs!D50</f>
        <v>2011</v>
      </c>
      <c r="E47" s="29" t="str">
        <f>generator_costs!E50</f>
        <v>Coal</v>
      </c>
      <c r="F47" s="29">
        <f>generator_costs!L50</f>
        <v>3085747.589886548</v>
      </c>
      <c r="G47" s="29">
        <f>generator_costs!M50</f>
        <v>44797.29</v>
      </c>
      <c r="H47" s="29">
        <f>generator_costs!N50</f>
        <v>6.2936070000000006</v>
      </c>
      <c r="I47" s="29">
        <f>generator_costs!O50</f>
        <v>-1.4800000000000001E-2</v>
      </c>
      <c r="J47" s="29">
        <f>generator_costs!P50</f>
        <v>91289</v>
      </c>
      <c r="K47" s="29">
        <f>generator_costs!Q50</f>
        <v>8.6999999999999993</v>
      </c>
      <c r="L47" s="29">
        <f>generator_costs!R50</f>
        <v>2</v>
      </c>
      <c r="M47" s="29">
        <f>generator_costs!S50</f>
        <v>0.2</v>
      </c>
      <c r="N47" s="29">
        <f>generator_costs!T50</f>
        <v>0.8</v>
      </c>
      <c r="O47" s="29">
        <f>generator_costs!U50</f>
        <v>0</v>
      </c>
      <c r="P47" s="29">
        <f>generator_costs!V50</f>
        <v>0</v>
      </c>
      <c r="Q47" s="29">
        <f>generator_costs!W50</f>
        <v>0</v>
      </c>
      <c r="R47" s="29">
        <f>generator_costs!X50</f>
        <v>0</v>
      </c>
      <c r="S47" s="29">
        <f>generator_costs!Y50</f>
        <v>40</v>
      </c>
      <c r="T47" s="29">
        <f>generator_costs!Z50</f>
        <v>0.05</v>
      </c>
      <c r="U47" s="29">
        <f>generator_costs!AA50</f>
        <v>0.15</v>
      </c>
      <c r="V47" s="29">
        <f>generator_costs!AB50</f>
        <v>0</v>
      </c>
      <c r="W47" s="29">
        <f>generator_costs!AC50</f>
        <v>0</v>
      </c>
      <c r="X47" s="29">
        <f>generator_costs!AD50</f>
        <v>0</v>
      </c>
      <c r="Y47" s="29">
        <f>generator_costs!AE50</f>
        <v>1</v>
      </c>
      <c r="Z47" s="29">
        <f>generator_costs!AF50</f>
        <v>0</v>
      </c>
      <c r="AA47" s="29">
        <f>generator_costs!AG50</f>
        <v>0</v>
      </c>
      <c r="AB47" s="29">
        <f>generator_costs!AH50</f>
        <v>0</v>
      </c>
      <c r="AC47" s="29">
        <f>generator_costs!AI50</f>
        <v>1</v>
      </c>
      <c r="AD47" s="29">
        <f>generator_costs!AJ50</f>
        <v>0</v>
      </c>
      <c r="AE47" s="29">
        <f>generator_costs!AK50</f>
        <v>0</v>
      </c>
      <c r="AF47" s="29">
        <f>generator_costs!AL50</f>
        <v>0</v>
      </c>
      <c r="AG47" s="29">
        <f>generator_costs!AM50</f>
        <v>0</v>
      </c>
      <c r="AH47" s="29">
        <f>generator_costs!AN50</f>
        <v>0</v>
      </c>
      <c r="AI47" s="29">
        <f>generator_costs!AO50</f>
        <v>0</v>
      </c>
      <c r="AJ47" s="29">
        <f>generator_costs!AP50</f>
        <v>0</v>
      </c>
      <c r="AK47" s="29">
        <f>generator_costs!AQ50</f>
        <v>0.4</v>
      </c>
      <c r="AL47" s="29">
        <f>generator_costs!AR50</f>
        <v>0.28999999999999998</v>
      </c>
      <c r="AM47" s="29" t="str">
        <f>generator_costs!AT50</f>
        <v>"Updated Capital Cost Estimates for Electricity Generation Plants," US EIA, November 2010; the lifetime, construction time, construction cost breakdown, and outage rates come from the CEC COG Model Version 2.02-4-5-10</v>
      </c>
    </row>
    <row r="48" spans="1:39">
      <c r="A48" s="29">
        <f>generator_costs!A51</f>
        <v>38</v>
      </c>
      <c r="B48" s="29" t="str">
        <f>generator_costs!B51</f>
        <v>Coal_IGCC_CCS</v>
      </c>
      <c r="C48" s="29">
        <f>generator_costs!C51</f>
        <v>2007</v>
      </c>
      <c r="D48" s="29">
        <f>generator_costs!D51</f>
        <v>2016</v>
      </c>
      <c r="E48" s="29" t="str">
        <f>generator_costs!E51</f>
        <v>Coal_CCS</v>
      </c>
      <c r="F48" s="29">
        <f>generator_costs!L51</f>
        <v>5158659.7725402676</v>
      </c>
      <c r="G48" s="29">
        <f>generator_costs!M51</f>
        <v>63485.73</v>
      </c>
      <c r="H48" s="29">
        <f>generator_costs!N51</f>
        <v>7.3654439999999992</v>
      </c>
      <c r="I48" s="29">
        <f>generator_costs!O51</f>
        <v>-1.7047650087669619E-2</v>
      </c>
      <c r="J48" s="29">
        <f>generator_costs!P51</f>
        <v>91289</v>
      </c>
      <c r="K48" s="29">
        <f>generator_costs!Q51</f>
        <v>10.7</v>
      </c>
      <c r="L48" s="29">
        <f>generator_costs!R51</f>
        <v>2</v>
      </c>
      <c r="M48" s="29">
        <f>generator_costs!S51</f>
        <v>0.2</v>
      </c>
      <c r="N48" s="29">
        <f>generator_costs!T51</f>
        <v>0.8</v>
      </c>
      <c r="O48" s="29">
        <f>generator_costs!U51</f>
        <v>0</v>
      </c>
      <c r="P48" s="29">
        <f>generator_costs!V51</f>
        <v>0</v>
      </c>
      <c r="Q48" s="29">
        <f>generator_costs!W51</f>
        <v>0</v>
      </c>
      <c r="R48" s="29">
        <f>generator_costs!X51</f>
        <v>0</v>
      </c>
      <c r="S48" s="29">
        <f>generator_costs!Y51</f>
        <v>40</v>
      </c>
      <c r="T48" s="29">
        <f>generator_costs!Z51</f>
        <v>0.05</v>
      </c>
      <c r="U48" s="29">
        <f>generator_costs!AA51</f>
        <v>0.15</v>
      </c>
      <c r="V48" s="29">
        <f>generator_costs!AB51</f>
        <v>0</v>
      </c>
      <c r="W48" s="29">
        <f>generator_costs!AC51</f>
        <v>0</v>
      </c>
      <c r="X48" s="29">
        <f>generator_costs!AD51</f>
        <v>0</v>
      </c>
      <c r="Y48" s="29">
        <f>generator_costs!AE51</f>
        <v>1</v>
      </c>
      <c r="Z48" s="29">
        <f>generator_costs!AF51</f>
        <v>0</v>
      </c>
      <c r="AA48" s="29">
        <f>generator_costs!AG51</f>
        <v>0</v>
      </c>
      <c r="AB48" s="29">
        <f>generator_costs!AH51</f>
        <v>0</v>
      </c>
      <c r="AC48" s="29">
        <f>generator_costs!AI51</f>
        <v>1</v>
      </c>
      <c r="AD48" s="29">
        <f>generator_costs!AJ51</f>
        <v>0</v>
      </c>
      <c r="AE48" s="29">
        <f>generator_costs!AK51</f>
        <v>1</v>
      </c>
      <c r="AF48" s="29">
        <f>generator_costs!AL51</f>
        <v>0</v>
      </c>
      <c r="AG48" s="29">
        <f>generator_costs!AM51</f>
        <v>0</v>
      </c>
      <c r="AH48" s="29">
        <f>generator_costs!AN51</f>
        <v>0</v>
      </c>
      <c r="AI48" s="29">
        <f>generator_costs!AO51</f>
        <v>0</v>
      </c>
      <c r="AJ48" s="29">
        <f>generator_costs!AP51</f>
        <v>0</v>
      </c>
      <c r="AK48" s="29">
        <f>generator_costs!AQ51</f>
        <v>0.4</v>
      </c>
      <c r="AL48" s="29">
        <f>generator_costs!AR51</f>
        <v>0.28999999999999998</v>
      </c>
      <c r="AM48" s="29" t="str">
        <f>generator_costs!AT51</f>
        <v>"Updated Capital Cost Estimates for Electricity Generation Plants," US EIA, November 2010; the lifetime, construction time, construction cost breakdown, and outage rates are the same as Coal IGCC</v>
      </c>
    </row>
    <row r="49" spans="1:39">
      <c r="A49" s="29">
        <f>generator_costs!A52</f>
        <v>13</v>
      </c>
      <c r="B49" s="29" t="str">
        <f>generator_costs!B52</f>
        <v>Nuclear</v>
      </c>
      <c r="C49" s="29">
        <f>generator_costs!C52</f>
        <v>2007</v>
      </c>
      <c r="D49" s="29">
        <f>generator_costs!D52</f>
        <v>2011</v>
      </c>
      <c r="E49" s="29" t="str">
        <f>generator_costs!E52</f>
        <v>Uranium</v>
      </c>
      <c r="F49" s="29">
        <f>generator_costs!L52</f>
        <v>3673500</v>
      </c>
      <c r="G49" s="29">
        <f>generator_costs!M52</f>
        <v>137361</v>
      </c>
      <c r="H49" s="29">
        <f>generator_costs!N52</f>
        <v>4.8174000000000001</v>
      </c>
      <c r="I49" s="29">
        <f>generator_costs!O52</f>
        <v>0</v>
      </c>
      <c r="J49" s="29">
        <f>generator_costs!P52</f>
        <v>91289</v>
      </c>
      <c r="K49" s="29">
        <f>generator_costs!Q52</f>
        <v>10.4</v>
      </c>
      <c r="L49" s="29">
        <f>generator_costs!R52</f>
        <v>6</v>
      </c>
      <c r="M49" s="29">
        <f>generator_costs!S52</f>
        <v>0.56000000000000005</v>
      </c>
      <c r="N49" s="29">
        <f>generator_costs!T52</f>
        <v>0.2</v>
      </c>
      <c r="O49" s="29">
        <f>generator_costs!U52</f>
        <v>0.14000000000000001</v>
      </c>
      <c r="P49" s="29">
        <f>generator_costs!V52</f>
        <v>0.06</v>
      </c>
      <c r="Q49" s="29">
        <f>generator_costs!W52</f>
        <v>0.02</v>
      </c>
      <c r="R49" s="29">
        <f>generator_costs!X52</f>
        <v>0.02</v>
      </c>
      <c r="S49" s="29">
        <f>generator_costs!Y52</f>
        <v>40</v>
      </c>
      <c r="T49" s="29">
        <f>generator_costs!Z52</f>
        <v>2.7199999999999998E-2</v>
      </c>
      <c r="U49" s="29">
        <f>generator_costs!AA52</f>
        <v>0.11119999999999999</v>
      </c>
      <c r="V49" s="29">
        <f>generator_costs!AB52</f>
        <v>0</v>
      </c>
      <c r="W49" s="29">
        <f>generator_costs!AC52</f>
        <v>0</v>
      </c>
      <c r="X49" s="29">
        <f>generator_costs!AD52</f>
        <v>1</v>
      </c>
      <c r="Y49" s="29">
        <f>generator_costs!AE52</f>
        <v>0</v>
      </c>
      <c r="Z49" s="29">
        <f>generator_costs!AF52</f>
        <v>0</v>
      </c>
      <c r="AA49" s="29">
        <f>generator_costs!AG52</f>
        <v>0</v>
      </c>
      <c r="AB49" s="29">
        <f>generator_costs!AH52</f>
        <v>1000</v>
      </c>
      <c r="AC49" s="29">
        <f>generator_costs!AI52</f>
        <v>1</v>
      </c>
      <c r="AD49" s="29">
        <f>generator_costs!AJ52</f>
        <v>0</v>
      </c>
      <c r="AE49" s="29">
        <f>generator_costs!AK52</f>
        <v>0</v>
      </c>
      <c r="AF49" s="29">
        <f>generator_costs!AL52</f>
        <v>0</v>
      </c>
      <c r="AG49" s="29">
        <f>generator_costs!AM52</f>
        <v>0</v>
      </c>
      <c r="AH49" s="29">
        <f>generator_costs!AN52</f>
        <v>0</v>
      </c>
      <c r="AI49" s="29">
        <f>generator_costs!AO52</f>
        <v>0</v>
      </c>
      <c r="AJ49" s="29">
        <f>generator_costs!AP52</f>
        <v>0</v>
      </c>
      <c r="AK49" s="29">
        <f>generator_costs!AQ52</f>
        <v>1</v>
      </c>
      <c r="AL49" s="29">
        <f>generator_costs!AR52</f>
        <v>0</v>
      </c>
      <c r="AM49" s="29" t="str">
        <f>generator_costs!AT52</f>
        <v>CEC COG Model Version 2.02-4-5-10</v>
      </c>
    </row>
    <row r="50" spans="1:39">
      <c r="A50" s="29">
        <f>generator_costs!A53</f>
        <v>22</v>
      </c>
      <c r="B50" s="29" t="str">
        <f>generator_costs!B53</f>
        <v>Nuclear_EP</v>
      </c>
      <c r="C50" s="29">
        <f>generator_costs!C53</f>
        <v>2007</v>
      </c>
      <c r="D50" s="29">
        <f>generator_costs!D53</f>
        <v>0</v>
      </c>
      <c r="E50" s="29" t="str">
        <f>generator_costs!E53</f>
        <v>Uranium</v>
      </c>
      <c r="F50" s="29">
        <f>generator_costs!L53</f>
        <v>3673500</v>
      </c>
      <c r="G50" s="29">
        <f>generator_costs!M53</f>
        <v>137361</v>
      </c>
      <c r="H50" s="29">
        <f>generator_costs!N53</f>
        <v>4.8174000000000001</v>
      </c>
      <c r="I50" s="29">
        <f>generator_costs!O53</f>
        <v>0</v>
      </c>
      <c r="J50" s="29">
        <f>generator_costs!P53</f>
        <v>91289</v>
      </c>
      <c r="K50" s="29">
        <f>generator_costs!Q53</f>
        <v>0</v>
      </c>
      <c r="L50" s="29">
        <f>generator_costs!R53</f>
        <v>6</v>
      </c>
      <c r="M50" s="29">
        <f>generator_costs!S53</f>
        <v>0.56000000000000005</v>
      </c>
      <c r="N50" s="29">
        <f>generator_costs!T53</f>
        <v>0.2</v>
      </c>
      <c r="O50" s="29">
        <f>generator_costs!U53</f>
        <v>0.14000000000000001</v>
      </c>
      <c r="P50" s="29">
        <f>generator_costs!V53</f>
        <v>0.06</v>
      </c>
      <c r="Q50" s="29">
        <f>generator_costs!W53</f>
        <v>0.02</v>
      </c>
      <c r="R50" s="29">
        <f>generator_costs!X53</f>
        <v>0.02</v>
      </c>
      <c r="S50" s="29">
        <f>generator_costs!Y53</f>
        <v>40</v>
      </c>
      <c r="T50" s="29">
        <f>generator_costs!Z53</f>
        <v>2.7199999999999998E-2</v>
      </c>
      <c r="U50" s="29">
        <f>generator_costs!AA53</f>
        <v>0.11119999999999999</v>
      </c>
      <c r="V50" s="29">
        <f>generator_costs!AB53</f>
        <v>0</v>
      </c>
      <c r="W50" s="29">
        <f>generator_costs!AC53</f>
        <v>1</v>
      </c>
      <c r="X50" s="29">
        <f>generator_costs!AD53</f>
        <v>1</v>
      </c>
      <c r="Y50" s="29">
        <f>generator_costs!AE53</f>
        <v>0</v>
      </c>
      <c r="Z50" s="29">
        <f>generator_costs!AF53</f>
        <v>0</v>
      </c>
      <c r="AA50" s="29">
        <f>generator_costs!AG53</f>
        <v>0</v>
      </c>
      <c r="AB50" s="29">
        <f>generator_costs!AH53</f>
        <v>0</v>
      </c>
      <c r="AC50" s="29">
        <f>generator_costs!AI53</f>
        <v>0</v>
      </c>
      <c r="AD50" s="29">
        <f>generator_costs!AJ53</f>
        <v>0</v>
      </c>
      <c r="AE50" s="29">
        <f>generator_costs!AK53</f>
        <v>0</v>
      </c>
      <c r="AF50" s="29">
        <f>generator_costs!AL53</f>
        <v>0</v>
      </c>
      <c r="AG50" s="29">
        <f>generator_costs!AM53</f>
        <v>0</v>
      </c>
      <c r="AH50" s="29">
        <f>generator_costs!AN53</f>
        <v>0</v>
      </c>
      <c r="AI50" s="29">
        <f>generator_costs!AO53</f>
        <v>0</v>
      </c>
      <c r="AJ50" s="29">
        <f>generator_costs!AP53</f>
        <v>0</v>
      </c>
      <c r="AK50" s="29">
        <f>generator_costs!AQ53</f>
        <v>1</v>
      </c>
      <c r="AL50" s="29">
        <f>generator_costs!AR53</f>
        <v>0</v>
      </c>
      <c r="AM50" s="29" t="str">
        <f>generator_costs!AT53</f>
        <v>Same as new nuclear</v>
      </c>
    </row>
    <row r="51" spans="1:39">
      <c r="A51" s="29">
        <f>generator_costs!A54</f>
        <v>14</v>
      </c>
      <c r="B51" s="29" t="str">
        <f>generator_costs!B54</f>
        <v>Geothermal</v>
      </c>
      <c r="C51" s="29">
        <f>generator_costs!C54</f>
        <v>2007</v>
      </c>
      <c r="D51" s="29">
        <f>generator_costs!D54</f>
        <v>2011</v>
      </c>
      <c r="E51" s="29" t="str">
        <f>generator_costs!E54</f>
        <v>Geothermal</v>
      </c>
      <c r="F51" s="29">
        <f>generator_costs!L54</f>
        <v>3839179.6755433115</v>
      </c>
      <c r="G51" s="29">
        <f>generator_costs!M54</f>
        <v>44119.200000000004</v>
      </c>
      <c r="H51" s="29">
        <f>generator_costs!N54</f>
        <v>3.1713000000000005</v>
      </c>
      <c r="I51" s="29">
        <f>generator_costs!O54</f>
        <v>-0.01</v>
      </c>
      <c r="J51" s="29">
        <f>generator_costs!P54</f>
        <v>65639</v>
      </c>
      <c r="K51" s="29">
        <f>generator_costs!Q54</f>
        <v>0</v>
      </c>
      <c r="L51" s="29">
        <f>generator_costs!R54</f>
        <v>3</v>
      </c>
      <c r="M51" s="29">
        <f>generator_costs!S54</f>
        <v>0.2</v>
      </c>
      <c r="N51" s="29">
        <f>generator_costs!T54</f>
        <v>0.4</v>
      </c>
      <c r="O51" s="29">
        <f>generator_costs!U54</f>
        <v>0.4</v>
      </c>
      <c r="P51" s="29">
        <f>generator_costs!V54</f>
        <v>0</v>
      </c>
      <c r="Q51" s="29">
        <f>generator_costs!W54</f>
        <v>0</v>
      </c>
      <c r="R51" s="29">
        <f>generator_costs!X54</f>
        <v>0</v>
      </c>
      <c r="S51" s="29">
        <f>generator_costs!Y54</f>
        <v>30</v>
      </c>
      <c r="T51" s="29">
        <f>generator_costs!Z54</f>
        <v>2.5000000000000001E-2</v>
      </c>
      <c r="U51" s="29">
        <f>generator_costs!AA54</f>
        <v>0.04</v>
      </c>
      <c r="V51" s="29">
        <f>generator_costs!AB54</f>
        <v>0</v>
      </c>
      <c r="W51" s="29">
        <f>generator_costs!AC54</f>
        <v>1</v>
      </c>
      <c r="X51" s="29">
        <f>generator_costs!AD54</f>
        <v>1</v>
      </c>
      <c r="Y51" s="29">
        <f>generator_costs!AE54</f>
        <v>0</v>
      </c>
      <c r="Z51" s="29">
        <f>generator_costs!AF54</f>
        <v>0</v>
      </c>
      <c r="AA51" s="29">
        <f>generator_costs!AG54</f>
        <v>0</v>
      </c>
      <c r="AB51" s="29">
        <f>generator_costs!AH54</f>
        <v>0</v>
      </c>
      <c r="AC51" s="29">
        <f>generator_costs!AI54</f>
        <v>1</v>
      </c>
      <c r="AD51" s="29">
        <f>generator_costs!AJ54</f>
        <v>0</v>
      </c>
      <c r="AE51" s="29">
        <f>generator_costs!AK54</f>
        <v>0</v>
      </c>
      <c r="AF51" s="29">
        <f>generator_costs!AL54</f>
        <v>0</v>
      </c>
      <c r="AG51" s="29">
        <f>generator_costs!AM54</f>
        <v>0</v>
      </c>
      <c r="AH51" s="29">
        <f>generator_costs!AN54</f>
        <v>0</v>
      </c>
      <c r="AI51" s="29">
        <f>generator_costs!AO54</f>
        <v>0</v>
      </c>
      <c r="AJ51" s="29">
        <f>generator_costs!AP54</f>
        <v>0</v>
      </c>
      <c r="AK51" s="29">
        <f>generator_costs!AQ54</f>
        <v>1</v>
      </c>
      <c r="AL51" s="29">
        <f>generator_costs!AR54</f>
        <v>0</v>
      </c>
      <c r="AM51" s="29" t="str">
        <f>generator_costs!AT54</f>
        <v>CEC COG Model Version 2.02-4-5-10; we chose the binary geothermal plants because they are more advanced</v>
      </c>
    </row>
    <row r="52" spans="1:39">
      <c r="A52" s="29">
        <f>generator_costs!A55</f>
        <v>21</v>
      </c>
      <c r="B52" s="29" t="str">
        <f>generator_costs!B55</f>
        <v>Geothermal_EP</v>
      </c>
      <c r="C52" s="29">
        <f>generator_costs!C55</f>
        <v>2007</v>
      </c>
      <c r="D52" s="29">
        <f>generator_costs!D55</f>
        <v>0</v>
      </c>
      <c r="E52" s="29" t="str">
        <f>generator_costs!E55</f>
        <v>Geothermal</v>
      </c>
      <c r="F52" s="29">
        <f>generator_costs!L55</f>
        <v>3446580</v>
      </c>
      <c r="G52" s="29">
        <f>generator_costs!M55</f>
        <v>54293.4</v>
      </c>
      <c r="H52" s="29">
        <f>generator_costs!N55</f>
        <v>3.5339999999999998</v>
      </c>
      <c r="I52" s="29">
        <f>generator_costs!O55</f>
        <v>0</v>
      </c>
      <c r="J52" s="29">
        <f>generator_costs!P55</f>
        <v>91289</v>
      </c>
      <c r="K52" s="29">
        <f>generator_costs!Q55</f>
        <v>0</v>
      </c>
      <c r="L52" s="29">
        <f>generator_costs!R55</f>
        <v>3</v>
      </c>
      <c r="M52" s="29">
        <f>generator_costs!S55</f>
        <v>0.2</v>
      </c>
      <c r="N52" s="29">
        <f>generator_costs!T55</f>
        <v>0.4</v>
      </c>
      <c r="O52" s="29">
        <f>generator_costs!U55</f>
        <v>0.4</v>
      </c>
      <c r="P52" s="29">
        <f>generator_costs!V55</f>
        <v>0</v>
      </c>
      <c r="Q52" s="29">
        <f>generator_costs!W55</f>
        <v>0</v>
      </c>
      <c r="R52" s="29">
        <f>generator_costs!X55</f>
        <v>0</v>
      </c>
      <c r="S52" s="29">
        <f>generator_costs!Y55</f>
        <v>30</v>
      </c>
      <c r="T52" s="29">
        <f>generator_costs!Z55</f>
        <v>2.5000000000000001E-2</v>
      </c>
      <c r="U52" s="29">
        <f>generator_costs!AA55</f>
        <v>0.04</v>
      </c>
      <c r="V52" s="29">
        <f>generator_costs!AB55</f>
        <v>0</v>
      </c>
      <c r="W52" s="29">
        <f>generator_costs!AC55</f>
        <v>1</v>
      </c>
      <c r="X52" s="29">
        <f>generator_costs!AD55</f>
        <v>1</v>
      </c>
      <c r="Y52" s="29">
        <f>generator_costs!AE55</f>
        <v>0</v>
      </c>
      <c r="Z52" s="29">
        <f>generator_costs!AF55</f>
        <v>0</v>
      </c>
      <c r="AA52" s="29">
        <f>generator_costs!AG55</f>
        <v>0</v>
      </c>
      <c r="AB52" s="29">
        <f>generator_costs!AH55</f>
        <v>0</v>
      </c>
      <c r="AC52" s="29">
        <f>generator_costs!AI55</f>
        <v>0</v>
      </c>
      <c r="AD52" s="29">
        <f>generator_costs!AJ55</f>
        <v>0</v>
      </c>
      <c r="AE52" s="29">
        <f>generator_costs!AK55</f>
        <v>0</v>
      </c>
      <c r="AF52" s="29">
        <f>generator_costs!AL55</f>
        <v>0</v>
      </c>
      <c r="AG52" s="29">
        <f>generator_costs!AM55</f>
        <v>0</v>
      </c>
      <c r="AH52" s="29">
        <f>generator_costs!AN55</f>
        <v>0</v>
      </c>
      <c r="AI52" s="29">
        <f>generator_costs!AO55</f>
        <v>0</v>
      </c>
      <c r="AJ52" s="29">
        <f>generator_costs!AP55</f>
        <v>0</v>
      </c>
      <c r="AK52" s="29">
        <f>generator_costs!AQ55</f>
        <v>1</v>
      </c>
      <c r="AL52" s="29">
        <f>generator_costs!AR55</f>
        <v>0</v>
      </c>
      <c r="AM52" s="29" t="str">
        <f>generator_costs!AT55</f>
        <v>CEC COG Model Version 2.02-4-5-10; we picked dual flash as the existing geothermal technology</v>
      </c>
    </row>
    <row r="53" spans="1:39">
      <c r="A53" s="29">
        <f>generator_costs!A56</f>
        <v>6</v>
      </c>
      <c r="B53" s="29" t="str">
        <f>generator_costs!B56</f>
        <v>Residential_PV</v>
      </c>
      <c r="C53" s="29">
        <f>generator_costs!C56</f>
        <v>2007</v>
      </c>
      <c r="D53" s="29">
        <f>generator_costs!D56</f>
        <v>2011</v>
      </c>
      <c r="E53" s="29" t="str">
        <f>generator_costs!E56</f>
        <v>Solar</v>
      </c>
      <c r="F53" s="29">
        <f>generator_costs!L56</f>
        <v>6423526.7408997137</v>
      </c>
      <c r="G53" s="29">
        <f>generator_costs!M56</f>
        <v>9789.18</v>
      </c>
      <c r="H53" s="29">
        <f>generator_costs!N56</f>
        <v>0</v>
      </c>
      <c r="I53" s="29">
        <f>generator_costs!O56</f>
        <v>-4.8500000000000001E-2</v>
      </c>
      <c r="J53" s="29">
        <f>generator_costs!P56</f>
        <v>0</v>
      </c>
      <c r="K53" s="29">
        <f>generator_costs!Q56</f>
        <v>0</v>
      </c>
      <c r="L53" s="29">
        <f>generator_costs!R56</f>
        <v>1</v>
      </c>
      <c r="M53" s="29">
        <f>generator_costs!S56</f>
        <v>1</v>
      </c>
      <c r="N53" s="29">
        <f>generator_costs!T56</f>
        <v>0</v>
      </c>
      <c r="O53" s="29">
        <f>generator_costs!U56</f>
        <v>0</v>
      </c>
      <c r="P53" s="29">
        <f>generator_costs!V56</f>
        <v>0</v>
      </c>
      <c r="Q53" s="29">
        <f>generator_costs!W56</f>
        <v>0</v>
      </c>
      <c r="R53" s="29">
        <f>generator_costs!X56</f>
        <v>0</v>
      </c>
      <c r="S53" s="29">
        <f>generator_costs!Y56</f>
        <v>20</v>
      </c>
      <c r="T53" s="29">
        <f>generator_costs!Z56</f>
        <v>0.02</v>
      </c>
      <c r="U53" s="29">
        <f>generator_costs!AA56</f>
        <v>0</v>
      </c>
      <c r="V53" s="29">
        <f>generator_costs!AB56</f>
        <v>1</v>
      </c>
      <c r="W53" s="29">
        <f>generator_costs!AC56</f>
        <v>1</v>
      </c>
      <c r="X53" s="29">
        <f>generator_costs!AD56</f>
        <v>0</v>
      </c>
      <c r="Y53" s="29">
        <f>generator_costs!AE56</f>
        <v>0</v>
      </c>
      <c r="Z53" s="29">
        <f>generator_costs!AF56</f>
        <v>0</v>
      </c>
      <c r="AA53" s="29">
        <f>generator_costs!AG56</f>
        <v>0</v>
      </c>
      <c r="AB53" s="29">
        <f>generator_costs!AH56</f>
        <v>0</v>
      </c>
      <c r="AC53" s="29">
        <f>generator_costs!AI56</f>
        <v>1</v>
      </c>
      <c r="AD53" s="29">
        <f>generator_costs!AJ56</f>
        <v>0</v>
      </c>
      <c r="AE53" s="29">
        <f>generator_costs!AK56</f>
        <v>0</v>
      </c>
      <c r="AF53" s="29">
        <f>generator_costs!AL56</f>
        <v>0</v>
      </c>
      <c r="AG53" s="29">
        <f>generator_costs!AM56</f>
        <v>0</v>
      </c>
      <c r="AH53" s="29">
        <f>generator_costs!AN56</f>
        <v>0</v>
      </c>
      <c r="AI53" s="29">
        <f>generator_costs!AO56</f>
        <v>0</v>
      </c>
      <c r="AJ53" s="29">
        <f>generator_costs!AP56</f>
        <v>0</v>
      </c>
      <c r="AK53" s="29">
        <f>generator_costs!AQ56</f>
        <v>0</v>
      </c>
      <c r="AL53" s="29">
        <f>generator_costs!AR56</f>
        <v>0</v>
      </c>
      <c r="AM53" s="29" t="str">
        <f>generator_costs!AT56</f>
        <v>DOE Solar Program Costs, took 2020 value for fixed O+M, 10% added to capital costs to go from utility to distributed, but also assumed a 5% declination rate; forced outage rate is from the CEC COG Model</v>
      </c>
    </row>
    <row r="54" spans="1:39">
      <c r="A54" s="29">
        <f>generator_costs!A57</f>
        <v>25</v>
      </c>
      <c r="B54" s="29" t="str">
        <f>generator_costs!B57</f>
        <v>Commercial_PV</v>
      </c>
      <c r="C54" s="29">
        <f>generator_costs!C57</f>
        <v>2007</v>
      </c>
      <c r="D54" s="29">
        <f>generator_costs!D57</f>
        <v>2011</v>
      </c>
      <c r="E54" s="29" t="str">
        <f>generator_costs!E57</f>
        <v>Solar</v>
      </c>
      <c r="F54" s="29">
        <f>generator_costs!L57</f>
        <v>5457557.9160082508</v>
      </c>
      <c r="G54" s="29">
        <f>generator_costs!M57</f>
        <v>9789.18</v>
      </c>
      <c r="H54" s="29">
        <f>generator_costs!N57</f>
        <v>0</v>
      </c>
      <c r="I54" s="29">
        <f>generator_costs!O57</f>
        <v>-4.5699999999999998E-2</v>
      </c>
      <c r="J54" s="29">
        <f>generator_costs!P57</f>
        <v>0</v>
      </c>
      <c r="K54" s="29">
        <f>generator_costs!Q57</f>
        <v>0</v>
      </c>
      <c r="L54" s="29">
        <f>generator_costs!R57</f>
        <v>1</v>
      </c>
      <c r="M54" s="29">
        <f>generator_costs!S57</f>
        <v>1</v>
      </c>
      <c r="N54" s="29">
        <f>generator_costs!T57</f>
        <v>0</v>
      </c>
      <c r="O54" s="29">
        <f>generator_costs!U57</f>
        <v>0</v>
      </c>
      <c r="P54" s="29">
        <f>generator_costs!V57</f>
        <v>0</v>
      </c>
      <c r="Q54" s="29">
        <f>generator_costs!W57</f>
        <v>0</v>
      </c>
      <c r="R54" s="29">
        <f>generator_costs!X57</f>
        <v>0</v>
      </c>
      <c r="S54" s="29">
        <f>generator_costs!Y57</f>
        <v>20</v>
      </c>
      <c r="T54" s="29">
        <f>generator_costs!Z57</f>
        <v>0.02</v>
      </c>
      <c r="U54" s="29">
        <f>generator_costs!AA57</f>
        <v>0</v>
      </c>
      <c r="V54" s="29">
        <f>generator_costs!AB57</f>
        <v>1</v>
      </c>
      <c r="W54" s="29">
        <f>generator_costs!AC57</f>
        <v>1</v>
      </c>
      <c r="X54" s="29">
        <f>generator_costs!AD57</f>
        <v>0</v>
      </c>
      <c r="Y54" s="29">
        <f>generator_costs!AE57</f>
        <v>0</v>
      </c>
      <c r="Z54" s="29">
        <f>generator_costs!AF57</f>
        <v>0</v>
      </c>
      <c r="AA54" s="29">
        <f>generator_costs!AG57</f>
        <v>0</v>
      </c>
      <c r="AB54" s="29">
        <f>generator_costs!AH57</f>
        <v>0</v>
      </c>
      <c r="AC54" s="29">
        <f>generator_costs!AI57</f>
        <v>1</v>
      </c>
      <c r="AD54" s="29">
        <f>generator_costs!AJ57</f>
        <v>0</v>
      </c>
      <c r="AE54" s="29">
        <f>generator_costs!AK57</f>
        <v>0</v>
      </c>
      <c r="AF54" s="29">
        <f>generator_costs!AL57</f>
        <v>0</v>
      </c>
      <c r="AG54" s="29">
        <f>generator_costs!AM57</f>
        <v>0</v>
      </c>
      <c r="AH54" s="29">
        <f>generator_costs!AN57</f>
        <v>0</v>
      </c>
      <c r="AI54" s="29">
        <f>generator_costs!AO57</f>
        <v>0</v>
      </c>
      <c r="AJ54" s="29">
        <f>generator_costs!AP57</f>
        <v>0</v>
      </c>
      <c r="AK54" s="29">
        <f>generator_costs!AQ57</f>
        <v>0</v>
      </c>
      <c r="AL54" s="29">
        <f>generator_costs!AR57</f>
        <v>0</v>
      </c>
      <c r="AM54" s="29" t="str">
        <f>generator_costs!AT57</f>
        <v xml:space="preserve">Solar Vision Study (see PV_Cost_Calc.xlsx) for costs, CEC COG Model for construction time and cost fractions, as well as for forced outage rate </v>
      </c>
    </row>
    <row r="55" spans="1:39">
      <c r="A55" s="29">
        <f>generator_costs!A58</f>
        <v>26</v>
      </c>
      <c r="B55" s="29" t="str">
        <f>generator_costs!B58</f>
        <v>Central_PV</v>
      </c>
      <c r="C55" s="29">
        <f>generator_costs!C58</f>
        <v>2007</v>
      </c>
      <c r="D55" s="29">
        <f>generator_costs!D58</f>
        <v>2011</v>
      </c>
      <c r="E55" s="29" t="str">
        <f>generator_costs!E58</f>
        <v>Solar</v>
      </c>
      <c r="F55" s="29">
        <f>generator_costs!L58</f>
        <v>4231906.5280757435</v>
      </c>
      <c r="G55" s="29">
        <f>generator_costs!M58</f>
        <v>9789.18</v>
      </c>
      <c r="H55" s="29">
        <f>generator_costs!N58</f>
        <v>0</v>
      </c>
      <c r="I55" s="29">
        <f>generator_costs!O58</f>
        <v>-3.73E-2</v>
      </c>
      <c r="J55" s="29">
        <f>generator_costs!P58</f>
        <v>65639</v>
      </c>
      <c r="K55" s="29">
        <f>generator_costs!Q58</f>
        <v>0</v>
      </c>
      <c r="L55" s="29">
        <f>generator_costs!R58</f>
        <v>1</v>
      </c>
      <c r="M55" s="29">
        <f>generator_costs!S58</f>
        <v>1</v>
      </c>
      <c r="N55" s="29">
        <f>generator_costs!T58</f>
        <v>0</v>
      </c>
      <c r="O55" s="29">
        <f>generator_costs!U58</f>
        <v>0</v>
      </c>
      <c r="P55" s="29">
        <f>generator_costs!V58</f>
        <v>0</v>
      </c>
      <c r="Q55" s="29">
        <f>generator_costs!W58</f>
        <v>0</v>
      </c>
      <c r="R55" s="29">
        <f>generator_costs!X58</f>
        <v>0</v>
      </c>
      <c r="S55" s="29">
        <f>generator_costs!Y58</f>
        <v>20</v>
      </c>
      <c r="T55" s="29">
        <f>generator_costs!Z58</f>
        <v>0.02</v>
      </c>
      <c r="U55" s="29">
        <f>generator_costs!AA58</f>
        <v>0</v>
      </c>
      <c r="V55" s="29">
        <f>generator_costs!AB58</f>
        <v>1</v>
      </c>
      <c r="W55" s="29">
        <f>generator_costs!AC58</f>
        <v>1</v>
      </c>
      <c r="X55" s="29">
        <f>generator_costs!AD58</f>
        <v>0</v>
      </c>
      <c r="Y55" s="29">
        <f>generator_costs!AE58</f>
        <v>0</v>
      </c>
      <c r="Z55" s="29">
        <f>generator_costs!AF58</f>
        <v>0</v>
      </c>
      <c r="AA55" s="29">
        <f>generator_costs!AG58</f>
        <v>0</v>
      </c>
      <c r="AB55" s="29">
        <f>generator_costs!AH58</f>
        <v>0</v>
      </c>
      <c r="AC55" s="29">
        <f>generator_costs!AI58</f>
        <v>1</v>
      </c>
      <c r="AD55" s="29">
        <f>generator_costs!AJ58</f>
        <v>1</v>
      </c>
      <c r="AE55" s="29">
        <f>generator_costs!AK58</f>
        <v>0</v>
      </c>
      <c r="AF55" s="29">
        <f>generator_costs!AL58</f>
        <v>0</v>
      </c>
      <c r="AG55" s="29">
        <f>generator_costs!AM58</f>
        <v>0</v>
      </c>
      <c r="AH55" s="29">
        <f>generator_costs!AN58</f>
        <v>0</v>
      </c>
      <c r="AI55" s="29">
        <f>generator_costs!AO58</f>
        <v>0</v>
      </c>
      <c r="AJ55" s="29">
        <f>generator_costs!AP58</f>
        <v>0</v>
      </c>
      <c r="AK55" s="29">
        <f>generator_costs!AQ58</f>
        <v>0</v>
      </c>
      <c r="AL55" s="29">
        <f>generator_costs!AR58</f>
        <v>0</v>
      </c>
      <c r="AM55" s="29" t="str">
        <f>generator_costs!AT58</f>
        <v xml:space="preserve">Solar Vision Study (see PV_Cost_Calc.xlsx) for costs, CEC COG Model for construction time and cost fractions, as well as for forced outage rate </v>
      </c>
    </row>
    <row r="56" spans="1:39">
      <c r="A56" s="29">
        <f>generator_costs!A59</f>
        <v>3</v>
      </c>
      <c r="B56" s="29" t="str">
        <f>generator_costs!B59</f>
        <v>Concentrating_PV</v>
      </c>
      <c r="C56" s="29">
        <f>generator_costs!C59</f>
        <v>2007</v>
      </c>
      <c r="D56" s="29">
        <f>generator_costs!D59</f>
        <v>2011</v>
      </c>
      <c r="E56" s="29" t="str">
        <f>generator_costs!E59</f>
        <v>Solar</v>
      </c>
      <c r="F56" s="29">
        <f>generator_costs!L59</f>
        <v>5231490.0280357804</v>
      </c>
      <c r="G56" s="29">
        <f>generator_costs!M59</f>
        <v>15573.7</v>
      </c>
      <c r="H56" s="29">
        <f>generator_costs!N59</f>
        <v>0</v>
      </c>
      <c r="I56" s="29">
        <f>generator_costs!O59</f>
        <v>-6.2858623743340614E-2</v>
      </c>
      <c r="J56" s="29">
        <f>generator_costs!P59</f>
        <v>65639</v>
      </c>
      <c r="K56" s="29">
        <f>generator_costs!Q59</f>
        <v>0</v>
      </c>
      <c r="L56" s="29">
        <f>generator_costs!R59</f>
        <v>3</v>
      </c>
      <c r="M56" s="29">
        <f>generator_costs!S59</f>
        <v>0.8</v>
      </c>
      <c r="N56" s="29">
        <f>generator_costs!T59</f>
        <v>0.1</v>
      </c>
      <c r="O56" s="29">
        <f>generator_costs!U59</f>
        <v>0.1</v>
      </c>
      <c r="P56" s="29">
        <f>generator_costs!V59</f>
        <v>0</v>
      </c>
      <c r="Q56" s="29">
        <f>generator_costs!W59</f>
        <v>0</v>
      </c>
      <c r="R56" s="29">
        <f>generator_costs!X59</f>
        <v>0</v>
      </c>
      <c r="S56" s="29">
        <f>generator_costs!Y59</f>
        <v>25</v>
      </c>
      <c r="T56" s="29">
        <f>generator_costs!Z59</f>
        <v>2.7000000000000001E-3</v>
      </c>
      <c r="U56" s="29">
        <f>generator_costs!AA59</f>
        <v>5.4000000000000003E-3</v>
      </c>
      <c r="V56" s="29">
        <f>generator_costs!AB59</f>
        <v>1</v>
      </c>
      <c r="W56" s="29">
        <f>generator_costs!AC59</f>
        <v>1</v>
      </c>
      <c r="X56" s="29">
        <f>generator_costs!AD59</f>
        <v>0</v>
      </c>
      <c r="Y56" s="29">
        <f>generator_costs!AE59</f>
        <v>0</v>
      </c>
      <c r="Z56" s="29">
        <f>generator_costs!AF59</f>
        <v>0</v>
      </c>
      <c r="AA56" s="29">
        <f>generator_costs!AG59</f>
        <v>0</v>
      </c>
      <c r="AB56" s="29">
        <f>generator_costs!AH59</f>
        <v>0</v>
      </c>
      <c r="AC56" s="29">
        <f>generator_costs!AI59</f>
        <v>1</v>
      </c>
      <c r="AD56" s="29">
        <f>generator_costs!AJ59</f>
        <v>1</v>
      </c>
      <c r="AE56" s="29">
        <f>generator_costs!AK59</f>
        <v>0</v>
      </c>
      <c r="AF56" s="29">
        <f>generator_costs!AL59</f>
        <v>0</v>
      </c>
      <c r="AG56" s="29">
        <f>generator_costs!AM59</f>
        <v>0</v>
      </c>
      <c r="AH56" s="29">
        <f>generator_costs!AN59</f>
        <v>0</v>
      </c>
      <c r="AI56" s="29">
        <f>generator_costs!AO59</f>
        <v>0</v>
      </c>
      <c r="AJ56" s="29">
        <f>generator_costs!AP59</f>
        <v>0</v>
      </c>
      <c r="AK56" s="29">
        <f>generator_costs!AQ59</f>
        <v>0</v>
      </c>
      <c r="AL56" s="29">
        <f>generator_costs!AR59</f>
        <v>0</v>
      </c>
      <c r="AM56" s="29" t="str">
        <f>generator_costs!AT59</f>
        <v>CPV Consortium numbers (It's more or less SolFocus)</v>
      </c>
    </row>
    <row r="57" spans="1:39">
      <c r="A57" s="29">
        <f>generator_costs!A60</f>
        <v>27</v>
      </c>
      <c r="B57" s="29" t="str">
        <f>generator_costs!B60</f>
        <v>CSP_Trough_No_Storage</v>
      </c>
      <c r="C57" s="29">
        <f>generator_costs!C60</f>
        <v>2007</v>
      </c>
      <c r="D57" s="29">
        <f>generator_costs!D60</f>
        <v>2011</v>
      </c>
      <c r="E57" s="29" t="str">
        <f>generator_costs!E60</f>
        <v>Solar</v>
      </c>
      <c r="F57" s="29">
        <f>generator_costs!L60</f>
        <v>3490417.0027632103</v>
      </c>
      <c r="G57" s="29">
        <f>generator_costs!M60</f>
        <v>63240</v>
      </c>
      <c r="H57" s="29">
        <f>generator_costs!N60</f>
        <v>0</v>
      </c>
      <c r="I57" s="29">
        <f>generator_costs!O60</f>
        <v>-8.8500000000000002E-3</v>
      </c>
      <c r="J57" s="29">
        <f>generator_costs!P60</f>
        <v>65639</v>
      </c>
      <c r="K57" s="29">
        <f>generator_costs!Q60</f>
        <v>0</v>
      </c>
      <c r="L57" s="29">
        <f>generator_costs!R60</f>
        <v>1</v>
      </c>
      <c r="M57" s="29">
        <f>generator_costs!S60</f>
        <v>1</v>
      </c>
      <c r="N57" s="29">
        <f>generator_costs!T60</f>
        <v>0</v>
      </c>
      <c r="O57" s="29">
        <f>generator_costs!U60</f>
        <v>0</v>
      </c>
      <c r="P57" s="29">
        <f>generator_costs!V60</f>
        <v>0</v>
      </c>
      <c r="Q57" s="29">
        <f>generator_costs!W60</f>
        <v>0</v>
      </c>
      <c r="R57" s="29">
        <f>generator_costs!X60</f>
        <v>0</v>
      </c>
      <c r="S57" s="29">
        <f>generator_costs!Y60</f>
        <v>20</v>
      </c>
      <c r="T57" s="29">
        <f>generator_costs!Z60</f>
        <v>1.6E-2</v>
      </c>
      <c r="U57" s="29">
        <f>generator_costs!AA60</f>
        <v>2.1999999999999999E-2</v>
      </c>
      <c r="V57" s="29">
        <f>generator_costs!AB60</f>
        <v>1</v>
      </c>
      <c r="W57" s="29">
        <f>generator_costs!AC60</f>
        <v>1</v>
      </c>
      <c r="X57" s="29">
        <f>generator_costs!AD60</f>
        <v>0</v>
      </c>
      <c r="Y57" s="29">
        <f>generator_costs!AE60</f>
        <v>0</v>
      </c>
      <c r="Z57" s="29">
        <f>generator_costs!AF60</f>
        <v>0</v>
      </c>
      <c r="AA57" s="29">
        <f>generator_costs!AG60</f>
        <v>0</v>
      </c>
      <c r="AB57" s="29">
        <f>generator_costs!AH60</f>
        <v>0</v>
      </c>
      <c r="AC57" s="29">
        <f>generator_costs!AI60</f>
        <v>1</v>
      </c>
      <c r="AD57" s="29">
        <f>generator_costs!AJ60</f>
        <v>1</v>
      </c>
      <c r="AE57" s="29">
        <f>generator_costs!AK60</f>
        <v>0</v>
      </c>
      <c r="AF57" s="29">
        <f>generator_costs!AL60</f>
        <v>0</v>
      </c>
      <c r="AG57" s="29">
        <f>generator_costs!AM60</f>
        <v>0</v>
      </c>
      <c r="AH57" s="29">
        <f>generator_costs!AN60</f>
        <v>0</v>
      </c>
      <c r="AI57" s="29">
        <f>generator_costs!AO60</f>
        <v>0</v>
      </c>
      <c r="AJ57" s="29">
        <f>generator_costs!AP60</f>
        <v>0</v>
      </c>
      <c r="AK57" s="29">
        <f>generator_costs!AQ60</f>
        <v>0</v>
      </c>
      <c r="AL57" s="29">
        <f>generator_costs!AR60</f>
        <v>0</v>
      </c>
      <c r="AM57" s="29" t="str">
        <f>generator_costs!AT60</f>
        <v>CEC COG Model Version 2.02-4-5-10</v>
      </c>
    </row>
    <row r="58" spans="1:39">
      <c r="A58" s="29">
        <f>generator_costs!A61</f>
        <v>7</v>
      </c>
      <c r="B58" s="29" t="str">
        <f>generator_costs!B61</f>
        <v>CSP_Trough_6h_Storage</v>
      </c>
      <c r="C58" s="29">
        <f>generator_costs!C61</f>
        <v>2007</v>
      </c>
      <c r="D58" s="29">
        <f>generator_costs!D61</f>
        <v>2012</v>
      </c>
      <c r="E58" s="29" t="str">
        <f>generator_costs!E61</f>
        <v>Solar</v>
      </c>
      <c r="F58" s="29">
        <f>generator_costs!L61</f>
        <v>5943270.3941815663</v>
      </c>
      <c r="G58" s="29">
        <f>generator_costs!M61</f>
        <v>63240</v>
      </c>
      <c r="H58" s="29">
        <f>generator_costs!N61</f>
        <v>0</v>
      </c>
      <c r="I58" s="29">
        <f>generator_costs!O61</f>
        <v>-8.8500000000000002E-3</v>
      </c>
      <c r="J58" s="29">
        <f>generator_costs!P61</f>
        <v>65639</v>
      </c>
      <c r="K58" s="29">
        <f>generator_costs!Q61</f>
        <v>0</v>
      </c>
      <c r="L58" s="29">
        <f>generator_costs!R61</f>
        <v>1</v>
      </c>
      <c r="M58" s="29">
        <f>generator_costs!S61</f>
        <v>1</v>
      </c>
      <c r="N58" s="29">
        <f>generator_costs!T61</f>
        <v>0</v>
      </c>
      <c r="O58" s="29">
        <f>generator_costs!U61</f>
        <v>0</v>
      </c>
      <c r="P58" s="29">
        <f>generator_costs!V61</f>
        <v>0</v>
      </c>
      <c r="Q58" s="29">
        <f>generator_costs!W61</f>
        <v>0</v>
      </c>
      <c r="R58" s="29">
        <f>generator_costs!X61</f>
        <v>0</v>
      </c>
      <c r="S58" s="29">
        <f>generator_costs!Y61</f>
        <v>20</v>
      </c>
      <c r="T58" s="29">
        <f>generator_costs!Z61</f>
        <v>1.6E-2</v>
      </c>
      <c r="U58" s="29">
        <f>generator_costs!AA61</f>
        <v>2.1999999999999999E-2</v>
      </c>
      <c r="V58" s="29">
        <f>generator_costs!AB61</f>
        <v>1</v>
      </c>
      <c r="W58" s="29">
        <f>generator_costs!AC61</f>
        <v>1</v>
      </c>
      <c r="X58" s="29">
        <f>generator_costs!AD61</f>
        <v>0</v>
      </c>
      <c r="Y58" s="29">
        <f>generator_costs!AE61</f>
        <v>0</v>
      </c>
      <c r="Z58" s="29">
        <f>generator_costs!AF61</f>
        <v>0</v>
      </c>
      <c r="AA58" s="29">
        <f>generator_costs!AG61</f>
        <v>0</v>
      </c>
      <c r="AB58" s="29">
        <f>generator_costs!AH61</f>
        <v>0</v>
      </c>
      <c r="AC58" s="29">
        <f>generator_costs!AI61</f>
        <v>1</v>
      </c>
      <c r="AD58" s="29">
        <f>generator_costs!AJ61</f>
        <v>1</v>
      </c>
      <c r="AE58" s="29">
        <f>generator_costs!AK61</f>
        <v>0</v>
      </c>
      <c r="AF58" s="29">
        <f>generator_costs!AL61</f>
        <v>0</v>
      </c>
      <c r="AG58" s="29">
        <f>generator_costs!AM61</f>
        <v>0</v>
      </c>
      <c r="AH58" s="29">
        <f>generator_costs!AN61</f>
        <v>0</v>
      </c>
      <c r="AI58" s="29">
        <f>generator_costs!AO61</f>
        <v>0</v>
      </c>
      <c r="AJ58" s="29">
        <f>generator_costs!AP61</f>
        <v>0</v>
      </c>
      <c r="AK58" s="29">
        <f>generator_costs!AQ61</f>
        <v>0</v>
      </c>
      <c r="AL58" s="29">
        <f>generator_costs!AR61</f>
        <v>0</v>
      </c>
      <c r="AM58" s="29" t="str">
        <f>generator_costs!AT61</f>
        <v>CEC COG Model Version 2.02-4-5-10; the overnight cost is adjusted from the non-storage CSP overnight-cost based on the difference in the storage and non-storage CSP from the Solar Advisor Model; the construction time of 1 year is probably too low</v>
      </c>
    </row>
    <row r="59" spans="1:39">
      <c r="A59" s="29">
        <f>generator_costs!A62</f>
        <v>5</v>
      </c>
      <c r="B59" s="29" t="str">
        <f>generator_costs!B62</f>
        <v>Offshore_Wind</v>
      </c>
      <c r="C59" s="29">
        <f>generator_costs!C62</f>
        <v>2007</v>
      </c>
      <c r="D59" s="29">
        <f>generator_costs!D62</f>
        <v>2011</v>
      </c>
      <c r="E59" s="29" t="str">
        <f>generator_costs!E62</f>
        <v>Wind</v>
      </c>
      <c r="F59" s="29">
        <f>generator_costs!L62</f>
        <v>5334639.0616001952</v>
      </c>
      <c r="G59" s="29">
        <f>generator_costs!M62</f>
        <v>25482</v>
      </c>
      <c r="H59" s="29">
        <f>generator_costs!N62</f>
        <v>9.4673999999999996</v>
      </c>
      <c r="I59" s="29">
        <f>generator_costs!O62</f>
        <v>-1.2999999999999999E-2</v>
      </c>
      <c r="J59" s="29">
        <f>generator_costs!P62</f>
        <v>65639</v>
      </c>
      <c r="K59" s="29">
        <f>generator_costs!Q62</f>
        <v>0</v>
      </c>
      <c r="L59" s="29">
        <f>generator_costs!R62</f>
        <v>2</v>
      </c>
      <c r="M59" s="29">
        <f>generator_costs!S62</f>
        <v>0.05</v>
      </c>
      <c r="N59" s="29">
        <f>generator_costs!T62</f>
        <v>0.95</v>
      </c>
      <c r="O59" s="29">
        <f>generator_costs!U62</f>
        <v>0</v>
      </c>
      <c r="P59" s="29">
        <f>generator_costs!V62</f>
        <v>0</v>
      </c>
      <c r="Q59" s="29">
        <f>generator_costs!W62</f>
        <v>0</v>
      </c>
      <c r="R59" s="29">
        <f>generator_costs!X62</f>
        <v>0</v>
      </c>
      <c r="S59" s="29">
        <f>generator_costs!Y62</f>
        <v>30</v>
      </c>
      <c r="T59" s="29">
        <f>generator_costs!Z62</f>
        <v>0.02</v>
      </c>
      <c r="U59" s="29">
        <f>generator_costs!AA62</f>
        <v>2.6200000000000001E-2</v>
      </c>
      <c r="V59" s="29">
        <f>generator_costs!AB62</f>
        <v>1</v>
      </c>
      <c r="W59" s="29">
        <f>generator_costs!AC62</f>
        <v>1</v>
      </c>
      <c r="X59" s="29">
        <f>generator_costs!AD62</f>
        <v>0</v>
      </c>
      <c r="Y59" s="29">
        <f>generator_costs!AE62</f>
        <v>0</v>
      </c>
      <c r="Z59" s="29">
        <f>generator_costs!AF62</f>
        <v>0</v>
      </c>
      <c r="AA59" s="29">
        <f>generator_costs!AG62</f>
        <v>0</v>
      </c>
      <c r="AB59" s="29">
        <f>generator_costs!AH62</f>
        <v>0</v>
      </c>
      <c r="AC59" s="29">
        <f>generator_costs!AI62</f>
        <v>1</v>
      </c>
      <c r="AD59" s="29">
        <f>generator_costs!AJ62</f>
        <v>0</v>
      </c>
      <c r="AE59" s="29">
        <f>generator_costs!AK62</f>
        <v>0</v>
      </c>
      <c r="AF59" s="29">
        <f>generator_costs!AL62</f>
        <v>0</v>
      </c>
      <c r="AG59" s="29">
        <f>generator_costs!AM62</f>
        <v>0</v>
      </c>
      <c r="AH59" s="29">
        <f>generator_costs!AN62</f>
        <v>0</v>
      </c>
      <c r="AI59" s="29">
        <f>generator_costs!AO62</f>
        <v>0</v>
      </c>
      <c r="AJ59" s="29">
        <f>generator_costs!AP62</f>
        <v>0</v>
      </c>
      <c r="AK59" s="29">
        <f>generator_costs!AQ62</f>
        <v>0</v>
      </c>
      <c r="AL59" s="29">
        <f>generator_costs!AR62</f>
        <v>0</v>
      </c>
      <c r="AM59" s="29" t="str">
        <f>generator_costs!AT62</f>
        <v>CEC COG Model Version 2.02-4-5-10</v>
      </c>
    </row>
    <row r="60" spans="1:39">
      <c r="A60" s="29">
        <f>generator_costs!A63</f>
        <v>4</v>
      </c>
      <c r="B60" s="29" t="str">
        <f>generator_costs!B63</f>
        <v>Wind</v>
      </c>
      <c r="C60" s="29">
        <f>generator_costs!C63</f>
        <v>2007</v>
      </c>
      <c r="D60" s="29">
        <f>generator_costs!D63</f>
        <v>2011</v>
      </c>
      <c r="E60" s="29" t="str">
        <f>generator_costs!E63</f>
        <v>Wind</v>
      </c>
      <c r="F60" s="29">
        <f>generator_costs!L63</f>
        <v>1869346.7336683415</v>
      </c>
      <c r="G60" s="29">
        <f>generator_costs!M63</f>
        <v>12741</v>
      </c>
      <c r="H60" s="29">
        <f>generator_costs!N63</f>
        <v>4.7336999999999998</v>
      </c>
      <c r="I60" s="29">
        <f>generator_costs!O63</f>
        <v>-5.0000000000000001E-3</v>
      </c>
      <c r="J60" s="29">
        <f>generator_costs!P63</f>
        <v>65639</v>
      </c>
      <c r="K60" s="29">
        <f>generator_costs!Q63</f>
        <v>0</v>
      </c>
      <c r="L60" s="29">
        <f>generator_costs!R63</f>
        <v>2</v>
      </c>
      <c r="M60" s="29">
        <f>generator_costs!S63</f>
        <v>0.05</v>
      </c>
      <c r="N60" s="29">
        <f>generator_costs!T63</f>
        <v>0.95</v>
      </c>
      <c r="O60" s="29">
        <f>generator_costs!U63</f>
        <v>0</v>
      </c>
      <c r="P60" s="29">
        <f>generator_costs!V63</f>
        <v>0</v>
      </c>
      <c r="Q60" s="29">
        <f>generator_costs!W63</f>
        <v>0</v>
      </c>
      <c r="R60" s="29">
        <f>generator_costs!X63</f>
        <v>0</v>
      </c>
      <c r="S60" s="29">
        <f>generator_costs!Y63</f>
        <v>30</v>
      </c>
      <c r="T60" s="29">
        <f>generator_costs!Z63</f>
        <v>0.02</v>
      </c>
      <c r="U60" s="29">
        <f>generator_costs!AA63</f>
        <v>1.3899999999999999E-2</v>
      </c>
      <c r="V60" s="29">
        <f>generator_costs!AB63</f>
        <v>1</v>
      </c>
      <c r="W60" s="29">
        <f>generator_costs!AC63</f>
        <v>1</v>
      </c>
      <c r="X60" s="29">
        <f>generator_costs!AD63</f>
        <v>0</v>
      </c>
      <c r="Y60" s="29">
        <f>generator_costs!AE63</f>
        <v>0</v>
      </c>
      <c r="Z60" s="29">
        <f>generator_costs!AF63</f>
        <v>0</v>
      </c>
      <c r="AA60" s="29">
        <f>generator_costs!AG63</f>
        <v>0</v>
      </c>
      <c r="AB60" s="29">
        <f>generator_costs!AH63</f>
        <v>0</v>
      </c>
      <c r="AC60" s="29">
        <f>generator_costs!AI63</f>
        <v>1</v>
      </c>
      <c r="AD60" s="29">
        <f>generator_costs!AJ63</f>
        <v>0</v>
      </c>
      <c r="AE60" s="29">
        <f>generator_costs!AK63</f>
        <v>0</v>
      </c>
      <c r="AF60" s="29">
        <f>generator_costs!AL63</f>
        <v>0</v>
      </c>
      <c r="AG60" s="29">
        <f>generator_costs!AM63</f>
        <v>0</v>
      </c>
      <c r="AH60" s="29">
        <f>generator_costs!AN63</f>
        <v>0</v>
      </c>
      <c r="AI60" s="29">
        <f>generator_costs!AO63</f>
        <v>0</v>
      </c>
      <c r="AJ60" s="29">
        <f>generator_costs!AP63</f>
        <v>0</v>
      </c>
      <c r="AK60" s="29">
        <f>generator_costs!AQ63</f>
        <v>0</v>
      </c>
      <c r="AL60" s="29">
        <f>generator_costs!AR63</f>
        <v>0</v>
      </c>
      <c r="AM60" s="29" t="str">
        <f>generator_costs!AT63</f>
        <v>CEC COG Model Version 2.02-4-5-10</v>
      </c>
    </row>
    <row r="61" spans="1:39">
      <c r="A61" s="29">
        <f>generator_costs!A64</f>
        <v>23</v>
      </c>
      <c r="B61" s="29" t="str">
        <f>generator_costs!B64</f>
        <v>Wind_EP</v>
      </c>
      <c r="C61" s="29">
        <f>generator_costs!C64</f>
        <v>2007</v>
      </c>
      <c r="D61" s="29">
        <f>generator_costs!D64</f>
        <v>0</v>
      </c>
      <c r="E61" s="29" t="str">
        <f>generator_costs!E64</f>
        <v>Wind</v>
      </c>
      <c r="F61" s="29">
        <f>generator_costs!L64</f>
        <v>1850700</v>
      </c>
      <c r="G61" s="29">
        <f>generator_costs!M64</f>
        <v>12741</v>
      </c>
      <c r="H61" s="29">
        <f>generator_costs!N64</f>
        <v>4.7336999999999998</v>
      </c>
      <c r="I61" s="29">
        <f>generator_costs!O64</f>
        <v>0</v>
      </c>
      <c r="J61" s="29">
        <f>generator_costs!P64</f>
        <v>91289</v>
      </c>
      <c r="K61" s="29">
        <f>generator_costs!Q64</f>
        <v>0</v>
      </c>
      <c r="L61" s="29">
        <f>generator_costs!R64</f>
        <v>2</v>
      </c>
      <c r="M61" s="29">
        <f>generator_costs!S64</f>
        <v>0.05</v>
      </c>
      <c r="N61" s="29">
        <f>generator_costs!T64</f>
        <v>0.95</v>
      </c>
      <c r="O61" s="29">
        <f>generator_costs!U64</f>
        <v>0</v>
      </c>
      <c r="P61" s="29">
        <f>generator_costs!V64</f>
        <v>0</v>
      </c>
      <c r="Q61" s="29">
        <f>generator_costs!W64</f>
        <v>0</v>
      </c>
      <c r="R61" s="29">
        <f>generator_costs!X64</f>
        <v>0</v>
      </c>
      <c r="S61" s="29">
        <f>generator_costs!Y64</f>
        <v>30</v>
      </c>
      <c r="T61" s="29">
        <f>generator_costs!Z64</f>
        <v>0.02</v>
      </c>
      <c r="U61" s="29">
        <f>generator_costs!AA64</f>
        <v>1.3899999999999999E-2</v>
      </c>
      <c r="V61" s="29">
        <f>generator_costs!AB64</f>
        <v>1</v>
      </c>
      <c r="W61" s="29">
        <f>generator_costs!AC64</f>
        <v>1</v>
      </c>
      <c r="X61" s="29">
        <f>generator_costs!AD64</f>
        <v>0</v>
      </c>
      <c r="Y61" s="29">
        <f>generator_costs!AE64</f>
        <v>0</v>
      </c>
      <c r="Z61" s="29">
        <f>generator_costs!AF64</f>
        <v>0</v>
      </c>
      <c r="AA61" s="29">
        <f>generator_costs!AG64</f>
        <v>0</v>
      </c>
      <c r="AB61" s="29">
        <f>generator_costs!AH64</f>
        <v>0</v>
      </c>
      <c r="AC61" s="29">
        <f>generator_costs!AI64</f>
        <v>0</v>
      </c>
      <c r="AD61" s="29">
        <f>generator_costs!AJ64</f>
        <v>0</v>
      </c>
      <c r="AE61" s="29">
        <f>generator_costs!AK64</f>
        <v>0</v>
      </c>
      <c r="AF61" s="29">
        <f>generator_costs!AL64</f>
        <v>0</v>
      </c>
      <c r="AG61" s="29">
        <f>generator_costs!AM64</f>
        <v>0</v>
      </c>
      <c r="AH61" s="29">
        <f>generator_costs!AN64</f>
        <v>0</v>
      </c>
      <c r="AI61" s="29">
        <f>generator_costs!AO64</f>
        <v>0</v>
      </c>
      <c r="AJ61" s="29">
        <f>generator_costs!AP64</f>
        <v>0</v>
      </c>
      <c r="AK61" s="29">
        <f>generator_costs!AQ64</f>
        <v>0</v>
      </c>
      <c r="AL61" s="29">
        <f>generator_costs!AR64</f>
        <v>0</v>
      </c>
      <c r="AM61" s="29" t="str">
        <f>generator_costs!AT64</f>
        <v>Same as new wind except for a generic connect cost</v>
      </c>
    </row>
    <row r="62" spans="1:39">
      <c r="A62" s="29">
        <f>generator_costs!A65</f>
        <v>15</v>
      </c>
      <c r="B62" s="29" t="str">
        <f>generator_costs!B65</f>
        <v>Hydro_NonPumped</v>
      </c>
      <c r="C62" s="29">
        <f>generator_costs!C65</f>
        <v>2007</v>
      </c>
      <c r="D62" s="29">
        <f>generator_costs!D65</f>
        <v>0</v>
      </c>
      <c r="E62" s="29" t="str">
        <f>generator_costs!E65</f>
        <v>Water</v>
      </c>
      <c r="F62" s="29">
        <f>generator_costs!L65</f>
        <v>2817923.6</v>
      </c>
      <c r="G62" s="29">
        <f>generator_costs!M65</f>
        <v>12312.384</v>
      </c>
      <c r="H62" s="29">
        <f>generator_costs!N65</f>
        <v>0</v>
      </c>
      <c r="I62" s="29">
        <f>generator_costs!O65</f>
        <v>0</v>
      </c>
      <c r="J62" s="29">
        <f>generator_costs!P65</f>
        <v>65639</v>
      </c>
      <c r="K62" s="29">
        <f>generator_costs!Q65</f>
        <v>0</v>
      </c>
      <c r="L62" s="29">
        <f>generator_costs!R65</f>
        <v>6</v>
      </c>
      <c r="M62" s="29">
        <f>generator_costs!S65</f>
        <v>0.1</v>
      </c>
      <c r="N62" s="29">
        <f>generator_costs!T65</f>
        <v>0.2</v>
      </c>
      <c r="O62" s="29">
        <f>generator_costs!U65</f>
        <v>0.2</v>
      </c>
      <c r="P62" s="29">
        <f>generator_costs!V65</f>
        <v>0.2</v>
      </c>
      <c r="Q62" s="29">
        <f>generator_costs!W65</f>
        <v>0.2</v>
      </c>
      <c r="R62" s="29">
        <f>generator_costs!X65</f>
        <v>0.1</v>
      </c>
      <c r="S62" s="29">
        <f>generator_costs!Y65</f>
        <v>30</v>
      </c>
      <c r="T62" s="29">
        <f>generator_costs!Z65</f>
        <v>5.0999999999999997E-2</v>
      </c>
      <c r="U62" s="29">
        <f>generator_costs!AA65</f>
        <v>9.4E-2</v>
      </c>
      <c r="V62" s="29">
        <f>generator_costs!AB65</f>
        <v>0</v>
      </c>
      <c r="W62" s="29">
        <f>generator_costs!AC65</f>
        <v>1</v>
      </c>
      <c r="X62" s="29">
        <f>generator_costs!AD65</f>
        <v>0</v>
      </c>
      <c r="Y62" s="29">
        <f>generator_costs!AE65</f>
        <v>0</v>
      </c>
      <c r="Z62" s="29">
        <f>generator_costs!AF65</f>
        <v>0</v>
      </c>
      <c r="AA62" s="29">
        <f>generator_costs!AG65</f>
        <v>0</v>
      </c>
      <c r="AB62" s="29">
        <f>generator_costs!AH65</f>
        <v>0</v>
      </c>
      <c r="AC62" s="29">
        <f>generator_costs!AI65</f>
        <v>0</v>
      </c>
      <c r="AD62" s="29">
        <f>generator_costs!AJ65</f>
        <v>0</v>
      </c>
      <c r="AE62" s="29">
        <f>generator_costs!AK65</f>
        <v>0</v>
      </c>
      <c r="AF62" s="29">
        <f>generator_costs!AL65</f>
        <v>0</v>
      </c>
      <c r="AG62" s="29">
        <f>generator_costs!AM65</f>
        <v>0</v>
      </c>
      <c r="AH62" s="29">
        <f>generator_costs!AN65</f>
        <v>0</v>
      </c>
      <c r="AI62" s="29">
        <f>generator_costs!AO65</f>
        <v>0</v>
      </c>
      <c r="AJ62" s="29">
        <f>generator_costs!AP65</f>
        <v>0</v>
      </c>
      <c r="AK62" s="29">
        <f>generator_costs!AQ65</f>
        <v>0</v>
      </c>
      <c r="AL62" s="29">
        <f>generator_costs!AR65</f>
        <v>0</v>
      </c>
      <c r="AM62" s="29" t="str">
        <f>generator_costs!AT65</f>
        <v>"Updated Capital Cost Estimates for Electricity Generation Plants," US EIA, November 2010; construction cost breakdown comes from the ReEDs Sheet; outage rates are from the CEC COG Model</v>
      </c>
    </row>
    <row r="63" spans="1:39">
      <c r="A63" s="29">
        <f>generator_costs!A66</f>
        <v>16</v>
      </c>
      <c r="B63" s="29" t="str">
        <f>generator_costs!B66</f>
        <v>Hydro_Pumped</v>
      </c>
      <c r="C63" s="29">
        <f>generator_costs!C66</f>
        <v>2007</v>
      </c>
      <c r="D63" s="29">
        <f>generator_costs!D66</f>
        <v>0</v>
      </c>
      <c r="E63" s="29" t="str">
        <f>generator_costs!E66</f>
        <v>Water</v>
      </c>
      <c r="F63" s="29">
        <f>generator_costs!L66</f>
        <v>5125579.5</v>
      </c>
      <c r="G63" s="29">
        <f>generator_costs!M66</f>
        <v>11936.782999999999</v>
      </c>
      <c r="H63" s="29">
        <f>generator_costs!N66</f>
        <v>0</v>
      </c>
      <c r="I63" s="29">
        <f>generator_costs!O66</f>
        <v>0</v>
      </c>
      <c r="J63" s="29">
        <f>generator_costs!P66</f>
        <v>65639</v>
      </c>
      <c r="K63" s="29">
        <f>generator_costs!Q66</f>
        <v>0</v>
      </c>
      <c r="L63" s="29">
        <f>generator_costs!R66</f>
        <v>6</v>
      </c>
      <c r="M63" s="29">
        <f>generator_costs!S66</f>
        <v>0.1</v>
      </c>
      <c r="N63" s="29">
        <f>generator_costs!T66</f>
        <v>0.2</v>
      </c>
      <c r="O63" s="29">
        <f>generator_costs!U66</f>
        <v>0.2</v>
      </c>
      <c r="P63" s="29">
        <f>generator_costs!V66</f>
        <v>0.2</v>
      </c>
      <c r="Q63" s="29">
        <f>generator_costs!W66</f>
        <v>0.2</v>
      </c>
      <c r="R63" s="29">
        <f>generator_costs!X66</f>
        <v>0.1</v>
      </c>
      <c r="S63" s="29">
        <f>generator_costs!Y66</f>
        <v>30</v>
      </c>
      <c r="T63" s="29">
        <f>generator_costs!Z66</f>
        <v>5.0999999999999997E-2</v>
      </c>
      <c r="U63" s="29">
        <f>generator_costs!AA66</f>
        <v>9.4E-2</v>
      </c>
      <c r="V63" s="29">
        <f>generator_costs!AB66</f>
        <v>0</v>
      </c>
      <c r="W63" s="29">
        <f>generator_costs!AC66</f>
        <v>1</v>
      </c>
      <c r="X63" s="29">
        <f>generator_costs!AD66</f>
        <v>0</v>
      </c>
      <c r="Y63" s="29">
        <f>generator_costs!AE66</f>
        <v>0</v>
      </c>
      <c r="Z63" s="29">
        <f>generator_costs!AF66</f>
        <v>0</v>
      </c>
      <c r="AA63" s="29">
        <f>generator_costs!AG66</f>
        <v>0</v>
      </c>
      <c r="AB63" s="29">
        <f>generator_costs!AH66</f>
        <v>0</v>
      </c>
      <c r="AC63" s="29">
        <f>generator_costs!AI66</f>
        <v>0</v>
      </c>
      <c r="AD63" s="29">
        <f>generator_costs!AJ66</f>
        <v>0</v>
      </c>
      <c r="AE63" s="29">
        <f>generator_costs!AK66</f>
        <v>0</v>
      </c>
      <c r="AF63" s="29">
        <f>generator_costs!AL66</f>
        <v>1</v>
      </c>
      <c r="AG63" s="29">
        <f>generator_costs!AM66</f>
        <v>0.74</v>
      </c>
      <c r="AH63" s="29">
        <f>generator_costs!AN66</f>
        <v>1</v>
      </c>
      <c r="AI63" s="29">
        <f>generator_costs!AO66</f>
        <v>0</v>
      </c>
      <c r="AJ63" s="29">
        <f>generator_costs!AP66</f>
        <v>0</v>
      </c>
      <c r="AK63" s="29">
        <f>generator_costs!AQ66</f>
        <v>0</v>
      </c>
      <c r="AL63" s="29">
        <f>generator_costs!AR66</f>
        <v>0</v>
      </c>
      <c r="AM63" s="29" t="str">
        <f>generator_costs!AT66</f>
        <v>"Updated Capital Cost Estimates for Electricity Generation Plants," US EIA, November 2010; construction cost breakdown comes from the ReEDs Sheet; outage rates are the same as hydro</v>
      </c>
    </row>
    <row r="64" spans="1:39">
      <c r="A64" s="29">
        <f>generator_costs!A67</f>
        <v>28</v>
      </c>
      <c r="B64" s="29" t="str">
        <f>generator_costs!B67</f>
        <v>Compressed_Air_Energy_Storage</v>
      </c>
      <c r="C64" s="29">
        <f>generator_costs!C67</f>
        <v>2007</v>
      </c>
      <c r="D64" s="29">
        <f>generator_costs!D67</f>
        <v>2011</v>
      </c>
      <c r="E64" s="29" t="str">
        <f>generator_costs!E67</f>
        <v>Gas</v>
      </c>
      <c r="F64" s="29">
        <f>generator_costs!L67</f>
        <v>1103287.0691553003</v>
      </c>
      <c r="G64" s="29">
        <f>generator_costs!M67</f>
        <v>9444.991</v>
      </c>
      <c r="H64" s="29">
        <f>generator_costs!N67</f>
        <v>2.8399100000000002</v>
      </c>
      <c r="I64" s="29">
        <f>generator_costs!O67</f>
        <v>-1.1999999999999999E-3</v>
      </c>
      <c r="J64" s="29">
        <f>generator_costs!P67</f>
        <v>91289</v>
      </c>
      <c r="K64" s="29">
        <f>generator_costs!Q67</f>
        <v>4.4000000000000004</v>
      </c>
      <c r="L64" s="29">
        <f>generator_costs!R67</f>
        <v>6</v>
      </c>
      <c r="M64" s="29">
        <f>generator_costs!S67</f>
        <v>0.1</v>
      </c>
      <c r="N64" s="29">
        <f>generator_costs!T67</f>
        <v>0.2</v>
      </c>
      <c r="O64" s="29">
        <f>generator_costs!U67</f>
        <v>0.2</v>
      </c>
      <c r="P64" s="29">
        <f>generator_costs!V67</f>
        <v>0.2</v>
      </c>
      <c r="Q64" s="29">
        <f>generator_costs!W67</f>
        <v>0.2</v>
      </c>
      <c r="R64" s="29">
        <f>generator_costs!X67</f>
        <v>0.1</v>
      </c>
      <c r="S64" s="29">
        <f>generator_costs!Y67</f>
        <v>30</v>
      </c>
      <c r="T64" s="29">
        <f>generator_costs!Z67</f>
        <v>0.03</v>
      </c>
      <c r="U64" s="29">
        <f>generator_costs!AA67</f>
        <v>0.04</v>
      </c>
      <c r="V64" s="29">
        <f>generator_costs!AB67</f>
        <v>0</v>
      </c>
      <c r="W64" s="29">
        <f>generator_costs!AC67</f>
        <v>1</v>
      </c>
      <c r="X64" s="29">
        <f>generator_costs!AD67</f>
        <v>0</v>
      </c>
      <c r="Y64" s="29">
        <f>generator_costs!AE67</f>
        <v>0</v>
      </c>
      <c r="Z64" s="29">
        <f>generator_costs!AF67</f>
        <v>1</v>
      </c>
      <c r="AA64" s="29">
        <f>generator_costs!AG67</f>
        <v>0</v>
      </c>
      <c r="AB64" s="29">
        <f>generator_costs!AH67</f>
        <v>0</v>
      </c>
      <c r="AC64" s="29">
        <f>generator_costs!AI67</f>
        <v>1</v>
      </c>
      <c r="AD64" s="29">
        <f>generator_costs!AJ67</f>
        <v>0</v>
      </c>
      <c r="AE64" s="29">
        <f>generator_costs!AK67</f>
        <v>0</v>
      </c>
      <c r="AF64" s="29">
        <f>generator_costs!AL67</f>
        <v>1</v>
      </c>
      <c r="AG64" s="29">
        <f>generator_costs!AM67</f>
        <v>0.81699999999999995</v>
      </c>
      <c r="AH64" s="29">
        <f>generator_costs!AN67</f>
        <v>1.2</v>
      </c>
      <c r="AI64" s="29">
        <f>generator_costs!AO67</f>
        <v>0.5</v>
      </c>
      <c r="AJ64" s="29">
        <f>generator_costs!AP67</f>
        <v>0.1</v>
      </c>
      <c r="AK64" s="29">
        <f>generator_costs!AQ67</f>
        <v>0</v>
      </c>
      <c r="AL64" s="29">
        <f>generator_costs!AR67</f>
        <v>0</v>
      </c>
      <c r="AM64" s="29" t="str">
        <f>generator_costs!AT67</f>
        <v>ReEDs Sheet; also Sullivan et al (2008), NREL/CP-670-43510 Conference Paper for o&amp;m costs, declanation rate, etc; $1,200,000 taken as capital cost in 2010 rather than 2004 based on conversation with Hernandez, also The storage efficiency of the the storage phase of compressed air energy storage from Samir Succar and Robert H. Williams: Compressed Air Energy Storage: Theory, Resources, And Applications For Wind Power, p. 39_x000D_</v>
      </c>
    </row>
    <row r="65" spans="1:39">
      <c r="A65" s="29">
        <f>generator_costs!A68</f>
        <v>33</v>
      </c>
      <c r="B65" s="29" t="str">
        <f>generator_costs!B68</f>
        <v>Battery_Storage</v>
      </c>
      <c r="C65" s="29">
        <f>generator_costs!C68</f>
        <v>2007</v>
      </c>
      <c r="D65" s="29">
        <f>generator_costs!D68</f>
        <v>2011</v>
      </c>
      <c r="E65" s="29" t="str">
        <f>generator_costs!E68</f>
        <v>Storage</v>
      </c>
      <c r="F65" s="29">
        <f>generator_costs!L68</f>
        <v>4202867.8683228446</v>
      </c>
      <c r="G65" s="29">
        <f>generator_costs!M68</f>
        <v>25810.59</v>
      </c>
      <c r="H65" s="29">
        <f>generator_costs!N68</f>
        <v>0.5197155</v>
      </c>
      <c r="I65" s="29">
        <f>generator_costs!O68</f>
        <v>-5.5563899759500934E-3</v>
      </c>
      <c r="J65" s="29">
        <f>generator_costs!P68</f>
        <v>91289</v>
      </c>
      <c r="K65" s="29">
        <f>generator_costs!Q68</f>
        <v>0</v>
      </c>
      <c r="L65" s="29">
        <f>generator_costs!R68</f>
        <v>3</v>
      </c>
      <c r="M65" s="29">
        <f>generator_costs!S68</f>
        <v>0.8</v>
      </c>
      <c r="N65" s="29">
        <f>generator_costs!T68</f>
        <v>0.1</v>
      </c>
      <c r="O65" s="29">
        <f>generator_costs!U68</f>
        <v>0.1</v>
      </c>
      <c r="P65" s="29">
        <f>generator_costs!V68</f>
        <v>0</v>
      </c>
      <c r="Q65" s="29">
        <f>generator_costs!W68</f>
        <v>0</v>
      </c>
      <c r="R65" s="29">
        <f>generator_costs!X68</f>
        <v>0</v>
      </c>
      <c r="S65" s="29">
        <f>generator_costs!Y68</f>
        <v>15</v>
      </c>
      <c r="T65" s="29">
        <f>generator_costs!Z68</f>
        <v>0.02</v>
      </c>
      <c r="U65" s="29">
        <f>generator_costs!AA68</f>
        <v>5.4999999999999997E-3</v>
      </c>
      <c r="V65" s="29">
        <f>generator_costs!AB68</f>
        <v>0</v>
      </c>
      <c r="W65" s="29">
        <f>generator_costs!AC68</f>
        <v>0</v>
      </c>
      <c r="X65" s="29">
        <f>generator_costs!AD68</f>
        <v>0</v>
      </c>
      <c r="Y65" s="29">
        <f>generator_costs!AE68</f>
        <v>0</v>
      </c>
      <c r="Z65" s="29">
        <f>generator_costs!AF68</f>
        <v>0</v>
      </c>
      <c r="AA65" s="29">
        <f>generator_costs!AG68</f>
        <v>0</v>
      </c>
      <c r="AB65" s="29">
        <f>generator_costs!AH68</f>
        <v>0</v>
      </c>
      <c r="AC65" s="29">
        <f>generator_costs!AI68</f>
        <v>1</v>
      </c>
      <c r="AD65" s="29">
        <f>generator_costs!AJ68</f>
        <v>0</v>
      </c>
      <c r="AE65" s="29">
        <f>generator_costs!AK68</f>
        <v>0</v>
      </c>
      <c r="AF65" s="29">
        <f>generator_costs!AL68</f>
        <v>1</v>
      </c>
      <c r="AG65" s="29">
        <f>generator_costs!AM68</f>
        <v>0.76700000000000002</v>
      </c>
      <c r="AH65" s="29">
        <f>generator_costs!AN68</f>
        <v>1</v>
      </c>
      <c r="AI65" s="29">
        <f>generator_costs!AO68</f>
        <v>0</v>
      </c>
      <c r="AJ65" s="29">
        <f>generator_costs!AP68</f>
        <v>0</v>
      </c>
      <c r="AK65" s="29">
        <f>generator_costs!AQ68</f>
        <v>0</v>
      </c>
      <c r="AL65" s="29">
        <f>generator_costs!AR68</f>
        <v>0</v>
      </c>
      <c r="AM65" s="29" t="str">
        <f>generator_costs!AT68</f>
        <v>ReEDs Sheet</v>
      </c>
    </row>
  </sheetData>
  <phoneticPr fontId="11"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58"/>
  <sheetViews>
    <sheetView workbookViewId="0">
      <selection activeCell="G61" sqref="G61"/>
    </sheetView>
  </sheetViews>
  <sheetFormatPr baseColWidth="10" defaultRowHeight="13"/>
  <sheetData>
    <row r="1" spans="1:7">
      <c r="A1" s="6" t="s">
        <v>170</v>
      </c>
      <c r="B1" s="6"/>
      <c r="C1" s="6"/>
      <c r="D1" s="6"/>
      <c r="E1" s="6"/>
      <c r="F1" s="6"/>
      <c r="G1" s="6"/>
    </row>
    <row r="2" spans="1:7">
      <c r="A2" t="s">
        <v>12</v>
      </c>
      <c r="B2">
        <v>2010</v>
      </c>
      <c r="C2">
        <v>2014</v>
      </c>
      <c r="D2">
        <v>2018</v>
      </c>
      <c r="E2">
        <v>2022</v>
      </c>
      <c r="F2">
        <v>2026</v>
      </c>
      <c r="G2" t="s">
        <v>111</v>
      </c>
    </row>
    <row r="3" spans="1:7">
      <c r="A3" s="5" t="str">
        <f>generator_costs!B5</f>
        <v>CCGT</v>
      </c>
      <c r="B3" s="1">
        <f>generator_costs!$L5*(1+generator_costs!$O5)^(B$2-2007)/1000000</f>
        <v>0.90735310499999999</v>
      </c>
      <c r="C3" s="1">
        <f>generator_costs!$L5*(1+generator_costs!$O5)^(C$2-2007)/1000000</f>
        <v>0.85933932837252491</v>
      </c>
      <c r="D3" s="1">
        <f>generator_costs!$L5*(1+generator_costs!$O5)^(D$2-2007)/1000000</f>
        <v>0.81386626355099356</v>
      </c>
      <c r="E3" s="1">
        <f>generator_costs!$L5*(1+generator_costs!$O5)^(E$2-2007)/1000000</f>
        <v>0.77079946544621925</v>
      </c>
      <c r="F3" s="1">
        <f>generator_costs!$L5*(1+generator_costs!$O5)^(F$2-2007)/1000000</f>
        <v>0.73001160330680226</v>
      </c>
      <c r="G3" s="2">
        <f>-generator_costs!O5*100</f>
        <v>1.35</v>
      </c>
    </row>
    <row r="4" spans="1:7">
      <c r="A4" s="29" t="str">
        <f>generator_costs!B11</f>
        <v>Gas_Combustion_Turbine</v>
      </c>
      <c r="B4" s="1">
        <f>generator_costs!$L11*(1+generator_costs!$O11)^(B$2-2007)/1000000</f>
        <v>0.75711820799999996</v>
      </c>
      <c r="C4" s="1">
        <f>generator_costs!$L11*(1+generator_costs!$O11)^(C$2-2007)/1000000</f>
        <v>0.71444116499214161</v>
      </c>
      <c r="D4" s="1">
        <f>generator_costs!$L11*(1+generator_costs!$O11)^(D$2-2007)/1000000</f>
        <v>0.67416973048854301</v>
      </c>
      <c r="E4" s="1">
        <f>generator_costs!$L11*(1+generator_costs!$O11)^(E$2-2007)/1000000</f>
        <v>0.63616830577223804</v>
      </c>
      <c r="F4" s="1">
        <f>generator_costs!$L11*(1+generator_costs!$O11)^(F$2-2007)/1000000</f>
        <v>0.60030893551961007</v>
      </c>
      <c r="G4" s="2">
        <f>-generator_costs!O11*100</f>
        <v>1.44</v>
      </c>
    </row>
    <row r="5" spans="1:7">
      <c r="A5" s="29" t="str">
        <f>generator_costs!B59</f>
        <v>Concentrating_PV</v>
      </c>
      <c r="B5" s="1">
        <f>generator_costs!$L59*(1+generator_costs!$O59)^(B$2-2007)/1000000</f>
        <v>4.3056699999999992</v>
      </c>
      <c r="C5" s="1">
        <f>generator_costs!$L59*(1+generator_costs!$O59)^(C$2-2007)/1000000</f>
        <v>3.3209412556908005</v>
      </c>
      <c r="D5" s="1">
        <f>generator_costs!$L59*(1+generator_costs!$O59)^(D$2-2007)/1000000</f>
        <v>2.5614250102188953</v>
      </c>
      <c r="E5" s="1">
        <f>generator_costs!$L59*(1+generator_costs!$O59)^(E$2-2007)/1000000</f>
        <v>1.9756140135667994</v>
      </c>
      <c r="F5" s="1">
        <f>generator_costs!$L59*(1+generator_costs!$O59)^(F$2-2007)/1000000</f>
        <v>1.5237809871576016</v>
      </c>
      <c r="G5" s="2">
        <f>-generator_costs!O59*100</f>
        <v>6.2858623743340614</v>
      </c>
    </row>
    <row r="6" spans="1:7">
      <c r="A6" s="29" t="str">
        <f>generator_costs!B63</f>
        <v>Wind</v>
      </c>
      <c r="B6" s="1">
        <f>generator_costs!$L63*(1+generator_costs!$O63)^(B$2-2007)/1000000</f>
        <v>1.8414464999999998</v>
      </c>
      <c r="C6" s="1">
        <f>generator_costs!$L63*(1+generator_costs!$O63)^(C$2-2007)/1000000</f>
        <v>1.8048928674026539</v>
      </c>
      <c r="D6" s="1">
        <f>generator_costs!$L63*(1+generator_costs!$O63)^(D$2-2007)/1000000</f>
        <v>1.7690648426663356</v>
      </c>
      <c r="E6" s="1">
        <f>generator_costs!$L63*(1+generator_costs!$O63)^(E$2-2007)/1000000</f>
        <v>1.7339480221126533</v>
      </c>
      <c r="F6" s="1">
        <f>generator_costs!$L63*(1+generator_costs!$O63)^(F$2-2007)/1000000</f>
        <v>1.6995282879834235</v>
      </c>
      <c r="G6" s="2">
        <f>-generator_costs!O63*100</f>
        <v>0.5</v>
      </c>
    </row>
    <row r="7" spans="1:7">
      <c r="A7" s="29" t="str">
        <f>generator_costs!B62</f>
        <v>Offshore_Wind</v>
      </c>
      <c r="B7" s="1">
        <f>generator_costs!$L62*(1+generator_costs!$O62)^(B$2-2007)/1000000</f>
        <v>5.1292810800000002</v>
      </c>
      <c r="C7" s="1">
        <f>generator_costs!$L62*(1+generator_costs!$O62)^(C$2-2007)/1000000</f>
        <v>4.867714625230386</v>
      </c>
      <c r="D7" s="1">
        <f>generator_costs!$L62*(1+generator_costs!$O62)^(D$2-2007)/1000000</f>
        <v>4.6194866888990598</v>
      </c>
      <c r="E7" s="1">
        <f>generator_costs!$L62*(1+generator_costs!$O62)^(E$2-2007)/1000000</f>
        <v>4.3839170764669886</v>
      </c>
      <c r="F7" s="1">
        <f>generator_costs!$L62*(1+generator_costs!$O62)^(F$2-2007)/1000000</f>
        <v>4.1603602797520303</v>
      </c>
      <c r="G7" s="2">
        <f>-generator_costs!O62*100</f>
        <v>1.3</v>
      </c>
    </row>
    <row r="8" spans="1:7">
      <c r="A8" s="29" t="str">
        <f>generator_costs!B56</f>
        <v>Residential_PV</v>
      </c>
      <c r="B8" s="1">
        <f>generator_costs!$L56*(1+generator_costs!$O56)^(B$2-2007)/1000000</f>
        <v>5.5334999999999992</v>
      </c>
      <c r="C8" s="1">
        <f>generator_costs!$L56*(1+generator_costs!$O56)^(C$2-2007)/1000000</f>
        <v>4.5356035315257746</v>
      </c>
      <c r="D8" s="1">
        <f>generator_costs!$L56*(1+generator_costs!$O56)^(D$2-2007)/1000000</f>
        <v>3.7176650212684708</v>
      </c>
      <c r="E8" s="1">
        <f>generator_costs!$L56*(1+generator_costs!$O56)^(E$2-2007)/1000000</f>
        <v>3.0472313363142898</v>
      </c>
      <c r="F8" s="1">
        <f>generator_costs!$L56*(1+generator_costs!$O56)^(F$2-2007)/1000000</f>
        <v>2.497701854226638</v>
      </c>
      <c r="G8" s="2">
        <f>-generator_costs!O56*100</f>
        <v>4.8500000000000005</v>
      </c>
    </row>
    <row r="9" spans="1:7">
      <c r="A9" s="29" t="str">
        <f>generator_costs!B61</f>
        <v>CSP_Trough_6h_Storage</v>
      </c>
      <c r="B9" s="1">
        <f>generator_costs!$L61*(1+generator_costs!$O61)^(B$2-2007)/1000000</f>
        <v>5.7868689209999999</v>
      </c>
      <c r="C9" s="1">
        <f>generator_costs!$L61*(1+generator_costs!$O61)^(C$2-2007)/1000000</f>
        <v>5.5847172041737858</v>
      </c>
      <c r="D9" s="1">
        <f>generator_costs!$L61*(1+generator_costs!$O61)^(D$2-2007)/1000000</f>
        <v>5.3896272192052752</v>
      </c>
      <c r="E9" s="1">
        <f>generator_costs!$L61*(1+generator_costs!$O61)^(E$2-2007)/1000000</f>
        <v>5.201352279805513</v>
      </c>
      <c r="F9" s="1">
        <f>generator_costs!$L61*(1+generator_costs!$O61)^(F$2-2007)/1000000</f>
        <v>5.0196543171361023</v>
      </c>
      <c r="G9" s="2">
        <f>-generator_costs!O61*100</f>
        <v>0.88500000000000001</v>
      </c>
    </row>
    <row r="10" spans="1:7">
      <c r="A10" s="29" t="str">
        <f>generator_costs!B27</f>
        <v>Bio_Gas</v>
      </c>
      <c r="B10" s="1">
        <f>generator_costs!$L27*(1+generator_costs!$O27)^(B$2-2007)/1000000</f>
        <v>2.3090352947200001</v>
      </c>
      <c r="C10" s="1">
        <f>generator_costs!$L27*(1+generator_costs!$O27)^(C$2-2007)/1000000</f>
        <v>2.1788801914109164</v>
      </c>
      <c r="D10" s="1">
        <f>generator_costs!$L27*(1+generator_costs!$O27)^(D$2-2007)/1000000</f>
        <v>2.0560616372468958</v>
      </c>
      <c r="E10" s="1">
        <f>generator_costs!$L27*(1+generator_costs!$O27)^(E$2-2007)/1000000</f>
        <v>1.9401660875263518</v>
      </c>
      <c r="F10" s="1">
        <f>generator_costs!$L27*(1+generator_costs!$O27)^(F$2-2007)/1000000</f>
        <v>1.8308033081283024</v>
      </c>
      <c r="G10" s="2">
        <f>-generator_costs!O27*100</f>
        <v>1.44</v>
      </c>
    </row>
    <row r="11" spans="1:7">
      <c r="A11" s="29" t="str">
        <f>generator_costs!B39</f>
        <v>Biomass_Steam_Turbine</v>
      </c>
      <c r="B11" s="1">
        <f>generator_costs!$L39*(1+generator_costs!$O39)^(B$2-2007)/1000000</f>
        <v>3.0068011350000003</v>
      </c>
      <c r="C11" s="1">
        <f>generator_costs!$L39*(1+generator_costs!$O39)^(C$2-2007)/1000000</f>
        <v>2.9411952461612594</v>
      </c>
      <c r="D11" s="1">
        <f>generator_costs!$L39*(1+generator_costs!$O39)^(D$2-2007)/1000000</f>
        <v>2.8770208230088317</v>
      </c>
      <c r="E11" s="1">
        <f>generator_costs!$L39*(1+generator_costs!$O39)^(E$2-2007)/1000000</f>
        <v>2.8142466321573099</v>
      </c>
      <c r="F11" s="1">
        <f>generator_costs!$L39*(1+generator_costs!$O39)^(F$2-2007)/1000000</f>
        <v>2.7528421217076637</v>
      </c>
      <c r="G11" s="2">
        <f>-generator_costs!O39*100</f>
        <v>0.54999999999999993</v>
      </c>
    </row>
    <row r="12" spans="1:7">
      <c r="A12" s="29" t="str">
        <f>generator_costs!B37</f>
        <v>Biomass_IGCC</v>
      </c>
      <c r="B12" s="1">
        <f>generator_costs!$L37*(1+generator_costs!$O37)^(B$2-2007)/1000000</f>
        <v>2.74412682</v>
      </c>
      <c r="C12" s="1">
        <f>generator_costs!$L37*(1+generator_costs!$O37)^(C$2-2007)/1000000</f>
        <v>2.585245501593576</v>
      </c>
      <c r="D12" s="1">
        <f>generator_costs!$L37*(1+generator_costs!$O37)^(D$2-2007)/1000000</f>
        <v>2.4355632016707665</v>
      </c>
      <c r="E12" s="1">
        <f>generator_costs!$L37*(1+generator_costs!$O37)^(E$2-2007)/1000000</f>
        <v>2.2945473092115312</v>
      </c>
      <c r="F12" s="1">
        <f>generator_costs!$L37*(1+generator_costs!$O37)^(F$2-2007)/1000000</f>
        <v>2.161696050670411</v>
      </c>
      <c r="G12" s="2">
        <f>-generator_costs!O37*100</f>
        <v>1.48</v>
      </c>
    </row>
    <row r="13" spans="1:7">
      <c r="A13" s="29" t="str">
        <f>generator_costs!B50</f>
        <v>Coal_IGCC</v>
      </c>
      <c r="B13" s="1">
        <f>generator_costs!$L50*(1+generator_costs!$O50)^(B$2-2007)/1000000</f>
        <v>2.9507581000000003</v>
      </c>
      <c r="C13" s="1">
        <f>generator_costs!$L50*(1+generator_costs!$O50)^(C$2-2007)/1000000</f>
        <v>2.7799131034023445</v>
      </c>
      <c r="D13" s="1">
        <f>generator_costs!$L50*(1+generator_costs!$O50)^(D$2-2007)/1000000</f>
        <v>2.618959806453824</v>
      </c>
      <c r="E13" s="1">
        <f>generator_costs!$L50*(1+generator_costs!$O50)^(E$2-2007)/1000000</f>
        <v>2.4673254928098154</v>
      </c>
      <c r="F13" s="1">
        <f>generator_costs!$L50*(1+generator_costs!$O50)^(F$2-2007)/1000000</f>
        <v>2.324470605645597</v>
      </c>
      <c r="G13" s="2">
        <f>-generator_costs!O50*100</f>
        <v>1.48</v>
      </c>
    </row>
    <row r="14" spans="1:7">
      <c r="A14" s="29" t="str">
        <f>generator_costs!B44</f>
        <v>Coal_Steam_Turbine</v>
      </c>
      <c r="B14" s="1">
        <f>generator_costs!$L44*(1+generator_costs!$O44)^(B$2-2007)/1000000</f>
        <v>2.6053883999999998</v>
      </c>
      <c r="C14" s="1">
        <f>generator_costs!$L44*(1+generator_costs!$O44)^(C$2-2007)/1000000</f>
        <v>2.4835680967399756</v>
      </c>
      <c r="D14" s="1">
        <f>generator_costs!$L44*(1+generator_costs!$O44)^(D$2-2007)/1000000</f>
        <v>2.3674437527796726</v>
      </c>
      <c r="E14" s="1">
        <f>generator_costs!$L44*(1+generator_costs!$O44)^(E$2-2007)/1000000</f>
        <v>2.2567490418050364</v>
      </c>
      <c r="F14" s="1">
        <f>generator_costs!$L44*(1+generator_costs!$O44)^(F$2-2007)/1000000</f>
        <v>2.151230090137616</v>
      </c>
      <c r="G14" s="2">
        <f>-generator_costs!O44*100</f>
        <v>1.1900000000000002</v>
      </c>
    </row>
    <row r="15" spans="1:7">
      <c r="A15" s="29" t="str">
        <f>generator_costs!B52</f>
        <v>Nuclear</v>
      </c>
      <c r="B15" s="1">
        <f>generator_costs!$L52*(1+generator_costs!$O52)^(B$2-2007)/1000000</f>
        <v>3.6735000000000002</v>
      </c>
      <c r="C15" s="1">
        <f>generator_costs!$L52*(1+generator_costs!$O52)^(C$2-2007)/1000000</f>
        <v>3.6735000000000002</v>
      </c>
      <c r="D15" s="1">
        <f>generator_costs!$L52*(1+generator_costs!$O52)^(D$2-2007)/1000000</f>
        <v>3.6735000000000002</v>
      </c>
      <c r="E15" s="1">
        <f>generator_costs!$L52*(1+generator_costs!$O52)^(E$2-2007)/1000000</f>
        <v>3.6735000000000002</v>
      </c>
      <c r="F15" s="1">
        <f>generator_costs!$L52*(1+generator_costs!$O52)^(F$2-2007)/1000000</f>
        <v>3.6735000000000002</v>
      </c>
      <c r="G15" s="2">
        <f>-generator_costs!O52*100</f>
        <v>0</v>
      </c>
    </row>
    <row r="16" spans="1:7">
      <c r="A16" s="29" t="str">
        <f>generator_costs!B54</f>
        <v>Geothermal</v>
      </c>
      <c r="B16" s="1">
        <f>generator_costs!$L54*(1+generator_costs!$O54)^(B$2-2007)/1000000</f>
        <v>3.7251521999999992</v>
      </c>
      <c r="C16" s="1">
        <f>generator_costs!$L54*(1+generator_costs!$O54)^(C$2-2007)/1000000</f>
        <v>3.5783663399627215</v>
      </c>
      <c r="D16" s="1">
        <f>generator_costs!$L54*(1+generator_costs!$O54)^(D$2-2007)/1000000</f>
        <v>3.4373644284864935</v>
      </c>
      <c r="E16" s="1">
        <f>generator_costs!$L54*(1+generator_costs!$O54)^(E$2-2007)/1000000</f>
        <v>3.3019185549200554</v>
      </c>
      <c r="F16" s="1">
        <f>generator_costs!$L54*(1+generator_costs!$O54)^(F$2-2007)/1000000</f>
        <v>3.1718097892011707</v>
      </c>
      <c r="G16" s="2">
        <f>-generator_costs!O54*100</f>
        <v>1</v>
      </c>
    </row>
    <row r="17" spans="1:7">
      <c r="A17" s="29" t="str">
        <f>generator_costs!B65</f>
        <v>Hydro_NonPumped</v>
      </c>
      <c r="B17" s="1">
        <f>generator_costs!$L65*(1+generator_costs!$O65)^(B$2-2007)/1000000</f>
        <v>2.8179236000000003</v>
      </c>
      <c r="C17" s="1">
        <f>generator_costs!$L65*(1+generator_costs!$O65)^(C$2-2007)/1000000</f>
        <v>2.8179236000000003</v>
      </c>
      <c r="D17" s="1">
        <f>generator_costs!$L65*(1+generator_costs!$O65)^(D$2-2007)/1000000</f>
        <v>2.8179236000000003</v>
      </c>
      <c r="E17" s="1">
        <f>generator_costs!$L65*(1+generator_costs!$O65)^(E$2-2007)/1000000</f>
        <v>2.8179236000000003</v>
      </c>
      <c r="F17" s="1">
        <f>generator_costs!$L65*(1+generator_costs!$O65)^(F$2-2007)/1000000</f>
        <v>2.8179236000000003</v>
      </c>
      <c r="G17" s="2">
        <f>-generator_costs!O65*100</f>
        <v>0</v>
      </c>
    </row>
    <row r="18" spans="1:7">
      <c r="A18" s="29" t="str">
        <f>generator_costs!B66</f>
        <v>Hydro_Pumped</v>
      </c>
      <c r="B18" s="1">
        <f>generator_costs!$L66*(1+generator_costs!$O66)^(B$2-2007)/1000000</f>
        <v>5.1255794999999997</v>
      </c>
      <c r="C18" s="1">
        <f>generator_costs!$L66*(1+generator_costs!$O66)^(C$2-2007)/1000000</f>
        <v>5.1255794999999997</v>
      </c>
      <c r="D18" s="1">
        <f>generator_costs!$L66*(1+generator_costs!$O66)^(D$2-2007)/1000000</f>
        <v>5.1255794999999997</v>
      </c>
      <c r="E18" s="1">
        <f>generator_costs!$L66*(1+generator_costs!$O66)^(E$2-2007)/1000000</f>
        <v>5.1255794999999997</v>
      </c>
      <c r="F18" s="1">
        <f>generator_costs!$L66*(1+generator_costs!$O66)^(F$2-2007)/1000000</f>
        <v>5.1255794999999997</v>
      </c>
      <c r="G18" s="2">
        <f>-generator_costs!O66*100</f>
        <v>0</v>
      </c>
    </row>
    <row r="19" spans="1:7">
      <c r="A19" s="29" t="str">
        <f>generator_costs!B15</f>
        <v>Gas_Combustion_Turbine_EP</v>
      </c>
      <c r="B19" s="1">
        <f>generator_costs!$L15*(1+generator_costs!$O15)^(B$2-2007)/1000000</f>
        <v>1.1438999999999999</v>
      </c>
      <c r="C19" s="1">
        <f>generator_costs!$L15*(1+generator_costs!$O15)^(C$2-2007)/1000000</f>
        <v>1.1438999999999999</v>
      </c>
      <c r="D19" s="1">
        <f>generator_costs!$L15*(1+generator_costs!$O15)^(D$2-2007)/1000000</f>
        <v>1.1438999999999999</v>
      </c>
      <c r="E19" s="1">
        <f>generator_costs!$L15*(1+generator_costs!$O15)^(E$2-2007)/1000000</f>
        <v>1.1438999999999999</v>
      </c>
      <c r="F19" s="1">
        <f>generator_costs!$L15*(1+generator_costs!$O15)^(F$2-2007)/1000000</f>
        <v>1.1438999999999999</v>
      </c>
      <c r="G19" s="2">
        <f>-generator_costs!O15*100</f>
        <v>0</v>
      </c>
    </row>
    <row r="20" spans="1:7">
      <c r="A20" s="29" t="str">
        <f>generator_costs!B48</f>
        <v>Coal_Steam_Turbine_EP</v>
      </c>
      <c r="B20" s="1">
        <f>generator_costs!$L48*(1+generator_costs!$O48)^(B$2-2007)/1000000</f>
        <v>2.6053883999999998</v>
      </c>
      <c r="C20" s="1">
        <f>generator_costs!$L48*(1+generator_costs!$O48)^(C$2-2007)/1000000</f>
        <v>2.6053883999999998</v>
      </c>
      <c r="D20" s="1">
        <f>generator_costs!$L48*(1+generator_costs!$O48)^(D$2-2007)/1000000</f>
        <v>2.6053883999999998</v>
      </c>
      <c r="E20" s="1">
        <f>generator_costs!$L48*(1+generator_costs!$O48)^(E$2-2007)/1000000</f>
        <v>2.6053883999999998</v>
      </c>
      <c r="F20" s="1">
        <f>generator_costs!$L48*(1+generator_costs!$O48)^(F$2-2007)/1000000</f>
        <v>2.6053883999999998</v>
      </c>
      <c r="G20" s="2">
        <f>-generator_costs!O48*100</f>
        <v>0</v>
      </c>
    </row>
    <row r="21" spans="1:7">
      <c r="A21" s="29" t="str">
        <f>generator_costs!B23</f>
        <v>Gas_Steam_Turbine_EP</v>
      </c>
      <c r="B21" s="1">
        <f>generator_costs!$L23*(1+generator_costs!$O23)^(B$2-2007)/1000000</f>
        <v>0.435</v>
      </c>
      <c r="C21" s="1">
        <f>generator_costs!$L23*(1+generator_costs!$O23)^(C$2-2007)/1000000</f>
        <v>0.435</v>
      </c>
      <c r="D21" s="1">
        <f>generator_costs!$L23*(1+generator_costs!$O23)^(D$2-2007)/1000000</f>
        <v>0.435</v>
      </c>
      <c r="E21" s="1">
        <f>generator_costs!$L23*(1+generator_costs!$O23)^(E$2-2007)/1000000</f>
        <v>0.435</v>
      </c>
      <c r="F21" s="1">
        <f>generator_costs!$L23*(1+generator_costs!$O23)^(F$2-2007)/1000000</f>
        <v>0.435</v>
      </c>
      <c r="G21" s="2">
        <f>-generator_costs!O23*100</f>
        <v>0</v>
      </c>
    </row>
    <row r="22" spans="1:7">
      <c r="A22" s="29" t="str">
        <f>generator_costs!B9</f>
        <v>CCGT_EP</v>
      </c>
      <c r="B22" s="1">
        <f>generator_costs!$L9*(1+generator_costs!$O9)^(B$2-2007)/1000000</f>
        <v>1.00254</v>
      </c>
      <c r="C22" s="1">
        <f>generator_costs!$L9*(1+generator_costs!$O9)^(C$2-2007)/1000000</f>
        <v>1.00254</v>
      </c>
      <c r="D22" s="1">
        <f>generator_costs!$L9*(1+generator_costs!$O9)^(D$2-2007)/1000000</f>
        <v>1.00254</v>
      </c>
      <c r="E22" s="1">
        <f>generator_costs!$L9*(1+generator_costs!$O9)^(E$2-2007)/1000000</f>
        <v>1.00254</v>
      </c>
      <c r="F22" s="1">
        <f>generator_costs!$L9*(1+generator_costs!$O9)^(F$2-2007)/1000000</f>
        <v>1.00254</v>
      </c>
      <c r="G22" s="2">
        <f>-generator_costs!O9*100</f>
        <v>0</v>
      </c>
    </row>
    <row r="23" spans="1:7">
      <c r="A23" s="29" t="str">
        <f>generator_costs!B55</f>
        <v>Geothermal_EP</v>
      </c>
      <c r="B23" s="1">
        <f>generator_costs!$L55*(1+generator_costs!$O55)^(B$2-2007)/1000000</f>
        <v>3.44658</v>
      </c>
      <c r="C23" s="1">
        <f>generator_costs!$L55*(1+generator_costs!$O55)^(C$2-2007)/1000000</f>
        <v>3.44658</v>
      </c>
      <c r="D23" s="1">
        <f>generator_costs!$L55*(1+generator_costs!$O55)^(D$2-2007)/1000000</f>
        <v>3.44658</v>
      </c>
      <c r="E23" s="1">
        <f>generator_costs!$L55*(1+generator_costs!$O55)^(E$2-2007)/1000000</f>
        <v>3.44658</v>
      </c>
      <c r="F23" s="1">
        <f>generator_costs!$L55*(1+generator_costs!$O55)^(F$2-2007)/1000000</f>
        <v>3.44658</v>
      </c>
      <c r="G23" s="2">
        <f>-generator_costs!O55*100</f>
        <v>0</v>
      </c>
    </row>
    <row r="24" spans="1:7">
      <c r="A24" s="29" t="str">
        <f>generator_costs!B53</f>
        <v>Nuclear_EP</v>
      </c>
      <c r="B24" s="1">
        <f>generator_costs!$L53*(1+generator_costs!$O53)^(B$2-2007)/1000000</f>
        <v>3.6735000000000002</v>
      </c>
      <c r="C24" s="1">
        <f>generator_costs!$L53*(1+generator_costs!$O53)^(C$2-2007)/1000000</f>
        <v>3.6735000000000002</v>
      </c>
      <c r="D24" s="1">
        <f>generator_costs!$L53*(1+generator_costs!$O53)^(D$2-2007)/1000000</f>
        <v>3.6735000000000002</v>
      </c>
      <c r="E24" s="1">
        <f>generator_costs!$L53*(1+generator_costs!$O53)^(E$2-2007)/1000000</f>
        <v>3.6735000000000002</v>
      </c>
      <c r="F24" s="1">
        <f>generator_costs!$L53*(1+generator_costs!$O53)^(F$2-2007)/1000000</f>
        <v>3.6735000000000002</v>
      </c>
      <c r="G24" s="2">
        <f>-generator_costs!O53*100</f>
        <v>0</v>
      </c>
    </row>
    <row r="25" spans="1:7">
      <c r="A25" s="29" t="str">
        <f>generator_costs!B64</f>
        <v>Wind_EP</v>
      </c>
      <c r="B25" s="1">
        <f>generator_costs!$L64*(1+generator_costs!$O64)^(B$2-2007)/1000000</f>
        <v>1.8507</v>
      </c>
      <c r="C25" s="1">
        <f>generator_costs!$L64*(1+generator_costs!$O64)^(C$2-2007)/1000000</f>
        <v>1.8507</v>
      </c>
      <c r="D25" s="1">
        <f>generator_costs!$L64*(1+generator_costs!$O64)^(D$2-2007)/1000000</f>
        <v>1.8507</v>
      </c>
      <c r="E25" s="1">
        <f>generator_costs!$L64*(1+generator_costs!$O64)^(E$2-2007)/1000000</f>
        <v>1.8507</v>
      </c>
      <c r="F25" s="1">
        <f>generator_costs!$L64*(1+generator_costs!$O64)^(F$2-2007)/1000000</f>
        <v>1.8507</v>
      </c>
      <c r="G25" s="2">
        <f>-generator_costs!O64*100</f>
        <v>0</v>
      </c>
    </row>
    <row r="26" spans="1:7">
      <c r="A26" s="29" t="str">
        <f>generator_costs!B19</f>
        <v>Gas_Internal_Combustion_Engine_EP</v>
      </c>
      <c r="B26" s="1">
        <f>generator_costs!$L19*(1+generator_costs!$O19)^(B$2-2007)/1000000</f>
        <v>1.1438999999999999</v>
      </c>
      <c r="C26" s="1">
        <f>generator_costs!$L19*(1+generator_costs!$O19)^(C$2-2007)/1000000</f>
        <v>1.1438999999999999</v>
      </c>
      <c r="D26" s="1">
        <f>generator_costs!$L19*(1+generator_costs!$O19)^(D$2-2007)/1000000</f>
        <v>1.1438999999999999</v>
      </c>
      <c r="E26" s="1">
        <f>generator_costs!$L19*(1+generator_costs!$O19)^(E$2-2007)/1000000</f>
        <v>1.1438999999999999</v>
      </c>
      <c r="F26" s="1">
        <f>generator_costs!$L19*(1+generator_costs!$O19)^(F$2-2007)/1000000</f>
        <v>1.1438999999999999</v>
      </c>
      <c r="G26" s="2">
        <f>-generator_costs!O19*100</f>
        <v>0</v>
      </c>
    </row>
    <row r="27" spans="1:7">
      <c r="A27" s="29" t="str">
        <f>generator_costs!B57</f>
        <v>Commercial_PV</v>
      </c>
      <c r="B27" s="1">
        <f>generator_costs!$L57*(1+generator_costs!$O57)^(B$2-2007)/1000000</f>
        <v>4.7430000000000003</v>
      </c>
      <c r="C27" s="1">
        <f>generator_costs!$L57*(1+generator_costs!$O57)^(C$2-2007)/1000000</f>
        <v>3.9336237729570516</v>
      </c>
      <c r="D27" s="1">
        <f>generator_costs!$L57*(1+generator_costs!$O57)^(D$2-2007)/1000000</f>
        <v>3.2623647453453239</v>
      </c>
      <c r="E27" s="1">
        <f>generator_costs!$L57*(1+generator_costs!$O57)^(E$2-2007)/1000000</f>
        <v>2.7056537040580522</v>
      </c>
      <c r="F27" s="1">
        <f>generator_costs!$L57*(1+generator_costs!$O57)^(F$2-2007)/1000000</f>
        <v>2.2439434391043762</v>
      </c>
      <c r="G27" s="2">
        <f>-generator_costs!O57*100</f>
        <v>4.5699999999999994</v>
      </c>
    </row>
    <row r="28" spans="1:7">
      <c r="A28" s="29" t="str">
        <f>generator_costs!B58</f>
        <v>Central_PV</v>
      </c>
      <c r="B28" s="1">
        <f>generator_costs!$L58*(1+generator_costs!$O58)^(B$2-2007)/1000000</f>
        <v>3.7757999999999998</v>
      </c>
      <c r="C28" s="1">
        <f>generator_costs!$L58*(1+generator_costs!$O58)^(C$2-2007)/1000000</f>
        <v>3.2431935631311628</v>
      </c>
      <c r="D28" s="1">
        <f>generator_costs!$L58*(1+generator_costs!$O58)^(D$2-2007)/1000000</f>
        <v>2.7857154743194581</v>
      </c>
      <c r="E28" s="1">
        <f>generator_costs!$L58*(1+generator_costs!$O58)^(E$2-2007)/1000000</f>
        <v>2.3927682861983528</v>
      </c>
      <c r="F28" s="1">
        <f>generator_costs!$L58*(1+generator_costs!$O58)^(F$2-2007)/1000000</f>
        <v>2.0552494051228569</v>
      </c>
      <c r="G28" s="2">
        <f>-generator_costs!O58*100</f>
        <v>3.73</v>
      </c>
    </row>
    <row r="29" spans="1:7">
      <c r="A29" s="29" t="str">
        <f>generator_costs!B60</f>
        <v>CSP_Trough_No_Storage</v>
      </c>
      <c r="B29" s="1">
        <f>generator_costs!$L60*(1+generator_costs!$O60)^(B$2-2007)/1000000</f>
        <v>3.3985641465</v>
      </c>
      <c r="C29" s="1">
        <f>generator_costs!$L60*(1+generator_costs!$O60)^(C$2-2007)/1000000</f>
        <v>3.2798426778892558</v>
      </c>
      <c r="D29" s="1">
        <f>generator_costs!$L60*(1+generator_costs!$O60)^(D$2-2007)/1000000</f>
        <v>3.1652684863347962</v>
      </c>
      <c r="E29" s="1">
        <f>generator_costs!$L60*(1+generator_costs!$O60)^(E$2-2007)/1000000</f>
        <v>3.054696695706105</v>
      </c>
      <c r="F29" s="1">
        <f>generator_costs!$L60*(1+generator_costs!$O60)^(F$2-2007)/1000000</f>
        <v>2.9479874908061174</v>
      </c>
      <c r="G29" s="2">
        <f>-generator_costs!O60*100</f>
        <v>0.88500000000000001</v>
      </c>
    </row>
    <row r="30" spans="1:7">
      <c r="A30" s="29" t="str">
        <f>generator_costs!B67</f>
        <v>Compressed_Air_Energy_Storage</v>
      </c>
      <c r="B30" s="1">
        <f>generator_costs!$L67*(1+generator_costs!$O67)^(B$2-2007)/1000000</f>
        <v>1.0993200000000001</v>
      </c>
      <c r="C30" s="1">
        <f>generator_costs!$L67*(1+generator_costs!$O67)^(C$2-2007)/1000000</f>
        <v>1.0940527545285799</v>
      </c>
      <c r="D30" s="1">
        <f>generator_costs!$L67*(1+generator_costs!$O67)^(D$2-2007)/1000000</f>
        <v>1.0888107463628176</v>
      </c>
      <c r="E30" s="1">
        <f>generator_costs!$L67*(1+generator_costs!$O67)^(E$2-2007)/1000000</f>
        <v>1.0835938545815227</v>
      </c>
      <c r="F30" s="1">
        <f>generator_costs!$L67*(1+generator_costs!$O67)^(F$2-2007)/1000000</f>
        <v>1.0784019588428813</v>
      </c>
      <c r="G30" s="2">
        <f>-generator_costs!O67*100</f>
        <v>0.12</v>
      </c>
    </row>
    <row r="31" spans="1:7">
      <c r="A31" s="29" t="str">
        <f>generator_costs!B16</f>
        <v>Gas_Combustion_Turbine_Cogen_EP</v>
      </c>
      <c r="B31" s="1">
        <f>generator_costs!$L16*(1+generator_costs!$O16)^(B$2-2007)/1000000</f>
        <v>0.85792500000000005</v>
      </c>
      <c r="C31" s="1">
        <f>generator_costs!$L16*(1+generator_costs!$O16)^(C$2-2007)/1000000</f>
        <v>0.85792500000000005</v>
      </c>
      <c r="D31" s="1">
        <f>generator_costs!$L16*(1+generator_costs!$O16)^(D$2-2007)/1000000</f>
        <v>0.85792500000000005</v>
      </c>
      <c r="E31" s="1">
        <f>generator_costs!$L16*(1+generator_costs!$O16)^(E$2-2007)/1000000</f>
        <v>0.85792500000000005</v>
      </c>
      <c r="F31" s="1">
        <f>generator_costs!$L16*(1+generator_costs!$O16)^(F$2-2007)/1000000</f>
        <v>0.85792500000000005</v>
      </c>
      <c r="G31" s="2">
        <f>-generator_costs!O16*100</f>
        <v>0</v>
      </c>
    </row>
    <row r="32" spans="1:7">
      <c r="A32" s="29" t="str">
        <f>generator_costs!B49</f>
        <v>Coal_Steam_Turbine_Cogen_EP</v>
      </c>
      <c r="B32" s="1">
        <f>generator_costs!$L49*(1+generator_costs!$O49)^(B$2-2007)/1000000</f>
        <v>2.6053883999999998</v>
      </c>
      <c r="C32" s="1">
        <f>generator_costs!$L49*(1+generator_costs!$O49)^(C$2-2007)/1000000</f>
        <v>2.6053883999999998</v>
      </c>
      <c r="D32" s="1">
        <f>generator_costs!$L49*(1+generator_costs!$O49)^(D$2-2007)/1000000</f>
        <v>2.6053883999999998</v>
      </c>
      <c r="E32" s="1">
        <f>generator_costs!$L49*(1+generator_costs!$O49)^(E$2-2007)/1000000</f>
        <v>2.6053883999999998</v>
      </c>
      <c r="F32" s="1">
        <f>generator_costs!$L49*(1+generator_costs!$O49)^(F$2-2007)/1000000</f>
        <v>2.6053883999999998</v>
      </c>
      <c r="G32" s="2">
        <f>-generator_costs!O49*100</f>
        <v>0</v>
      </c>
    </row>
    <row r="33" spans="1:7">
      <c r="A33" s="29" t="str">
        <f>generator_costs!B24</f>
        <v>Gas_Steam_Turbine_Cogen_EP</v>
      </c>
      <c r="B33" s="1">
        <f>generator_costs!$L24*(1+generator_costs!$O24)^(B$2-2007)/1000000</f>
        <v>0.32624999999999998</v>
      </c>
      <c r="C33" s="1">
        <f>generator_costs!$L24*(1+generator_costs!$O24)^(C$2-2007)/1000000</f>
        <v>0.32624999999999998</v>
      </c>
      <c r="D33" s="1">
        <f>generator_costs!$L24*(1+generator_costs!$O24)^(D$2-2007)/1000000</f>
        <v>0.32624999999999998</v>
      </c>
      <c r="E33" s="1">
        <f>generator_costs!$L24*(1+generator_costs!$O24)^(E$2-2007)/1000000</f>
        <v>0.32624999999999998</v>
      </c>
      <c r="F33" s="1">
        <f>generator_costs!$L24*(1+generator_costs!$O24)^(F$2-2007)/1000000</f>
        <v>0.32624999999999998</v>
      </c>
      <c r="G33" s="2">
        <f>-generator_costs!O24*100</f>
        <v>0</v>
      </c>
    </row>
    <row r="34" spans="1:7">
      <c r="A34" s="29" t="str">
        <f>generator_costs!B10</f>
        <v>CCGT_Cogen_EP</v>
      </c>
      <c r="B34" s="1">
        <f>generator_costs!$L10*(1+generator_costs!$O10)^(B$2-2007)/1000000</f>
        <v>0.75190500000000005</v>
      </c>
      <c r="C34" s="1">
        <f>generator_costs!$L10*(1+generator_costs!$O10)^(C$2-2007)/1000000</f>
        <v>0.75190500000000005</v>
      </c>
      <c r="D34" s="1">
        <f>generator_costs!$L10*(1+generator_costs!$O10)^(D$2-2007)/1000000</f>
        <v>0.75190500000000005</v>
      </c>
      <c r="E34" s="1">
        <f>generator_costs!$L10*(1+generator_costs!$O10)^(E$2-2007)/1000000</f>
        <v>0.75190500000000005</v>
      </c>
      <c r="F34" s="1">
        <f>generator_costs!$L10*(1+generator_costs!$O10)^(F$2-2007)/1000000</f>
        <v>0.75190500000000005</v>
      </c>
      <c r="G34" s="2">
        <f>-generator_costs!O10*100</f>
        <v>0</v>
      </c>
    </row>
    <row r="35" spans="1:7">
      <c r="A35" s="29" t="str">
        <f>generator_costs!B68</f>
        <v>Battery_Storage</v>
      </c>
      <c r="B35" s="1">
        <f>generator_costs!$L68*(1+generator_costs!$O68)^(B$2-2007)/1000000</f>
        <v>4.1331980999999995</v>
      </c>
      <c r="C35" s="1">
        <f>generator_costs!$L68*(1+generator_costs!$O68)^(C$2-2007)/1000000</f>
        <v>4.042098262849815</v>
      </c>
      <c r="D35" s="1">
        <f>generator_costs!$L68*(1+generator_costs!$O68)^(D$2-2007)/1000000</f>
        <v>3.9530063576032068</v>
      </c>
      <c r="E35" s="1">
        <f>generator_costs!$L68*(1+generator_costs!$O68)^(E$2-2007)/1000000</f>
        <v>3.865878127424426</v>
      </c>
      <c r="F35" s="1">
        <f>generator_costs!$L68*(1+generator_costs!$O68)^(F$2-2007)/1000000</f>
        <v>3.7806702909428349</v>
      </c>
      <c r="G35" s="2">
        <f>-generator_costs!O68*100</f>
        <v>0.55563899759500934</v>
      </c>
    </row>
    <row r="36" spans="1:7">
      <c r="A36" s="29" t="str">
        <f>generator_costs!B8</f>
        <v>CCGT_CCS</v>
      </c>
      <c r="B36" s="1">
        <f>generator_costs!$L8*(1+generator_costs!$O8)^(B$2-2007)/1000000</f>
        <v>1.8871659999999999</v>
      </c>
      <c r="C36" s="1">
        <f>generator_costs!$L8*(1+generator_costs!$O8)^(C$2-2007)/1000000</f>
        <v>1.7536749179786451</v>
      </c>
      <c r="D36" s="1">
        <f>generator_costs!$L8*(1+generator_costs!$O8)^(D$2-2007)/1000000</f>
        <v>1.6296264970582386</v>
      </c>
      <c r="E36" s="1">
        <f>generator_costs!$L8*(1+generator_costs!$O8)^(E$2-2007)/1000000</f>
        <v>1.5143527986220784</v>
      </c>
      <c r="F36" s="1">
        <f>generator_costs!$L8*(1+generator_costs!$O8)^(F$2-2007)/1000000</f>
        <v>1.4072331315391997</v>
      </c>
      <c r="G36" s="2">
        <f>-generator_costs!O8*100</f>
        <v>1.8173506790955307</v>
      </c>
    </row>
    <row r="37" spans="1:7">
      <c r="A37" s="29" t="str">
        <f>generator_costs!B14</f>
        <v>Gas_Combustion_Turbine_CCS</v>
      </c>
      <c r="B37" s="1">
        <f>generator_costs!$L14*(1+generator_costs!$O14)^(B$2-2007)/1000000</f>
        <v>1.7346652394651556</v>
      </c>
      <c r="C37" s="1">
        <f>generator_costs!$L14*(1+generator_costs!$O14)^(C$2-2007)/1000000</f>
        <v>1.6040196103023097</v>
      </c>
      <c r="D37" s="1">
        <f>generator_costs!$L14*(1+generator_costs!$O14)^(D$2-2007)/1000000</f>
        <v>1.4832135052338178</v>
      </c>
      <c r="E37" s="1">
        <f>generator_costs!$L14*(1+generator_costs!$O14)^(E$2-2007)/1000000</f>
        <v>1.3715058643786586</v>
      </c>
      <c r="F37" s="1">
        <f>generator_costs!$L14*(1+generator_costs!$O14)^(F$2-2007)/1000000</f>
        <v>1.2682114404888198</v>
      </c>
      <c r="G37" s="2">
        <f>-generator_costs!O14*100</f>
        <v>1.9385073910352328</v>
      </c>
    </row>
    <row r="38" spans="1:7">
      <c r="A38" s="29" t="str">
        <f>generator_costs!B28</f>
        <v>Bio_Gas_CCS</v>
      </c>
      <c r="B38" s="1">
        <f>generator_costs!$L28*(1+generator_costs!$O28)^(B$2-2007)/1000000</f>
        <v>4.2521301951687773</v>
      </c>
      <c r="C38" s="1">
        <f>generator_costs!$L28*(1+generator_costs!$O28)^(C$2-2007)/1000000</f>
        <v>3.931882684587749</v>
      </c>
      <c r="D38" s="1">
        <f>generator_costs!$L28*(1+generator_costs!$O28)^(D$2-2007)/1000000</f>
        <v>3.6357544891090359</v>
      </c>
      <c r="E38" s="1">
        <f>generator_costs!$L28*(1+generator_costs!$O28)^(E$2-2007)/1000000</f>
        <v>3.3619290720171793</v>
      </c>
      <c r="F38" s="1">
        <f>generator_costs!$L28*(1+generator_costs!$O28)^(F$2-2007)/1000000</f>
        <v>3.1087267083438457</v>
      </c>
      <c r="G38" s="2">
        <f>-generator_costs!O28*100</f>
        <v>1.9385073910352328</v>
      </c>
    </row>
    <row r="39" spans="1:7">
      <c r="A39" s="29" t="str">
        <f>generator_costs!B38</f>
        <v>Biomass_IGCC_CCS</v>
      </c>
      <c r="B39" s="1">
        <f>generator_costs!$L38*(1+generator_costs!$O38)^(B$2-2007)/1000000</f>
        <v>4.6940825311200136</v>
      </c>
      <c r="C39" s="1">
        <f>generator_costs!$L38*(1+generator_costs!$O38)^(C$2-2007)/1000000</f>
        <v>4.3820828281501605</v>
      </c>
      <c r="D39" s="1">
        <f>generator_costs!$L38*(1+generator_costs!$O38)^(D$2-2007)/1000000</f>
        <v>4.0908206844387829</v>
      </c>
      <c r="E39" s="1">
        <f>generator_costs!$L38*(1+generator_costs!$O38)^(E$2-2007)/1000000</f>
        <v>3.8189177449428948</v>
      </c>
      <c r="F39" s="1">
        <f>generator_costs!$L38*(1+generator_costs!$O38)^(F$2-2007)/1000000</f>
        <v>3.5650872691919302</v>
      </c>
      <c r="G39" s="2">
        <f>-generator_costs!O38*100</f>
        <v>1.7047650087669619</v>
      </c>
    </row>
    <row r="40" spans="1:7">
      <c r="A40" s="29" t="str">
        <f>generator_costs!B51</f>
        <v>Coal_IGCC_CCS</v>
      </c>
      <c r="B40" s="1">
        <f>generator_costs!$L51*(1+generator_costs!$O51)^(B$2-2007)/1000000</f>
        <v>4.8993028000000001</v>
      </c>
      <c r="C40" s="1">
        <f>generator_costs!$L51*(1+generator_costs!$O51)^(C$2-2007)/1000000</f>
        <v>4.5736628036374629</v>
      </c>
      <c r="D40" s="1">
        <f>generator_costs!$L51*(1+generator_costs!$O51)^(D$2-2007)/1000000</f>
        <v>4.2696669904495179</v>
      </c>
      <c r="E40" s="1">
        <f>generator_costs!$L51*(1+generator_costs!$O51)^(E$2-2007)/1000000</f>
        <v>3.9858767451845742</v>
      </c>
      <c r="F40" s="1">
        <f>generator_costs!$L51*(1+generator_costs!$O51)^(F$2-2007)/1000000</f>
        <v>3.7209490724546042</v>
      </c>
      <c r="G40" s="2">
        <f>-generator_costs!O51*100</f>
        <v>1.7047650087669619</v>
      </c>
    </row>
    <row r="41" spans="1:7">
      <c r="A41" s="29" t="str">
        <f>generator_costs!B45</f>
        <v>Coal_Steam_Turbine_CCS</v>
      </c>
      <c r="B41" s="1">
        <f>generator_costs!$L45*(1+generator_costs!$O45)^(B$2-2007)/1000000</f>
        <v>4.1948219</v>
      </c>
      <c r="C41" s="1">
        <f>generator_costs!$L45*(1+generator_costs!$O45)^(C$2-2007)/1000000</f>
        <v>3.9695101891107845</v>
      </c>
      <c r="D41" s="1">
        <f>generator_costs!$L45*(1+generator_costs!$O45)^(D$2-2007)/1000000</f>
        <v>3.756300390596877</v>
      </c>
      <c r="E41" s="1">
        <f>generator_costs!$L45*(1+generator_costs!$O45)^(E$2-2007)/1000000</f>
        <v>3.5545424881650209</v>
      </c>
      <c r="F41" s="1">
        <f>generator_costs!$L45*(1+generator_costs!$O45)^(F$2-2007)/1000000</f>
        <v>3.3636213791098615</v>
      </c>
      <c r="G41" s="2">
        <f>-generator_costs!O45*100</f>
        <v>1.370723216508571</v>
      </c>
    </row>
    <row r="42" spans="1:7">
      <c r="A42" s="29" t="str">
        <f>generator_costs!B20</f>
        <v>Gas_Internal_Combustion_Engine_Cogen_EP</v>
      </c>
      <c r="B42" s="1">
        <f>generator_costs!$L20*(1+generator_costs!$O20)^(B$2-2007)/1000000</f>
        <v>0.85792500000000005</v>
      </c>
      <c r="C42" s="1">
        <f>generator_costs!$L20*(1+generator_costs!$O20)^(C$2-2007)/1000000</f>
        <v>0.85792500000000005</v>
      </c>
      <c r="D42" s="1">
        <f>generator_costs!$L20*(1+generator_costs!$O20)^(D$2-2007)/1000000</f>
        <v>0.85792500000000005</v>
      </c>
      <c r="E42" s="1">
        <f>generator_costs!$L20*(1+generator_costs!$O20)^(E$2-2007)/1000000</f>
        <v>0.85792500000000005</v>
      </c>
      <c r="F42" s="1">
        <f>generator_costs!$L20*(1+generator_costs!$O20)^(F$2-2007)/1000000</f>
        <v>0.85792500000000005</v>
      </c>
      <c r="G42" s="2">
        <f>-generator_costs!O20*100</f>
        <v>0</v>
      </c>
    </row>
    <row r="43" spans="1:7">
      <c r="A43" s="29" t="e">
        <f>generator_costs!#REF!</f>
        <v>#REF!</v>
      </c>
      <c r="B43" s="1" t="e">
        <f>generator_costs!#REF!*(1+generator_costs!#REF!)^(B$2-2007)/1000000</f>
        <v>#REF!</v>
      </c>
      <c r="C43" s="1" t="e">
        <f>generator_costs!#REF!*(1+generator_costs!#REF!)^(C$2-2007)/1000000</f>
        <v>#REF!</v>
      </c>
      <c r="D43" s="1" t="e">
        <f>generator_costs!#REF!*(1+generator_costs!#REF!)^(D$2-2007)/1000000</f>
        <v>#REF!</v>
      </c>
      <c r="E43" s="1" t="e">
        <f>generator_costs!#REF!*(1+generator_costs!#REF!)^(E$2-2007)/1000000</f>
        <v>#REF!</v>
      </c>
      <c r="F43" s="1" t="e">
        <f>generator_costs!#REF!*(1+generator_costs!#REF!)^(F$2-2007)/1000000</f>
        <v>#REF!</v>
      </c>
      <c r="G43" s="2" t="e">
        <f>-generator_costs!#REF!*100</f>
        <v>#REF!</v>
      </c>
    </row>
    <row r="44" spans="1:7">
      <c r="A44" s="29" t="e">
        <f>generator_costs!#REF!</f>
        <v>#REF!</v>
      </c>
      <c r="B44" s="1" t="e">
        <f>generator_costs!#REF!*(1+generator_costs!#REF!)^(B$2-2007)/1000000</f>
        <v>#REF!</v>
      </c>
      <c r="C44" s="1" t="e">
        <f>generator_costs!#REF!*(1+generator_costs!#REF!)^(C$2-2007)/1000000</f>
        <v>#REF!</v>
      </c>
      <c r="D44" s="1" t="e">
        <f>generator_costs!#REF!*(1+generator_costs!#REF!)^(D$2-2007)/1000000</f>
        <v>#REF!</v>
      </c>
      <c r="E44" s="1" t="e">
        <f>generator_costs!#REF!*(1+generator_costs!#REF!)^(E$2-2007)/1000000</f>
        <v>#REF!</v>
      </c>
      <c r="F44" s="1" t="e">
        <f>generator_costs!#REF!*(1+generator_costs!#REF!)^(F$2-2007)/1000000</f>
        <v>#REF!</v>
      </c>
      <c r="G44" s="2" t="e">
        <f>-generator_costs!#REF!*100</f>
        <v>#REF!</v>
      </c>
    </row>
    <row r="45" spans="1:7">
      <c r="A45" s="29" t="e">
        <f>generator_costs!#REF!</f>
        <v>#REF!</v>
      </c>
      <c r="B45" s="1" t="e">
        <f>generator_costs!#REF!*(1+generator_costs!#REF!)^(B$2-2007)/1000000</f>
        <v>#REF!</v>
      </c>
      <c r="C45" s="1" t="e">
        <f>generator_costs!#REF!*(1+generator_costs!#REF!)^(C$2-2007)/1000000</f>
        <v>#REF!</v>
      </c>
      <c r="D45" s="1" t="e">
        <f>generator_costs!#REF!*(1+generator_costs!#REF!)^(D$2-2007)/1000000</f>
        <v>#REF!</v>
      </c>
      <c r="E45" s="1" t="e">
        <f>generator_costs!#REF!*(1+generator_costs!#REF!)^(E$2-2007)/1000000</f>
        <v>#REF!</v>
      </c>
      <c r="F45" s="1" t="e">
        <f>generator_costs!#REF!*(1+generator_costs!#REF!)^(F$2-2007)/1000000</f>
        <v>#REF!</v>
      </c>
      <c r="G45" s="2" t="e">
        <f>-generator_costs!#REF!*100</f>
        <v>#REF!</v>
      </c>
    </row>
    <row r="46" spans="1:7">
      <c r="A46" s="29" t="e">
        <f>generator_costs!#REF!</f>
        <v>#REF!</v>
      </c>
      <c r="B46" s="1" t="e">
        <f>generator_costs!#REF!*(1+generator_costs!#REF!)^(B$2-2007)/1000000</f>
        <v>#REF!</v>
      </c>
      <c r="C46" s="1" t="e">
        <f>generator_costs!#REF!*(1+generator_costs!#REF!)^(C$2-2007)/1000000</f>
        <v>#REF!</v>
      </c>
      <c r="D46" s="1" t="e">
        <f>generator_costs!#REF!*(1+generator_costs!#REF!)^(D$2-2007)/1000000</f>
        <v>#REF!</v>
      </c>
      <c r="E46" s="1" t="e">
        <f>generator_costs!#REF!*(1+generator_costs!#REF!)^(E$2-2007)/1000000</f>
        <v>#REF!</v>
      </c>
      <c r="F46" s="1" t="e">
        <f>generator_costs!#REF!*(1+generator_costs!#REF!)^(F$2-2007)/1000000</f>
        <v>#REF!</v>
      </c>
      <c r="G46" s="2" t="e">
        <f>-generator_costs!#REF!*100</f>
        <v>#REF!</v>
      </c>
    </row>
    <row r="47" spans="1:7">
      <c r="A47" s="29" t="e">
        <f>generator_costs!#REF!</f>
        <v>#REF!</v>
      </c>
      <c r="B47" s="1" t="e">
        <f>generator_costs!#REF!*(1+generator_costs!#REF!)^(B$2-2007)/1000000</f>
        <v>#REF!</v>
      </c>
      <c r="C47" s="1" t="e">
        <f>generator_costs!#REF!*(1+generator_costs!#REF!)^(C$2-2007)/1000000</f>
        <v>#REF!</v>
      </c>
      <c r="D47" s="1" t="e">
        <f>generator_costs!#REF!*(1+generator_costs!#REF!)^(D$2-2007)/1000000</f>
        <v>#REF!</v>
      </c>
      <c r="E47" s="1" t="e">
        <f>generator_costs!#REF!*(1+generator_costs!#REF!)^(E$2-2007)/1000000</f>
        <v>#REF!</v>
      </c>
      <c r="F47" s="1" t="e">
        <f>generator_costs!#REF!*(1+generator_costs!#REF!)^(F$2-2007)/1000000</f>
        <v>#REF!</v>
      </c>
      <c r="G47" s="2" t="e">
        <f>-generator_costs!#REF!*100</f>
        <v>#REF!</v>
      </c>
    </row>
    <row r="48" spans="1:7">
      <c r="A48" s="29" t="e">
        <f>generator_costs!#REF!</f>
        <v>#REF!</v>
      </c>
      <c r="B48" s="1" t="e">
        <f>generator_costs!#REF!*(1+generator_costs!#REF!)^(B$2-2007)/1000000</f>
        <v>#REF!</v>
      </c>
      <c r="C48" s="1" t="e">
        <f>generator_costs!#REF!*(1+generator_costs!#REF!)^(C$2-2007)/1000000</f>
        <v>#REF!</v>
      </c>
      <c r="D48" s="1" t="e">
        <f>generator_costs!#REF!*(1+generator_costs!#REF!)^(D$2-2007)/1000000</f>
        <v>#REF!</v>
      </c>
      <c r="E48" s="1" t="e">
        <f>generator_costs!#REF!*(1+generator_costs!#REF!)^(E$2-2007)/1000000</f>
        <v>#REF!</v>
      </c>
      <c r="F48" s="1" t="e">
        <f>generator_costs!#REF!*(1+generator_costs!#REF!)^(F$2-2007)/1000000</f>
        <v>#REF!</v>
      </c>
      <c r="G48" s="2" t="e">
        <f>-generator_costs!#REF!*100</f>
        <v>#REF!</v>
      </c>
    </row>
    <row r="49" spans="1:7">
      <c r="A49" s="29" t="e">
        <f>generator_costs!#REF!</f>
        <v>#REF!</v>
      </c>
      <c r="B49" s="1" t="e">
        <f>generator_costs!#REF!*(1+generator_costs!#REF!)^(B$2-2007)/1000000</f>
        <v>#REF!</v>
      </c>
      <c r="C49" s="1" t="e">
        <f>generator_costs!#REF!*(1+generator_costs!#REF!)^(C$2-2007)/1000000</f>
        <v>#REF!</v>
      </c>
      <c r="D49" s="1" t="e">
        <f>generator_costs!#REF!*(1+generator_costs!#REF!)^(D$2-2007)/1000000</f>
        <v>#REF!</v>
      </c>
      <c r="E49" s="1" t="e">
        <f>generator_costs!#REF!*(1+generator_costs!#REF!)^(E$2-2007)/1000000</f>
        <v>#REF!</v>
      </c>
      <c r="F49" s="1" t="e">
        <f>generator_costs!#REF!*(1+generator_costs!#REF!)^(F$2-2007)/1000000</f>
        <v>#REF!</v>
      </c>
      <c r="G49" s="2" t="e">
        <f>-generator_costs!#REF!*100</f>
        <v>#REF!</v>
      </c>
    </row>
    <row r="50" spans="1:7">
      <c r="A50" s="29" t="e">
        <f>generator_costs!#REF!</f>
        <v>#REF!</v>
      </c>
      <c r="B50" s="1" t="e">
        <f>generator_costs!#REF!*(1+generator_costs!#REF!)^(B$2-2007)/1000000</f>
        <v>#REF!</v>
      </c>
      <c r="C50" s="1" t="e">
        <f>generator_costs!#REF!*(1+generator_costs!#REF!)^(C$2-2007)/1000000</f>
        <v>#REF!</v>
      </c>
      <c r="D50" s="1" t="e">
        <f>generator_costs!#REF!*(1+generator_costs!#REF!)^(D$2-2007)/1000000</f>
        <v>#REF!</v>
      </c>
      <c r="E50" s="1" t="e">
        <f>generator_costs!#REF!*(1+generator_costs!#REF!)^(E$2-2007)/1000000</f>
        <v>#REF!</v>
      </c>
      <c r="F50" s="1" t="e">
        <f>generator_costs!#REF!*(1+generator_costs!#REF!)^(F$2-2007)/1000000</f>
        <v>#REF!</v>
      </c>
      <c r="G50" s="2" t="e">
        <f>-generator_costs!#REF!*100</f>
        <v>#REF!</v>
      </c>
    </row>
    <row r="51" spans="1:7">
      <c r="A51" s="29" t="str">
        <f>generator_costs!B25</f>
        <v>DistillateFuelOil_Combustion_Turbine_EP</v>
      </c>
      <c r="B51" s="1">
        <f>generator_costs!$L25*(1+generator_costs!$O25)^(B$2-2007)/1000000</f>
        <v>1.1438999999999999</v>
      </c>
      <c r="C51" s="1">
        <f>generator_costs!$L25*(1+generator_costs!$O25)^(C$2-2007)/1000000</f>
        <v>1.1438999999999999</v>
      </c>
      <c r="D51" s="1">
        <f>generator_costs!$L25*(1+generator_costs!$O25)^(D$2-2007)/1000000</f>
        <v>1.1438999999999999</v>
      </c>
      <c r="E51" s="1">
        <f>generator_costs!$L25*(1+generator_costs!$O25)^(E$2-2007)/1000000</f>
        <v>1.1438999999999999</v>
      </c>
      <c r="F51" s="1">
        <f>generator_costs!$L25*(1+generator_costs!$O25)^(F$2-2007)/1000000</f>
        <v>1.1438999999999999</v>
      </c>
      <c r="G51" s="2">
        <f>-generator_costs!O25*100</f>
        <v>0</v>
      </c>
    </row>
    <row r="52" spans="1:7">
      <c r="A52" s="29" t="str">
        <f>generator_costs!B26</f>
        <v>DistillateFuelOil_Internal_Combustion_Engine_EP</v>
      </c>
      <c r="B52" s="1">
        <f>generator_costs!$L26*(1+generator_costs!$O26)^(B$2-2007)/1000000</f>
        <v>1.1438999999999999</v>
      </c>
      <c r="C52" s="1">
        <f>generator_costs!$L26*(1+generator_costs!$O26)^(C$2-2007)/1000000</f>
        <v>1.1438999999999999</v>
      </c>
      <c r="D52" s="1">
        <f>generator_costs!$L26*(1+generator_costs!$O26)^(D$2-2007)/1000000</f>
        <v>1.1438999999999999</v>
      </c>
      <c r="E52" s="1">
        <f>generator_costs!$L26*(1+generator_costs!$O26)^(E$2-2007)/1000000</f>
        <v>1.1438999999999999</v>
      </c>
      <c r="F52" s="1">
        <f>generator_costs!$L26*(1+generator_costs!$O26)^(F$2-2007)/1000000</f>
        <v>1.1438999999999999</v>
      </c>
      <c r="G52" s="2">
        <f>-generator_costs!O26*100</f>
        <v>0</v>
      </c>
    </row>
    <row r="53" spans="1:7">
      <c r="A53" s="29" t="str">
        <f>generator_costs!B31</f>
        <v>Bio_Gas_Internal_Combustion_Engine_EP</v>
      </c>
      <c r="B53" s="1">
        <f>generator_costs!$L31*(1+generator_costs!$O31)^(B$2-2007)/1000000</f>
        <v>2.3769999999999998</v>
      </c>
      <c r="C53" s="1">
        <f>generator_costs!$L31*(1+generator_costs!$O31)^(C$2-2007)/1000000</f>
        <v>2.3769999999999998</v>
      </c>
      <c r="D53" s="1">
        <f>generator_costs!$L31*(1+generator_costs!$O31)^(D$2-2007)/1000000</f>
        <v>2.3769999999999998</v>
      </c>
      <c r="E53" s="1">
        <f>generator_costs!$L31*(1+generator_costs!$O31)^(E$2-2007)/1000000</f>
        <v>2.3769999999999998</v>
      </c>
      <c r="F53" s="1">
        <f>generator_costs!$L31*(1+generator_costs!$O31)^(F$2-2007)/1000000</f>
        <v>2.3769999999999998</v>
      </c>
      <c r="G53" s="2">
        <f>-generator_costs!O31*100</f>
        <v>0</v>
      </c>
    </row>
    <row r="54" spans="1:7">
      <c r="A54" s="29" t="str">
        <f>generator_costs!B32</f>
        <v>Bio_Gas_Internal_Combustion_Engine_Cogen_EP</v>
      </c>
      <c r="B54" s="1">
        <f>generator_costs!$L32*(1+generator_costs!$O32)^(B$2-2007)/1000000</f>
        <v>1.7827500000000001</v>
      </c>
      <c r="C54" s="1">
        <f>generator_costs!$L32*(1+generator_costs!$O32)^(C$2-2007)/1000000</f>
        <v>1.7827500000000001</v>
      </c>
      <c r="D54" s="1">
        <f>generator_costs!$L32*(1+generator_costs!$O32)^(D$2-2007)/1000000</f>
        <v>1.7827500000000001</v>
      </c>
      <c r="E54" s="1">
        <f>generator_costs!$L32*(1+generator_costs!$O32)^(E$2-2007)/1000000</f>
        <v>1.7827500000000001</v>
      </c>
      <c r="F54" s="1">
        <f>generator_costs!$L32*(1+generator_costs!$O32)^(F$2-2007)/1000000</f>
        <v>1.7827500000000001</v>
      </c>
      <c r="G54" s="2">
        <f>-generator_costs!O32*100</f>
        <v>0</v>
      </c>
    </row>
    <row r="55" spans="1:7">
      <c r="A55" s="29" t="str">
        <f>generator_costs!B33</f>
        <v>Bio_Gas_Steam_Turbine_EP</v>
      </c>
      <c r="B55" s="1">
        <f>generator_costs!$L33*(1+generator_costs!$O33)^(B$2-2007)/1000000</f>
        <v>2.055938099542503</v>
      </c>
      <c r="C55" s="1">
        <f>generator_costs!$L33*(1+generator_costs!$O33)^(C$2-2007)/1000000</f>
        <v>2.055938099542503</v>
      </c>
      <c r="D55" s="1">
        <f>generator_costs!$L33*(1+generator_costs!$O33)^(D$2-2007)/1000000</f>
        <v>2.055938099542503</v>
      </c>
      <c r="E55" s="1">
        <f>generator_costs!$L33*(1+generator_costs!$O33)^(E$2-2007)/1000000</f>
        <v>2.055938099542503</v>
      </c>
      <c r="F55" s="1">
        <f>generator_costs!$L33*(1+generator_costs!$O33)^(F$2-2007)/1000000</f>
        <v>2.055938099542503</v>
      </c>
      <c r="G55" s="2">
        <f>-generator_costs!O33*100</f>
        <v>0</v>
      </c>
    </row>
    <row r="56" spans="1:7">
      <c r="A56" s="29" t="str">
        <f>generator_costs!B36</f>
        <v>Bio_Liquid_Steam_Turbine_Cogen_EP</v>
      </c>
      <c r="B56" s="1">
        <f>generator_costs!$L36*(1+generator_costs!$O36)^(B$2-2007)/1000000</f>
        <v>2.2927230992176426</v>
      </c>
      <c r="C56" s="1">
        <f>generator_costs!$L36*(1+generator_costs!$O36)^(C$2-2007)/1000000</f>
        <v>2.2927230992176426</v>
      </c>
      <c r="D56" s="1">
        <f>generator_costs!$L36*(1+generator_costs!$O36)^(D$2-2007)/1000000</f>
        <v>2.2927230992176426</v>
      </c>
      <c r="E56" s="1">
        <f>generator_costs!$L36*(1+generator_costs!$O36)^(E$2-2007)/1000000</f>
        <v>2.2927230992176426</v>
      </c>
      <c r="F56" s="1">
        <f>generator_costs!$L36*(1+generator_costs!$O36)^(F$2-2007)/1000000</f>
        <v>2.2927230992176426</v>
      </c>
      <c r="G56" s="2">
        <f>-generator_costs!O36*100</f>
        <v>0</v>
      </c>
    </row>
    <row r="57" spans="1:7">
      <c r="A57" s="29" t="str">
        <f>generator_costs!B42</f>
        <v>Bio_Solid_Steam_Turbine_EP</v>
      </c>
      <c r="B57" s="1">
        <f>generator_costs!$L42*(1+generator_costs!$O42)^(B$2-2007)/1000000</f>
        <v>3.0569641322901902</v>
      </c>
      <c r="C57" s="1">
        <f>generator_costs!$L42*(1+generator_costs!$O42)^(C$2-2007)/1000000</f>
        <v>3.0569641322901902</v>
      </c>
      <c r="D57" s="1">
        <f>generator_costs!$L42*(1+generator_costs!$O42)^(D$2-2007)/1000000</f>
        <v>3.0569641322901902</v>
      </c>
      <c r="E57" s="1">
        <f>generator_costs!$L42*(1+generator_costs!$O42)^(E$2-2007)/1000000</f>
        <v>3.0569641322901902</v>
      </c>
      <c r="F57" s="1">
        <f>generator_costs!$L42*(1+generator_costs!$O42)^(F$2-2007)/1000000</f>
        <v>3.0569641322901902</v>
      </c>
      <c r="G57" s="2">
        <f>-generator_costs!O42*100</f>
        <v>0</v>
      </c>
    </row>
    <row r="58" spans="1:7">
      <c r="A58" s="29" t="str">
        <f>generator_costs!B43</f>
        <v>Bio_Solid_Steam_Turbine_Cogen_EP</v>
      </c>
      <c r="B58" s="1">
        <f>generator_costs!$L43*(1+generator_costs!$O43)^(B$2-2007)/1000000</f>
        <v>2.2927230992176426</v>
      </c>
      <c r="C58" s="1">
        <f>generator_costs!$L43*(1+generator_costs!$O43)^(C$2-2007)/1000000</f>
        <v>2.2927230992176426</v>
      </c>
      <c r="D58" s="1">
        <f>generator_costs!$L43*(1+generator_costs!$O43)^(D$2-2007)/1000000</f>
        <v>2.2927230992176426</v>
      </c>
      <c r="E58" s="1">
        <f>generator_costs!$L43*(1+generator_costs!$O43)^(E$2-2007)/1000000</f>
        <v>2.2927230992176426</v>
      </c>
      <c r="F58" s="1">
        <f>generator_costs!$L43*(1+generator_costs!$O43)^(F$2-2007)/1000000</f>
        <v>2.2927230992176426</v>
      </c>
      <c r="G58" s="2">
        <f>-generator_costs!O43*100</f>
        <v>0</v>
      </c>
    </row>
  </sheetData>
  <sheetCalcPr fullCalcOnLoad="1"/>
  <phoneticPr fontId="11"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21"/>
  <sheetViews>
    <sheetView view="pageLayout" workbookViewId="0">
      <selection activeCell="D6" sqref="D6"/>
    </sheetView>
  </sheetViews>
  <sheetFormatPr baseColWidth="10" defaultRowHeight="13"/>
  <sheetData>
    <row r="1" spans="1:5">
      <c r="A1" s="21" t="s">
        <v>125</v>
      </c>
    </row>
    <row r="2" spans="1:5">
      <c r="A2" s="21" t="s">
        <v>90</v>
      </c>
      <c r="B2" s="21" t="s">
        <v>91</v>
      </c>
    </row>
    <row r="3" spans="1:5" s="21" customFormat="1">
      <c r="A3" s="21">
        <v>2010</v>
      </c>
      <c r="B3" s="21">
        <v>4.7</v>
      </c>
    </row>
    <row r="4" spans="1:5">
      <c r="A4" s="21">
        <v>2011</v>
      </c>
      <c r="B4">
        <v>4.25</v>
      </c>
      <c r="E4" s="21"/>
    </row>
    <row r="5" spans="1:5">
      <c r="A5" s="21">
        <v>2013</v>
      </c>
      <c r="B5">
        <v>3.3</v>
      </c>
      <c r="D5" s="21" t="s">
        <v>31</v>
      </c>
      <c r="E5" s="21"/>
    </row>
    <row r="6" spans="1:5">
      <c r="A6">
        <v>2015</v>
      </c>
      <c r="B6">
        <v>2.6</v>
      </c>
      <c r="D6">
        <f>-(1-LOGEST(B3:B21, A3:A21))</f>
        <v>-6.2858623743340614E-2</v>
      </c>
      <c r="E6" s="21"/>
    </row>
    <row r="7" spans="1:5">
      <c r="A7">
        <v>2016</v>
      </c>
      <c r="B7">
        <v>2.4700000000000002</v>
      </c>
      <c r="E7" s="21"/>
    </row>
    <row r="8" spans="1:5">
      <c r="A8">
        <v>2017</v>
      </c>
      <c r="B8">
        <v>2.35</v>
      </c>
      <c r="E8" s="21"/>
    </row>
    <row r="9" spans="1:5">
      <c r="A9">
        <v>2018</v>
      </c>
      <c r="B9" s="23">
        <v>2.23</v>
      </c>
      <c r="E9" s="21"/>
    </row>
    <row r="10" spans="1:5">
      <c r="A10">
        <v>2019</v>
      </c>
      <c r="B10" s="23">
        <v>2.12</v>
      </c>
      <c r="E10" s="21"/>
    </row>
    <row r="11" spans="1:5">
      <c r="A11">
        <v>2020</v>
      </c>
      <c r="B11" s="23">
        <v>2.0099999999999998</v>
      </c>
      <c r="E11" s="21"/>
    </row>
    <row r="12" spans="1:5">
      <c r="A12">
        <v>2021</v>
      </c>
      <c r="B12" s="23">
        <v>1.92</v>
      </c>
      <c r="E12" s="21"/>
    </row>
    <row r="13" spans="1:5">
      <c r="A13">
        <v>2022</v>
      </c>
      <c r="B13" s="23">
        <v>1.83</v>
      </c>
      <c r="E13" s="21"/>
    </row>
    <row r="14" spans="1:5">
      <c r="A14">
        <v>2023</v>
      </c>
      <c r="B14" s="23">
        <v>1.74</v>
      </c>
      <c r="E14" s="21"/>
    </row>
    <row r="15" spans="1:5">
      <c r="A15">
        <v>2024</v>
      </c>
      <c r="B15" s="23">
        <v>1.65</v>
      </c>
      <c r="E15" s="21"/>
    </row>
    <row r="16" spans="1:5">
      <c r="A16">
        <v>2025</v>
      </c>
      <c r="B16" s="23">
        <v>1.56</v>
      </c>
      <c r="E16" s="21"/>
    </row>
    <row r="17" spans="1:5">
      <c r="A17">
        <v>2026</v>
      </c>
      <c r="B17" s="23">
        <v>1.47</v>
      </c>
      <c r="E17" s="21"/>
    </row>
    <row r="18" spans="1:5">
      <c r="A18">
        <v>2027</v>
      </c>
      <c r="B18" s="23">
        <v>1.38</v>
      </c>
      <c r="E18" s="21"/>
    </row>
    <row r="19" spans="1:5">
      <c r="A19">
        <v>2028</v>
      </c>
      <c r="B19" s="23">
        <v>1.29</v>
      </c>
      <c r="E19" s="21"/>
    </row>
    <row r="20" spans="1:5">
      <c r="A20">
        <v>2029</v>
      </c>
      <c r="B20" s="23">
        <v>1.2</v>
      </c>
      <c r="E20" s="21"/>
    </row>
    <row r="21" spans="1:5">
      <c r="A21">
        <v>2030</v>
      </c>
      <c r="B21" s="23">
        <v>1.1100000000000001</v>
      </c>
      <c r="E21" s="21"/>
    </row>
  </sheetData>
  <phoneticPr fontId="11"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M114"/>
  <sheetViews>
    <sheetView workbookViewId="0">
      <selection activeCell="H3" sqref="H3:H5"/>
    </sheetView>
  </sheetViews>
  <sheetFormatPr baseColWidth="10" defaultRowHeight="13"/>
  <cols>
    <col min="1" max="1" width="14.28515625" style="51" customWidth="1"/>
    <col min="2" max="7" width="10.7109375" style="51"/>
    <col min="8" max="8" width="12.42578125" style="51" customWidth="1"/>
    <col min="9" max="16" width="10.7109375" style="51"/>
    <col min="17" max="17" width="33.85546875" style="51" customWidth="1"/>
    <col min="18" max="16384" width="10.7109375" style="51"/>
  </cols>
  <sheetData>
    <row r="1" spans="1:11">
      <c r="A1" s="49" t="s">
        <v>224</v>
      </c>
      <c r="B1" s="49" t="s">
        <v>225</v>
      </c>
      <c r="C1" s="49"/>
      <c r="D1" s="49"/>
      <c r="E1" s="49"/>
      <c r="F1" s="49" t="s">
        <v>226</v>
      </c>
      <c r="G1" s="49" t="s">
        <v>227</v>
      </c>
      <c r="H1" s="50" t="s">
        <v>228</v>
      </c>
      <c r="I1" s="50" t="s">
        <v>229</v>
      </c>
    </row>
    <row r="2" spans="1:11">
      <c r="B2" s="52">
        <v>0.25</v>
      </c>
      <c r="C2" s="52">
        <v>0.5</v>
      </c>
      <c r="D2" s="52">
        <v>0.75</v>
      </c>
      <c r="E2" s="52">
        <v>1</v>
      </c>
      <c r="F2" s="52"/>
    </row>
    <row r="3" spans="1:11">
      <c r="A3" s="51" t="s">
        <v>230</v>
      </c>
      <c r="B3" s="51">
        <v>1.788</v>
      </c>
      <c r="C3" s="51">
        <v>1.1950000000000001</v>
      </c>
      <c r="D3" s="51">
        <v>1.1020000000000001</v>
      </c>
      <c r="E3" s="51">
        <v>1</v>
      </c>
      <c r="F3" s="53">
        <v>3.7999999999999999E-2</v>
      </c>
      <c r="G3" s="54">
        <f t="shared" ref="G3:G4" si="0">IF(10*F3&gt;1, 1, 10*F3)</f>
        <v>0.38</v>
      </c>
      <c r="H3" s="59">
        <f>SUM(F15:F52)/COUNT(F15:F52)</f>
        <v>0.32674288031546511</v>
      </c>
      <c r="I3" s="55"/>
    </row>
    <row r="4" spans="1:11">
      <c r="A4" s="53" t="s">
        <v>231</v>
      </c>
      <c r="B4" s="51">
        <v>1.276</v>
      </c>
      <c r="C4" s="51">
        <v>1.0609999999999999</v>
      </c>
      <c r="D4" s="51">
        <v>1.01</v>
      </c>
      <c r="E4" s="51">
        <v>1</v>
      </c>
      <c r="F4" s="53">
        <v>3.1E-2</v>
      </c>
      <c r="G4" s="54">
        <f t="shared" si="0"/>
        <v>0.31</v>
      </c>
      <c r="H4" s="59">
        <f>SUM(G15:G45)/COUNT(G15:G45)</f>
        <v>3.6286555725794888E-2</v>
      </c>
    </row>
    <row r="5" spans="1:11">
      <c r="A5" s="53" t="s">
        <v>232</v>
      </c>
      <c r="B5" s="51">
        <v>1.504</v>
      </c>
      <c r="C5" s="51">
        <v>1.095</v>
      </c>
      <c r="D5" s="51">
        <v>1.0289999999999999</v>
      </c>
      <c r="E5" s="51">
        <v>1</v>
      </c>
      <c r="F5" s="53">
        <v>0.13500000000000001</v>
      </c>
      <c r="G5" s="54">
        <f>IF(10*F5&gt;1, 1, 10*F5)</f>
        <v>1</v>
      </c>
      <c r="H5" s="59">
        <f>SUM(H15:H64)/COUNT(H15:H64)</f>
        <v>0.10023971011738134</v>
      </c>
      <c r="I5" s="51" t="s">
        <v>233</v>
      </c>
    </row>
    <row r="8" spans="1:11">
      <c r="A8" s="50" t="s">
        <v>234</v>
      </c>
    </row>
    <row r="9" spans="1:11">
      <c r="A9" s="53" t="s">
        <v>235</v>
      </c>
      <c r="B9" s="29" t="s">
        <v>39</v>
      </c>
    </row>
    <row r="10" spans="1:11">
      <c r="A10" s="51" t="s">
        <v>236</v>
      </c>
      <c r="B10" s="51" t="s">
        <v>237</v>
      </c>
    </row>
    <row r="12" spans="1:11">
      <c r="C12" s="51" t="s">
        <v>238</v>
      </c>
      <c r="F12" s="51" t="s">
        <v>239</v>
      </c>
      <c r="J12" s="51" t="s">
        <v>240</v>
      </c>
      <c r="K12" s="51" t="s">
        <v>203</v>
      </c>
    </row>
    <row r="13" spans="1:11">
      <c r="A13" s="53" t="s">
        <v>204</v>
      </c>
      <c r="B13" s="51" t="s">
        <v>205</v>
      </c>
      <c r="C13" s="51" t="s">
        <v>230</v>
      </c>
      <c r="D13" s="51" t="s">
        <v>206</v>
      </c>
      <c r="E13" s="51" t="s">
        <v>207</v>
      </c>
      <c r="F13" s="53" t="s">
        <v>230</v>
      </c>
      <c r="G13" s="53" t="s">
        <v>206</v>
      </c>
      <c r="H13" s="53" t="s">
        <v>207</v>
      </c>
      <c r="J13" s="53" t="s">
        <v>230</v>
      </c>
      <c r="K13" s="53" t="s">
        <v>230</v>
      </c>
    </row>
    <row r="14" spans="1:11">
      <c r="A14" s="56">
        <v>1</v>
      </c>
      <c r="B14" s="56">
        <f>1-A14</f>
        <v>0</v>
      </c>
      <c r="C14" s="51">
        <v>1</v>
      </c>
      <c r="D14" s="51">
        <v>1</v>
      </c>
      <c r="E14" s="51">
        <v>1</v>
      </c>
      <c r="F14" s="57" t="e">
        <f>(C14-1)*(1-$B14)/$B14</f>
        <v>#DIV/0!</v>
      </c>
      <c r="G14" s="57" t="e">
        <f>(D14-1)*(1-$B14)/$B14</f>
        <v>#DIV/0!</v>
      </c>
      <c r="H14" s="57" t="e">
        <f>(E14-1)*(1-$B14)/$B14</f>
        <v>#DIV/0!</v>
      </c>
      <c r="J14" s="51">
        <f>A14*1*7*(C14-1)</f>
        <v>0</v>
      </c>
      <c r="K14" s="51" t="e">
        <f>B14*1*7*F14</f>
        <v>#DIV/0!</v>
      </c>
    </row>
    <row r="15" spans="1:11">
      <c r="A15" s="56">
        <v>0.99</v>
      </c>
      <c r="B15" s="56">
        <f t="shared" ref="B15:B78" si="1">1-A15</f>
        <v>1.0000000000000009E-2</v>
      </c>
      <c r="C15" s="57">
        <f t="shared" ref="C15:C38" si="2">C$14+(C$39-C$14)/((A$14-A$39)*100)*((A$14-A15)*100)</f>
        <v>1.0040800000000001</v>
      </c>
      <c r="D15" s="57">
        <f t="shared" ref="D15:E30" si="3">D$14+(D$39-D$14)/((C$14-C$39)*100)*((C$14-C15)*100)</f>
        <v>1.0004</v>
      </c>
      <c r="E15" s="57">
        <f t="shared" si="3"/>
        <v>1.0011599999999998</v>
      </c>
      <c r="F15" s="57">
        <f>$A15*(C15-1)/((1-$A15)*1)</f>
        <v>0.40392000000000794</v>
      </c>
      <c r="G15" s="57">
        <f t="shared" ref="G15:H15" si="4">$A15*(D15-1)/((1-$A15)*1)</f>
        <v>3.9599999999995604E-2</v>
      </c>
      <c r="H15" s="57">
        <f t="shared" si="4"/>
        <v>0.11483999999998284</v>
      </c>
      <c r="J15" s="51">
        <f t="shared" ref="J15:J64" si="5">A15*1*7*(C15-1)</f>
        <v>2.8274400000000578E-2</v>
      </c>
      <c r="K15" s="51">
        <f t="shared" ref="K15:K64" si="6">B15*1*7*F15</f>
        <v>2.8274400000000581E-2</v>
      </c>
    </row>
    <row r="16" spans="1:11">
      <c r="A16" s="56">
        <v>0.98</v>
      </c>
      <c r="B16" s="56">
        <f t="shared" si="1"/>
        <v>2.0000000000000018E-2</v>
      </c>
      <c r="C16" s="57">
        <f t="shared" si="2"/>
        <v>1.0081599999999999</v>
      </c>
      <c r="D16" s="57">
        <f t="shared" si="3"/>
        <v>1.0007999999999999</v>
      </c>
      <c r="E16" s="57">
        <f t="shared" si="3"/>
        <v>1.0023199999999997</v>
      </c>
      <c r="F16" s="57">
        <f t="shared" ref="F16:F79" si="7">$A16*(C16-1)/((1-$A16)*1)</f>
        <v>0.39983999999999698</v>
      </c>
      <c r="G16" s="57">
        <f t="shared" ref="G16:G79" si="8">$A16*(D16-1)/((1-$A16)*1)</f>
        <v>3.9199999999995648E-2</v>
      </c>
      <c r="H16" s="57">
        <f t="shared" ref="H16:H79" si="9">$A16*(E16-1)/((1-$A16)*1)</f>
        <v>0.11367999999998302</v>
      </c>
      <c r="J16" s="51">
        <f t="shared" si="5"/>
        <v>5.5977599999999621E-2</v>
      </c>
      <c r="K16" s="51">
        <f t="shared" si="6"/>
        <v>5.5977599999999628E-2</v>
      </c>
    </row>
    <row r="17" spans="1:11">
      <c r="A17" s="56">
        <v>0.97</v>
      </c>
      <c r="B17" s="56">
        <f t="shared" si="1"/>
        <v>3.0000000000000027E-2</v>
      </c>
      <c r="C17" s="57">
        <f t="shared" si="2"/>
        <v>1.01224</v>
      </c>
      <c r="D17" s="57">
        <f t="shared" si="3"/>
        <v>1.0012000000000001</v>
      </c>
      <c r="E17" s="57">
        <f t="shared" si="3"/>
        <v>1.0034800000000001</v>
      </c>
      <c r="F17" s="57">
        <f t="shared" si="7"/>
        <v>0.39576000000000056</v>
      </c>
      <c r="G17" s="57">
        <f t="shared" si="8"/>
        <v>3.8800000000002867E-2</v>
      </c>
      <c r="H17" s="57">
        <f t="shared" si="9"/>
        <v>0.11252000000000474</v>
      </c>
      <c r="J17" s="51">
        <f t="shared" si="5"/>
        <v>8.31096000000002E-2</v>
      </c>
      <c r="K17" s="51">
        <f t="shared" si="6"/>
        <v>8.3109600000000186E-2</v>
      </c>
    </row>
    <row r="18" spans="1:11">
      <c r="A18" s="56">
        <v>0.96</v>
      </c>
      <c r="B18" s="56">
        <f t="shared" si="1"/>
        <v>4.0000000000000036E-2</v>
      </c>
      <c r="C18" s="57">
        <f t="shared" si="2"/>
        <v>1.0163200000000001</v>
      </c>
      <c r="D18" s="57">
        <f t="shared" si="3"/>
        <v>1.0016</v>
      </c>
      <c r="E18" s="57">
        <f t="shared" si="3"/>
        <v>1.0046400000000002</v>
      </c>
      <c r="F18" s="57">
        <f t="shared" si="7"/>
        <v>0.3916800000000023</v>
      </c>
      <c r="G18" s="57">
        <f t="shared" si="8"/>
        <v>3.8400000000001065E-2</v>
      </c>
      <c r="H18" s="57">
        <f t="shared" si="9"/>
        <v>0.11136000000000469</v>
      </c>
      <c r="J18" s="51">
        <f t="shared" si="5"/>
        <v>0.10967040000000075</v>
      </c>
      <c r="K18" s="51">
        <f t="shared" si="6"/>
        <v>0.10967040000000074</v>
      </c>
    </row>
    <row r="19" spans="1:11">
      <c r="A19" s="56">
        <v>0.95</v>
      </c>
      <c r="B19" s="56">
        <f t="shared" si="1"/>
        <v>5.0000000000000044E-2</v>
      </c>
      <c r="C19" s="57">
        <f t="shared" si="2"/>
        <v>1.0204</v>
      </c>
      <c r="D19" s="57">
        <f t="shared" si="3"/>
        <v>1.002</v>
      </c>
      <c r="E19" s="57">
        <f t="shared" si="3"/>
        <v>1.0058</v>
      </c>
      <c r="F19" s="57">
        <f t="shared" si="7"/>
        <v>0.38759999999999911</v>
      </c>
      <c r="G19" s="57">
        <f t="shared" si="8"/>
        <v>3.7999999999999999E-2</v>
      </c>
      <c r="H19" s="57">
        <f t="shared" si="9"/>
        <v>0.11020000000000042</v>
      </c>
      <c r="J19" s="51">
        <f t="shared" si="5"/>
        <v>0.13565999999999981</v>
      </c>
      <c r="K19" s="51">
        <f t="shared" si="6"/>
        <v>0.13565999999999981</v>
      </c>
    </row>
    <row r="20" spans="1:11">
      <c r="A20" s="56">
        <v>0.94</v>
      </c>
      <c r="B20" s="56">
        <f t="shared" si="1"/>
        <v>6.0000000000000053E-2</v>
      </c>
      <c r="C20" s="57">
        <f t="shared" si="2"/>
        <v>1.0244800000000001</v>
      </c>
      <c r="D20" s="57">
        <f t="shared" si="3"/>
        <v>1.0024</v>
      </c>
      <c r="E20" s="57">
        <f t="shared" si="3"/>
        <v>1.0069599999999999</v>
      </c>
      <c r="F20" s="57">
        <f t="shared" si="7"/>
        <v>0.38352000000000053</v>
      </c>
      <c r="G20" s="57">
        <f t="shared" si="8"/>
        <v>3.7599999999999308E-2</v>
      </c>
      <c r="H20" s="57">
        <f t="shared" si="9"/>
        <v>0.10903999999999762</v>
      </c>
      <c r="J20" s="51">
        <f t="shared" si="5"/>
        <v>0.16107840000000037</v>
      </c>
      <c r="K20" s="51">
        <f t="shared" si="6"/>
        <v>0.16107840000000037</v>
      </c>
    </row>
    <row r="21" spans="1:11">
      <c r="A21" s="56">
        <v>0.93</v>
      </c>
      <c r="B21" s="56">
        <f t="shared" si="1"/>
        <v>6.9999999999999951E-2</v>
      </c>
      <c r="C21" s="57">
        <f t="shared" si="2"/>
        <v>1.0285599999999999</v>
      </c>
      <c r="D21" s="57">
        <f t="shared" si="3"/>
        <v>1.0027999999999999</v>
      </c>
      <c r="E21" s="57">
        <f t="shared" si="3"/>
        <v>1.0081199999999997</v>
      </c>
      <c r="F21" s="57">
        <f t="shared" si="7"/>
        <v>0.37943999999999922</v>
      </c>
      <c r="G21" s="57">
        <f t="shared" si="8"/>
        <v>3.719999999999888E-2</v>
      </c>
      <c r="H21" s="57">
        <f t="shared" si="9"/>
        <v>0.10787999999999587</v>
      </c>
      <c r="J21" s="51">
        <f t="shared" si="5"/>
        <v>0.1859255999999995</v>
      </c>
      <c r="K21" s="51">
        <f t="shared" si="6"/>
        <v>0.1859255999999995</v>
      </c>
    </row>
    <row r="22" spans="1:11">
      <c r="A22" s="56">
        <v>0.92</v>
      </c>
      <c r="B22" s="56">
        <f t="shared" si="1"/>
        <v>7.999999999999996E-2</v>
      </c>
      <c r="C22" s="57">
        <f t="shared" si="2"/>
        <v>1.03264</v>
      </c>
      <c r="D22" s="57">
        <f t="shared" si="3"/>
        <v>1.0032000000000001</v>
      </c>
      <c r="E22" s="57">
        <f t="shared" si="3"/>
        <v>1.0092800000000002</v>
      </c>
      <c r="F22" s="57">
        <f t="shared" si="7"/>
        <v>0.37536000000000025</v>
      </c>
      <c r="G22" s="57">
        <f t="shared" si="8"/>
        <v>3.6800000000001075E-2</v>
      </c>
      <c r="H22" s="57">
        <f t="shared" si="9"/>
        <v>0.10672000000000208</v>
      </c>
      <c r="J22" s="51">
        <f t="shared" si="5"/>
        <v>0.21020160000000002</v>
      </c>
      <c r="K22" s="51">
        <f t="shared" si="6"/>
        <v>0.21020160000000004</v>
      </c>
    </row>
    <row r="23" spans="1:11">
      <c r="A23" s="56">
        <v>0.91</v>
      </c>
      <c r="B23" s="56">
        <f t="shared" si="1"/>
        <v>8.9999999999999969E-2</v>
      </c>
      <c r="C23" s="57">
        <f t="shared" si="2"/>
        <v>1.0367200000000001</v>
      </c>
      <c r="D23" s="57">
        <f t="shared" si="3"/>
        <v>1.0036</v>
      </c>
      <c r="E23" s="57">
        <f t="shared" si="3"/>
        <v>1.01044</v>
      </c>
      <c r="F23" s="57">
        <f t="shared" si="7"/>
        <v>0.37128000000000105</v>
      </c>
      <c r="G23" s="57">
        <f t="shared" si="8"/>
        <v>3.6400000000000494E-2</v>
      </c>
      <c r="H23" s="57">
        <f t="shared" si="9"/>
        <v>0.10556000000000008</v>
      </c>
      <c r="J23" s="51">
        <f t="shared" si="5"/>
        <v>0.23390640000000054</v>
      </c>
      <c r="K23" s="51">
        <f t="shared" si="6"/>
        <v>0.23390640000000057</v>
      </c>
    </row>
    <row r="24" spans="1:11">
      <c r="A24" s="56">
        <v>0.9</v>
      </c>
      <c r="B24" s="56">
        <f t="shared" si="1"/>
        <v>9.9999999999999978E-2</v>
      </c>
      <c r="C24" s="57">
        <f t="shared" si="2"/>
        <v>1.0407999999999999</v>
      </c>
      <c r="D24" s="57">
        <f t="shared" si="3"/>
        <v>1.004</v>
      </c>
      <c r="E24" s="57">
        <f t="shared" si="3"/>
        <v>1.0116000000000001</v>
      </c>
      <c r="F24" s="57">
        <f t="shared" si="7"/>
        <v>0.36719999999999964</v>
      </c>
      <c r="G24" s="57">
        <f t="shared" si="8"/>
        <v>3.6000000000000039E-2</v>
      </c>
      <c r="H24" s="57">
        <f t="shared" si="9"/>
        <v>0.10440000000000052</v>
      </c>
      <c r="J24" s="51">
        <f t="shared" si="5"/>
        <v>0.25703999999999966</v>
      </c>
      <c r="K24" s="51">
        <f t="shared" si="6"/>
        <v>0.25703999999999971</v>
      </c>
    </row>
    <row r="25" spans="1:11">
      <c r="A25" s="56">
        <v>0.89</v>
      </c>
      <c r="B25" s="56">
        <f t="shared" si="1"/>
        <v>0.10999999999999999</v>
      </c>
      <c r="C25" s="57">
        <f t="shared" si="2"/>
        <v>1.04488</v>
      </c>
      <c r="D25" s="57">
        <f t="shared" si="3"/>
        <v>1.0044</v>
      </c>
      <c r="E25" s="57">
        <f t="shared" si="3"/>
        <v>1.0127599999999999</v>
      </c>
      <c r="F25" s="57">
        <f t="shared" si="7"/>
        <v>0.36312000000000028</v>
      </c>
      <c r="G25" s="57">
        <f t="shared" si="8"/>
        <v>3.5599999999999674E-2</v>
      </c>
      <c r="H25" s="57">
        <f t="shared" si="9"/>
        <v>0.10323999999999905</v>
      </c>
      <c r="J25" s="51">
        <f t="shared" si="5"/>
        <v>0.2796024000000002</v>
      </c>
      <c r="K25" s="51">
        <f t="shared" si="6"/>
        <v>0.2796024000000002</v>
      </c>
    </row>
    <row r="26" spans="1:11">
      <c r="A26" s="56">
        <v>0.88</v>
      </c>
      <c r="B26" s="56">
        <f t="shared" si="1"/>
        <v>0.12</v>
      </c>
      <c r="C26" s="57">
        <f t="shared" si="2"/>
        <v>1.0489600000000001</v>
      </c>
      <c r="D26" s="57">
        <f t="shared" si="3"/>
        <v>1.0047999999999999</v>
      </c>
      <c r="E26" s="57">
        <f t="shared" si="3"/>
        <v>1.0139199999999997</v>
      </c>
      <c r="F26" s="57">
        <f t="shared" si="7"/>
        <v>0.35904000000000086</v>
      </c>
      <c r="G26" s="57">
        <f t="shared" si="8"/>
        <v>3.5199999999999385E-2</v>
      </c>
      <c r="H26" s="57">
        <f t="shared" si="9"/>
        <v>0.10207999999999787</v>
      </c>
      <c r="J26" s="51">
        <f t="shared" si="5"/>
        <v>0.30159360000000074</v>
      </c>
      <c r="K26" s="51">
        <f t="shared" si="6"/>
        <v>0.30159360000000068</v>
      </c>
    </row>
    <row r="27" spans="1:11">
      <c r="A27" s="56">
        <v>0.87</v>
      </c>
      <c r="B27" s="56">
        <f t="shared" si="1"/>
        <v>0.13</v>
      </c>
      <c r="C27" s="57">
        <f t="shared" si="2"/>
        <v>1.05304</v>
      </c>
      <c r="D27" s="57">
        <f t="shared" si="3"/>
        <v>1.0052000000000001</v>
      </c>
      <c r="E27" s="57">
        <f t="shared" si="3"/>
        <v>1.0150800000000002</v>
      </c>
      <c r="F27" s="57">
        <f t="shared" si="7"/>
        <v>0.35495999999999983</v>
      </c>
      <c r="G27" s="57">
        <f t="shared" si="8"/>
        <v>3.4800000000000622E-2</v>
      </c>
      <c r="H27" s="57">
        <f t="shared" si="9"/>
        <v>0.10092000000000136</v>
      </c>
      <c r="J27" s="51">
        <f t="shared" si="5"/>
        <v>0.32301359999999985</v>
      </c>
      <c r="K27" s="51">
        <f t="shared" si="6"/>
        <v>0.32301359999999985</v>
      </c>
    </row>
    <row r="28" spans="1:11">
      <c r="A28" s="56">
        <v>0.86</v>
      </c>
      <c r="B28" s="56">
        <f t="shared" si="1"/>
        <v>0.14000000000000001</v>
      </c>
      <c r="C28" s="57">
        <f t="shared" si="2"/>
        <v>1.0571200000000001</v>
      </c>
      <c r="D28" s="57">
        <f t="shared" si="3"/>
        <v>1.0056</v>
      </c>
      <c r="E28" s="57">
        <f t="shared" si="3"/>
        <v>1.01624</v>
      </c>
      <c r="F28" s="57">
        <f t="shared" si="7"/>
        <v>0.3508800000000003</v>
      </c>
      <c r="G28" s="57">
        <f t="shared" si="8"/>
        <v>3.4400000000000298E-2</v>
      </c>
      <c r="H28" s="57">
        <f t="shared" si="9"/>
        <v>9.9760000000000196E-2</v>
      </c>
      <c r="J28" s="51">
        <f t="shared" si="5"/>
        <v>0.34386240000000035</v>
      </c>
      <c r="K28" s="51">
        <f t="shared" si="6"/>
        <v>0.34386240000000035</v>
      </c>
    </row>
    <row r="29" spans="1:11">
      <c r="A29" s="56">
        <v>0.85</v>
      </c>
      <c r="B29" s="56">
        <f t="shared" si="1"/>
        <v>0.15000000000000002</v>
      </c>
      <c r="C29" s="57">
        <f t="shared" si="2"/>
        <v>1.0612000000000001</v>
      </c>
      <c r="D29" s="57">
        <f t="shared" si="3"/>
        <v>1.006</v>
      </c>
      <c r="E29" s="57">
        <f t="shared" si="3"/>
        <v>1.0173999999999999</v>
      </c>
      <c r="F29" s="57">
        <f t="shared" si="7"/>
        <v>0.34680000000000077</v>
      </c>
      <c r="G29" s="57">
        <f t="shared" si="8"/>
        <v>3.4000000000000023E-2</v>
      </c>
      <c r="H29" s="57">
        <f t="shared" si="9"/>
        <v>9.8599999999999188E-2</v>
      </c>
      <c r="J29" s="51">
        <f t="shared" si="5"/>
        <v>0.36414000000000085</v>
      </c>
      <c r="K29" s="51">
        <f t="shared" si="6"/>
        <v>0.36414000000000091</v>
      </c>
    </row>
    <row r="30" spans="1:11">
      <c r="A30" s="56">
        <v>0.84</v>
      </c>
      <c r="B30" s="56">
        <f t="shared" si="1"/>
        <v>0.16000000000000003</v>
      </c>
      <c r="C30" s="57">
        <f t="shared" si="2"/>
        <v>1.06528</v>
      </c>
      <c r="D30" s="57">
        <f t="shared" si="3"/>
        <v>1.0064</v>
      </c>
      <c r="E30" s="57">
        <f t="shared" si="3"/>
        <v>1.0185599999999999</v>
      </c>
      <c r="F30" s="57">
        <f t="shared" si="7"/>
        <v>0.34271999999999991</v>
      </c>
      <c r="G30" s="57">
        <f t="shared" si="8"/>
        <v>3.359999999999979E-2</v>
      </c>
      <c r="H30" s="57">
        <f t="shared" si="9"/>
        <v>9.7439999999999513E-2</v>
      </c>
      <c r="J30" s="51">
        <f t="shared" si="5"/>
        <v>0.38384640000000003</v>
      </c>
      <c r="K30" s="51">
        <f t="shared" si="6"/>
        <v>0.38384639999999992</v>
      </c>
    </row>
    <row r="31" spans="1:11">
      <c r="A31" s="56">
        <v>0.83</v>
      </c>
      <c r="B31" s="56">
        <f t="shared" si="1"/>
        <v>0.17000000000000004</v>
      </c>
      <c r="C31" s="57">
        <f t="shared" si="2"/>
        <v>1.0693600000000001</v>
      </c>
      <c r="D31" s="57">
        <f t="shared" ref="D31:E38" si="10">D$14+(D$39-D$14)/((C$14-C$39)*100)*((C$14-C31)*100)</f>
        <v>1.0067999999999999</v>
      </c>
      <c r="E31" s="57">
        <f t="shared" si="10"/>
        <v>1.0197199999999997</v>
      </c>
      <c r="F31" s="57">
        <f t="shared" si="7"/>
        <v>0.33864000000000033</v>
      </c>
      <c r="G31" s="57">
        <f t="shared" si="8"/>
        <v>3.3199999999999584E-2</v>
      </c>
      <c r="H31" s="57">
        <f t="shared" si="9"/>
        <v>9.6279999999998686E-2</v>
      </c>
      <c r="J31" s="51">
        <f t="shared" si="5"/>
        <v>0.40298160000000049</v>
      </c>
      <c r="K31" s="51">
        <f t="shared" si="6"/>
        <v>0.40298160000000055</v>
      </c>
    </row>
    <row r="32" spans="1:11">
      <c r="A32" s="56">
        <v>0.82</v>
      </c>
      <c r="B32" s="56">
        <f t="shared" si="1"/>
        <v>0.18000000000000005</v>
      </c>
      <c r="C32" s="57">
        <f t="shared" si="2"/>
        <v>1.0734400000000002</v>
      </c>
      <c r="D32" s="57">
        <f t="shared" si="10"/>
        <v>1.0072000000000001</v>
      </c>
      <c r="E32" s="57">
        <f t="shared" si="10"/>
        <v>1.0208800000000002</v>
      </c>
      <c r="F32" s="57">
        <f t="shared" si="7"/>
        <v>0.33456000000000069</v>
      </c>
      <c r="G32" s="57">
        <f t="shared" si="8"/>
        <v>3.2800000000000419E-2</v>
      </c>
      <c r="H32" s="57">
        <f t="shared" si="9"/>
        <v>9.5120000000001023E-2</v>
      </c>
      <c r="J32" s="51">
        <f t="shared" si="5"/>
        <v>0.42154560000000096</v>
      </c>
      <c r="K32" s="51">
        <f t="shared" si="6"/>
        <v>0.42154560000000096</v>
      </c>
    </row>
    <row r="33" spans="1:11">
      <c r="A33" s="56">
        <v>0.81</v>
      </c>
      <c r="B33" s="56">
        <f t="shared" si="1"/>
        <v>0.18999999999999995</v>
      </c>
      <c r="C33" s="57">
        <f t="shared" si="2"/>
        <v>1.07752</v>
      </c>
      <c r="D33" s="57">
        <f t="shared" si="10"/>
        <v>1.0076000000000001</v>
      </c>
      <c r="E33" s="57">
        <f t="shared" si="10"/>
        <v>1.0220400000000001</v>
      </c>
      <c r="F33" s="57">
        <f t="shared" si="7"/>
        <v>0.33048000000000027</v>
      </c>
      <c r="G33" s="57">
        <f t="shared" si="8"/>
        <v>3.2400000000000227E-2</v>
      </c>
      <c r="H33" s="57">
        <f t="shared" si="9"/>
        <v>9.3960000000000293E-2</v>
      </c>
      <c r="J33" s="51">
        <f t="shared" si="5"/>
        <v>0.43953840000000016</v>
      </c>
      <c r="K33" s="51">
        <f t="shared" si="6"/>
        <v>0.43953840000000022</v>
      </c>
    </row>
    <row r="34" spans="1:11">
      <c r="A34" s="56">
        <v>0.8</v>
      </c>
      <c r="B34" s="56">
        <f t="shared" si="1"/>
        <v>0.19999999999999996</v>
      </c>
      <c r="C34" s="57">
        <f t="shared" si="2"/>
        <v>1.0816000000000001</v>
      </c>
      <c r="D34" s="57">
        <f t="shared" si="10"/>
        <v>1.008</v>
      </c>
      <c r="E34" s="57">
        <f t="shared" si="10"/>
        <v>1.0231999999999999</v>
      </c>
      <c r="F34" s="57">
        <f t="shared" si="7"/>
        <v>0.32640000000000058</v>
      </c>
      <c r="G34" s="57">
        <f t="shared" si="8"/>
        <v>3.2000000000000042E-2</v>
      </c>
      <c r="H34" s="57">
        <f t="shared" si="9"/>
        <v>9.2799999999999563E-2</v>
      </c>
      <c r="J34" s="51">
        <f t="shared" si="5"/>
        <v>0.4569600000000007</v>
      </c>
      <c r="K34" s="51">
        <f t="shared" si="6"/>
        <v>0.4569600000000007</v>
      </c>
    </row>
    <row r="35" spans="1:11">
      <c r="A35" s="56">
        <v>0.79</v>
      </c>
      <c r="B35" s="56">
        <f t="shared" si="1"/>
        <v>0.20999999999999996</v>
      </c>
      <c r="C35" s="57">
        <f t="shared" si="2"/>
        <v>1.08568</v>
      </c>
      <c r="D35" s="57">
        <f t="shared" si="10"/>
        <v>1.0084</v>
      </c>
      <c r="E35" s="57">
        <f t="shared" si="10"/>
        <v>1.0243599999999997</v>
      </c>
      <c r="F35" s="57">
        <f t="shared" si="7"/>
        <v>0.32232</v>
      </c>
      <c r="G35" s="57">
        <f t="shared" si="8"/>
        <v>3.1599999999999864E-2</v>
      </c>
      <c r="H35" s="57">
        <f t="shared" si="9"/>
        <v>9.1639999999998945E-2</v>
      </c>
      <c r="J35" s="51">
        <f t="shared" si="5"/>
        <v>0.47381039999999991</v>
      </c>
      <c r="K35" s="51">
        <f t="shared" si="6"/>
        <v>0.47381039999999991</v>
      </c>
    </row>
    <row r="36" spans="1:11">
      <c r="A36" s="56">
        <v>0.78</v>
      </c>
      <c r="B36" s="56">
        <f t="shared" si="1"/>
        <v>0.21999999999999997</v>
      </c>
      <c r="C36" s="57">
        <f t="shared" si="2"/>
        <v>1.0897600000000001</v>
      </c>
      <c r="D36" s="57">
        <f t="shared" si="10"/>
        <v>1.0087999999999999</v>
      </c>
      <c r="E36" s="57">
        <f t="shared" si="10"/>
        <v>1.0255199999999998</v>
      </c>
      <c r="F36" s="57">
        <f t="shared" si="7"/>
        <v>0.3182400000000003</v>
      </c>
      <c r="G36" s="57">
        <f t="shared" si="8"/>
        <v>3.1199999999999718E-2</v>
      </c>
      <c r="H36" s="57">
        <f t="shared" si="9"/>
        <v>9.0479999999999186E-2</v>
      </c>
      <c r="J36" s="51">
        <f t="shared" si="5"/>
        <v>0.49008960000000035</v>
      </c>
      <c r="K36" s="51">
        <f t="shared" si="6"/>
        <v>0.4900896000000004</v>
      </c>
    </row>
    <row r="37" spans="1:11">
      <c r="A37" s="56">
        <v>0.77</v>
      </c>
      <c r="B37" s="56">
        <f t="shared" si="1"/>
        <v>0.22999999999999998</v>
      </c>
      <c r="C37" s="57">
        <f t="shared" si="2"/>
        <v>1.0938400000000001</v>
      </c>
      <c r="D37" s="57">
        <f t="shared" si="10"/>
        <v>1.0092000000000001</v>
      </c>
      <c r="E37" s="57">
        <f t="shared" si="10"/>
        <v>1.0266800000000003</v>
      </c>
      <c r="F37" s="57">
        <f t="shared" si="7"/>
        <v>0.31416000000000049</v>
      </c>
      <c r="G37" s="57">
        <f t="shared" si="8"/>
        <v>3.0800000000000327E-2</v>
      </c>
      <c r="H37" s="57">
        <f t="shared" si="9"/>
        <v>8.9320000000000871E-2</v>
      </c>
      <c r="J37" s="51">
        <f t="shared" si="5"/>
        <v>0.50579760000000085</v>
      </c>
      <c r="K37" s="51">
        <f t="shared" si="6"/>
        <v>0.50579760000000074</v>
      </c>
    </row>
    <row r="38" spans="1:11">
      <c r="A38" s="56">
        <v>0.76</v>
      </c>
      <c r="B38" s="56">
        <f t="shared" si="1"/>
        <v>0.24</v>
      </c>
      <c r="C38" s="57">
        <f t="shared" si="2"/>
        <v>1.09792</v>
      </c>
      <c r="D38" s="57">
        <f t="shared" si="10"/>
        <v>1.0096000000000001</v>
      </c>
      <c r="E38" s="57">
        <f t="shared" si="10"/>
        <v>1.0278400000000001</v>
      </c>
      <c r="F38" s="57">
        <f t="shared" si="7"/>
        <v>0.31008000000000002</v>
      </c>
      <c r="G38" s="57">
        <f t="shared" si="8"/>
        <v>3.040000000000017E-2</v>
      </c>
      <c r="H38" s="57">
        <f t="shared" si="9"/>
        <v>8.816000000000028E-2</v>
      </c>
      <c r="J38" s="51">
        <f t="shared" si="5"/>
        <v>0.52093440000000002</v>
      </c>
      <c r="K38" s="51">
        <f t="shared" si="6"/>
        <v>0.52093440000000002</v>
      </c>
    </row>
    <row r="39" spans="1:11">
      <c r="A39" s="58">
        <v>0.75</v>
      </c>
      <c r="B39" s="58">
        <f t="shared" si="1"/>
        <v>0.25</v>
      </c>
      <c r="C39" s="53">
        <v>1.1020000000000001</v>
      </c>
      <c r="D39" s="53">
        <v>1.01</v>
      </c>
      <c r="E39" s="53">
        <v>1.0289999999999999</v>
      </c>
      <c r="F39" s="57">
        <f t="shared" si="7"/>
        <v>0.30600000000000027</v>
      </c>
      <c r="G39" s="57">
        <f t="shared" si="8"/>
        <v>3.0000000000000027E-2</v>
      </c>
      <c r="H39" s="57">
        <f t="shared" si="9"/>
        <v>8.6999999999999744E-2</v>
      </c>
      <c r="J39" s="51">
        <f t="shared" si="5"/>
        <v>0.53550000000000053</v>
      </c>
      <c r="K39" s="51">
        <f t="shared" si="6"/>
        <v>0.53550000000000053</v>
      </c>
    </row>
    <row r="40" spans="1:11">
      <c r="A40" s="56">
        <v>0.74</v>
      </c>
      <c r="B40" s="56">
        <f t="shared" si="1"/>
        <v>0.26</v>
      </c>
      <c r="C40" s="57">
        <f t="shared" ref="C40:C63" si="11">C$39+((C$64-C$39)/((A$39-A$64)*100))*((A$39-A40)*100)</f>
        <v>1.10572</v>
      </c>
      <c r="D40" s="57">
        <f t="shared" ref="D40:E55" si="12">D$39+((D$64-D$39)/((C$39-C$64)*100))*((C$39-C40)*100)</f>
        <v>1.0120400000000001</v>
      </c>
      <c r="E40" s="57">
        <f t="shared" si="12"/>
        <v>1.0316399999999999</v>
      </c>
      <c r="F40" s="57">
        <f t="shared" si="7"/>
        <v>0.30089538461538468</v>
      </c>
      <c r="G40" s="57">
        <f t="shared" si="8"/>
        <v>3.426769230769245E-2</v>
      </c>
      <c r="H40" s="57">
        <f t="shared" si="9"/>
        <v>9.0052307692307376E-2</v>
      </c>
      <c r="J40" s="51">
        <f t="shared" si="5"/>
        <v>0.54762960000000016</v>
      </c>
      <c r="K40" s="51">
        <f t="shared" si="6"/>
        <v>0.54762960000000016</v>
      </c>
    </row>
    <row r="41" spans="1:11">
      <c r="A41" s="56">
        <v>0.73</v>
      </c>
      <c r="B41" s="56">
        <f t="shared" si="1"/>
        <v>0.27</v>
      </c>
      <c r="C41" s="57">
        <f t="shared" si="11"/>
        <v>1.1094400000000002</v>
      </c>
      <c r="D41" s="57">
        <f t="shared" si="12"/>
        <v>1.0140800000000001</v>
      </c>
      <c r="E41" s="57">
        <f t="shared" si="12"/>
        <v>1.0342800000000001</v>
      </c>
      <c r="F41" s="57">
        <f t="shared" si="7"/>
        <v>0.29589333333333384</v>
      </c>
      <c r="G41" s="57">
        <f t="shared" si="8"/>
        <v>3.8068148148148399E-2</v>
      </c>
      <c r="H41" s="57">
        <f t="shared" si="9"/>
        <v>9.2682962962963203E-2</v>
      </c>
      <c r="J41" s="51">
        <f t="shared" si="5"/>
        <v>0.55923840000000102</v>
      </c>
      <c r="K41" s="51">
        <f t="shared" si="6"/>
        <v>0.55923840000000102</v>
      </c>
    </row>
    <row r="42" spans="1:11">
      <c r="A42" s="56">
        <v>0.72</v>
      </c>
      <c r="B42" s="56">
        <f t="shared" si="1"/>
        <v>0.28000000000000003</v>
      </c>
      <c r="C42" s="57">
        <f t="shared" si="11"/>
        <v>1.1131600000000001</v>
      </c>
      <c r="D42" s="57">
        <f t="shared" si="12"/>
        <v>1.0161200000000001</v>
      </c>
      <c r="E42" s="57">
        <f t="shared" si="12"/>
        <v>1.0369200000000001</v>
      </c>
      <c r="F42" s="57">
        <f t="shared" si="7"/>
        <v>0.29098285714285749</v>
      </c>
      <c r="G42" s="57">
        <f t="shared" si="8"/>
        <v>4.145142857142891E-2</v>
      </c>
      <c r="H42" s="57">
        <f t="shared" si="9"/>
        <v>9.4937142857143011E-2</v>
      </c>
      <c r="J42" s="51">
        <f t="shared" si="5"/>
        <v>0.57032640000000079</v>
      </c>
      <c r="K42" s="51">
        <f t="shared" si="6"/>
        <v>0.57032640000000068</v>
      </c>
    </row>
    <row r="43" spans="1:11">
      <c r="A43" s="56">
        <v>0.71</v>
      </c>
      <c r="B43" s="56">
        <f t="shared" si="1"/>
        <v>0.29000000000000004</v>
      </c>
      <c r="C43" s="57">
        <f t="shared" si="11"/>
        <v>1.1168800000000001</v>
      </c>
      <c r="D43" s="57">
        <f t="shared" si="12"/>
        <v>1.01816</v>
      </c>
      <c r="E43" s="57">
        <f t="shared" si="12"/>
        <v>1.0395599999999998</v>
      </c>
      <c r="F43" s="57">
        <f t="shared" si="7"/>
        <v>0.28615448275862088</v>
      </c>
      <c r="G43" s="57">
        <f t="shared" si="8"/>
        <v>4.4460689655172296E-2</v>
      </c>
      <c r="H43" s="57">
        <f t="shared" si="9"/>
        <v>9.6853793103447813E-2</v>
      </c>
      <c r="J43" s="51">
        <f t="shared" si="5"/>
        <v>0.58089360000000045</v>
      </c>
      <c r="K43" s="51">
        <f t="shared" si="6"/>
        <v>0.58089360000000045</v>
      </c>
    </row>
    <row r="44" spans="1:11">
      <c r="A44" s="56">
        <v>0.7</v>
      </c>
      <c r="B44" s="56">
        <f t="shared" si="1"/>
        <v>0.30000000000000004</v>
      </c>
      <c r="C44" s="57">
        <f t="shared" si="11"/>
        <v>1.1206</v>
      </c>
      <c r="D44" s="57">
        <f t="shared" si="12"/>
        <v>1.0202</v>
      </c>
      <c r="E44" s="57">
        <f t="shared" si="12"/>
        <v>1.0422</v>
      </c>
      <c r="F44" s="57">
        <f t="shared" si="7"/>
        <v>0.28140000000000004</v>
      </c>
      <c r="G44" s="57">
        <f t="shared" si="8"/>
        <v>4.7133333333333312E-2</v>
      </c>
      <c r="H44" s="57">
        <f t="shared" si="9"/>
        <v>9.8466666666666675E-2</v>
      </c>
      <c r="J44" s="51">
        <f t="shared" si="5"/>
        <v>0.59094000000000013</v>
      </c>
      <c r="K44" s="51">
        <f t="shared" si="6"/>
        <v>0.59094000000000024</v>
      </c>
    </row>
    <row r="45" spans="1:11">
      <c r="A45" s="56">
        <v>0.69</v>
      </c>
      <c r="B45" s="56">
        <f t="shared" si="1"/>
        <v>0.31000000000000005</v>
      </c>
      <c r="C45" s="57">
        <f t="shared" si="11"/>
        <v>1.1243200000000002</v>
      </c>
      <c r="D45" s="57">
        <f t="shared" si="12"/>
        <v>1.02224</v>
      </c>
      <c r="E45" s="57">
        <f t="shared" si="12"/>
        <v>1.04484</v>
      </c>
      <c r="F45" s="57">
        <f t="shared" si="7"/>
        <v>0.27671225806451655</v>
      </c>
      <c r="G45" s="57">
        <f t="shared" si="8"/>
        <v>4.9501935483871037E-2</v>
      </c>
      <c r="H45" s="57">
        <f t="shared" si="9"/>
        <v>9.9805161290322533E-2</v>
      </c>
      <c r="J45" s="51">
        <f t="shared" si="5"/>
        <v>0.60046560000000104</v>
      </c>
      <c r="K45" s="51">
        <f t="shared" si="6"/>
        <v>0.60046560000000104</v>
      </c>
    </row>
    <row r="46" spans="1:11">
      <c r="A46" s="56">
        <v>0.68</v>
      </c>
      <c r="B46" s="56">
        <f t="shared" si="1"/>
        <v>0.31999999999999995</v>
      </c>
      <c r="C46" s="57">
        <f t="shared" si="11"/>
        <v>1.1280400000000002</v>
      </c>
      <c r="D46" s="57">
        <f t="shared" si="12"/>
        <v>1.0242800000000001</v>
      </c>
      <c r="E46" s="57">
        <f t="shared" si="12"/>
        <v>1.04748</v>
      </c>
      <c r="F46" s="57">
        <f t="shared" si="7"/>
        <v>0.27208500000000035</v>
      </c>
      <c r="G46" s="57">
        <f t="shared" si="8"/>
        <v>5.1595000000000175E-2</v>
      </c>
      <c r="H46" s="57">
        <f t="shared" si="9"/>
        <v>0.10089499999999994</v>
      </c>
      <c r="J46" s="51">
        <f t="shared" si="5"/>
        <v>0.60947040000000086</v>
      </c>
      <c r="K46" s="51">
        <f t="shared" si="6"/>
        <v>0.60947040000000074</v>
      </c>
    </row>
    <row r="47" spans="1:11">
      <c r="A47" s="56">
        <v>0.67</v>
      </c>
      <c r="B47" s="56">
        <f t="shared" si="1"/>
        <v>0.32999999999999996</v>
      </c>
      <c r="C47" s="57">
        <f t="shared" si="11"/>
        <v>1.1317600000000001</v>
      </c>
      <c r="D47" s="57">
        <f t="shared" si="12"/>
        <v>1.0263199999999999</v>
      </c>
      <c r="E47" s="57">
        <f t="shared" si="12"/>
        <v>1.0501199999999997</v>
      </c>
      <c r="F47" s="57">
        <f t="shared" si="7"/>
        <v>0.26751272727272751</v>
      </c>
      <c r="G47" s="57">
        <f t="shared" si="8"/>
        <v>5.3437575757575559E-2</v>
      </c>
      <c r="H47" s="57">
        <f t="shared" si="9"/>
        <v>0.10175878787878734</v>
      </c>
      <c r="J47" s="51">
        <f t="shared" si="5"/>
        <v>0.61795440000000057</v>
      </c>
      <c r="K47" s="51">
        <f t="shared" si="6"/>
        <v>0.61795440000000046</v>
      </c>
    </row>
    <row r="48" spans="1:11">
      <c r="A48" s="56">
        <v>0.66</v>
      </c>
      <c r="B48" s="56">
        <f t="shared" si="1"/>
        <v>0.33999999999999997</v>
      </c>
      <c r="C48" s="57">
        <f t="shared" si="11"/>
        <v>1.13548</v>
      </c>
      <c r="D48" s="57">
        <f t="shared" si="12"/>
        <v>1.0283599999999999</v>
      </c>
      <c r="E48" s="57">
        <f t="shared" si="12"/>
        <v>1.0527599999999999</v>
      </c>
      <c r="F48" s="57">
        <f t="shared" si="7"/>
        <v>0.26299058823529425</v>
      </c>
      <c r="G48" s="57">
        <f t="shared" si="8"/>
        <v>5.5051764705882252E-2</v>
      </c>
      <c r="H48" s="57">
        <f t="shared" si="9"/>
        <v>0.10241647058823514</v>
      </c>
      <c r="J48" s="51">
        <f t="shared" si="5"/>
        <v>0.62591760000000018</v>
      </c>
      <c r="K48" s="51">
        <f t="shared" si="6"/>
        <v>0.6259176000000003</v>
      </c>
    </row>
    <row r="49" spans="1:11">
      <c r="A49" s="56">
        <v>0.65</v>
      </c>
      <c r="B49" s="56">
        <f t="shared" si="1"/>
        <v>0.35</v>
      </c>
      <c r="C49" s="57">
        <f t="shared" si="11"/>
        <v>1.1392</v>
      </c>
      <c r="D49" s="57">
        <f t="shared" si="12"/>
        <v>1.0304</v>
      </c>
      <c r="E49" s="57">
        <f t="shared" si="12"/>
        <v>1.0553999999999999</v>
      </c>
      <c r="F49" s="57">
        <f t="shared" si="7"/>
        <v>0.2585142857142857</v>
      </c>
      <c r="G49" s="57">
        <f t="shared" si="8"/>
        <v>5.6457142857142831E-2</v>
      </c>
      <c r="H49" s="57">
        <f t="shared" si="9"/>
        <v>0.10288571428571409</v>
      </c>
      <c r="J49" s="51">
        <f t="shared" si="5"/>
        <v>0.63335999999999992</v>
      </c>
      <c r="K49" s="51">
        <f t="shared" si="6"/>
        <v>0.63335999999999992</v>
      </c>
    </row>
    <row r="50" spans="1:11">
      <c r="A50" s="56">
        <v>0.64</v>
      </c>
      <c r="B50" s="56">
        <f t="shared" si="1"/>
        <v>0.36</v>
      </c>
      <c r="C50" s="57">
        <f t="shared" si="11"/>
        <v>1.1429200000000002</v>
      </c>
      <c r="D50" s="57">
        <f t="shared" si="12"/>
        <v>1.03244</v>
      </c>
      <c r="E50" s="57">
        <f t="shared" si="12"/>
        <v>1.0580400000000001</v>
      </c>
      <c r="F50" s="57">
        <f t="shared" si="7"/>
        <v>0.25408000000000031</v>
      </c>
      <c r="G50" s="57">
        <f t="shared" si="8"/>
        <v>5.7671111111111159E-2</v>
      </c>
      <c r="H50" s="57">
        <f t="shared" si="9"/>
        <v>0.10318222222222238</v>
      </c>
      <c r="J50" s="51">
        <f t="shared" si="5"/>
        <v>0.64028160000000078</v>
      </c>
      <c r="K50" s="51">
        <f t="shared" si="6"/>
        <v>0.64028160000000078</v>
      </c>
    </row>
    <row r="51" spans="1:11">
      <c r="A51" s="56">
        <v>0.63</v>
      </c>
      <c r="B51" s="56">
        <f t="shared" si="1"/>
        <v>0.37</v>
      </c>
      <c r="C51" s="57">
        <f t="shared" si="11"/>
        <v>1.1466400000000001</v>
      </c>
      <c r="D51" s="57">
        <f t="shared" si="12"/>
        <v>1.0344800000000001</v>
      </c>
      <c r="E51" s="57">
        <f t="shared" si="12"/>
        <v>1.0606800000000001</v>
      </c>
      <c r="F51" s="57">
        <f t="shared" si="7"/>
        <v>0.24968432432432452</v>
      </c>
      <c r="G51" s="57">
        <f t="shared" si="8"/>
        <v>5.8709189189189298E-2</v>
      </c>
      <c r="H51" s="57">
        <f t="shared" si="9"/>
        <v>0.10332000000000012</v>
      </c>
      <c r="J51" s="51">
        <f t="shared" si="5"/>
        <v>0.64668240000000043</v>
      </c>
      <c r="K51" s="51">
        <f t="shared" si="6"/>
        <v>0.64668240000000043</v>
      </c>
    </row>
    <row r="52" spans="1:11">
      <c r="A52" s="56">
        <v>0.62</v>
      </c>
      <c r="B52" s="56">
        <f t="shared" si="1"/>
        <v>0.38</v>
      </c>
      <c r="C52" s="57">
        <f t="shared" si="11"/>
        <v>1.15036</v>
      </c>
      <c r="D52" s="57">
        <f t="shared" si="12"/>
        <v>1.0365199999999999</v>
      </c>
      <c r="E52" s="57">
        <f t="shared" si="12"/>
        <v>1.0633199999999998</v>
      </c>
      <c r="F52" s="57">
        <f t="shared" si="7"/>
        <v>0.24532421052631587</v>
      </c>
      <c r="G52" s="57">
        <f t="shared" si="8"/>
        <v>5.9585263157894551E-2</v>
      </c>
      <c r="H52" s="57">
        <f t="shared" si="9"/>
        <v>0.10331157894736813</v>
      </c>
      <c r="J52" s="51">
        <f t="shared" si="5"/>
        <v>0.65256240000000021</v>
      </c>
      <c r="K52" s="51">
        <f t="shared" si="6"/>
        <v>0.65256240000000021</v>
      </c>
    </row>
    <row r="53" spans="1:11">
      <c r="A53" s="56">
        <v>0.61</v>
      </c>
      <c r="B53" s="56">
        <f t="shared" si="1"/>
        <v>0.39</v>
      </c>
      <c r="C53" s="57">
        <f t="shared" si="11"/>
        <v>1.15408</v>
      </c>
      <c r="D53" s="57">
        <f t="shared" si="12"/>
        <v>1.0385599999999999</v>
      </c>
      <c r="E53" s="57">
        <f t="shared" si="12"/>
        <v>1.0659599999999998</v>
      </c>
      <c r="F53" s="57">
        <f t="shared" si="7"/>
        <v>0.24099692307692305</v>
      </c>
      <c r="G53" s="57">
        <f t="shared" si="8"/>
        <v>6.0311794871794756E-2</v>
      </c>
      <c r="H53" s="57">
        <f t="shared" si="9"/>
        <v>0.10316820512820481</v>
      </c>
      <c r="J53" s="51">
        <f t="shared" si="5"/>
        <v>0.65792159999999988</v>
      </c>
      <c r="K53" s="51">
        <f t="shared" si="6"/>
        <v>0.65792159999999988</v>
      </c>
    </row>
    <row r="54" spans="1:11">
      <c r="A54" s="56">
        <v>0.6</v>
      </c>
      <c r="B54" s="56">
        <f t="shared" si="1"/>
        <v>0.4</v>
      </c>
      <c r="C54" s="57">
        <f t="shared" si="11"/>
        <v>1.1578000000000002</v>
      </c>
      <c r="D54" s="57">
        <f t="shared" si="12"/>
        <v>1.0406</v>
      </c>
      <c r="E54" s="57">
        <f t="shared" si="12"/>
        <v>1.0686</v>
      </c>
      <c r="F54" s="57">
        <f t="shared" si="7"/>
        <v>0.23670000000000024</v>
      </c>
      <c r="G54" s="57">
        <f t="shared" si="8"/>
        <v>6.0899999999999954E-2</v>
      </c>
      <c r="H54" s="57">
        <f t="shared" si="9"/>
        <v>0.10289999999999998</v>
      </c>
      <c r="J54" s="51">
        <f t="shared" si="5"/>
        <v>0.66276000000000068</v>
      </c>
      <c r="K54" s="51">
        <f t="shared" si="6"/>
        <v>0.66276000000000079</v>
      </c>
    </row>
    <row r="55" spans="1:11">
      <c r="A55" s="56">
        <v>0.59</v>
      </c>
      <c r="B55" s="56">
        <f t="shared" si="1"/>
        <v>0.41000000000000003</v>
      </c>
      <c r="C55" s="57">
        <f t="shared" si="11"/>
        <v>1.1615200000000001</v>
      </c>
      <c r="D55" s="57">
        <f t="shared" si="12"/>
        <v>1.04264</v>
      </c>
      <c r="E55" s="57">
        <f t="shared" si="12"/>
        <v>1.07124</v>
      </c>
      <c r="F55" s="57">
        <f t="shared" si="7"/>
        <v>0.23243121951219525</v>
      </c>
      <c r="G55" s="57">
        <f t="shared" si="8"/>
        <v>6.1360000000000012E-2</v>
      </c>
      <c r="H55" s="57">
        <f t="shared" si="9"/>
        <v>0.10251609756097556</v>
      </c>
      <c r="J55" s="51">
        <f t="shared" si="5"/>
        <v>0.66707760000000038</v>
      </c>
      <c r="K55" s="51">
        <f t="shared" si="6"/>
        <v>0.66707760000000038</v>
      </c>
    </row>
    <row r="56" spans="1:11">
      <c r="A56" s="56">
        <v>0.57999999999999996</v>
      </c>
      <c r="B56" s="56">
        <f t="shared" si="1"/>
        <v>0.42000000000000004</v>
      </c>
      <c r="C56" s="57">
        <f t="shared" si="11"/>
        <v>1.1652400000000001</v>
      </c>
      <c r="D56" s="57">
        <f t="shared" ref="D56:E63" si="13">D$39+((D$64-D$39)/((C$39-C$64)*100))*((C$39-C56)*100)</f>
        <v>1.0446800000000001</v>
      </c>
      <c r="E56" s="57">
        <f t="shared" si="13"/>
        <v>1.0738800000000002</v>
      </c>
      <c r="F56" s="57">
        <f t="shared" si="7"/>
        <v>0.22818857142857146</v>
      </c>
      <c r="G56" s="57">
        <f t="shared" si="8"/>
        <v>6.170095238095244E-2</v>
      </c>
      <c r="H56" s="57">
        <f t="shared" si="9"/>
        <v>0.10202476190476212</v>
      </c>
      <c r="J56" s="51">
        <f t="shared" si="5"/>
        <v>0.6708744000000002</v>
      </c>
      <c r="K56" s="51">
        <f t="shared" si="6"/>
        <v>0.6708744000000002</v>
      </c>
    </row>
    <row r="57" spans="1:11">
      <c r="A57" s="56">
        <v>0.56999999999999995</v>
      </c>
      <c r="B57" s="56">
        <f t="shared" si="1"/>
        <v>0.43000000000000005</v>
      </c>
      <c r="C57" s="57">
        <f t="shared" si="11"/>
        <v>1.16896</v>
      </c>
      <c r="D57" s="57">
        <f t="shared" si="13"/>
        <v>1.0467199999999999</v>
      </c>
      <c r="E57" s="57">
        <f t="shared" si="13"/>
        <v>1.0765199999999999</v>
      </c>
      <c r="F57" s="57">
        <f t="shared" si="7"/>
        <v>0.2239702325581395</v>
      </c>
      <c r="G57" s="57">
        <f t="shared" si="8"/>
        <v>6.1931162790697492E-2</v>
      </c>
      <c r="H57" s="57">
        <f t="shared" si="9"/>
        <v>0.1014334883720929</v>
      </c>
      <c r="J57" s="51">
        <f t="shared" si="5"/>
        <v>0.67415039999999993</v>
      </c>
      <c r="K57" s="51">
        <f t="shared" si="6"/>
        <v>0.67415039999999993</v>
      </c>
    </row>
    <row r="58" spans="1:11">
      <c r="A58" s="56">
        <v>0.56000000000000005</v>
      </c>
      <c r="B58" s="56">
        <f t="shared" si="1"/>
        <v>0.43999999999999995</v>
      </c>
      <c r="C58" s="57">
        <f t="shared" si="11"/>
        <v>1.1726799999999999</v>
      </c>
      <c r="D58" s="57">
        <f t="shared" si="13"/>
        <v>1.0487599999999999</v>
      </c>
      <c r="E58" s="57">
        <f t="shared" si="13"/>
        <v>1.0791599999999999</v>
      </c>
      <c r="F58" s="57">
        <f t="shared" si="7"/>
        <v>0.21977454545454542</v>
      </c>
      <c r="G58" s="57">
        <f t="shared" si="8"/>
        <v>6.2058181818181721E-2</v>
      </c>
      <c r="H58" s="57">
        <f t="shared" si="9"/>
        <v>0.1007490909090908</v>
      </c>
      <c r="J58" s="51">
        <f t="shared" si="5"/>
        <v>0.67690559999999989</v>
      </c>
      <c r="K58" s="51">
        <f t="shared" si="6"/>
        <v>0.67690559999999977</v>
      </c>
    </row>
    <row r="59" spans="1:11">
      <c r="A59" s="56">
        <v>0.55000000000000004</v>
      </c>
      <c r="B59" s="56">
        <f t="shared" si="1"/>
        <v>0.44999999999999996</v>
      </c>
      <c r="C59" s="57">
        <f t="shared" si="11"/>
        <v>1.1764000000000001</v>
      </c>
      <c r="D59" s="57">
        <f t="shared" si="13"/>
        <v>1.0508</v>
      </c>
      <c r="E59" s="57">
        <f t="shared" si="13"/>
        <v>1.0817999999999999</v>
      </c>
      <c r="F59" s="57">
        <f t="shared" si="7"/>
        <v>0.21560000000000015</v>
      </c>
      <c r="G59" s="57">
        <f t="shared" si="8"/>
        <v>6.2088888888888846E-2</v>
      </c>
      <c r="H59" s="57">
        <f t="shared" si="9"/>
        <v>9.9977777777777638E-2</v>
      </c>
      <c r="J59" s="51">
        <f t="shared" si="5"/>
        <v>0.67914000000000052</v>
      </c>
      <c r="K59" s="51">
        <f t="shared" si="6"/>
        <v>0.67914000000000041</v>
      </c>
    </row>
    <row r="60" spans="1:11">
      <c r="A60" s="56">
        <v>0.54</v>
      </c>
      <c r="B60" s="56">
        <f t="shared" si="1"/>
        <v>0.45999999999999996</v>
      </c>
      <c r="C60" s="57">
        <f t="shared" si="11"/>
        <v>1.1801200000000001</v>
      </c>
      <c r="D60" s="57">
        <f t="shared" si="13"/>
        <v>1.05284</v>
      </c>
      <c r="E60" s="57">
        <f t="shared" si="13"/>
        <v>1.0844400000000001</v>
      </c>
      <c r="F60" s="57">
        <f t="shared" si="7"/>
        <v>0.21144521739130445</v>
      </c>
      <c r="G60" s="57">
        <f t="shared" si="8"/>
        <v>6.2029565217391308E-2</v>
      </c>
      <c r="H60" s="57">
        <f t="shared" si="9"/>
        <v>9.9125217391304449E-2</v>
      </c>
      <c r="J60" s="51">
        <f t="shared" si="5"/>
        <v>0.68085360000000028</v>
      </c>
      <c r="K60" s="51">
        <f t="shared" si="6"/>
        <v>0.68085360000000028</v>
      </c>
    </row>
    <row r="61" spans="1:11">
      <c r="A61" s="56">
        <v>0.53</v>
      </c>
      <c r="B61" s="56">
        <f t="shared" si="1"/>
        <v>0.47</v>
      </c>
      <c r="C61" s="57">
        <f t="shared" si="11"/>
        <v>1.18384</v>
      </c>
      <c r="D61" s="57">
        <f t="shared" si="13"/>
        <v>1.0548799999999998</v>
      </c>
      <c r="E61" s="57">
        <f t="shared" si="13"/>
        <v>1.0870799999999998</v>
      </c>
      <c r="F61" s="57">
        <f t="shared" si="7"/>
        <v>0.20730893617021282</v>
      </c>
      <c r="G61" s="57">
        <f t="shared" si="8"/>
        <v>6.1885957446808311E-2</v>
      </c>
      <c r="H61" s="57">
        <f t="shared" si="9"/>
        <v>9.8196595744680662E-2</v>
      </c>
      <c r="J61" s="51">
        <f t="shared" si="5"/>
        <v>0.68204640000000005</v>
      </c>
      <c r="K61" s="51">
        <f t="shared" si="6"/>
        <v>0.68204640000000016</v>
      </c>
    </row>
    <row r="62" spans="1:11">
      <c r="A62" s="56">
        <v>0.52</v>
      </c>
      <c r="B62" s="56">
        <f t="shared" si="1"/>
        <v>0.48</v>
      </c>
      <c r="C62" s="57">
        <f t="shared" si="11"/>
        <v>1.1875599999999999</v>
      </c>
      <c r="D62" s="57">
        <f t="shared" si="13"/>
        <v>1.0569199999999999</v>
      </c>
      <c r="E62" s="57">
        <f t="shared" si="13"/>
        <v>1.0897199999999998</v>
      </c>
      <c r="F62" s="57">
        <f t="shared" si="7"/>
        <v>0.20318999999999995</v>
      </c>
      <c r="G62" s="57">
        <f t="shared" si="8"/>
        <v>6.1663333333333181E-2</v>
      </c>
      <c r="H62" s="57">
        <f t="shared" si="9"/>
        <v>9.7196666666666445E-2</v>
      </c>
      <c r="J62" s="51">
        <f t="shared" si="5"/>
        <v>0.68271839999999984</v>
      </c>
      <c r="K62" s="51">
        <f t="shared" si="6"/>
        <v>0.68271839999999984</v>
      </c>
    </row>
    <row r="63" spans="1:11">
      <c r="A63" s="56">
        <v>0.51</v>
      </c>
      <c r="B63" s="56">
        <f t="shared" si="1"/>
        <v>0.49</v>
      </c>
      <c r="C63" s="57">
        <f t="shared" si="11"/>
        <v>1.1912800000000001</v>
      </c>
      <c r="D63" s="57">
        <f t="shared" si="13"/>
        <v>1.0589599999999999</v>
      </c>
      <c r="E63" s="57">
        <f t="shared" si="13"/>
        <v>1.09236</v>
      </c>
      <c r="F63" s="57">
        <f t="shared" si="7"/>
        <v>0.19908734693877564</v>
      </c>
      <c r="G63" s="57">
        <f t="shared" si="8"/>
        <v>6.1366530612244799E-2</v>
      </c>
      <c r="H63" s="57">
        <f t="shared" si="9"/>
        <v>9.6129795918367358E-2</v>
      </c>
      <c r="J63" s="51">
        <f t="shared" si="5"/>
        <v>0.68286960000000052</v>
      </c>
      <c r="K63" s="51">
        <f t="shared" si="6"/>
        <v>0.68286960000000041</v>
      </c>
    </row>
    <row r="64" spans="1:11">
      <c r="A64" s="56">
        <v>0.5</v>
      </c>
      <c r="B64" s="56">
        <f t="shared" si="1"/>
        <v>0.5</v>
      </c>
      <c r="C64" s="51">
        <v>1.1950000000000001</v>
      </c>
      <c r="D64" s="51">
        <v>1.0609999999999999</v>
      </c>
      <c r="E64" s="51">
        <v>1.095</v>
      </c>
      <c r="F64" s="57">
        <f t="shared" si="7"/>
        <v>0.19500000000000006</v>
      </c>
      <c r="G64" s="57">
        <f t="shared" si="8"/>
        <v>6.0999999999999943E-2</v>
      </c>
      <c r="H64" s="57">
        <f t="shared" si="9"/>
        <v>9.4999999999999973E-2</v>
      </c>
      <c r="J64" s="51">
        <f t="shared" si="5"/>
        <v>0.68250000000000022</v>
      </c>
      <c r="K64" s="51">
        <f t="shared" si="6"/>
        <v>0.68250000000000022</v>
      </c>
    </row>
    <row r="65" spans="1:13">
      <c r="A65" s="56">
        <v>0.49</v>
      </c>
      <c r="B65" s="56">
        <f t="shared" si="1"/>
        <v>0.51</v>
      </c>
      <c r="C65" s="57">
        <f>C$64+((C$89-C$64)/((A$64-A$89)*100))*((A$64-A65)*100)</f>
        <v>1.21872</v>
      </c>
      <c r="D65" s="57">
        <f>D$64+((D$89-D$64)/((B$64-B$89)*100))*((B$64-B65)*100)</f>
        <v>1.0695999999999999</v>
      </c>
      <c r="E65" s="57">
        <f>E$64+((E$89-E$64)/((C$64-C$89)*100))*((C$64-C65)*100)</f>
        <v>1.1113599999999999</v>
      </c>
      <c r="F65" s="57">
        <f t="shared" si="7"/>
        <v>0.21014274509803924</v>
      </c>
      <c r="G65" s="57">
        <f t="shared" si="8"/>
        <v>6.6870588235294001E-2</v>
      </c>
      <c r="H65" s="57">
        <f t="shared" si="9"/>
        <v>0.1069929411764705</v>
      </c>
    </row>
    <row r="66" spans="1:13">
      <c r="A66" s="56">
        <v>0.48</v>
      </c>
      <c r="B66" s="56">
        <f t="shared" si="1"/>
        <v>0.52</v>
      </c>
      <c r="C66" s="57">
        <f t="shared" ref="C66:E88" si="14">C$64+((C$89-C$64)/((A$64-A$89)*100))*((A$64-A66)*100)</f>
        <v>1.2424400000000002</v>
      </c>
      <c r="D66" s="57">
        <f t="shared" si="14"/>
        <v>1.0782</v>
      </c>
      <c r="E66" s="57">
        <f t="shared" si="14"/>
        <v>1.1277200000000001</v>
      </c>
      <c r="F66" s="57">
        <f t="shared" si="7"/>
        <v>0.2237907692307694</v>
      </c>
      <c r="G66" s="57">
        <f t="shared" si="8"/>
        <v>7.2184615384615416E-2</v>
      </c>
      <c r="H66" s="57">
        <f t="shared" si="9"/>
        <v>0.11789538461538465</v>
      </c>
    </row>
    <row r="67" spans="1:13">
      <c r="A67" s="56">
        <v>0.47</v>
      </c>
      <c r="B67" s="56">
        <f t="shared" si="1"/>
        <v>0.53</v>
      </c>
      <c r="C67" s="57">
        <f t="shared" si="14"/>
        <v>1.2661600000000002</v>
      </c>
      <c r="D67" s="57">
        <f t="shared" si="14"/>
        <v>1.0868</v>
      </c>
      <c r="E67" s="57">
        <f t="shared" si="14"/>
        <v>1.14408</v>
      </c>
      <c r="F67" s="57">
        <f t="shared" si="7"/>
        <v>0.23602867924528315</v>
      </c>
      <c r="G67" s="57">
        <f t="shared" si="8"/>
        <v>7.6973584905660364E-2</v>
      </c>
      <c r="H67" s="57">
        <f t="shared" si="9"/>
        <v>0.12776905660377355</v>
      </c>
    </row>
    <row r="68" spans="1:13">
      <c r="A68" s="56">
        <v>0.46</v>
      </c>
      <c r="B68" s="56">
        <f t="shared" si="1"/>
        <v>0.54</v>
      </c>
      <c r="C68" s="57">
        <f t="shared" si="14"/>
        <v>1.2898799999999999</v>
      </c>
      <c r="D68" s="57">
        <f t="shared" si="14"/>
        <v>1.0953999999999999</v>
      </c>
      <c r="E68" s="57">
        <f t="shared" si="14"/>
        <v>1.1604399999999999</v>
      </c>
      <c r="F68" s="57">
        <f t="shared" si="7"/>
        <v>0.24693481481481472</v>
      </c>
      <c r="G68" s="57">
        <f t="shared" si="8"/>
        <v>8.1266666666666612E-2</v>
      </c>
      <c r="H68" s="57">
        <f t="shared" si="9"/>
        <v>0.13667111111111102</v>
      </c>
    </row>
    <row r="69" spans="1:13" ht="15">
      <c r="A69" s="56">
        <v>0.45</v>
      </c>
      <c r="B69" s="56">
        <f t="shared" si="1"/>
        <v>0.55000000000000004</v>
      </c>
      <c r="C69" s="57">
        <f t="shared" si="14"/>
        <v>1.3136000000000001</v>
      </c>
      <c r="D69" s="57">
        <f t="shared" si="14"/>
        <v>1.1040000000000001</v>
      </c>
      <c r="E69" s="57">
        <f t="shared" si="14"/>
        <v>1.1768000000000001</v>
      </c>
      <c r="F69" s="57">
        <f t="shared" si="7"/>
        <v>0.25658181818181824</v>
      </c>
      <c r="G69" s="57">
        <f t="shared" si="8"/>
        <v>8.5090909090909161E-2</v>
      </c>
      <c r="H69" s="57">
        <f t="shared" si="9"/>
        <v>0.14465454545454551</v>
      </c>
      <c r="M69" s="47" t="s">
        <v>2</v>
      </c>
    </row>
    <row r="70" spans="1:13" ht="15">
      <c r="A70" s="56">
        <v>0.44</v>
      </c>
      <c r="B70" s="56">
        <f t="shared" si="1"/>
        <v>0.56000000000000005</v>
      </c>
      <c r="C70" s="57">
        <f t="shared" si="14"/>
        <v>1.3373200000000001</v>
      </c>
      <c r="D70" s="57">
        <f t="shared" si="14"/>
        <v>1.1126</v>
      </c>
      <c r="E70" s="57">
        <f t="shared" si="14"/>
        <v>1.19316</v>
      </c>
      <c r="F70" s="57">
        <f t="shared" si="7"/>
        <v>0.26503714285714286</v>
      </c>
      <c r="G70" s="57">
        <f t="shared" si="8"/>
        <v>8.847142857142859E-2</v>
      </c>
      <c r="H70" s="57">
        <f t="shared" si="9"/>
        <v>0.15176857142857139</v>
      </c>
      <c r="M70" s="47"/>
    </row>
    <row r="71" spans="1:13" ht="15">
      <c r="A71" s="56">
        <v>0.43</v>
      </c>
      <c r="B71" s="56">
        <f t="shared" si="1"/>
        <v>0.57000000000000006</v>
      </c>
      <c r="C71" s="57">
        <f t="shared" si="14"/>
        <v>1.36104</v>
      </c>
      <c r="D71" s="57">
        <f t="shared" si="14"/>
        <v>1.1212</v>
      </c>
      <c r="E71" s="57">
        <f t="shared" si="14"/>
        <v>1.2095199999999999</v>
      </c>
      <c r="F71" s="57">
        <f t="shared" si="7"/>
        <v>0.27236350877192977</v>
      </c>
      <c r="G71" s="57">
        <f t="shared" si="8"/>
        <v>9.1431578947368392E-2</v>
      </c>
      <c r="H71" s="57">
        <f t="shared" si="9"/>
        <v>0.15805894736842099</v>
      </c>
      <c r="M71" s="47" t="s">
        <v>3</v>
      </c>
    </row>
    <row r="72" spans="1:13" ht="15">
      <c r="A72" s="56">
        <v>0.42</v>
      </c>
      <c r="B72" s="56">
        <f t="shared" si="1"/>
        <v>0.58000000000000007</v>
      </c>
      <c r="C72" s="57">
        <f t="shared" si="14"/>
        <v>1.38476</v>
      </c>
      <c r="D72" s="57">
        <f t="shared" si="14"/>
        <v>1.1297999999999999</v>
      </c>
      <c r="E72" s="57">
        <f t="shared" si="14"/>
        <v>1.2258799999999999</v>
      </c>
      <c r="F72" s="57">
        <f t="shared" si="7"/>
        <v>0.27861931034482756</v>
      </c>
      <c r="G72" s="57">
        <f t="shared" si="8"/>
        <v>9.3993103448275786E-2</v>
      </c>
      <c r="H72" s="57">
        <f t="shared" si="9"/>
        <v>0.16356827586206885</v>
      </c>
      <c r="M72" s="47" t="s">
        <v>208</v>
      </c>
    </row>
    <row r="73" spans="1:13" ht="15">
      <c r="A73" s="56">
        <v>0.41</v>
      </c>
      <c r="B73" s="56">
        <f t="shared" si="1"/>
        <v>0.59000000000000008</v>
      </c>
      <c r="C73" s="57">
        <f t="shared" si="14"/>
        <v>1.4084800000000002</v>
      </c>
      <c r="D73" s="57">
        <f t="shared" si="14"/>
        <v>1.1384000000000001</v>
      </c>
      <c r="E73" s="57">
        <f t="shared" si="14"/>
        <v>1.24224</v>
      </c>
      <c r="F73" s="57">
        <f t="shared" si="7"/>
        <v>0.2838589830508475</v>
      </c>
      <c r="G73" s="57">
        <f t="shared" si="8"/>
        <v>9.6176271186440718E-2</v>
      </c>
      <c r="H73" s="57">
        <f t="shared" si="9"/>
        <v>0.16833627118644065</v>
      </c>
      <c r="M73" s="47"/>
    </row>
    <row r="74" spans="1:13" ht="15">
      <c r="A74" s="56">
        <v>0.4</v>
      </c>
      <c r="B74" s="56">
        <f t="shared" si="1"/>
        <v>0.6</v>
      </c>
      <c r="C74" s="57">
        <f t="shared" si="14"/>
        <v>1.4321999999999999</v>
      </c>
      <c r="D74" s="57">
        <f t="shared" si="14"/>
        <v>1.147</v>
      </c>
      <c r="E74" s="57">
        <f t="shared" si="14"/>
        <v>1.2585999999999999</v>
      </c>
      <c r="F74" s="57">
        <f t="shared" si="7"/>
        <v>0.2881333333333333</v>
      </c>
      <c r="G74" s="57">
        <f t="shared" si="8"/>
        <v>9.8000000000000018E-2</v>
      </c>
      <c r="H74" s="57">
        <f t="shared" si="9"/>
        <v>0.17239999999999997</v>
      </c>
      <c r="M74" s="47" t="s">
        <v>209</v>
      </c>
    </row>
    <row r="75" spans="1:13" ht="15">
      <c r="A75" s="56">
        <v>0.39</v>
      </c>
      <c r="B75" s="56">
        <f t="shared" si="1"/>
        <v>0.61</v>
      </c>
      <c r="C75" s="57">
        <f t="shared" si="14"/>
        <v>1.4559199999999999</v>
      </c>
      <c r="D75" s="57">
        <f t="shared" si="14"/>
        <v>1.1556</v>
      </c>
      <c r="E75" s="57">
        <f t="shared" si="14"/>
        <v>1.2749599999999999</v>
      </c>
      <c r="F75" s="57">
        <f t="shared" si="7"/>
        <v>0.29148983606557372</v>
      </c>
      <c r="G75" s="57">
        <f t="shared" si="8"/>
        <v>9.9481967213114739E-2</v>
      </c>
      <c r="H75" s="57">
        <f t="shared" si="9"/>
        <v>0.17579409836065565</v>
      </c>
      <c r="M75" s="47"/>
    </row>
    <row r="76" spans="1:13" ht="15">
      <c r="A76" s="56">
        <v>0.38</v>
      </c>
      <c r="B76" s="56">
        <f t="shared" si="1"/>
        <v>0.62</v>
      </c>
      <c r="C76" s="57">
        <f t="shared" si="14"/>
        <v>1.4796400000000001</v>
      </c>
      <c r="D76" s="57">
        <f t="shared" si="14"/>
        <v>1.1641999999999999</v>
      </c>
      <c r="E76" s="57">
        <f t="shared" si="14"/>
        <v>1.29132</v>
      </c>
      <c r="F76" s="57">
        <f t="shared" si="7"/>
        <v>0.29397290322580649</v>
      </c>
      <c r="G76" s="57">
        <f t="shared" si="8"/>
        <v>0.10063870967741929</v>
      </c>
      <c r="H76" s="57">
        <f t="shared" si="9"/>
        <v>0.17855096774193549</v>
      </c>
      <c r="M76" s="47" t="s">
        <v>6</v>
      </c>
    </row>
    <row r="77" spans="1:13" ht="15">
      <c r="A77" s="56">
        <v>0.37</v>
      </c>
      <c r="B77" s="56">
        <f t="shared" si="1"/>
        <v>0.63</v>
      </c>
      <c r="C77" s="57">
        <f t="shared" si="14"/>
        <v>1.50336</v>
      </c>
      <c r="D77" s="57">
        <f t="shared" si="14"/>
        <v>1.1728000000000001</v>
      </c>
      <c r="E77" s="57">
        <f t="shared" si="14"/>
        <v>1.30768</v>
      </c>
      <c r="F77" s="57">
        <f t="shared" si="7"/>
        <v>0.29562412698412699</v>
      </c>
      <c r="G77" s="57">
        <f t="shared" si="8"/>
        <v>0.10148571428571432</v>
      </c>
      <c r="H77" s="57">
        <f t="shared" si="9"/>
        <v>0.18070095238095235</v>
      </c>
      <c r="M77" s="47"/>
    </row>
    <row r="78" spans="1:13" ht="15">
      <c r="A78" s="56">
        <v>0.36</v>
      </c>
      <c r="B78" s="56">
        <f t="shared" si="1"/>
        <v>0.64</v>
      </c>
      <c r="C78" s="57">
        <f t="shared" si="14"/>
        <v>1.5270800000000002</v>
      </c>
      <c r="D78" s="57">
        <f t="shared" si="14"/>
        <v>1.1814</v>
      </c>
      <c r="E78" s="57">
        <f t="shared" si="14"/>
        <v>1.3240400000000001</v>
      </c>
      <c r="F78" s="57">
        <f t="shared" si="7"/>
        <v>0.29648250000000009</v>
      </c>
      <c r="G78" s="57">
        <f t="shared" si="8"/>
        <v>0.1020375</v>
      </c>
      <c r="H78" s="57">
        <f t="shared" si="9"/>
        <v>0.18227250000000006</v>
      </c>
      <c r="M78" s="47" t="s">
        <v>7</v>
      </c>
    </row>
    <row r="79" spans="1:13" ht="15">
      <c r="A79" s="56">
        <v>0.35</v>
      </c>
      <c r="B79" s="56">
        <f t="shared" ref="B79:B89" si="15">1-A79</f>
        <v>0.65</v>
      </c>
      <c r="C79" s="57">
        <f t="shared" si="14"/>
        <v>1.5508000000000002</v>
      </c>
      <c r="D79" s="57">
        <f t="shared" si="14"/>
        <v>1.19</v>
      </c>
      <c r="E79" s="57">
        <f t="shared" si="14"/>
        <v>1.3404</v>
      </c>
      <c r="F79" s="57">
        <f t="shared" si="7"/>
        <v>0.29658461538461545</v>
      </c>
      <c r="G79" s="57">
        <f t="shared" si="8"/>
        <v>0.10230769230769227</v>
      </c>
      <c r="H79" s="57">
        <f t="shared" si="9"/>
        <v>0.1832923076923077</v>
      </c>
      <c r="M79" s="47"/>
    </row>
    <row r="80" spans="1:13" ht="15">
      <c r="A80" s="56">
        <v>0.34</v>
      </c>
      <c r="B80" s="56">
        <f t="shared" si="15"/>
        <v>0.65999999999999992</v>
      </c>
      <c r="C80" s="57">
        <f t="shared" si="14"/>
        <v>1.5745199999999999</v>
      </c>
      <c r="D80" s="57">
        <f t="shared" si="14"/>
        <v>1.1985999999999999</v>
      </c>
      <c r="E80" s="57">
        <f t="shared" si="14"/>
        <v>1.35676</v>
      </c>
      <c r="F80" s="57">
        <f t="shared" ref="F80:F89" si="16">$A80*(C80-1)/((1-$A80)*1)</f>
        <v>0.2959648484848485</v>
      </c>
      <c r="G80" s="57">
        <f t="shared" ref="G80:G89" si="17">$A80*(D80-1)/((1-$A80)*1)</f>
        <v>0.10230909090909088</v>
      </c>
      <c r="H80" s="57">
        <f t="shared" ref="H80:H89" si="18">$A80*(E80-1)/((1-$A80)*1)</f>
        <v>0.18378545454545456</v>
      </c>
      <c r="M80" s="48" t="s">
        <v>46</v>
      </c>
    </row>
    <row r="81" spans="1:8">
      <c r="A81" s="56">
        <v>0.33</v>
      </c>
      <c r="B81" s="56">
        <f t="shared" si="15"/>
        <v>0.66999999999999993</v>
      </c>
      <c r="C81" s="57">
        <f t="shared" si="14"/>
        <v>1.5982400000000001</v>
      </c>
      <c r="D81" s="57">
        <f t="shared" si="14"/>
        <v>1.2071999999999998</v>
      </c>
      <c r="E81" s="57">
        <f t="shared" si="14"/>
        <v>1.3731200000000001</v>
      </c>
      <c r="F81" s="57">
        <f t="shared" si="16"/>
        <v>0.29465552238805981</v>
      </c>
      <c r="G81" s="57">
        <f t="shared" si="17"/>
        <v>0.10205373134328352</v>
      </c>
      <c r="H81" s="57">
        <f t="shared" si="18"/>
        <v>0.1837755223880598</v>
      </c>
    </row>
    <row r="82" spans="1:8">
      <c r="A82" s="56">
        <v>0.32</v>
      </c>
      <c r="B82" s="56">
        <f t="shared" si="15"/>
        <v>0.67999999999999994</v>
      </c>
      <c r="C82" s="57">
        <f t="shared" si="14"/>
        <v>1.6219600000000001</v>
      </c>
      <c r="D82" s="57">
        <f t="shared" si="14"/>
        <v>1.2158</v>
      </c>
      <c r="E82" s="57">
        <f t="shared" si="14"/>
        <v>1.38948</v>
      </c>
      <c r="F82" s="57">
        <f t="shared" si="16"/>
        <v>0.29268705882352947</v>
      </c>
      <c r="G82" s="57">
        <f t="shared" si="17"/>
        <v>0.10155294117647058</v>
      </c>
      <c r="H82" s="57">
        <f t="shared" si="18"/>
        <v>0.18328470588235299</v>
      </c>
    </row>
    <row r="83" spans="1:8">
      <c r="A83" s="56">
        <v>0.31</v>
      </c>
      <c r="B83" s="56">
        <f t="shared" si="15"/>
        <v>0.69</v>
      </c>
      <c r="C83" s="57">
        <f t="shared" si="14"/>
        <v>1.64568</v>
      </c>
      <c r="D83" s="57">
        <f t="shared" si="14"/>
        <v>1.2243999999999999</v>
      </c>
      <c r="E83" s="57">
        <f t="shared" si="14"/>
        <v>1.40584</v>
      </c>
      <c r="F83" s="57">
        <f t="shared" si="16"/>
        <v>0.29008811594202899</v>
      </c>
      <c r="G83" s="57">
        <f t="shared" si="17"/>
        <v>0.10081739130434779</v>
      </c>
      <c r="H83" s="57">
        <f t="shared" si="18"/>
        <v>0.18233391304347826</v>
      </c>
    </row>
    <row r="84" spans="1:8">
      <c r="A84" s="56">
        <v>0.3</v>
      </c>
      <c r="B84" s="56">
        <f t="shared" si="15"/>
        <v>0.7</v>
      </c>
      <c r="C84" s="57">
        <f t="shared" si="14"/>
        <v>1.6694</v>
      </c>
      <c r="D84" s="57">
        <f t="shared" si="14"/>
        <v>1.2330000000000001</v>
      </c>
      <c r="E84" s="57">
        <f t="shared" si="14"/>
        <v>1.4221999999999999</v>
      </c>
      <c r="F84" s="57">
        <f t="shared" si="16"/>
        <v>0.2868857142857143</v>
      </c>
      <c r="G84" s="57">
        <f t="shared" si="17"/>
        <v>9.9857142857142908E-2</v>
      </c>
      <c r="H84" s="57">
        <f t="shared" si="18"/>
        <v>0.1809428571428571</v>
      </c>
    </row>
    <row r="85" spans="1:8">
      <c r="A85" s="56">
        <v>0.28999999999999998</v>
      </c>
      <c r="B85" s="56">
        <f t="shared" si="15"/>
        <v>0.71</v>
      </c>
      <c r="C85" s="57">
        <f t="shared" si="14"/>
        <v>1.6931200000000002</v>
      </c>
      <c r="D85" s="57">
        <f t="shared" si="14"/>
        <v>1.2416</v>
      </c>
      <c r="E85" s="57">
        <f t="shared" si="14"/>
        <v>1.4385600000000001</v>
      </c>
      <c r="F85" s="57">
        <f t="shared" si="16"/>
        <v>0.28310535211267612</v>
      </c>
      <c r="G85" s="57">
        <f t="shared" si="17"/>
        <v>9.8681690140845074E-2</v>
      </c>
      <c r="H85" s="57">
        <f t="shared" si="18"/>
        <v>0.17913014084507042</v>
      </c>
    </row>
    <row r="86" spans="1:8">
      <c r="A86" s="56">
        <v>0.28000000000000003</v>
      </c>
      <c r="B86" s="56">
        <f t="shared" si="15"/>
        <v>0.72</v>
      </c>
      <c r="C86" s="57">
        <f t="shared" si="14"/>
        <v>1.7168399999999999</v>
      </c>
      <c r="D86" s="57">
        <f t="shared" si="14"/>
        <v>1.2502</v>
      </c>
      <c r="E86" s="57">
        <f t="shared" si="14"/>
        <v>1.45492</v>
      </c>
      <c r="F86" s="57">
        <f t="shared" si="16"/>
        <v>0.27877111111111114</v>
      </c>
      <c r="G86" s="57">
        <f t="shared" si="17"/>
        <v>9.7300000000000011E-2</v>
      </c>
      <c r="H86" s="57">
        <f t="shared" si="18"/>
        <v>0.17691333333333334</v>
      </c>
    </row>
    <row r="87" spans="1:8">
      <c r="A87" s="56">
        <v>0.27</v>
      </c>
      <c r="B87" s="56">
        <f t="shared" si="15"/>
        <v>0.73</v>
      </c>
      <c r="C87" s="57">
        <f t="shared" si="14"/>
        <v>1.7405599999999999</v>
      </c>
      <c r="D87" s="57">
        <f t="shared" si="14"/>
        <v>1.2587999999999999</v>
      </c>
      <c r="E87" s="57">
        <f t="shared" si="14"/>
        <v>1.4712799999999999</v>
      </c>
      <c r="F87" s="57">
        <f t="shared" si="16"/>
        <v>0.27390575342465756</v>
      </c>
      <c r="G87" s="57">
        <f t="shared" si="17"/>
        <v>9.5720547945205459E-2</v>
      </c>
      <c r="H87" s="57">
        <f t="shared" si="18"/>
        <v>0.1743090410958904</v>
      </c>
    </row>
    <row r="88" spans="1:8">
      <c r="A88" s="56">
        <v>0.26</v>
      </c>
      <c r="B88" s="56">
        <f t="shared" si="15"/>
        <v>0.74</v>
      </c>
      <c r="C88" s="57">
        <f t="shared" si="14"/>
        <v>1.7642800000000001</v>
      </c>
      <c r="D88" s="57">
        <f t="shared" si="14"/>
        <v>1.2674000000000001</v>
      </c>
      <c r="E88" s="57">
        <f t="shared" si="14"/>
        <v>1.4876400000000001</v>
      </c>
      <c r="F88" s="57">
        <f t="shared" si="16"/>
        <v>0.26853081081081087</v>
      </c>
      <c r="G88" s="57">
        <f t="shared" si="17"/>
        <v>9.3951351351351395E-2</v>
      </c>
      <c r="H88" s="57">
        <f t="shared" si="18"/>
        <v>0.17133297297297301</v>
      </c>
    </row>
    <row r="89" spans="1:8">
      <c r="A89" s="56">
        <v>0.25</v>
      </c>
      <c r="B89" s="56">
        <f t="shared" si="15"/>
        <v>0.75</v>
      </c>
      <c r="C89" s="57">
        <v>1.788</v>
      </c>
      <c r="D89" s="51">
        <v>1.276</v>
      </c>
      <c r="E89" s="51">
        <v>1.504</v>
      </c>
      <c r="F89" s="57">
        <f t="shared" si="16"/>
        <v>0.26266666666666666</v>
      </c>
      <c r="G89" s="57">
        <f t="shared" si="17"/>
        <v>9.2000000000000012E-2</v>
      </c>
      <c r="H89" s="57">
        <f t="shared" si="18"/>
        <v>0.16800000000000001</v>
      </c>
    </row>
    <row r="90" spans="1:8">
      <c r="A90" s="56"/>
      <c r="B90" s="56"/>
      <c r="C90" s="57"/>
      <c r="F90" s="57"/>
      <c r="G90" s="57"/>
      <c r="H90" s="57"/>
    </row>
    <row r="91" spans="1:8">
      <c r="A91" s="56"/>
      <c r="B91" s="56"/>
      <c r="C91" s="57"/>
      <c r="F91" s="57"/>
      <c r="G91" s="57"/>
      <c r="H91" s="57"/>
    </row>
    <row r="92" spans="1:8">
      <c r="A92" s="56"/>
      <c r="B92" s="56"/>
      <c r="C92" s="57"/>
      <c r="F92" s="57"/>
      <c r="G92" s="57"/>
      <c r="H92" s="57"/>
    </row>
    <row r="93" spans="1:8">
      <c r="A93" s="56"/>
      <c r="B93" s="56"/>
      <c r="C93" s="57"/>
      <c r="F93" s="57"/>
      <c r="G93" s="57"/>
      <c r="H93" s="57"/>
    </row>
    <row r="94" spans="1:8">
      <c r="A94" s="56"/>
      <c r="B94" s="56"/>
      <c r="C94" s="57"/>
      <c r="F94" s="57"/>
      <c r="G94" s="57"/>
      <c r="H94" s="57"/>
    </row>
    <row r="95" spans="1:8">
      <c r="A95" s="56"/>
      <c r="B95" s="56"/>
      <c r="C95" s="57"/>
      <c r="F95" s="57"/>
      <c r="G95" s="57"/>
      <c r="H95" s="57"/>
    </row>
    <row r="96" spans="1:8">
      <c r="A96" s="56"/>
      <c r="B96" s="56"/>
      <c r="C96" s="57"/>
      <c r="F96" s="57"/>
      <c r="G96" s="57"/>
      <c r="H96" s="57"/>
    </row>
    <row r="97" spans="1:8">
      <c r="A97" s="56"/>
      <c r="B97" s="56"/>
      <c r="C97" s="57"/>
      <c r="F97" s="57"/>
      <c r="G97" s="57"/>
      <c r="H97" s="57"/>
    </row>
    <row r="98" spans="1:8">
      <c r="A98" s="56"/>
      <c r="B98" s="56"/>
      <c r="C98" s="57"/>
      <c r="F98" s="57"/>
      <c r="G98" s="57"/>
      <c r="H98" s="57"/>
    </row>
    <row r="99" spans="1:8">
      <c r="A99" s="56"/>
      <c r="B99" s="56"/>
      <c r="C99" s="57"/>
      <c r="F99" s="57"/>
      <c r="G99" s="57"/>
      <c r="H99" s="57"/>
    </row>
    <row r="100" spans="1:8">
      <c r="A100" s="56"/>
      <c r="B100" s="56"/>
      <c r="C100" s="57"/>
      <c r="F100" s="57"/>
      <c r="G100" s="57"/>
      <c r="H100" s="57"/>
    </row>
    <row r="101" spans="1:8">
      <c r="A101" s="56"/>
      <c r="B101" s="56"/>
      <c r="C101" s="57"/>
      <c r="F101" s="57"/>
      <c r="G101" s="57"/>
      <c r="H101" s="57"/>
    </row>
    <row r="102" spans="1:8">
      <c r="A102" s="56"/>
      <c r="B102" s="56"/>
      <c r="C102" s="57"/>
      <c r="F102" s="57"/>
      <c r="G102" s="57"/>
      <c r="H102" s="57"/>
    </row>
    <row r="103" spans="1:8">
      <c r="A103" s="56"/>
      <c r="B103" s="56"/>
      <c r="C103" s="57"/>
      <c r="F103" s="57"/>
      <c r="G103" s="57"/>
      <c r="H103" s="57"/>
    </row>
    <row r="104" spans="1:8">
      <c r="A104" s="56"/>
      <c r="B104" s="56"/>
      <c r="C104" s="57"/>
      <c r="F104" s="57"/>
      <c r="G104" s="57"/>
      <c r="H104" s="57"/>
    </row>
    <row r="105" spans="1:8">
      <c r="A105" s="56"/>
      <c r="B105" s="56"/>
      <c r="C105" s="57"/>
      <c r="F105" s="57"/>
      <c r="G105" s="57"/>
      <c r="H105" s="57"/>
    </row>
    <row r="106" spans="1:8">
      <c r="A106" s="56"/>
      <c r="B106" s="56"/>
      <c r="C106" s="57"/>
      <c r="F106" s="57"/>
      <c r="G106" s="57"/>
      <c r="H106" s="57"/>
    </row>
    <row r="107" spans="1:8">
      <c r="A107" s="56"/>
      <c r="B107" s="56"/>
      <c r="C107" s="57"/>
      <c r="F107" s="57"/>
      <c r="G107" s="57"/>
      <c r="H107" s="57"/>
    </row>
    <row r="108" spans="1:8">
      <c r="A108" s="56"/>
      <c r="B108" s="56"/>
      <c r="C108" s="57"/>
      <c r="F108" s="57"/>
      <c r="G108" s="57"/>
      <c r="H108" s="57"/>
    </row>
    <row r="109" spans="1:8">
      <c r="A109" s="56"/>
      <c r="B109" s="56"/>
      <c r="C109" s="57"/>
      <c r="F109" s="57"/>
      <c r="G109" s="57"/>
      <c r="H109" s="57"/>
    </row>
    <row r="110" spans="1:8">
      <c r="A110" s="56"/>
      <c r="B110" s="56"/>
      <c r="C110" s="57"/>
      <c r="F110" s="57"/>
      <c r="G110" s="57"/>
      <c r="H110" s="57"/>
    </row>
    <row r="111" spans="1:8">
      <c r="A111" s="56"/>
      <c r="B111" s="56"/>
      <c r="C111" s="57"/>
      <c r="F111" s="57"/>
      <c r="G111" s="57"/>
      <c r="H111" s="57"/>
    </row>
    <row r="112" spans="1:8">
      <c r="A112" s="56"/>
      <c r="B112" s="56"/>
      <c r="C112" s="57"/>
      <c r="F112" s="57"/>
      <c r="G112" s="57"/>
      <c r="H112" s="57"/>
    </row>
    <row r="113" spans="1:8">
      <c r="A113" s="56"/>
      <c r="B113" s="56"/>
      <c r="C113" s="57"/>
      <c r="F113" s="57"/>
      <c r="G113" s="57"/>
      <c r="H113" s="57"/>
    </row>
    <row r="114" spans="1:8">
      <c r="A114" s="56"/>
      <c r="B114" s="56"/>
      <c r="C114" s="57"/>
      <c r="F114" s="57"/>
      <c r="G114" s="57"/>
      <c r="H114" s="57"/>
    </row>
  </sheetData>
  <phoneticPr fontId="11"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K100"/>
  <sheetViews>
    <sheetView workbookViewId="0">
      <selection activeCell="B71" sqref="B71"/>
    </sheetView>
  </sheetViews>
  <sheetFormatPr baseColWidth="10" defaultRowHeight="13"/>
  <cols>
    <col min="1" max="1" width="14.28515625" style="38" customWidth="1"/>
    <col min="2" max="7" width="10.7109375" style="38"/>
    <col min="8" max="8" width="12.42578125" style="38" customWidth="1"/>
    <col min="9" max="16" width="10.7109375" style="38"/>
    <col min="17" max="17" width="33.85546875" style="38" customWidth="1"/>
    <col min="18" max="16384" width="10.7109375" style="38"/>
  </cols>
  <sheetData>
    <row r="1" spans="1:11">
      <c r="A1" s="36" t="s">
        <v>106</v>
      </c>
      <c r="B1" s="36" t="s">
        <v>107</v>
      </c>
      <c r="C1" s="36"/>
      <c r="D1" s="36"/>
      <c r="E1" s="36"/>
      <c r="F1" s="36" t="s">
        <v>108</v>
      </c>
      <c r="G1" s="36" t="s">
        <v>109</v>
      </c>
      <c r="H1" s="37"/>
      <c r="I1" s="37" t="s">
        <v>47</v>
      </c>
    </row>
    <row r="2" spans="1:11">
      <c r="B2" s="39">
        <v>0.25</v>
      </c>
      <c r="C2" s="39">
        <v>0.5</v>
      </c>
      <c r="D2" s="39">
        <v>0.75</v>
      </c>
      <c r="E2" s="39">
        <v>1</v>
      </c>
      <c r="F2" s="39"/>
    </row>
    <row r="3" spans="1:11">
      <c r="A3" s="38" t="s">
        <v>48</v>
      </c>
      <c r="B3" s="38">
        <v>1.788</v>
      </c>
      <c r="C3" s="38">
        <v>1.1950000000000001</v>
      </c>
      <c r="D3" s="38">
        <v>1.1020000000000001</v>
      </c>
      <c r="E3" s="38">
        <v>1</v>
      </c>
      <c r="F3" s="40">
        <v>3.7999999999999999E-2</v>
      </c>
      <c r="G3" s="41">
        <f t="shared" ref="G3:G4" si="0">IF(10*F3&gt;1, 1, 10*F3)</f>
        <v>0.38</v>
      </c>
      <c r="H3" s="42"/>
      <c r="I3" s="43"/>
    </row>
    <row r="4" spans="1:11">
      <c r="A4" s="40" t="s">
        <v>49</v>
      </c>
      <c r="B4" s="38">
        <v>1.276</v>
      </c>
      <c r="C4" s="38">
        <v>1.0609999999999999</v>
      </c>
      <c r="D4" s="38">
        <v>1.01</v>
      </c>
      <c r="E4" s="38">
        <v>1</v>
      </c>
      <c r="F4" s="40">
        <v>3.1E-2</v>
      </c>
      <c r="G4" s="41">
        <f t="shared" si="0"/>
        <v>0.31</v>
      </c>
      <c r="H4" s="42"/>
    </row>
    <row r="5" spans="1:11">
      <c r="A5" s="40" t="s">
        <v>50</v>
      </c>
      <c r="B5" s="38">
        <v>1.504</v>
      </c>
      <c r="C5" s="38">
        <v>1.095</v>
      </c>
      <c r="D5" s="38">
        <v>1.0289999999999999</v>
      </c>
      <c r="E5" s="38">
        <v>1</v>
      </c>
      <c r="F5" s="40">
        <v>0.13500000000000001</v>
      </c>
      <c r="G5" s="41">
        <f>IF(10*F5&gt;1, 1, 10*F5)</f>
        <v>1</v>
      </c>
      <c r="H5" s="42"/>
      <c r="I5" s="38" t="s">
        <v>154</v>
      </c>
    </row>
    <row r="8" spans="1:11">
      <c r="A8" s="37" t="s">
        <v>155</v>
      </c>
    </row>
    <row r="9" spans="1:11">
      <c r="A9" s="40" t="s">
        <v>156</v>
      </c>
      <c r="B9" s="29" t="s">
        <v>39</v>
      </c>
    </row>
    <row r="10" spans="1:11">
      <c r="A10" s="38" t="s">
        <v>51</v>
      </c>
      <c r="B10" s="38" t="s">
        <v>52</v>
      </c>
    </row>
    <row r="12" spans="1:11">
      <c r="B12" s="38" t="s">
        <v>53</v>
      </c>
      <c r="E12" s="38" t="s">
        <v>54</v>
      </c>
      <c r="I12" s="60" t="s">
        <v>55</v>
      </c>
      <c r="J12" s="60"/>
      <c r="K12" s="60"/>
    </row>
    <row r="13" spans="1:11">
      <c r="A13" s="40" t="s">
        <v>92</v>
      </c>
      <c r="B13" s="38" t="s">
        <v>48</v>
      </c>
      <c r="C13" s="38" t="s">
        <v>93</v>
      </c>
      <c r="D13" s="38" t="s">
        <v>94</v>
      </c>
      <c r="E13" s="40" t="s">
        <v>48</v>
      </c>
      <c r="F13" s="40" t="s">
        <v>93</v>
      </c>
      <c r="G13" s="40" t="s">
        <v>94</v>
      </c>
      <c r="I13" s="60" t="s">
        <v>48</v>
      </c>
      <c r="J13" s="60" t="s">
        <v>93</v>
      </c>
      <c r="K13" s="60" t="s">
        <v>94</v>
      </c>
    </row>
    <row r="14" spans="1:11">
      <c r="A14" s="44">
        <v>1</v>
      </c>
      <c r="B14" s="38">
        <v>1</v>
      </c>
      <c r="C14" s="38">
        <v>1</v>
      </c>
      <c r="D14" s="38">
        <v>1</v>
      </c>
      <c r="E14" s="45" t="e">
        <f>($A14*(B14-1))/((1-$A14)*1)</f>
        <v>#DIV/0!</v>
      </c>
      <c r="F14" s="45" t="e">
        <f t="shared" ref="F14:G77" si="1">($A14*(C14-1))/((1-$A14)*1)</f>
        <v>#DIV/0!</v>
      </c>
      <c r="G14" s="45" t="e">
        <f t="shared" si="1"/>
        <v>#DIV/0!</v>
      </c>
      <c r="I14" s="60">
        <f>SUM(E15:E74)/COUNT(E15:E74)</f>
        <v>0.29291239497819632</v>
      </c>
      <c r="J14" s="60">
        <f>SUM(F15:F74)/COUNT(F15:F74)</f>
        <v>5.176908980125651E-2</v>
      </c>
      <c r="K14" s="60">
        <f>SUM(G15:G74)/COUNT(G15:G74)</f>
        <v>0.10766834351126428</v>
      </c>
    </row>
    <row r="15" spans="1:11">
      <c r="A15" s="44">
        <v>0.99</v>
      </c>
      <c r="B15" s="45">
        <f t="shared" ref="B15:D38" si="2">B$14+(B$39-B$14)/((A$14-A$39)*100)*((A$14-A15)*100)</f>
        <v>1.0040800000000001</v>
      </c>
      <c r="C15" s="45">
        <f t="shared" si="2"/>
        <v>1.0004</v>
      </c>
      <c r="D15" s="45">
        <f t="shared" si="2"/>
        <v>1.0011599999999998</v>
      </c>
      <c r="E15" s="45">
        <f t="shared" ref="E15:G78" si="3">($A15*(B15-1))/((1-$A15)*1)</f>
        <v>0.40392000000000794</v>
      </c>
      <c r="F15" s="45">
        <f t="shared" si="1"/>
        <v>3.9599999999995604E-2</v>
      </c>
      <c r="G15" s="45">
        <f t="shared" si="1"/>
        <v>0.11483999999998284</v>
      </c>
    </row>
    <row r="16" spans="1:11">
      <c r="A16" s="44">
        <v>0.98</v>
      </c>
      <c r="B16" s="45">
        <f t="shared" si="2"/>
        <v>1.0081599999999999</v>
      </c>
      <c r="C16" s="45">
        <f t="shared" si="2"/>
        <v>1.0007999999999999</v>
      </c>
      <c r="D16" s="45">
        <f t="shared" si="2"/>
        <v>1.0023199999999997</v>
      </c>
      <c r="E16" s="45">
        <f t="shared" si="3"/>
        <v>0.39983999999999698</v>
      </c>
      <c r="F16" s="45">
        <f t="shared" si="1"/>
        <v>3.9199999999995648E-2</v>
      </c>
      <c r="G16" s="45">
        <f t="shared" si="1"/>
        <v>0.11367999999998302</v>
      </c>
    </row>
    <row r="17" spans="1:7">
      <c r="A17" s="44">
        <v>0.97</v>
      </c>
      <c r="B17" s="45">
        <f t="shared" si="2"/>
        <v>1.01224</v>
      </c>
      <c r="C17" s="45">
        <f t="shared" si="2"/>
        <v>1.0012000000000001</v>
      </c>
      <c r="D17" s="45">
        <f t="shared" si="2"/>
        <v>1.0034800000000001</v>
      </c>
      <c r="E17" s="45">
        <f t="shared" si="3"/>
        <v>0.39576000000000056</v>
      </c>
      <c r="F17" s="45">
        <f t="shared" si="1"/>
        <v>3.8800000000002867E-2</v>
      </c>
      <c r="G17" s="45">
        <f t="shared" si="1"/>
        <v>0.11252000000000474</v>
      </c>
    </row>
    <row r="18" spans="1:7">
      <c r="A18" s="44">
        <v>0.96</v>
      </c>
      <c r="B18" s="45">
        <f t="shared" si="2"/>
        <v>1.0163200000000001</v>
      </c>
      <c r="C18" s="45">
        <f t="shared" si="2"/>
        <v>1.0016</v>
      </c>
      <c r="D18" s="45">
        <f t="shared" si="2"/>
        <v>1.0046400000000002</v>
      </c>
      <c r="E18" s="45">
        <f t="shared" si="3"/>
        <v>0.3916800000000023</v>
      </c>
      <c r="F18" s="45">
        <f t="shared" si="1"/>
        <v>3.8400000000001065E-2</v>
      </c>
      <c r="G18" s="45">
        <f t="shared" si="1"/>
        <v>0.11136000000000469</v>
      </c>
    </row>
    <row r="19" spans="1:7">
      <c r="A19" s="44">
        <v>0.95</v>
      </c>
      <c r="B19" s="45">
        <f t="shared" si="2"/>
        <v>1.0204</v>
      </c>
      <c r="C19" s="45">
        <f t="shared" si="2"/>
        <v>1.002</v>
      </c>
      <c r="D19" s="45">
        <f t="shared" si="2"/>
        <v>1.0058</v>
      </c>
      <c r="E19" s="45">
        <f t="shared" si="3"/>
        <v>0.38759999999999911</v>
      </c>
      <c r="F19" s="45">
        <f t="shared" si="1"/>
        <v>3.7999999999999999E-2</v>
      </c>
      <c r="G19" s="45">
        <f t="shared" si="1"/>
        <v>0.11020000000000042</v>
      </c>
    </row>
    <row r="20" spans="1:7">
      <c r="A20" s="44">
        <v>0.94</v>
      </c>
      <c r="B20" s="45">
        <f t="shared" si="2"/>
        <v>1.0244800000000001</v>
      </c>
      <c r="C20" s="45">
        <f t="shared" si="2"/>
        <v>1.0024</v>
      </c>
      <c r="D20" s="45">
        <f t="shared" si="2"/>
        <v>1.0069599999999999</v>
      </c>
      <c r="E20" s="45">
        <f t="shared" si="3"/>
        <v>0.38352000000000053</v>
      </c>
      <c r="F20" s="45">
        <f t="shared" si="1"/>
        <v>3.7599999999999308E-2</v>
      </c>
      <c r="G20" s="45">
        <f t="shared" si="1"/>
        <v>0.10903999999999762</v>
      </c>
    </row>
    <row r="21" spans="1:7">
      <c r="A21" s="44">
        <v>0.93</v>
      </c>
      <c r="B21" s="45">
        <f t="shared" si="2"/>
        <v>1.0285599999999999</v>
      </c>
      <c r="C21" s="45">
        <f t="shared" si="2"/>
        <v>1.0027999999999999</v>
      </c>
      <c r="D21" s="45">
        <f t="shared" si="2"/>
        <v>1.0081199999999997</v>
      </c>
      <c r="E21" s="45">
        <f t="shared" si="3"/>
        <v>0.37943999999999922</v>
      </c>
      <c r="F21" s="45">
        <f t="shared" si="1"/>
        <v>3.719999999999888E-2</v>
      </c>
      <c r="G21" s="45">
        <f t="shared" si="1"/>
        <v>0.10787999999999587</v>
      </c>
    </row>
    <row r="22" spans="1:7">
      <c r="A22" s="44">
        <v>0.92</v>
      </c>
      <c r="B22" s="45">
        <f t="shared" si="2"/>
        <v>1.03264</v>
      </c>
      <c r="C22" s="45">
        <f t="shared" si="2"/>
        <v>1.0032000000000001</v>
      </c>
      <c r="D22" s="45">
        <f t="shared" si="2"/>
        <v>1.0092800000000002</v>
      </c>
      <c r="E22" s="45">
        <f t="shared" si="3"/>
        <v>0.37536000000000025</v>
      </c>
      <c r="F22" s="45">
        <f t="shared" si="1"/>
        <v>3.6800000000001075E-2</v>
      </c>
      <c r="G22" s="45">
        <f t="shared" si="1"/>
        <v>0.10672000000000208</v>
      </c>
    </row>
    <row r="23" spans="1:7">
      <c r="A23" s="44">
        <v>0.91</v>
      </c>
      <c r="B23" s="45">
        <f t="shared" si="2"/>
        <v>1.0367200000000001</v>
      </c>
      <c r="C23" s="45">
        <f t="shared" si="2"/>
        <v>1.0036</v>
      </c>
      <c r="D23" s="45">
        <f t="shared" si="2"/>
        <v>1.01044</v>
      </c>
      <c r="E23" s="45">
        <f t="shared" si="3"/>
        <v>0.37128000000000105</v>
      </c>
      <c r="F23" s="45">
        <f t="shared" si="1"/>
        <v>3.6400000000000494E-2</v>
      </c>
      <c r="G23" s="45">
        <f t="shared" si="1"/>
        <v>0.10556000000000008</v>
      </c>
    </row>
    <row r="24" spans="1:7">
      <c r="A24" s="44">
        <v>0.9</v>
      </c>
      <c r="B24" s="45">
        <f t="shared" si="2"/>
        <v>1.0407999999999999</v>
      </c>
      <c r="C24" s="45">
        <f t="shared" si="2"/>
        <v>1.004</v>
      </c>
      <c r="D24" s="45">
        <f t="shared" si="2"/>
        <v>1.0116000000000001</v>
      </c>
      <c r="E24" s="45">
        <f t="shared" si="3"/>
        <v>0.36719999999999964</v>
      </c>
      <c r="F24" s="45">
        <f t="shared" si="1"/>
        <v>3.6000000000000039E-2</v>
      </c>
      <c r="G24" s="45">
        <f t="shared" si="1"/>
        <v>0.10440000000000052</v>
      </c>
    </row>
    <row r="25" spans="1:7">
      <c r="A25" s="44">
        <v>0.89</v>
      </c>
      <c r="B25" s="45">
        <f t="shared" si="2"/>
        <v>1.04488</v>
      </c>
      <c r="C25" s="45">
        <f t="shared" si="2"/>
        <v>1.0044</v>
      </c>
      <c r="D25" s="45">
        <f t="shared" si="2"/>
        <v>1.0127599999999999</v>
      </c>
      <c r="E25" s="45">
        <f t="shared" si="3"/>
        <v>0.36312000000000028</v>
      </c>
      <c r="F25" s="45">
        <f t="shared" si="1"/>
        <v>3.5599999999999674E-2</v>
      </c>
      <c r="G25" s="45">
        <f t="shared" si="1"/>
        <v>0.10323999999999905</v>
      </c>
    </row>
    <row r="26" spans="1:7">
      <c r="A26" s="44">
        <v>0.88</v>
      </c>
      <c r="B26" s="45">
        <f t="shared" si="2"/>
        <v>1.0489600000000001</v>
      </c>
      <c r="C26" s="45">
        <f t="shared" si="2"/>
        <v>1.0047999999999999</v>
      </c>
      <c r="D26" s="45">
        <f t="shared" si="2"/>
        <v>1.0139199999999997</v>
      </c>
      <c r="E26" s="45">
        <f t="shared" si="3"/>
        <v>0.35904000000000086</v>
      </c>
      <c r="F26" s="45">
        <f t="shared" si="1"/>
        <v>3.5199999999999385E-2</v>
      </c>
      <c r="G26" s="45">
        <f t="shared" si="1"/>
        <v>0.10207999999999787</v>
      </c>
    </row>
    <row r="27" spans="1:7">
      <c r="A27" s="44">
        <v>0.87</v>
      </c>
      <c r="B27" s="45">
        <f t="shared" si="2"/>
        <v>1.05304</v>
      </c>
      <c r="C27" s="45">
        <f t="shared" si="2"/>
        <v>1.0052000000000001</v>
      </c>
      <c r="D27" s="45">
        <f t="shared" si="2"/>
        <v>1.0150800000000002</v>
      </c>
      <c r="E27" s="45">
        <f t="shared" si="3"/>
        <v>0.35495999999999983</v>
      </c>
      <c r="F27" s="45">
        <f t="shared" si="1"/>
        <v>3.4800000000000622E-2</v>
      </c>
      <c r="G27" s="45">
        <f t="shared" si="1"/>
        <v>0.10092000000000136</v>
      </c>
    </row>
    <row r="28" spans="1:7">
      <c r="A28" s="44">
        <v>0.86</v>
      </c>
      <c r="B28" s="45">
        <f t="shared" si="2"/>
        <v>1.0571200000000001</v>
      </c>
      <c r="C28" s="45">
        <f t="shared" si="2"/>
        <v>1.0056</v>
      </c>
      <c r="D28" s="45">
        <f t="shared" si="2"/>
        <v>1.01624</v>
      </c>
      <c r="E28" s="45">
        <f t="shared" si="3"/>
        <v>0.3508800000000003</v>
      </c>
      <c r="F28" s="45">
        <f t="shared" si="1"/>
        <v>3.4400000000000298E-2</v>
      </c>
      <c r="G28" s="45">
        <f t="shared" si="1"/>
        <v>9.9760000000000196E-2</v>
      </c>
    </row>
    <row r="29" spans="1:7">
      <c r="A29" s="44">
        <v>0.85</v>
      </c>
      <c r="B29" s="45">
        <f t="shared" si="2"/>
        <v>1.0612000000000001</v>
      </c>
      <c r="C29" s="45">
        <f t="shared" si="2"/>
        <v>1.006</v>
      </c>
      <c r="D29" s="45">
        <f t="shared" si="2"/>
        <v>1.0173999999999999</v>
      </c>
      <c r="E29" s="45">
        <f t="shared" si="3"/>
        <v>0.34680000000000077</v>
      </c>
      <c r="F29" s="45">
        <f t="shared" si="1"/>
        <v>3.4000000000000023E-2</v>
      </c>
      <c r="G29" s="45">
        <f t="shared" si="1"/>
        <v>9.8599999999999188E-2</v>
      </c>
    </row>
    <row r="30" spans="1:7">
      <c r="A30" s="44">
        <v>0.84</v>
      </c>
      <c r="B30" s="45">
        <f t="shared" si="2"/>
        <v>1.06528</v>
      </c>
      <c r="C30" s="45">
        <f t="shared" si="2"/>
        <v>1.0064</v>
      </c>
      <c r="D30" s="45">
        <f t="shared" si="2"/>
        <v>1.0185599999999999</v>
      </c>
      <c r="E30" s="45">
        <f t="shared" si="3"/>
        <v>0.34271999999999991</v>
      </c>
      <c r="F30" s="45">
        <f t="shared" si="1"/>
        <v>3.359999999999979E-2</v>
      </c>
      <c r="G30" s="45">
        <f t="shared" si="1"/>
        <v>9.7439999999999513E-2</v>
      </c>
    </row>
    <row r="31" spans="1:7">
      <c r="A31" s="44">
        <v>0.83</v>
      </c>
      <c r="B31" s="45">
        <f t="shared" si="2"/>
        <v>1.0693600000000001</v>
      </c>
      <c r="C31" s="45">
        <f t="shared" si="2"/>
        <v>1.0067999999999999</v>
      </c>
      <c r="D31" s="45">
        <f t="shared" si="2"/>
        <v>1.0197199999999997</v>
      </c>
      <c r="E31" s="45">
        <f t="shared" si="3"/>
        <v>0.33864000000000033</v>
      </c>
      <c r="F31" s="45">
        <f t="shared" si="1"/>
        <v>3.3199999999999584E-2</v>
      </c>
      <c r="G31" s="45">
        <f t="shared" si="1"/>
        <v>9.6279999999998686E-2</v>
      </c>
    </row>
    <row r="32" spans="1:7">
      <c r="A32" s="44">
        <v>0.82</v>
      </c>
      <c r="B32" s="45">
        <f t="shared" si="2"/>
        <v>1.0734400000000002</v>
      </c>
      <c r="C32" s="45">
        <f t="shared" si="2"/>
        <v>1.0072000000000001</v>
      </c>
      <c r="D32" s="45">
        <f t="shared" si="2"/>
        <v>1.0208800000000002</v>
      </c>
      <c r="E32" s="45">
        <f t="shared" si="3"/>
        <v>0.33456000000000069</v>
      </c>
      <c r="F32" s="45">
        <f t="shared" si="1"/>
        <v>3.2800000000000419E-2</v>
      </c>
      <c r="G32" s="45">
        <f t="shared" si="1"/>
        <v>9.5120000000001023E-2</v>
      </c>
    </row>
    <row r="33" spans="1:7">
      <c r="A33" s="44">
        <v>0.81</v>
      </c>
      <c r="B33" s="45">
        <f t="shared" si="2"/>
        <v>1.07752</v>
      </c>
      <c r="C33" s="45">
        <f t="shared" si="2"/>
        <v>1.0076000000000001</v>
      </c>
      <c r="D33" s="45">
        <f t="shared" si="2"/>
        <v>1.0220400000000001</v>
      </c>
      <c r="E33" s="45">
        <f t="shared" si="3"/>
        <v>0.33048000000000027</v>
      </c>
      <c r="F33" s="45">
        <f t="shared" si="1"/>
        <v>3.2400000000000227E-2</v>
      </c>
      <c r="G33" s="45">
        <f t="shared" si="1"/>
        <v>9.3960000000000293E-2</v>
      </c>
    </row>
    <row r="34" spans="1:7">
      <c r="A34" s="44">
        <v>0.8</v>
      </c>
      <c r="B34" s="45">
        <f t="shared" si="2"/>
        <v>1.0816000000000001</v>
      </c>
      <c r="C34" s="45">
        <f t="shared" si="2"/>
        <v>1.008</v>
      </c>
      <c r="D34" s="45">
        <f t="shared" si="2"/>
        <v>1.0231999999999999</v>
      </c>
      <c r="E34" s="45">
        <f t="shared" si="3"/>
        <v>0.32640000000000058</v>
      </c>
      <c r="F34" s="45">
        <f t="shared" si="1"/>
        <v>3.2000000000000042E-2</v>
      </c>
      <c r="G34" s="45">
        <f t="shared" si="1"/>
        <v>9.2799999999999563E-2</v>
      </c>
    </row>
    <row r="35" spans="1:7">
      <c r="A35" s="44">
        <v>0.79</v>
      </c>
      <c r="B35" s="45">
        <f t="shared" si="2"/>
        <v>1.08568</v>
      </c>
      <c r="C35" s="45">
        <f t="shared" si="2"/>
        <v>1.0084</v>
      </c>
      <c r="D35" s="45">
        <f t="shared" si="2"/>
        <v>1.0243599999999997</v>
      </c>
      <c r="E35" s="45">
        <f t="shared" si="3"/>
        <v>0.32232</v>
      </c>
      <c r="F35" s="45">
        <f t="shared" si="1"/>
        <v>3.1599999999999864E-2</v>
      </c>
      <c r="G35" s="45">
        <f t="shared" si="1"/>
        <v>9.1639999999998945E-2</v>
      </c>
    </row>
    <row r="36" spans="1:7">
      <c r="A36" s="44">
        <v>0.78</v>
      </c>
      <c r="B36" s="45">
        <f t="shared" si="2"/>
        <v>1.0897600000000001</v>
      </c>
      <c r="C36" s="45">
        <f t="shared" si="2"/>
        <v>1.0087999999999999</v>
      </c>
      <c r="D36" s="45">
        <f t="shared" si="2"/>
        <v>1.0255199999999998</v>
      </c>
      <c r="E36" s="45">
        <f t="shared" si="3"/>
        <v>0.3182400000000003</v>
      </c>
      <c r="F36" s="45">
        <f t="shared" si="1"/>
        <v>3.1199999999999718E-2</v>
      </c>
      <c r="G36" s="45">
        <f t="shared" si="1"/>
        <v>9.0479999999999186E-2</v>
      </c>
    </row>
    <row r="37" spans="1:7">
      <c r="A37" s="44">
        <v>0.77</v>
      </c>
      <c r="B37" s="45">
        <f t="shared" si="2"/>
        <v>1.0938400000000001</v>
      </c>
      <c r="C37" s="45">
        <f t="shared" si="2"/>
        <v>1.0092000000000001</v>
      </c>
      <c r="D37" s="45">
        <f t="shared" si="2"/>
        <v>1.0266800000000003</v>
      </c>
      <c r="E37" s="45">
        <f t="shared" si="3"/>
        <v>0.31416000000000049</v>
      </c>
      <c r="F37" s="45">
        <f t="shared" si="1"/>
        <v>3.0800000000000327E-2</v>
      </c>
      <c r="G37" s="45">
        <f t="shared" si="1"/>
        <v>8.9320000000000871E-2</v>
      </c>
    </row>
    <row r="38" spans="1:7">
      <c r="A38" s="44">
        <v>0.76</v>
      </c>
      <c r="B38" s="45">
        <f t="shared" si="2"/>
        <v>1.09792</v>
      </c>
      <c r="C38" s="45">
        <f t="shared" si="2"/>
        <v>1.0096000000000001</v>
      </c>
      <c r="D38" s="45">
        <f t="shared" si="2"/>
        <v>1.0278400000000001</v>
      </c>
      <c r="E38" s="45">
        <f t="shared" si="3"/>
        <v>0.31008000000000002</v>
      </c>
      <c r="F38" s="45">
        <f t="shared" si="1"/>
        <v>3.040000000000017E-2</v>
      </c>
      <c r="G38" s="45">
        <f t="shared" si="1"/>
        <v>8.816000000000028E-2</v>
      </c>
    </row>
    <row r="39" spans="1:7">
      <c r="A39" s="46">
        <v>0.75</v>
      </c>
      <c r="B39" s="40">
        <v>1.1020000000000001</v>
      </c>
      <c r="C39" s="40">
        <v>1.01</v>
      </c>
      <c r="D39" s="40">
        <v>1.0289999999999999</v>
      </c>
      <c r="E39" s="45">
        <f t="shared" si="3"/>
        <v>0.30600000000000027</v>
      </c>
      <c r="F39" s="45">
        <f t="shared" si="1"/>
        <v>3.0000000000000027E-2</v>
      </c>
      <c r="G39" s="45">
        <f t="shared" si="1"/>
        <v>8.6999999999999744E-2</v>
      </c>
    </row>
    <row r="40" spans="1:7">
      <c r="A40" s="44">
        <v>0.74</v>
      </c>
      <c r="B40" s="45">
        <f t="shared" ref="B40:D63" si="4">B$39+((B$64-B$39)/((A$39-A$64)*100))*((A$39-A40)*100)</f>
        <v>1.10572</v>
      </c>
      <c r="C40" s="45">
        <f t="shared" si="4"/>
        <v>1.0120400000000001</v>
      </c>
      <c r="D40" s="45">
        <f t="shared" si="4"/>
        <v>1.0316399999999999</v>
      </c>
      <c r="E40" s="45">
        <f t="shared" si="3"/>
        <v>0.30089538461538468</v>
      </c>
      <c r="F40" s="45">
        <f t="shared" si="1"/>
        <v>3.426769230769245E-2</v>
      </c>
      <c r="G40" s="45">
        <f t="shared" si="1"/>
        <v>9.0052307692307376E-2</v>
      </c>
    </row>
    <row r="41" spans="1:7">
      <c r="A41" s="44">
        <v>0.73</v>
      </c>
      <c r="B41" s="45">
        <f t="shared" si="4"/>
        <v>1.1094400000000002</v>
      </c>
      <c r="C41" s="45">
        <f t="shared" si="4"/>
        <v>1.0140800000000001</v>
      </c>
      <c r="D41" s="45">
        <f t="shared" si="4"/>
        <v>1.0342800000000001</v>
      </c>
      <c r="E41" s="45">
        <f t="shared" si="3"/>
        <v>0.29589333333333384</v>
      </c>
      <c r="F41" s="45">
        <f t="shared" si="1"/>
        <v>3.8068148148148399E-2</v>
      </c>
      <c r="G41" s="45">
        <f t="shared" si="1"/>
        <v>9.2682962962963203E-2</v>
      </c>
    </row>
    <row r="42" spans="1:7">
      <c r="A42" s="44">
        <v>0.72</v>
      </c>
      <c r="B42" s="45">
        <f t="shared" si="4"/>
        <v>1.1131600000000001</v>
      </c>
      <c r="C42" s="45">
        <f t="shared" si="4"/>
        <v>1.0161200000000001</v>
      </c>
      <c r="D42" s="45">
        <f t="shared" si="4"/>
        <v>1.0369200000000001</v>
      </c>
      <c r="E42" s="45">
        <f t="shared" si="3"/>
        <v>0.29098285714285749</v>
      </c>
      <c r="F42" s="45">
        <f t="shared" si="1"/>
        <v>4.145142857142891E-2</v>
      </c>
      <c r="G42" s="45">
        <f t="shared" si="1"/>
        <v>9.4937142857143011E-2</v>
      </c>
    </row>
    <row r="43" spans="1:7">
      <c r="A43" s="44">
        <v>0.71</v>
      </c>
      <c r="B43" s="45">
        <f t="shared" si="4"/>
        <v>1.1168800000000001</v>
      </c>
      <c r="C43" s="45">
        <f t="shared" si="4"/>
        <v>1.01816</v>
      </c>
      <c r="D43" s="45">
        <f t="shared" si="4"/>
        <v>1.0395599999999998</v>
      </c>
      <c r="E43" s="45">
        <f t="shared" si="3"/>
        <v>0.28615448275862088</v>
      </c>
      <c r="F43" s="45">
        <f t="shared" si="1"/>
        <v>4.4460689655172296E-2</v>
      </c>
      <c r="G43" s="45">
        <f t="shared" si="1"/>
        <v>9.6853793103447813E-2</v>
      </c>
    </row>
    <row r="44" spans="1:7">
      <c r="A44" s="44">
        <v>0.7</v>
      </c>
      <c r="B44" s="45">
        <f t="shared" si="4"/>
        <v>1.1206</v>
      </c>
      <c r="C44" s="45">
        <f t="shared" si="4"/>
        <v>1.0202</v>
      </c>
      <c r="D44" s="45">
        <f t="shared" si="4"/>
        <v>1.0422</v>
      </c>
      <c r="E44" s="45">
        <f t="shared" si="3"/>
        <v>0.28140000000000004</v>
      </c>
      <c r="F44" s="45">
        <f t="shared" si="1"/>
        <v>4.7133333333333312E-2</v>
      </c>
      <c r="G44" s="45">
        <f t="shared" si="1"/>
        <v>9.8466666666666675E-2</v>
      </c>
    </row>
    <row r="45" spans="1:7">
      <c r="A45" s="44">
        <v>0.69</v>
      </c>
      <c r="B45" s="45">
        <f t="shared" si="4"/>
        <v>1.1243200000000002</v>
      </c>
      <c r="C45" s="45">
        <f t="shared" si="4"/>
        <v>1.02224</v>
      </c>
      <c r="D45" s="45">
        <f t="shared" si="4"/>
        <v>1.04484</v>
      </c>
      <c r="E45" s="45">
        <f t="shared" si="3"/>
        <v>0.27671225806451655</v>
      </c>
      <c r="F45" s="45">
        <f t="shared" si="1"/>
        <v>4.9501935483871037E-2</v>
      </c>
      <c r="G45" s="45">
        <f t="shared" si="1"/>
        <v>9.9805161290322533E-2</v>
      </c>
    </row>
    <row r="46" spans="1:7">
      <c r="A46" s="44">
        <v>0.68</v>
      </c>
      <c r="B46" s="45">
        <f t="shared" si="4"/>
        <v>1.1280400000000002</v>
      </c>
      <c r="C46" s="45">
        <f t="shared" si="4"/>
        <v>1.0242800000000001</v>
      </c>
      <c r="D46" s="45">
        <f t="shared" si="4"/>
        <v>1.04748</v>
      </c>
      <c r="E46" s="45">
        <f t="shared" si="3"/>
        <v>0.27208500000000035</v>
      </c>
      <c r="F46" s="45">
        <f t="shared" si="1"/>
        <v>5.1595000000000175E-2</v>
      </c>
      <c r="G46" s="45">
        <f t="shared" si="1"/>
        <v>0.10089499999999994</v>
      </c>
    </row>
    <row r="47" spans="1:7">
      <c r="A47" s="44">
        <v>0.67</v>
      </c>
      <c r="B47" s="45">
        <f t="shared" si="4"/>
        <v>1.1317600000000001</v>
      </c>
      <c r="C47" s="45">
        <f t="shared" si="4"/>
        <v>1.0263199999999999</v>
      </c>
      <c r="D47" s="45">
        <f t="shared" si="4"/>
        <v>1.0501199999999997</v>
      </c>
      <c r="E47" s="45">
        <f t="shared" si="3"/>
        <v>0.26751272727272751</v>
      </c>
      <c r="F47" s="45">
        <f t="shared" si="1"/>
        <v>5.3437575757575559E-2</v>
      </c>
      <c r="G47" s="45">
        <f t="shared" si="1"/>
        <v>0.10175878787878734</v>
      </c>
    </row>
    <row r="48" spans="1:7">
      <c r="A48" s="44">
        <v>0.66</v>
      </c>
      <c r="B48" s="45">
        <f t="shared" si="4"/>
        <v>1.13548</v>
      </c>
      <c r="C48" s="45">
        <f t="shared" si="4"/>
        <v>1.0283599999999999</v>
      </c>
      <c r="D48" s="45">
        <f t="shared" si="4"/>
        <v>1.0527599999999999</v>
      </c>
      <c r="E48" s="45">
        <f t="shared" si="3"/>
        <v>0.26299058823529425</v>
      </c>
      <c r="F48" s="45">
        <f t="shared" si="1"/>
        <v>5.5051764705882252E-2</v>
      </c>
      <c r="G48" s="45">
        <f t="shared" si="1"/>
        <v>0.10241647058823514</v>
      </c>
    </row>
    <row r="49" spans="1:11">
      <c r="A49" s="44">
        <v>0.65</v>
      </c>
      <c r="B49" s="45">
        <f t="shared" si="4"/>
        <v>1.1392</v>
      </c>
      <c r="C49" s="45">
        <f t="shared" si="4"/>
        <v>1.0304</v>
      </c>
      <c r="D49" s="45">
        <f t="shared" si="4"/>
        <v>1.0553999999999999</v>
      </c>
      <c r="E49" s="45">
        <f t="shared" si="3"/>
        <v>0.2585142857142857</v>
      </c>
      <c r="F49" s="45">
        <f t="shared" si="1"/>
        <v>5.6457142857142831E-2</v>
      </c>
      <c r="G49" s="45">
        <f t="shared" si="1"/>
        <v>0.10288571428571409</v>
      </c>
    </row>
    <row r="50" spans="1:11">
      <c r="A50" s="44">
        <v>0.64</v>
      </c>
      <c r="B50" s="45">
        <f t="shared" si="4"/>
        <v>1.1429200000000002</v>
      </c>
      <c r="C50" s="45">
        <f t="shared" si="4"/>
        <v>1.03244</v>
      </c>
      <c r="D50" s="45">
        <f t="shared" si="4"/>
        <v>1.0580400000000001</v>
      </c>
      <c r="E50" s="45">
        <f t="shared" si="3"/>
        <v>0.25408000000000031</v>
      </c>
      <c r="F50" s="45">
        <f t="shared" si="1"/>
        <v>5.7671111111111159E-2</v>
      </c>
      <c r="G50" s="45">
        <f t="shared" si="1"/>
        <v>0.10318222222222238</v>
      </c>
    </row>
    <row r="51" spans="1:11">
      <c r="A51" s="44">
        <v>0.63</v>
      </c>
      <c r="B51" s="45">
        <f t="shared" si="4"/>
        <v>1.1466400000000001</v>
      </c>
      <c r="C51" s="45">
        <f t="shared" si="4"/>
        <v>1.0344800000000001</v>
      </c>
      <c r="D51" s="45">
        <f t="shared" si="4"/>
        <v>1.0606800000000001</v>
      </c>
      <c r="E51" s="45">
        <f t="shared" si="3"/>
        <v>0.24968432432432452</v>
      </c>
      <c r="F51" s="45">
        <f t="shared" si="1"/>
        <v>5.8709189189189298E-2</v>
      </c>
      <c r="G51" s="45">
        <f t="shared" si="1"/>
        <v>0.10332000000000012</v>
      </c>
    </row>
    <row r="52" spans="1:11">
      <c r="A52" s="44">
        <v>0.62</v>
      </c>
      <c r="B52" s="45">
        <f t="shared" si="4"/>
        <v>1.15036</v>
      </c>
      <c r="C52" s="45">
        <f t="shared" si="4"/>
        <v>1.0365199999999999</v>
      </c>
      <c r="D52" s="45">
        <f t="shared" si="4"/>
        <v>1.0633199999999998</v>
      </c>
      <c r="E52" s="45">
        <f t="shared" si="3"/>
        <v>0.24532421052631587</v>
      </c>
      <c r="F52" s="45">
        <f t="shared" si="1"/>
        <v>5.9585263157894551E-2</v>
      </c>
      <c r="G52" s="45">
        <f t="shared" si="1"/>
        <v>0.10331157894736813</v>
      </c>
    </row>
    <row r="53" spans="1:11">
      <c r="A53" s="44">
        <v>0.61</v>
      </c>
      <c r="B53" s="45">
        <f t="shared" si="4"/>
        <v>1.15408</v>
      </c>
      <c r="C53" s="45">
        <f t="shared" si="4"/>
        <v>1.0385599999999999</v>
      </c>
      <c r="D53" s="45">
        <f t="shared" si="4"/>
        <v>1.0659599999999998</v>
      </c>
      <c r="E53" s="45">
        <f t="shared" si="3"/>
        <v>0.24099692307692305</v>
      </c>
      <c r="F53" s="45">
        <f t="shared" si="1"/>
        <v>6.0311794871794756E-2</v>
      </c>
      <c r="G53" s="45">
        <f t="shared" si="1"/>
        <v>0.10316820512820481</v>
      </c>
    </row>
    <row r="54" spans="1:11">
      <c r="A54" s="44">
        <v>0.6</v>
      </c>
      <c r="B54" s="45">
        <f t="shared" si="4"/>
        <v>1.1578000000000002</v>
      </c>
      <c r="C54" s="45">
        <f t="shared" si="4"/>
        <v>1.0406</v>
      </c>
      <c r="D54" s="45">
        <f t="shared" si="4"/>
        <v>1.0686</v>
      </c>
      <c r="E54" s="45">
        <f t="shared" si="3"/>
        <v>0.23670000000000024</v>
      </c>
      <c r="F54" s="45">
        <f t="shared" si="1"/>
        <v>6.0899999999999954E-2</v>
      </c>
      <c r="G54" s="45">
        <f t="shared" si="1"/>
        <v>0.10289999999999998</v>
      </c>
    </row>
    <row r="55" spans="1:11">
      <c r="A55" s="44">
        <v>0.59</v>
      </c>
      <c r="B55" s="45">
        <f t="shared" si="4"/>
        <v>1.1615200000000001</v>
      </c>
      <c r="C55" s="45">
        <f t="shared" si="4"/>
        <v>1.04264</v>
      </c>
      <c r="D55" s="45">
        <f t="shared" si="4"/>
        <v>1.07124</v>
      </c>
      <c r="E55" s="45">
        <f t="shared" si="3"/>
        <v>0.23243121951219525</v>
      </c>
      <c r="F55" s="45">
        <f t="shared" si="1"/>
        <v>6.1360000000000012E-2</v>
      </c>
      <c r="G55" s="45">
        <f t="shared" si="1"/>
        <v>0.10251609756097556</v>
      </c>
    </row>
    <row r="56" spans="1:11">
      <c r="A56" s="44">
        <v>0.57999999999999996</v>
      </c>
      <c r="B56" s="45">
        <f t="shared" si="4"/>
        <v>1.1652400000000001</v>
      </c>
      <c r="C56" s="45">
        <f t="shared" si="4"/>
        <v>1.0446800000000001</v>
      </c>
      <c r="D56" s="45">
        <f t="shared" si="4"/>
        <v>1.0738800000000002</v>
      </c>
      <c r="E56" s="45">
        <f t="shared" si="3"/>
        <v>0.22818857142857146</v>
      </c>
      <c r="F56" s="45">
        <f t="shared" si="1"/>
        <v>6.170095238095244E-2</v>
      </c>
      <c r="G56" s="45">
        <f t="shared" si="1"/>
        <v>0.10202476190476212</v>
      </c>
    </row>
    <row r="57" spans="1:11">
      <c r="A57" s="44">
        <v>0.56999999999999995</v>
      </c>
      <c r="B57" s="45">
        <f t="shared" si="4"/>
        <v>1.16896</v>
      </c>
      <c r="C57" s="45">
        <f t="shared" si="4"/>
        <v>1.0467199999999999</v>
      </c>
      <c r="D57" s="45">
        <f t="shared" si="4"/>
        <v>1.0765199999999999</v>
      </c>
      <c r="E57" s="45">
        <f t="shared" si="3"/>
        <v>0.2239702325581395</v>
      </c>
      <c r="F57" s="45">
        <f t="shared" si="1"/>
        <v>6.1931162790697492E-2</v>
      </c>
      <c r="G57" s="45">
        <f t="shared" si="1"/>
        <v>0.1014334883720929</v>
      </c>
    </row>
    <row r="58" spans="1:11" ht="15">
      <c r="A58" s="44">
        <v>0.56000000000000005</v>
      </c>
      <c r="B58" s="45">
        <f t="shared" si="4"/>
        <v>1.1726799999999999</v>
      </c>
      <c r="C58" s="45">
        <f t="shared" si="4"/>
        <v>1.0487599999999999</v>
      </c>
      <c r="D58" s="45">
        <f t="shared" si="4"/>
        <v>1.0791599999999999</v>
      </c>
      <c r="E58" s="45">
        <f t="shared" si="3"/>
        <v>0.21977454545454542</v>
      </c>
      <c r="F58" s="45">
        <f t="shared" si="1"/>
        <v>6.2058181818181721E-2</v>
      </c>
      <c r="G58" s="45">
        <f t="shared" si="1"/>
        <v>0.1007490909090908</v>
      </c>
      <c r="K58" s="47" t="s">
        <v>2</v>
      </c>
    </row>
    <row r="59" spans="1:11" ht="15">
      <c r="A59" s="44">
        <v>0.55000000000000004</v>
      </c>
      <c r="B59" s="45">
        <f t="shared" si="4"/>
        <v>1.1764000000000001</v>
      </c>
      <c r="C59" s="45">
        <f t="shared" si="4"/>
        <v>1.0508</v>
      </c>
      <c r="D59" s="45">
        <f t="shared" si="4"/>
        <v>1.0817999999999999</v>
      </c>
      <c r="E59" s="45">
        <f t="shared" si="3"/>
        <v>0.21560000000000015</v>
      </c>
      <c r="F59" s="45">
        <f t="shared" si="1"/>
        <v>6.2088888888888846E-2</v>
      </c>
      <c r="G59" s="45">
        <f t="shared" si="1"/>
        <v>9.9977777777777638E-2</v>
      </c>
      <c r="K59" s="47"/>
    </row>
    <row r="60" spans="1:11" ht="15">
      <c r="A60" s="44">
        <v>0.54</v>
      </c>
      <c r="B60" s="45">
        <f t="shared" si="4"/>
        <v>1.1801200000000001</v>
      </c>
      <c r="C60" s="45">
        <f t="shared" si="4"/>
        <v>1.05284</v>
      </c>
      <c r="D60" s="45">
        <f t="shared" si="4"/>
        <v>1.0844400000000001</v>
      </c>
      <c r="E60" s="45">
        <f t="shared" si="3"/>
        <v>0.21144521739130445</v>
      </c>
      <c r="F60" s="45">
        <f t="shared" si="1"/>
        <v>6.2029565217391308E-2</v>
      </c>
      <c r="G60" s="45">
        <f t="shared" si="1"/>
        <v>9.9125217391304449E-2</v>
      </c>
      <c r="K60" s="47" t="s">
        <v>3</v>
      </c>
    </row>
    <row r="61" spans="1:11" ht="15">
      <c r="A61" s="44">
        <v>0.53</v>
      </c>
      <c r="B61" s="45">
        <f t="shared" si="4"/>
        <v>1.18384</v>
      </c>
      <c r="C61" s="45">
        <f t="shared" si="4"/>
        <v>1.0548799999999998</v>
      </c>
      <c r="D61" s="45">
        <f t="shared" si="4"/>
        <v>1.0870799999999998</v>
      </c>
      <c r="E61" s="45">
        <f t="shared" si="3"/>
        <v>0.20730893617021282</v>
      </c>
      <c r="F61" s="45">
        <f t="shared" si="1"/>
        <v>6.1885957446808311E-2</v>
      </c>
      <c r="G61" s="45">
        <f t="shared" si="1"/>
        <v>9.8196595744680662E-2</v>
      </c>
      <c r="K61" s="47" t="s">
        <v>4</v>
      </c>
    </row>
    <row r="62" spans="1:11" ht="15">
      <c r="A62" s="44">
        <v>0.52</v>
      </c>
      <c r="B62" s="45">
        <f t="shared" si="4"/>
        <v>1.1875599999999999</v>
      </c>
      <c r="C62" s="45">
        <f t="shared" si="4"/>
        <v>1.0569199999999999</v>
      </c>
      <c r="D62" s="45">
        <f t="shared" si="4"/>
        <v>1.0897199999999998</v>
      </c>
      <c r="E62" s="45">
        <f t="shared" si="3"/>
        <v>0.20318999999999995</v>
      </c>
      <c r="F62" s="45">
        <f t="shared" si="1"/>
        <v>6.1663333333333181E-2</v>
      </c>
      <c r="G62" s="45">
        <f t="shared" si="1"/>
        <v>9.7196666666666445E-2</v>
      </c>
      <c r="K62" s="47"/>
    </row>
    <row r="63" spans="1:11" ht="15">
      <c r="A63" s="44">
        <v>0.51</v>
      </c>
      <c r="B63" s="45">
        <f t="shared" si="4"/>
        <v>1.1912800000000001</v>
      </c>
      <c r="C63" s="45">
        <f t="shared" si="4"/>
        <v>1.0589599999999999</v>
      </c>
      <c r="D63" s="45">
        <f t="shared" si="4"/>
        <v>1.09236</v>
      </c>
      <c r="E63" s="45">
        <f t="shared" si="3"/>
        <v>0.19908734693877564</v>
      </c>
      <c r="F63" s="45">
        <f t="shared" si="1"/>
        <v>6.1366530612244799E-2</v>
      </c>
      <c r="G63" s="45">
        <f t="shared" si="1"/>
        <v>9.6129795918367358E-2</v>
      </c>
      <c r="K63" s="47" t="s">
        <v>5</v>
      </c>
    </row>
    <row r="64" spans="1:11" ht="15">
      <c r="A64" s="44">
        <v>0.5</v>
      </c>
      <c r="B64" s="38">
        <v>1.1950000000000001</v>
      </c>
      <c r="C64" s="38">
        <v>1.0609999999999999</v>
      </c>
      <c r="D64" s="38">
        <v>1.095</v>
      </c>
      <c r="E64" s="45">
        <f t="shared" si="3"/>
        <v>0.19500000000000006</v>
      </c>
      <c r="F64" s="45">
        <f t="shared" si="1"/>
        <v>6.0999999999999943E-2</v>
      </c>
      <c r="G64" s="45">
        <f t="shared" si="1"/>
        <v>9.4999999999999973E-2</v>
      </c>
      <c r="K64" s="47"/>
    </row>
    <row r="65" spans="1:11" ht="15">
      <c r="A65" s="44">
        <v>0.49</v>
      </c>
      <c r="B65" s="45">
        <f>B$64+((B$89-B$64)/((A$64-A$89)*100))*((A$64-A65)*100)</f>
        <v>1.2183200000000001</v>
      </c>
      <c r="C65" s="45">
        <f t="shared" ref="C65:D65" si="5">C$64+((C$89-C$64)/((B$64-B$89)*100))*((B$64-B65)*100)</f>
        <v>1.0695999999999999</v>
      </c>
      <c r="D65" s="45">
        <f t="shared" si="5"/>
        <v>1.1113599999999999</v>
      </c>
      <c r="E65" s="45">
        <f t="shared" si="3"/>
        <v>0.2097584313725491</v>
      </c>
      <c r="F65" s="45">
        <f t="shared" si="1"/>
        <v>6.6870588235294001E-2</v>
      </c>
      <c r="G65" s="45">
        <f t="shared" si="1"/>
        <v>0.1069929411764705</v>
      </c>
      <c r="K65" s="47" t="s">
        <v>6</v>
      </c>
    </row>
    <row r="66" spans="1:11" ht="15">
      <c r="A66" s="44">
        <v>0.48</v>
      </c>
      <c r="B66" s="45">
        <f t="shared" ref="B66:D81" si="6">B$64+((B$89-B$64)/((A$64-A$89)*100))*((A$64-A66)*100)</f>
        <v>1.2416400000000003</v>
      </c>
      <c r="C66" s="45">
        <f t="shared" si="6"/>
        <v>1.0782</v>
      </c>
      <c r="D66" s="45">
        <f t="shared" si="6"/>
        <v>1.1277200000000001</v>
      </c>
      <c r="E66" s="45">
        <f t="shared" si="3"/>
        <v>0.22305230769230794</v>
      </c>
      <c r="F66" s="45">
        <f t="shared" si="1"/>
        <v>7.2184615384615416E-2</v>
      </c>
      <c r="G66" s="45">
        <f t="shared" si="1"/>
        <v>0.11789538461538465</v>
      </c>
      <c r="K66" s="47"/>
    </row>
    <row r="67" spans="1:11" ht="15">
      <c r="A67" s="44">
        <v>0.47</v>
      </c>
      <c r="B67" s="45">
        <f t="shared" si="6"/>
        <v>1.2649600000000003</v>
      </c>
      <c r="C67" s="45">
        <f t="shared" si="6"/>
        <v>1.0868</v>
      </c>
      <c r="D67" s="45">
        <f t="shared" si="6"/>
        <v>1.14408</v>
      </c>
      <c r="E67" s="45">
        <f t="shared" si="3"/>
        <v>0.23496452830188702</v>
      </c>
      <c r="F67" s="45">
        <f t="shared" si="1"/>
        <v>7.6973584905660364E-2</v>
      </c>
      <c r="G67" s="45">
        <f t="shared" si="1"/>
        <v>0.12776905660377355</v>
      </c>
      <c r="K67" s="47" t="s">
        <v>7</v>
      </c>
    </row>
    <row r="68" spans="1:11" ht="15">
      <c r="A68" s="44">
        <v>0.46</v>
      </c>
      <c r="B68" s="45">
        <f t="shared" si="6"/>
        <v>1.2882800000000003</v>
      </c>
      <c r="C68" s="45">
        <f t="shared" si="6"/>
        <v>1.0954000000000002</v>
      </c>
      <c r="D68" s="45">
        <f t="shared" si="6"/>
        <v>1.1604400000000004</v>
      </c>
      <c r="E68" s="45">
        <f t="shared" si="3"/>
        <v>0.2455718518518521</v>
      </c>
      <c r="F68" s="45">
        <f t="shared" si="1"/>
        <v>8.1266666666666793E-2</v>
      </c>
      <c r="G68" s="45">
        <f t="shared" si="1"/>
        <v>0.13667111111111141</v>
      </c>
      <c r="K68" s="47"/>
    </row>
    <row r="69" spans="1:11" ht="15">
      <c r="A69" s="44">
        <v>0.45</v>
      </c>
      <c r="B69" s="45">
        <f t="shared" si="6"/>
        <v>1.3116000000000005</v>
      </c>
      <c r="C69" s="45">
        <f t="shared" si="6"/>
        <v>1.1040000000000001</v>
      </c>
      <c r="D69" s="45">
        <f t="shared" si="6"/>
        <v>1.1768000000000003</v>
      </c>
      <c r="E69" s="45">
        <f t="shared" si="3"/>
        <v>0.25494545454545497</v>
      </c>
      <c r="F69" s="45">
        <f t="shared" si="1"/>
        <v>8.5090909090909161E-2</v>
      </c>
      <c r="G69" s="45">
        <f t="shared" si="1"/>
        <v>0.14465454545454567</v>
      </c>
      <c r="K69" s="48" t="s">
        <v>46</v>
      </c>
    </row>
    <row r="70" spans="1:11">
      <c r="A70" s="44">
        <v>0.44</v>
      </c>
      <c r="B70" s="45">
        <f t="shared" si="6"/>
        <v>1.3349200000000006</v>
      </c>
      <c r="C70" s="45">
        <f t="shared" si="6"/>
        <v>1.1126</v>
      </c>
      <c r="D70" s="45">
        <f t="shared" si="6"/>
        <v>1.1931600000000002</v>
      </c>
      <c r="E70" s="45">
        <f t="shared" si="3"/>
        <v>0.26315142857142898</v>
      </c>
      <c r="F70" s="45">
        <f t="shared" si="1"/>
        <v>8.847142857142859E-2</v>
      </c>
      <c r="G70" s="45">
        <f t="shared" si="1"/>
        <v>0.15176857142857159</v>
      </c>
    </row>
    <row r="71" spans="1:11">
      <c r="A71" s="44">
        <v>0.43</v>
      </c>
      <c r="B71" s="45">
        <f t="shared" si="6"/>
        <v>1.3582400000000008</v>
      </c>
      <c r="C71" s="45">
        <f t="shared" si="6"/>
        <v>1.1212000000000002</v>
      </c>
      <c r="D71" s="45">
        <f t="shared" si="6"/>
        <v>1.2095200000000004</v>
      </c>
      <c r="E71" s="45">
        <f t="shared" si="3"/>
        <v>0.27025122807017599</v>
      </c>
      <c r="F71" s="45">
        <f t="shared" si="1"/>
        <v>9.1431578947368558E-2</v>
      </c>
      <c r="G71" s="45">
        <f t="shared" si="1"/>
        <v>0.15805894736842133</v>
      </c>
    </row>
    <row r="72" spans="1:11">
      <c r="A72" s="44">
        <v>0.42</v>
      </c>
      <c r="B72" s="45">
        <f t="shared" si="6"/>
        <v>1.3815600000000008</v>
      </c>
      <c r="C72" s="45">
        <f t="shared" si="6"/>
        <v>1.1298000000000004</v>
      </c>
      <c r="D72" s="45">
        <f t="shared" si="6"/>
        <v>1.2258800000000007</v>
      </c>
      <c r="E72" s="45">
        <f t="shared" si="3"/>
        <v>0.27630206896551773</v>
      </c>
      <c r="F72" s="45">
        <f t="shared" si="1"/>
        <v>9.3993103448276105E-2</v>
      </c>
      <c r="G72" s="45">
        <f t="shared" si="1"/>
        <v>0.16356827586206946</v>
      </c>
    </row>
    <row r="73" spans="1:11">
      <c r="A73" s="44">
        <v>0.41</v>
      </c>
      <c r="B73" s="45">
        <f t="shared" si="6"/>
        <v>1.4048800000000008</v>
      </c>
      <c r="C73" s="45">
        <f t="shared" si="6"/>
        <v>1.1384000000000003</v>
      </c>
      <c r="D73" s="45">
        <f t="shared" si="6"/>
        <v>1.2422400000000007</v>
      </c>
      <c r="E73" s="45">
        <f t="shared" si="3"/>
        <v>0.28135728813559369</v>
      </c>
      <c r="F73" s="45">
        <f t="shared" si="1"/>
        <v>9.617627118644087E-2</v>
      </c>
      <c r="G73" s="45">
        <f t="shared" si="1"/>
        <v>0.16833627118644109</v>
      </c>
    </row>
    <row r="74" spans="1:11">
      <c r="A74" s="44">
        <v>0.4</v>
      </c>
      <c r="B74" s="45">
        <f t="shared" si="6"/>
        <v>1.428200000000001</v>
      </c>
      <c r="C74" s="45">
        <f t="shared" si="6"/>
        <v>1.1470000000000002</v>
      </c>
      <c r="D74" s="45">
        <f t="shared" si="6"/>
        <v>1.2586000000000004</v>
      </c>
      <c r="E74" s="45">
        <f t="shared" si="3"/>
        <v>0.28546666666666742</v>
      </c>
      <c r="F74" s="45">
        <f t="shared" si="1"/>
        <v>9.800000000000017E-2</v>
      </c>
      <c r="G74" s="45">
        <f t="shared" si="1"/>
        <v>0.17240000000000028</v>
      </c>
    </row>
    <row r="75" spans="1:11">
      <c r="A75" s="44">
        <v>0.39</v>
      </c>
      <c r="B75" s="45">
        <f t="shared" si="6"/>
        <v>1.451520000000001</v>
      </c>
      <c r="C75" s="45">
        <f t="shared" si="6"/>
        <v>1.1556000000000004</v>
      </c>
      <c r="D75" s="45">
        <f t="shared" si="6"/>
        <v>1.2749600000000008</v>
      </c>
      <c r="E75" s="45">
        <f t="shared" si="3"/>
        <v>0.28867672131147609</v>
      </c>
      <c r="F75" s="45">
        <f t="shared" si="1"/>
        <v>9.9481967213115016E-2</v>
      </c>
      <c r="G75" s="45">
        <f t="shared" si="1"/>
        <v>0.17579409836065624</v>
      </c>
    </row>
    <row r="76" spans="1:11">
      <c r="A76" s="44">
        <v>0.38</v>
      </c>
      <c r="B76" s="45">
        <f t="shared" si="6"/>
        <v>1.4748400000000013</v>
      </c>
      <c r="C76" s="45">
        <f t="shared" si="6"/>
        <v>1.1642000000000003</v>
      </c>
      <c r="D76" s="45">
        <f t="shared" si="6"/>
        <v>1.2913200000000007</v>
      </c>
      <c r="E76" s="45">
        <f t="shared" si="3"/>
        <v>0.29103096774193626</v>
      </c>
      <c r="F76" s="45">
        <f t="shared" si="1"/>
        <v>0.10063870967741957</v>
      </c>
      <c r="G76" s="45">
        <f t="shared" si="1"/>
        <v>0.17855096774193591</v>
      </c>
    </row>
    <row r="77" spans="1:11">
      <c r="A77" s="44">
        <v>0.37</v>
      </c>
      <c r="B77" s="45">
        <f t="shared" si="6"/>
        <v>1.4981600000000013</v>
      </c>
      <c r="C77" s="45">
        <f t="shared" si="6"/>
        <v>1.1728000000000005</v>
      </c>
      <c r="D77" s="45">
        <f t="shared" si="6"/>
        <v>1.3076800000000011</v>
      </c>
      <c r="E77" s="45">
        <f t="shared" si="3"/>
        <v>0.29257015873015946</v>
      </c>
      <c r="F77" s="45">
        <f t="shared" si="1"/>
        <v>0.10148571428571458</v>
      </c>
      <c r="G77" s="45">
        <f t="shared" si="1"/>
        <v>0.18070095238095299</v>
      </c>
    </row>
    <row r="78" spans="1:11">
      <c r="A78" s="44">
        <v>0.36</v>
      </c>
      <c r="B78" s="45">
        <f t="shared" si="6"/>
        <v>1.5214800000000013</v>
      </c>
      <c r="C78" s="45">
        <f t="shared" si="6"/>
        <v>1.1814000000000004</v>
      </c>
      <c r="D78" s="45">
        <f t="shared" si="6"/>
        <v>1.324040000000001</v>
      </c>
      <c r="E78" s="45">
        <f t="shared" si="3"/>
        <v>0.29333250000000072</v>
      </c>
      <c r="F78" s="45">
        <f t="shared" si="3"/>
        <v>0.10203750000000024</v>
      </c>
      <c r="G78" s="45">
        <f t="shared" si="3"/>
        <v>0.18227250000000056</v>
      </c>
    </row>
    <row r="79" spans="1:11">
      <c r="A79" s="44">
        <v>0.35</v>
      </c>
      <c r="B79" s="45">
        <f t="shared" si="6"/>
        <v>1.5448000000000015</v>
      </c>
      <c r="C79" s="45">
        <f t="shared" si="6"/>
        <v>1.1900000000000006</v>
      </c>
      <c r="D79" s="45">
        <f t="shared" si="6"/>
        <v>1.3404000000000011</v>
      </c>
      <c r="E79" s="45">
        <f t="shared" ref="E79:G89" si="7">($A79*(B79-1))/((1-$A79)*1)</f>
        <v>0.29335384615384696</v>
      </c>
      <c r="F79" s="45">
        <f t="shared" si="7"/>
        <v>0.10230769230769263</v>
      </c>
      <c r="G79" s="45">
        <f t="shared" si="7"/>
        <v>0.18329230769230831</v>
      </c>
    </row>
    <row r="80" spans="1:11">
      <c r="A80" s="44">
        <v>0.34</v>
      </c>
      <c r="B80" s="45">
        <f t="shared" si="6"/>
        <v>1.5681200000000015</v>
      </c>
      <c r="C80" s="45">
        <f t="shared" si="6"/>
        <v>1.1986000000000006</v>
      </c>
      <c r="D80" s="45">
        <f t="shared" si="6"/>
        <v>1.3567600000000011</v>
      </c>
      <c r="E80" s="45">
        <f t="shared" si="7"/>
        <v>0.29266787878787959</v>
      </c>
      <c r="F80" s="45">
        <f t="shared" si="7"/>
        <v>0.10230909090909121</v>
      </c>
      <c r="G80" s="45">
        <f t="shared" si="7"/>
        <v>0.18378545454545514</v>
      </c>
    </row>
    <row r="81" spans="1:7">
      <c r="A81" s="44">
        <v>0.33</v>
      </c>
      <c r="B81" s="45">
        <f t="shared" si="6"/>
        <v>1.5914400000000017</v>
      </c>
      <c r="C81" s="45">
        <f t="shared" si="6"/>
        <v>1.2072000000000007</v>
      </c>
      <c r="D81" s="45">
        <f t="shared" si="6"/>
        <v>1.3731200000000015</v>
      </c>
      <c r="E81" s="45">
        <f t="shared" si="7"/>
        <v>0.29130626865671733</v>
      </c>
      <c r="F81" s="45">
        <f t="shared" si="7"/>
        <v>0.10205373134328395</v>
      </c>
      <c r="G81" s="45">
        <f t="shared" si="7"/>
        <v>0.18377552238806044</v>
      </c>
    </row>
    <row r="82" spans="1:7">
      <c r="A82" s="44">
        <v>0.32</v>
      </c>
      <c r="B82" s="45">
        <f t="shared" ref="B82:D88" si="8">B$64+((B$89-B$64)/((A$64-A$89)*100))*((A$64-A82)*100)</f>
        <v>1.6147600000000017</v>
      </c>
      <c r="C82" s="45">
        <f t="shared" si="8"/>
        <v>1.2158000000000007</v>
      </c>
      <c r="D82" s="45">
        <f t="shared" si="8"/>
        <v>1.3894800000000012</v>
      </c>
      <c r="E82" s="45">
        <f t="shared" si="7"/>
        <v>0.28929882352941261</v>
      </c>
      <c r="F82" s="45">
        <f t="shared" si="7"/>
        <v>0.10155294117647092</v>
      </c>
      <c r="G82" s="45">
        <f t="shared" si="7"/>
        <v>0.18328470588235352</v>
      </c>
    </row>
    <row r="83" spans="1:7">
      <c r="A83" s="44">
        <v>0.31</v>
      </c>
      <c r="B83" s="45">
        <f t="shared" si="8"/>
        <v>1.6380800000000018</v>
      </c>
      <c r="C83" s="45">
        <f t="shared" si="8"/>
        <v>1.2244000000000006</v>
      </c>
      <c r="D83" s="45">
        <f t="shared" si="8"/>
        <v>1.4058400000000013</v>
      </c>
      <c r="E83" s="45">
        <f t="shared" si="7"/>
        <v>0.28667362318840661</v>
      </c>
      <c r="F83" s="45">
        <f t="shared" si="7"/>
        <v>0.10081739130434809</v>
      </c>
      <c r="G83" s="45">
        <f t="shared" si="7"/>
        <v>0.18233391304347887</v>
      </c>
    </row>
    <row r="84" spans="1:7">
      <c r="A84" s="44">
        <v>0.30000000000000099</v>
      </c>
      <c r="B84" s="45">
        <f t="shared" si="8"/>
        <v>1.6613999999999995</v>
      </c>
      <c r="C84" s="45">
        <f t="shared" si="8"/>
        <v>1.2329999999999999</v>
      </c>
      <c r="D84" s="45">
        <f t="shared" si="8"/>
        <v>1.4221999999999997</v>
      </c>
      <c r="E84" s="45">
        <f t="shared" si="7"/>
        <v>0.28345714285714396</v>
      </c>
      <c r="F84" s="45">
        <f t="shared" si="7"/>
        <v>9.9857142857143269E-2</v>
      </c>
      <c r="G84" s="45">
        <f t="shared" si="7"/>
        <v>0.18094285714285785</v>
      </c>
    </row>
    <row r="85" spans="1:7">
      <c r="A85" s="44">
        <v>0.29000000000000098</v>
      </c>
      <c r="B85" s="45">
        <f t="shared" si="8"/>
        <v>1.6847199999999996</v>
      </c>
      <c r="C85" s="45">
        <f t="shared" si="8"/>
        <v>1.2415999999999998</v>
      </c>
      <c r="D85" s="45">
        <f t="shared" si="8"/>
        <v>1.4385599999999996</v>
      </c>
      <c r="E85" s="45">
        <f t="shared" si="7"/>
        <v>0.27967436619718422</v>
      </c>
      <c r="F85" s="45">
        <f t="shared" si="7"/>
        <v>9.8681690140845449E-2</v>
      </c>
      <c r="G85" s="45">
        <f t="shared" si="7"/>
        <v>0.17913014084507109</v>
      </c>
    </row>
    <row r="86" spans="1:7">
      <c r="A86" s="44">
        <v>0.28000000000000103</v>
      </c>
      <c r="B86" s="45">
        <f t="shared" si="8"/>
        <v>1.7080399999999996</v>
      </c>
      <c r="C86" s="45">
        <f t="shared" si="8"/>
        <v>1.2502</v>
      </c>
      <c r="D86" s="45">
        <f t="shared" si="8"/>
        <v>1.45492</v>
      </c>
      <c r="E86" s="45">
        <f t="shared" si="7"/>
        <v>0.27534888888889009</v>
      </c>
      <c r="F86" s="45">
        <f t="shared" si="7"/>
        <v>9.7300000000000497E-2</v>
      </c>
      <c r="G86" s="45">
        <f t="shared" si="7"/>
        <v>0.1769133333333342</v>
      </c>
    </row>
    <row r="87" spans="1:7">
      <c r="A87" s="44">
        <v>0.27000000000000102</v>
      </c>
      <c r="B87" s="45">
        <f t="shared" si="8"/>
        <v>1.7313599999999998</v>
      </c>
      <c r="C87" s="45">
        <f t="shared" si="8"/>
        <v>1.2587999999999999</v>
      </c>
      <c r="D87" s="45">
        <f t="shared" si="8"/>
        <v>1.4712799999999997</v>
      </c>
      <c r="E87" s="45">
        <f t="shared" si="7"/>
        <v>0.27050301369863144</v>
      </c>
      <c r="F87" s="45">
        <f t="shared" si="7"/>
        <v>9.5720547945205944E-2</v>
      </c>
      <c r="G87" s="45">
        <f t="shared" si="7"/>
        <v>0.17430904109589121</v>
      </c>
    </row>
    <row r="88" spans="1:7">
      <c r="A88" s="44">
        <v>0.26000000000000101</v>
      </c>
      <c r="B88" s="45">
        <f t="shared" si="8"/>
        <v>1.75468</v>
      </c>
      <c r="C88" s="45">
        <f t="shared" si="8"/>
        <v>1.2674000000000001</v>
      </c>
      <c r="D88" s="45">
        <f t="shared" si="8"/>
        <v>1.4876400000000003</v>
      </c>
      <c r="E88" s="45">
        <f t="shared" si="7"/>
        <v>0.26515783783783925</v>
      </c>
      <c r="F88" s="45">
        <f t="shared" si="7"/>
        <v>9.3951351351351881E-2</v>
      </c>
      <c r="G88" s="45">
        <f t="shared" si="7"/>
        <v>0.17133297297297398</v>
      </c>
    </row>
    <row r="89" spans="1:7">
      <c r="A89" s="44">
        <v>0.250000000000001</v>
      </c>
      <c r="B89" s="38">
        <v>1.778</v>
      </c>
      <c r="C89" s="38">
        <v>1.276</v>
      </c>
      <c r="D89" s="38">
        <v>1.504</v>
      </c>
      <c r="E89" s="45">
        <f t="shared" si="7"/>
        <v>0.25933333333333475</v>
      </c>
      <c r="F89" s="45">
        <f t="shared" si="7"/>
        <v>9.2000000000000498E-2</v>
      </c>
      <c r="G89" s="45">
        <f t="shared" si="7"/>
        <v>0.1680000000000009</v>
      </c>
    </row>
    <row r="90" spans="1:7">
      <c r="A90" s="44"/>
    </row>
    <row r="91" spans="1:7">
      <c r="A91" s="44"/>
    </row>
    <row r="92" spans="1:7">
      <c r="A92" s="44"/>
    </row>
    <row r="93" spans="1:7">
      <c r="A93" s="44"/>
    </row>
    <row r="94" spans="1:7">
      <c r="A94" s="44"/>
    </row>
    <row r="95" spans="1:7">
      <c r="A95" s="44"/>
    </row>
    <row r="96" spans="1:7">
      <c r="A96" s="44"/>
    </row>
    <row r="97" spans="1:1">
      <c r="A97" s="44"/>
    </row>
    <row r="98" spans="1:1">
      <c r="A98" s="44"/>
    </row>
    <row r="99" spans="1:1">
      <c r="A99" s="44"/>
    </row>
    <row r="100" spans="1:1">
      <c r="A100" s="44"/>
    </row>
  </sheetData>
  <phoneticPr fontId="11" type="noConversion"/>
  <pageMargins left="0.75" right="0.75" top="1" bottom="1" header="0.5" footer="0.5"/>
  <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generator_costs</vt:lpstr>
      <vt:lpstr>Cost CSV For Export</vt:lpstr>
      <vt:lpstr>costs_by_investment_period</vt:lpstr>
      <vt:lpstr>CPV Cost Calcs</vt:lpstr>
      <vt:lpstr>spinning_reserves_penalty</vt:lpstr>
      <vt:lpstr>deep_cycling_penalty</vt:lpstr>
    </vt:vector>
  </TitlesOfParts>
  <Company>RAEL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 Nelson</dc:creator>
  <cp:lastModifiedBy>Directory Administrator</cp:lastModifiedBy>
  <dcterms:created xsi:type="dcterms:W3CDTF">2010-02-04T00:06:32Z</dcterms:created>
  <dcterms:modified xsi:type="dcterms:W3CDTF">2012-01-23T22:17:18Z</dcterms:modified>
</cp:coreProperties>
</file>