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omments1.xml" ContentType="application/vnd.openxmlformats-officedocument.spreadsheetml.comments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comments2.xml" ContentType="application/vnd.openxmlformats-officedocument.spreadsheetml.comments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comments3.xml" ContentType="application/vnd.openxmlformats-officedocument.spreadsheetml.comments+xml"/>
  <Override PartName="/xl/drawings/drawing23.xml" ContentType="application/vnd.openxmlformats-officedocument.drawing+xml"/>
  <Override PartName="/xl/comments4.xml" ContentType="application/vnd.openxmlformats-officedocument.spreadsheetml.comments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developer/Downloads/"/>
    </mc:Choice>
  </mc:AlternateContent>
  <xr:revisionPtr revIDLastSave="0" documentId="13_ncr:1_{19E23553-D599-424D-99D6-ACD19096297E}" xr6:coauthVersionLast="47" xr6:coauthVersionMax="47" xr10:uidLastSave="{00000000-0000-0000-0000-000000000000}"/>
  <bookViews>
    <workbookView xWindow="28800" yWindow="500" windowWidth="38400" windowHeight="21100" tabRatio="923" firstSheet="10" activeTab="27" xr2:uid="{AF2B486B-9A37-B449-9614-E3CBBF96467C}"/>
  </bookViews>
  <sheets>
    <sheet name="W Shapes" sheetId="1" r:id="rId1"/>
    <sheet name="M Shapes" sheetId="2" r:id="rId2"/>
    <sheet name="S Shapes" sheetId="4" r:id="rId3"/>
    <sheet name="HP Shapes" sheetId="5" r:id="rId4"/>
    <sheet name="Channels" sheetId="7" r:id="rId5"/>
    <sheet name="MC Channels" sheetId="6" r:id="rId6"/>
    <sheet name="Angles" sheetId="8" r:id="rId7"/>
    <sheet name="W Tees" sheetId="9" r:id="rId8"/>
    <sheet name="S Tees" sheetId="10" r:id="rId9"/>
    <sheet name="Tubing" sheetId="11" r:id="rId10"/>
    <sheet name="Grating" sheetId="13" r:id="rId11"/>
    <sheet name="Bolts" sheetId="25" r:id="rId12"/>
    <sheet name="Girder wt" sheetId="14" r:id="rId13"/>
    <sheet name="Weights" sheetId="24" r:id="rId14"/>
    <sheet name="Brace Formulas" sheetId="15" r:id="rId15"/>
    <sheet name="Rt. Triang." sheetId="21" r:id="rId16"/>
    <sheet name="Oblique Triang." sheetId="22" r:id="rId17"/>
    <sheet name="Adding Calculator" sheetId="30" r:id="rId18"/>
    <sheet name="Ladders" sheetId="31" r:id="rId19"/>
    <sheet name="Stairs" sheetId="29" r:id="rId20"/>
    <sheet name="Vessel Platf." sheetId="28" r:id="rId21"/>
    <sheet name="Pipe Tables" sheetId="12" r:id="rId22"/>
    <sheet name="ELL. Head Dim" sheetId="27" r:id="rId23"/>
    <sheet name="Pipe Spans" sheetId="26" r:id="rId24"/>
    <sheet name="ELL's" sheetId="16" r:id="rId25"/>
    <sheet name="Tee's &amp; Reducers" sheetId="17" r:id="rId26"/>
    <sheet name="Flanges" sheetId="19" r:id="rId27"/>
    <sheet name="Flg Weights" sheetId="18" r:id="rId2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8" i="30" l="1"/>
  <c r="R8" i="30"/>
  <c r="Q9" i="30"/>
  <c r="R9" i="30"/>
  <c r="Q10" i="30"/>
  <c r="R10" i="30"/>
  <c r="Q13" i="30"/>
  <c r="R13" i="30"/>
  <c r="Q11" i="30"/>
  <c r="R11" i="30"/>
  <c r="Q12" i="30"/>
  <c r="R12" i="30"/>
  <c r="Q14" i="30"/>
  <c r="R14" i="30"/>
  <c r="Q15" i="30"/>
  <c r="R15" i="30"/>
  <c r="Q16" i="30"/>
  <c r="R16" i="30"/>
  <c r="Q17" i="30"/>
  <c r="R17" i="30"/>
  <c r="Q18" i="30"/>
  <c r="R18" i="30"/>
  <c r="Q19" i="30"/>
  <c r="R19" i="30"/>
  <c r="Q20" i="30"/>
  <c r="R20" i="30"/>
  <c r="Q21" i="30"/>
  <c r="R21" i="30"/>
  <c r="Q22" i="30"/>
  <c r="R22" i="30"/>
  <c r="Q23" i="30"/>
  <c r="R23" i="30"/>
  <c r="Q24" i="30"/>
  <c r="R24" i="30"/>
  <c r="Q25" i="30"/>
  <c r="R25" i="30"/>
  <c r="Q26" i="30"/>
  <c r="R26" i="30"/>
  <c r="Q27" i="30"/>
  <c r="R27" i="30"/>
  <c r="Q28" i="30"/>
  <c r="R28" i="30"/>
  <c r="Q29" i="30"/>
  <c r="R29" i="30"/>
  <c r="Q30" i="30"/>
  <c r="R30" i="30"/>
  <c r="Q31" i="30"/>
  <c r="R31" i="30"/>
  <c r="Q32" i="30"/>
  <c r="R32" i="30"/>
  <c r="Q33" i="30"/>
  <c r="R33" i="30"/>
  <c r="Q34" i="30"/>
  <c r="R34" i="30"/>
  <c r="Q35" i="30"/>
  <c r="R35" i="30"/>
  <c r="Q36" i="30"/>
  <c r="R36" i="30"/>
  <c r="Q37" i="30"/>
  <c r="R37" i="30"/>
  <c r="Q38" i="30"/>
  <c r="R38" i="30"/>
  <c r="Q39" i="30"/>
  <c r="R39" i="30"/>
  <c r="Q40" i="30"/>
  <c r="R40" i="30"/>
  <c r="Q41" i="30"/>
  <c r="R41" i="30"/>
  <c r="Q42" i="30"/>
  <c r="R42" i="30"/>
  <c r="Q43" i="30"/>
  <c r="R43" i="30"/>
  <c r="Q44" i="30"/>
  <c r="R44" i="30"/>
  <c r="Q45" i="30"/>
  <c r="R45" i="30"/>
  <c r="Q46" i="30"/>
  <c r="R46" i="30"/>
  <c r="Q47" i="30"/>
  <c r="R47" i="30"/>
  <c r="Q48" i="30"/>
  <c r="R48" i="30"/>
  <c r="Q49" i="30"/>
  <c r="R49" i="30"/>
  <c r="Q50" i="30"/>
  <c r="R50" i="30"/>
  <c r="Q51" i="30"/>
  <c r="R51" i="30"/>
  <c r="Q52" i="30"/>
  <c r="R52" i="30"/>
  <c r="Q53" i="30"/>
  <c r="R53" i="30"/>
  <c r="Q54" i="30"/>
  <c r="R54" i="30"/>
  <c r="Q55" i="30"/>
  <c r="R55" i="30"/>
  <c r="Q56" i="30"/>
  <c r="R56" i="30"/>
  <c r="Q57" i="30"/>
  <c r="R57" i="30"/>
  <c r="Q58" i="30"/>
  <c r="R58" i="30"/>
  <c r="Q59" i="30"/>
  <c r="R59" i="30"/>
  <c r="Q60" i="30"/>
  <c r="R60" i="30"/>
  <c r="Q61" i="30"/>
  <c r="R61" i="30"/>
  <c r="Q62" i="30"/>
  <c r="R62" i="30"/>
  <c r="Q63" i="30"/>
  <c r="R63" i="30"/>
  <c r="Q64" i="30"/>
  <c r="R64" i="30"/>
  <c r="Q65" i="30"/>
  <c r="R65" i="30"/>
  <c r="Q66" i="30"/>
  <c r="R66" i="30"/>
  <c r="O66" i="30"/>
  <c r="Q67" i="30"/>
  <c r="R67" i="30"/>
  <c r="Q68" i="30"/>
  <c r="R68" i="30"/>
  <c r="Q69" i="30"/>
  <c r="R69" i="30"/>
  <c r="Q70" i="30"/>
  <c r="R70" i="30"/>
  <c r="Q71" i="30"/>
  <c r="R71" i="30"/>
  <c r="Q72" i="30"/>
  <c r="R72" i="30"/>
  <c r="Q73" i="30"/>
  <c r="R73" i="30"/>
  <c r="Q74" i="30"/>
  <c r="R74" i="30"/>
  <c r="Q75" i="30"/>
  <c r="R75" i="30"/>
  <c r="Q76" i="30"/>
  <c r="R76" i="30"/>
  <c r="Q77" i="30"/>
  <c r="R77" i="30"/>
  <c r="Q78" i="30"/>
  <c r="R78" i="30"/>
  <c r="Q79" i="30"/>
  <c r="R79" i="30"/>
  <c r="Q80" i="30"/>
  <c r="R80" i="30"/>
  <c r="Q81" i="30"/>
  <c r="R81" i="30"/>
  <c r="Q82" i="30"/>
  <c r="R82" i="30"/>
  <c r="Q83" i="30"/>
  <c r="R83" i="30"/>
  <c r="Q84" i="30"/>
  <c r="R84" i="30"/>
  <c r="Q85" i="30"/>
  <c r="R85" i="30"/>
  <c r="Q86" i="30"/>
  <c r="R86" i="30"/>
  <c r="Q87" i="30"/>
  <c r="R87" i="30"/>
  <c r="Q88" i="30"/>
  <c r="R88" i="30"/>
  <c r="Q89" i="30"/>
  <c r="R89" i="30"/>
  <c r="Q90" i="30"/>
  <c r="R90" i="30"/>
  <c r="Q91" i="30"/>
  <c r="R91" i="30"/>
  <c r="Q92" i="30"/>
  <c r="R92" i="30"/>
  <c r="Q93" i="30"/>
  <c r="R93" i="30"/>
  <c r="Q94" i="30"/>
  <c r="R94" i="30"/>
  <c r="Q95" i="30"/>
  <c r="R95" i="30"/>
  <c r="Q96" i="30"/>
  <c r="R96" i="30"/>
  <c r="Q97" i="30"/>
  <c r="R97" i="30"/>
  <c r="Q98" i="30"/>
  <c r="R98" i="30"/>
  <c r="Q99" i="30"/>
  <c r="R99" i="30"/>
  <c r="Q100" i="30"/>
  <c r="R100" i="30"/>
  <c r="Q101" i="30"/>
  <c r="R101" i="30"/>
  <c r="Q102" i="30"/>
  <c r="R102" i="30"/>
  <c r="Q103" i="30"/>
  <c r="R103" i="30"/>
  <c r="Q104" i="30"/>
  <c r="R104" i="30"/>
  <c r="Q105" i="30"/>
  <c r="R105" i="30"/>
  <c r="Q106" i="30"/>
  <c r="R106" i="30"/>
  <c r="Q107" i="30"/>
  <c r="R107" i="30"/>
  <c r="Q108" i="30"/>
  <c r="R108" i="30"/>
  <c r="Q109" i="30"/>
  <c r="R109" i="30"/>
  <c r="Q110" i="30"/>
  <c r="R110" i="30"/>
  <c r="Q111" i="30"/>
  <c r="R111" i="30"/>
  <c r="Q112" i="30"/>
  <c r="R112" i="30"/>
  <c r="Q113" i="30"/>
  <c r="R113" i="30"/>
  <c r="Q114" i="30"/>
  <c r="R114" i="30"/>
  <c r="Q115" i="30"/>
  <c r="R115" i="30"/>
  <c r="Q116" i="30"/>
  <c r="R116" i="30"/>
  <c r="Q117" i="30"/>
  <c r="R117" i="30"/>
  <c r="Q118" i="30"/>
  <c r="R118" i="30"/>
  <c r="Q119" i="30"/>
  <c r="R119" i="30"/>
  <c r="Q120" i="30"/>
  <c r="R120" i="30"/>
  <c r="Q121" i="30"/>
  <c r="R121" i="30"/>
  <c r="Q122" i="30"/>
  <c r="R122" i="30"/>
  <c r="O122" i="30"/>
  <c r="Q123" i="30"/>
  <c r="R123" i="30"/>
  <c r="Q124" i="30"/>
  <c r="R124" i="30"/>
  <c r="Q125" i="30"/>
  <c r="R125" i="30"/>
  <c r="Q126" i="30"/>
  <c r="R126" i="30"/>
  <c r="Q127" i="30"/>
  <c r="R127" i="30"/>
  <c r="Q128" i="30"/>
  <c r="R128" i="30"/>
  <c r="Q129" i="30"/>
  <c r="R129" i="30"/>
  <c r="Q130" i="30"/>
  <c r="R130" i="30"/>
  <c r="Q131" i="30"/>
  <c r="R131" i="30"/>
  <c r="Q132" i="30"/>
  <c r="R132" i="30"/>
  <c r="Q133" i="30"/>
  <c r="R133" i="30"/>
  <c r="Q134" i="30"/>
  <c r="R134" i="30"/>
  <c r="Q135" i="30"/>
  <c r="R135" i="30"/>
  <c r="Q136" i="30"/>
  <c r="R136" i="30"/>
  <c r="Q137" i="30"/>
  <c r="R137" i="30"/>
  <c r="Q138" i="30"/>
  <c r="R138" i="30"/>
  <c r="Q139" i="30"/>
  <c r="R139" i="30"/>
  <c r="Q140" i="30"/>
  <c r="R140" i="30"/>
  <c r="Q141" i="30"/>
  <c r="R141" i="30"/>
  <c r="Q142" i="30"/>
  <c r="R142" i="30"/>
  <c r="Q143" i="30"/>
  <c r="R143" i="30"/>
  <c r="Q144" i="30"/>
  <c r="R144" i="30"/>
  <c r="Q145" i="30"/>
  <c r="R145" i="30"/>
  <c r="Q146" i="30"/>
  <c r="R146" i="30"/>
  <c r="Q147" i="30"/>
  <c r="R147" i="30"/>
  <c r="Q148" i="30"/>
  <c r="R148" i="30"/>
  <c r="Q149" i="30"/>
  <c r="R149" i="30"/>
  <c r="Q150" i="30"/>
  <c r="R150" i="30"/>
  <c r="Q151" i="30"/>
  <c r="R151" i="30"/>
  <c r="Q152" i="30"/>
  <c r="R152" i="30"/>
  <c r="Q153" i="30"/>
  <c r="R153" i="30"/>
  <c r="Q154" i="30"/>
  <c r="R154" i="30"/>
  <c r="Q155" i="30"/>
  <c r="R155" i="30"/>
  <c r="Q156" i="30"/>
  <c r="R156" i="30"/>
  <c r="Q157" i="30"/>
  <c r="R157" i="30"/>
  <c r="Q158" i="30"/>
  <c r="R158" i="30"/>
  <c r="Q159" i="30"/>
  <c r="R159" i="30"/>
  <c r="Q160" i="30"/>
  <c r="R160" i="30"/>
  <c r="Q161" i="30"/>
  <c r="R161" i="30"/>
  <c r="Q162" i="30"/>
  <c r="R162" i="30"/>
  <c r="Q163" i="30"/>
  <c r="R163" i="30"/>
  <c r="Q164" i="30"/>
  <c r="R164" i="30"/>
  <c r="Q165" i="30"/>
  <c r="R165" i="30"/>
  <c r="Q166" i="30"/>
  <c r="R166" i="30"/>
  <c r="Q167" i="30"/>
  <c r="R167" i="30"/>
  <c r="Q168" i="30"/>
  <c r="R168" i="30"/>
  <c r="Q169" i="30"/>
  <c r="R169" i="30"/>
  <c r="Q170" i="30"/>
  <c r="R170" i="30"/>
  <c r="Q171" i="30"/>
  <c r="R171" i="30"/>
  <c r="Q172" i="30"/>
  <c r="R172" i="30"/>
  <c r="Q173" i="30"/>
  <c r="R173" i="30"/>
  <c r="Q174" i="30"/>
  <c r="R174" i="30"/>
  <c r="Q175" i="30"/>
  <c r="R175" i="30"/>
  <c r="Q176" i="30"/>
  <c r="R176" i="30"/>
  <c r="Q177" i="30"/>
  <c r="R177" i="30"/>
  <c r="Q178" i="30"/>
  <c r="R178" i="30"/>
  <c r="Q179" i="30"/>
  <c r="R179" i="30"/>
  <c r="Q180" i="30"/>
  <c r="R180" i="30"/>
  <c r="Q181" i="30"/>
  <c r="R181" i="30"/>
  <c r="Q182" i="30"/>
  <c r="R182" i="30"/>
  <c r="Q183" i="30"/>
  <c r="R183" i="30"/>
  <c r="N183" i="30"/>
  <c r="Q184" i="30"/>
  <c r="R184" i="30"/>
  <c r="Q185" i="30"/>
  <c r="R185" i="30"/>
  <c r="Q186" i="30"/>
  <c r="R186" i="30"/>
  <c r="Q187" i="30"/>
  <c r="R187" i="30"/>
  <c r="Q188" i="30"/>
  <c r="R188" i="30"/>
  <c r="Q189" i="30"/>
  <c r="R189" i="30"/>
  <c r="Q190" i="30"/>
  <c r="R190" i="30"/>
  <c r="Q191" i="30"/>
  <c r="R191" i="30"/>
  <c r="Q192" i="30"/>
  <c r="R192" i="30"/>
  <c r="Q193" i="30"/>
  <c r="R193" i="30"/>
  <c r="Q194" i="30"/>
  <c r="R194" i="30"/>
  <c r="N194" i="30"/>
  <c r="Q195" i="30"/>
  <c r="R195" i="30"/>
  <c r="Q196" i="30"/>
  <c r="R196" i="30"/>
  <c r="Q197" i="30"/>
  <c r="R197" i="30"/>
  <c r="Q198" i="30"/>
  <c r="R198" i="30"/>
  <c r="Q199" i="30"/>
  <c r="R199" i="30"/>
  <c r="Q200" i="30"/>
  <c r="R200" i="30"/>
  <c r="Q201" i="30"/>
  <c r="R201" i="30"/>
  <c r="Q202" i="30"/>
  <c r="R202" i="30"/>
  <c r="Q203" i="30"/>
  <c r="R203" i="30"/>
  <c r="Q204" i="30"/>
  <c r="R204" i="30"/>
  <c r="Q205" i="30"/>
  <c r="R205" i="30"/>
  <c r="Q206" i="30"/>
  <c r="R206" i="30"/>
  <c r="Q207" i="30"/>
  <c r="R207" i="30"/>
  <c r="Q208" i="30"/>
  <c r="R208" i="30"/>
  <c r="Q209" i="30"/>
  <c r="R209" i="30"/>
  <c r="Q210" i="30"/>
  <c r="R210" i="30"/>
  <c r="Q211" i="30"/>
  <c r="R211" i="30"/>
  <c r="Q212" i="30"/>
  <c r="R212" i="30"/>
  <c r="Q213" i="30"/>
  <c r="R213" i="30"/>
  <c r="Q214" i="30"/>
  <c r="R214" i="30"/>
  <c r="Q215" i="30"/>
  <c r="R215" i="30"/>
  <c r="Q216" i="30"/>
  <c r="R216" i="30"/>
  <c r="Q217" i="30"/>
  <c r="R217" i="30"/>
  <c r="Q218" i="30"/>
  <c r="R218" i="30"/>
  <c r="Q219" i="30"/>
  <c r="R219" i="30"/>
  <c r="Q220" i="30"/>
  <c r="R220" i="30"/>
  <c r="Q221" i="30"/>
  <c r="R221" i="30"/>
  <c r="Q222" i="30"/>
  <c r="R222" i="30"/>
  <c r="Q223" i="30"/>
  <c r="R223" i="30"/>
  <c r="Q224" i="30"/>
  <c r="R224" i="30"/>
  <c r="Q225" i="30"/>
  <c r="R225" i="30"/>
  <c r="Q226" i="30"/>
  <c r="R226" i="30"/>
  <c r="Q227" i="30"/>
  <c r="R227" i="30"/>
  <c r="Q228" i="30"/>
  <c r="R228" i="30"/>
  <c r="Q229" i="30"/>
  <c r="R229" i="30"/>
  <c r="Q230" i="30"/>
  <c r="R230" i="30"/>
  <c r="Q231" i="30"/>
  <c r="R231" i="30"/>
  <c r="Q232" i="30"/>
  <c r="R232" i="30"/>
  <c r="Q233" i="30"/>
  <c r="R233" i="30"/>
  <c r="Q234" i="30"/>
  <c r="R234" i="30"/>
  <c r="Q235" i="30"/>
  <c r="R235" i="30"/>
  <c r="Q236" i="30"/>
  <c r="R236" i="30"/>
  <c r="Q237" i="30"/>
  <c r="R237" i="30"/>
  <c r="Q238" i="30"/>
  <c r="R238" i="30"/>
  <c r="Q239" i="30"/>
  <c r="R239" i="30"/>
  <c r="Q240" i="30"/>
  <c r="R240" i="30"/>
  <c r="Q241" i="30"/>
  <c r="R241" i="30"/>
  <c r="Q242" i="30"/>
  <c r="R242" i="30"/>
  <c r="Q243" i="30"/>
  <c r="R243" i="30"/>
  <c r="Q244" i="30"/>
  <c r="R244" i="30"/>
  <c r="Q245" i="30"/>
  <c r="R245" i="30"/>
  <c r="Q246" i="30"/>
  <c r="R246" i="30"/>
  <c r="Q247" i="30"/>
  <c r="R247" i="30"/>
  <c r="Q248" i="30"/>
  <c r="R248" i="30"/>
  <c r="Q249" i="30"/>
  <c r="R249" i="30"/>
  <c r="Q250" i="30"/>
  <c r="R250" i="30"/>
  <c r="N250" i="30"/>
  <c r="Q251" i="30"/>
  <c r="R251" i="30"/>
  <c r="Q252" i="30"/>
  <c r="R252" i="30"/>
  <c r="Q253" i="30"/>
  <c r="R253" i="30"/>
  <c r="Q254" i="30"/>
  <c r="R254" i="30"/>
  <c r="Q255" i="30"/>
  <c r="R255" i="30"/>
  <c r="Q256" i="30"/>
  <c r="R256" i="30"/>
  <c r="Q257" i="30"/>
  <c r="R257" i="30"/>
  <c r="Q258" i="30"/>
  <c r="R258" i="30"/>
  <c r="Q259" i="30"/>
  <c r="R259" i="30"/>
  <c r="Q260" i="30"/>
  <c r="R260" i="30"/>
  <c r="Q261" i="30"/>
  <c r="R261" i="30"/>
  <c r="Q262" i="30"/>
  <c r="R262" i="30"/>
  <c r="Q263" i="30"/>
  <c r="R263" i="30"/>
  <c r="Q264" i="30"/>
  <c r="R264" i="30"/>
  <c r="Q265" i="30"/>
  <c r="R265" i="30"/>
  <c r="Q266" i="30"/>
  <c r="R266" i="30"/>
  <c r="Q267" i="30"/>
  <c r="R267" i="30"/>
  <c r="Q268" i="30"/>
  <c r="R268" i="30"/>
  <c r="Q269" i="30"/>
  <c r="R269" i="30"/>
  <c r="Q270" i="30"/>
  <c r="R270" i="30"/>
  <c r="Q271" i="30"/>
  <c r="R271" i="30"/>
  <c r="Q272" i="30"/>
  <c r="R272" i="30"/>
  <c r="Q273" i="30"/>
  <c r="R273" i="30"/>
  <c r="Q274" i="30"/>
  <c r="R274" i="30"/>
  <c r="Q275" i="30"/>
  <c r="R275" i="30"/>
  <c r="Q276" i="30"/>
  <c r="R276" i="30"/>
  <c r="Q277" i="30"/>
  <c r="R277" i="30"/>
  <c r="Q278" i="30"/>
  <c r="R278" i="30"/>
  <c r="Q279" i="30"/>
  <c r="R279" i="30"/>
  <c r="Q280" i="30"/>
  <c r="R280" i="30"/>
  <c r="Q281" i="30"/>
  <c r="R281" i="30"/>
  <c r="Q282" i="30"/>
  <c r="R282" i="30"/>
  <c r="Q283" i="30"/>
  <c r="R283" i="30"/>
  <c r="Q284" i="30"/>
  <c r="R284" i="30"/>
  <c r="Q285" i="30"/>
  <c r="R285" i="30"/>
  <c r="Q286" i="30"/>
  <c r="R286" i="30"/>
  <c r="Q287" i="30"/>
  <c r="R287" i="30"/>
  <c r="Q288" i="30"/>
  <c r="R288" i="30"/>
  <c r="Q289" i="30"/>
  <c r="R289" i="30"/>
  <c r="Q290" i="30"/>
  <c r="R290" i="30"/>
  <c r="Q291" i="30"/>
  <c r="R291" i="30"/>
  <c r="Q292" i="30"/>
  <c r="R292" i="30"/>
  <c r="Q293" i="30"/>
  <c r="R293" i="30"/>
  <c r="Q294" i="30"/>
  <c r="R294" i="30"/>
  <c r="Q295" i="30"/>
  <c r="R295" i="30"/>
  <c r="Q296" i="30"/>
  <c r="R296" i="30"/>
  <c r="Q297" i="30"/>
  <c r="R297" i="30"/>
  <c r="Q298" i="30"/>
  <c r="R298" i="30"/>
  <c r="Q299" i="30"/>
  <c r="R299" i="30"/>
  <c r="Q300" i="30"/>
  <c r="R300" i="30"/>
  <c r="Q301" i="30"/>
  <c r="R301" i="30"/>
  <c r="Q302" i="30"/>
  <c r="R302" i="30"/>
  <c r="Q303" i="30"/>
  <c r="R303" i="30"/>
  <c r="Q304" i="30"/>
  <c r="R304" i="30"/>
  <c r="Q305" i="30"/>
  <c r="R305" i="30"/>
  <c r="Q306" i="30"/>
  <c r="R306" i="30"/>
  <c r="Q307" i="30"/>
  <c r="R307" i="30"/>
  <c r="Q308" i="30"/>
  <c r="R308" i="30"/>
  <c r="Q309" i="30"/>
  <c r="R309" i="30"/>
  <c r="Q310" i="30"/>
  <c r="R310" i="30"/>
  <c r="Q311" i="30"/>
  <c r="R311" i="30"/>
  <c r="Q312" i="30"/>
  <c r="R312" i="30"/>
  <c r="Q313" i="30"/>
  <c r="R313" i="30"/>
  <c r="Q314" i="30"/>
  <c r="R314" i="30"/>
  <c r="Q315" i="30"/>
  <c r="R315" i="30"/>
  <c r="Q316" i="30"/>
  <c r="R316" i="30"/>
  <c r="Q317" i="30"/>
  <c r="R317" i="30"/>
  <c r="Q318" i="30"/>
  <c r="R318" i="30"/>
  <c r="Q319" i="30"/>
  <c r="R319" i="30"/>
  <c r="Q320" i="30"/>
  <c r="R320" i="30"/>
  <c r="Q321" i="30"/>
  <c r="R321" i="30"/>
  <c r="Q322" i="30"/>
  <c r="R322" i="30"/>
  <c r="Q323" i="30"/>
  <c r="R323" i="30"/>
  <c r="Q324" i="30"/>
  <c r="R324" i="30"/>
  <c r="Q325" i="30"/>
  <c r="R325" i="30"/>
  <c r="Q326" i="30"/>
  <c r="R326" i="30"/>
  <c r="Q327" i="30"/>
  <c r="R327" i="30"/>
  <c r="Q328" i="30"/>
  <c r="R328" i="30"/>
  <c r="Q329" i="30"/>
  <c r="R329" i="30"/>
  <c r="Q330" i="30"/>
  <c r="R330" i="30"/>
  <c r="Q331" i="30"/>
  <c r="R331" i="30"/>
  <c r="Q332" i="30"/>
  <c r="R332" i="30"/>
  <c r="Q333" i="30"/>
  <c r="R333" i="30"/>
  <c r="Q334" i="30"/>
  <c r="R334" i="30"/>
  <c r="Q335" i="30"/>
  <c r="R335" i="30"/>
  <c r="Q336" i="30"/>
  <c r="R336" i="30"/>
  <c r="Q337" i="30"/>
  <c r="R337" i="30"/>
  <c r="Q338" i="30"/>
  <c r="R338" i="30"/>
  <c r="Q339" i="30"/>
  <c r="R339" i="30"/>
  <c r="Q340" i="30"/>
  <c r="R340" i="30"/>
  <c r="Q341" i="30"/>
  <c r="R341" i="30"/>
  <c r="Q342" i="30"/>
  <c r="R342" i="30"/>
  <c r="Q343" i="30"/>
  <c r="R343" i="30"/>
  <c r="Q344" i="30"/>
  <c r="R344" i="30"/>
  <c r="Q345" i="30"/>
  <c r="R345" i="30"/>
  <c r="Q346" i="30"/>
  <c r="R346" i="30"/>
  <c r="Q347" i="30"/>
  <c r="R347" i="30"/>
  <c r="Q348" i="30"/>
  <c r="R348" i="30"/>
  <c r="Q349" i="30"/>
  <c r="R349" i="30"/>
  <c r="Q350" i="30"/>
  <c r="R350" i="30"/>
  <c r="Q351" i="30"/>
  <c r="R351" i="30"/>
  <c r="Q352" i="30"/>
  <c r="R352" i="30"/>
  <c r="Q353" i="30"/>
  <c r="R353" i="30"/>
  <c r="Q354" i="30"/>
  <c r="R354" i="30"/>
  <c r="Q355" i="30"/>
  <c r="R355" i="30"/>
  <c r="Q356" i="30"/>
  <c r="R356" i="30"/>
  <c r="Q357" i="30"/>
  <c r="R357" i="30"/>
  <c r="Q358" i="30"/>
  <c r="R358" i="30"/>
  <c r="Q359" i="30"/>
  <c r="R359" i="30"/>
  <c r="Q360" i="30"/>
  <c r="R360" i="30"/>
  <c r="Q361" i="30"/>
  <c r="R361" i="30"/>
  <c r="Q362" i="30"/>
  <c r="R362" i="30"/>
  <c r="Q363" i="30"/>
  <c r="R363" i="30"/>
  <c r="Q364" i="30"/>
  <c r="R364" i="30"/>
  <c r="Q365" i="30"/>
  <c r="R365" i="30"/>
  <c r="Q366" i="30"/>
  <c r="R366" i="30"/>
  <c r="N366" i="30"/>
  <c r="Q367" i="30"/>
  <c r="R367" i="30"/>
  <c r="Q368" i="30"/>
  <c r="R368" i="30"/>
  <c r="Q369" i="30"/>
  <c r="R369" i="30"/>
  <c r="Q370" i="30"/>
  <c r="R370" i="30"/>
  <c r="Q371" i="30"/>
  <c r="R371" i="30"/>
  <c r="Q372" i="30"/>
  <c r="R372" i="30"/>
  <c r="N372" i="30"/>
  <c r="Q373" i="30"/>
  <c r="R373" i="30"/>
  <c r="Q374" i="30"/>
  <c r="R374" i="30"/>
  <c r="Q375" i="30"/>
  <c r="R375" i="30"/>
  <c r="Q376" i="30"/>
  <c r="R376" i="30"/>
  <c r="Q377" i="30"/>
  <c r="R377" i="30"/>
  <c r="Q378" i="30"/>
  <c r="R378" i="30"/>
  <c r="Q379" i="30"/>
  <c r="R379" i="30"/>
  <c r="Q380" i="30"/>
  <c r="R380" i="30"/>
  <c r="Q381" i="30"/>
  <c r="R381" i="30"/>
  <c r="Q382" i="30"/>
  <c r="R382" i="30"/>
  <c r="Q383" i="30"/>
  <c r="R383" i="30"/>
  <c r="Q384" i="30"/>
  <c r="R384" i="30"/>
  <c r="Q385" i="30"/>
  <c r="R385" i="30"/>
  <c r="Q386" i="30"/>
  <c r="R386" i="30"/>
  <c r="Q387" i="30"/>
  <c r="R387" i="30"/>
  <c r="Q388" i="30"/>
  <c r="R388" i="30"/>
  <c r="Q389" i="30"/>
  <c r="R389" i="30"/>
  <c r="Q390" i="30"/>
  <c r="R390" i="30"/>
  <c r="Q391" i="30"/>
  <c r="R391" i="30"/>
  <c r="Q392" i="30"/>
  <c r="R392" i="30"/>
  <c r="Q393" i="30"/>
  <c r="R393" i="30"/>
  <c r="Q394" i="30"/>
  <c r="R394" i="30"/>
  <c r="Q395" i="30"/>
  <c r="R395" i="30"/>
  <c r="Q396" i="30"/>
  <c r="R396" i="30"/>
  <c r="Q397" i="30"/>
  <c r="R397" i="30"/>
  <c r="Q398" i="30"/>
  <c r="R398" i="30"/>
  <c r="Q399" i="30"/>
  <c r="R399" i="30"/>
  <c r="Q400" i="30"/>
  <c r="R400" i="30"/>
  <c r="Q401" i="30"/>
  <c r="R401" i="30"/>
  <c r="Q402" i="30"/>
  <c r="R402" i="30"/>
  <c r="Q403" i="30"/>
  <c r="R403" i="30"/>
  <c r="Q404" i="30"/>
  <c r="R404" i="30"/>
  <c r="Q405" i="30"/>
  <c r="R405" i="30"/>
  <c r="Q406" i="30"/>
  <c r="R406" i="30"/>
  <c r="Q407" i="30"/>
  <c r="R407" i="30"/>
  <c r="Q408" i="30"/>
  <c r="R408" i="30"/>
  <c r="N408" i="30"/>
  <c r="Q409" i="30"/>
  <c r="R409" i="30"/>
  <c r="Q410" i="30"/>
  <c r="R410" i="30"/>
  <c r="Q411" i="30"/>
  <c r="R411" i="30"/>
  <c r="Q412" i="30"/>
  <c r="R412" i="30"/>
  <c r="Q413" i="30"/>
  <c r="R413" i="30"/>
  <c r="Q414" i="30"/>
  <c r="R414" i="30"/>
  <c r="N414" i="30"/>
  <c r="Q415" i="30"/>
  <c r="R415" i="30"/>
  <c r="Q416" i="30"/>
  <c r="R416" i="30"/>
  <c r="Q417" i="30"/>
  <c r="R417" i="30"/>
  <c r="Q418" i="30"/>
  <c r="R418" i="30"/>
  <c r="Q419" i="30"/>
  <c r="R419" i="30"/>
  <c r="Q420" i="30"/>
  <c r="R420" i="30"/>
  <c r="N420" i="30"/>
  <c r="Q421" i="30"/>
  <c r="R421" i="30"/>
  <c r="Q422" i="30"/>
  <c r="R422" i="30"/>
  <c r="Q423" i="30"/>
  <c r="R423" i="30"/>
  <c r="Q424" i="30"/>
  <c r="R424" i="30"/>
  <c r="Q425" i="30"/>
  <c r="R425" i="30"/>
  <c r="Q426" i="30"/>
  <c r="R426" i="30"/>
  <c r="Q427" i="30"/>
  <c r="R427" i="30"/>
  <c r="Q428" i="30"/>
  <c r="R428" i="30"/>
  <c r="Q429" i="30"/>
  <c r="R429" i="30"/>
  <c r="Q430" i="30"/>
  <c r="R430" i="30"/>
  <c r="Q431" i="30"/>
  <c r="R431" i="30"/>
  <c r="Q432" i="30"/>
  <c r="R432" i="30"/>
  <c r="Q433" i="30"/>
  <c r="R433" i="30"/>
  <c r="Q434" i="30"/>
  <c r="R434" i="30"/>
  <c r="Q435" i="30"/>
  <c r="R435" i="30"/>
  <c r="Q436" i="30"/>
  <c r="R436" i="30"/>
  <c r="Q437" i="30"/>
  <c r="R437" i="30"/>
  <c r="Q438" i="30"/>
  <c r="R438" i="30"/>
  <c r="Q439" i="30"/>
  <c r="R439" i="30"/>
  <c r="Q440" i="30"/>
  <c r="R440" i="30"/>
  <c r="Q441" i="30"/>
  <c r="R441" i="30"/>
  <c r="Q442" i="30"/>
  <c r="R442" i="30"/>
  <c r="Q443" i="30"/>
  <c r="R443" i="30"/>
  <c r="Q444" i="30"/>
  <c r="R444" i="30"/>
  <c r="Q445" i="30"/>
  <c r="R445" i="30"/>
  <c r="Q446" i="30"/>
  <c r="R446" i="30"/>
  <c r="N446" i="30"/>
  <c r="Q447" i="30"/>
  <c r="R447" i="30"/>
  <c r="Q448" i="30"/>
  <c r="R448" i="30"/>
  <c r="Q449" i="30"/>
  <c r="R449" i="30"/>
  <c r="Q450" i="30"/>
  <c r="R450" i="30"/>
  <c r="Q451" i="30"/>
  <c r="R451" i="30"/>
  <c r="Q452" i="30"/>
  <c r="R452" i="30"/>
  <c r="N452" i="30"/>
  <c r="Q453" i="30"/>
  <c r="R453" i="30"/>
  <c r="Q454" i="30"/>
  <c r="R454" i="30"/>
  <c r="Q455" i="30"/>
  <c r="R455" i="30"/>
  <c r="Q456" i="30"/>
  <c r="R456" i="30"/>
  <c r="Q457" i="30"/>
  <c r="R457" i="30"/>
  <c r="Q458" i="30"/>
  <c r="R458" i="30"/>
  <c r="Q459" i="30"/>
  <c r="R459" i="30"/>
  <c r="Q460" i="30"/>
  <c r="R460" i="30"/>
  <c r="Q461" i="30"/>
  <c r="R461" i="30"/>
  <c r="Q462" i="30"/>
  <c r="R462" i="30"/>
  <c r="Q463" i="30"/>
  <c r="R463" i="30"/>
  <c r="Q464" i="30"/>
  <c r="R464" i="30"/>
  <c r="Q465" i="30"/>
  <c r="R465" i="30"/>
  <c r="Q466" i="30"/>
  <c r="R466" i="30"/>
  <c r="Q467" i="30"/>
  <c r="R467" i="30"/>
  <c r="Q468" i="30"/>
  <c r="R468" i="30"/>
  <c r="Q469" i="30"/>
  <c r="R469" i="30"/>
  <c r="Q470" i="30"/>
  <c r="R470" i="30"/>
  <c r="Q471" i="30"/>
  <c r="R471" i="30"/>
  <c r="Q472" i="30"/>
  <c r="R472" i="30"/>
  <c r="Q473" i="30"/>
  <c r="R473" i="30"/>
  <c r="Q474" i="30"/>
  <c r="R474" i="30"/>
  <c r="Q475" i="30"/>
  <c r="R475" i="30"/>
  <c r="Q476" i="30"/>
  <c r="R476" i="30"/>
  <c r="Q477" i="30"/>
  <c r="R477" i="30"/>
  <c r="Q478" i="30"/>
  <c r="R478" i="30"/>
  <c r="N478" i="30"/>
  <c r="Q479" i="30"/>
  <c r="R479" i="30"/>
  <c r="Q480" i="30"/>
  <c r="R480" i="30"/>
  <c r="Q481" i="30"/>
  <c r="R481" i="30"/>
  <c r="Q482" i="30"/>
  <c r="R482" i="30"/>
  <c r="Q483" i="30"/>
  <c r="R483" i="30"/>
  <c r="Q484" i="30"/>
  <c r="R484" i="30"/>
  <c r="Q485" i="30"/>
  <c r="R485" i="30"/>
  <c r="Q486" i="30"/>
  <c r="R486" i="30"/>
  <c r="Q487" i="30"/>
  <c r="R487" i="30"/>
  <c r="Q488" i="30"/>
  <c r="R488" i="30"/>
  <c r="Q489" i="30"/>
  <c r="R489" i="30"/>
  <c r="Q490" i="30"/>
  <c r="R490" i="30"/>
  <c r="Q491" i="30"/>
  <c r="R491" i="30"/>
  <c r="Q492" i="30"/>
  <c r="R492" i="30"/>
  <c r="Q493" i="30"/>
  <c r="R493" i="30"/>
  <c r="Q494" i="30"/>
  <c r="R494" i="30"/>
  <c r="Q495" i="30"/>
  <c r="R495" i="30"/>
  <c r="Q496" i="30"/>
  <c r="R496" i="30"/>
  <c r="Q497" i="30"/>
  <c r="R497" i="30"/>
  <c r="Q498" i="30"/>
  <c r="R498" i="30"/>
  <c r="Q499" i="30"/>
  <c r="R499" i="30"/>
  <c r="Q500" i="30"/>
  <c r="R500" i="30"/>
  <c r="Q501" i="30"/>
  <c r="R501" i="30"/>
  <c r="Q502" i="30"/>
  <c r="R502" i="30"/>
  <c r="Q503" i="30"/>
  <c r="R503" i="30"/>
  <c r="Q504" i="30"/>
  <c r="R504" i="30"/>
  <c r="Q505" i="30"/>
  <c r="R505" i="30"/>
  <c r="Q506" i="30"/>
  <c r="R506" i="30"/>
  <c r="Q507" i="30"/>
  <c r="R507" i="30"/>
  <c r="Q508" i="30"/>
  <c r="R508" i="30"/>
  <c r="Q509" i="30"/>
  <c r="R509" i="30"/>
  <c r="Q510" i="30"/>
  <c r="R510" i="30"/>
  <c r="Q511" i="30"/>
  <c r="R511" i="30"/>
  <c r="Q512" i="30"/>
  <c r="R512" i="30"/>
  <c r="Q513" i="30"/>
  <c r="R513" i="30"/>
  <c r="Q514" i="30"/>
  <c r="R514" i="30"/>
  <c r="Q515" i="30"/>
  <c r="R515" i="30"/>
  <c r="Q516" i="30"/>
  <c r="R516" i="30"/>
  <c r="Q517" i="30"/>
  <c r="R517" i="30"/>
  <c r="Q518" i="30"/>
  <c r="R518" i="30"/>
  <c r="Q519" i="30"/>
  <c r="R519" i="30"/>
  <c r="Q520" i="30"/>
  <c r="R520" i="30"/>
  <c r="Q521" i="30"/>
  <c r="R521" i="30"/>
  <c r="Q522" i="30"/>
  <c r="R522" i="30"/>
  <c r="Q523" i="30"/>
  <c r="R523" i="30"/>
  <c r="Q524" i="30"/>
  <c r="R524" i="30"/>
  <c r="Q525" i="30"/>
  <c r="R525" i="30"/>
  <c r="Q526" i="30"/>
  <c r="R526" i="30"/>
  <c r="Q527" i="30"/>
  <c r="R527" i="30"/>
  <c r="Q528" i="30"/>
  <c r="R528" i="30"/>
  <c r="Q529" i="30"/>
  <c r="R529" i="30"/>
  <c r="Q530" i="30"/>
  <c r="R530" i="30"/>
  <c r="Q531" i="30"/>
  <c r="R531" i="30"/>
  <c r="Q532" i="30"/>
  <c r="R532" i="30"/>
  <c r="Q533" i="30"/>
  <c r="R533" i="30"/>
  <c r="Q534" i="30"/>
  <c r="R534" i="30"/>
  <c r="Q535" i="30"/>
  <c r="R535" i="30"/>
  <c r="Q536" i="30"/>
  <c r="R536" i="30"/>
  <c r="Q537" i="30"/>
  <c r="R537" i="30"/>
  <c r="Q538" i="30"/>
  <c r="R538" i="30"/>
  <c r="Q539" i="30"/>
  <c r="R539" i="30"/>
  <c r="Q540" i="30"/>
  <c r="R540" i="30"/>
  <c r="Q541" i="30"/>
  <c r="R541" i="30"/>
  <c r="Q542" i="30"/>
  <c r="R542" i="30"/>
  <c r="Q543" i="30"/>
  <c r="R543" i="30"/>
  <c r="Q544" i="30"/>
  <c r="R544" i="30"/>
  <c r="Q545" i="30"/>
  <c r="R545" i="30"/>
  <c r="Q546" i="30"/>
  <c r="R546" i="30"/>
  <c r="Q547" i="30"/>
  <c r="R547" i="30"/>
  <c r="Q548" i="30"/>
  <c r="R548" i="30"/>
  <c r="Q549" i="30"/>
  <c r="R549" i="30"/>
  <c r="Q550" i="30"/>
  <c r="R550" i="30"/>
  <c r="Q551" i="30"/>
  <c r="R551" i="30"/>
  <c r="Q552" i="30"/>
  <c r="R552" i="30"/>
  <c r="Q553" i="30"/>
  <c r="R553" i="30"/>
  <c r="Q554" i="30"/>
  <c r="R554" i="30"/>
  <c r="Q555" i="30"/>
  <c r="R555" i="30"/>
  <c r="Q556" i="30"/>
  <c r="R556" i="30"/>
  <c r="Q557" i="30"/>
  <c r="R557" i="30"/>
  <c r="Q558" i="30"/>
  <c r="R558" i="30"/>
  <c r="Q559" i="30"/>
  <c r="R559" i="30"/>
  <c r="Q560" i="30"/>
  <c r="R560" i="30"/>
  <c r="Q561" i="30"/>
  <c r="R561" i="30"/>
  <c r="Q562" i="30"/>
  <c r="R562" i="30"/>
  <c r="Q563" i="30"/>
  <c r="R563" i="30"/>
  <c r="Q564" i="30"/>
  <c r="R564" i="30"/>
  <c r="Q565" i="30"/>
  <c r="R565" i="30"/>
  <c r="Q566" i="30"/>
  <c r="R566" i="30"/>
  <c r="Q567" i="30"/>
  <c r="R567" i="30"/>
  <c r="Q568" i="30"/>
  <c r="R568" i="30"/>
  <c r="Q569" i="30"/>
  <c r="R569" i="30"/>
  <c r="Q570" i="30"/>
  <c r="R570" i="30"/>
  <c r="Q571" i="30"/>
  <c r="R571" i="30"/>
  <c r="Q572" i="30"/>
  <c r="R572" i="30"/>
  <c r="Q573" i="30"/>
  <c r="R573" i="30"/>
  <c r="Q574" i="30"/>
  <c r="R574" i="30"/>
  <c r="Q575" i="30"/>
  <c r="R575" i="30"/>
  <c r="Q576" i="30"/>
  <c r="R576" i="30"/>
  <c r="Q577" i="30"/>
  <c r="R577" i="30"/>
  <c r="Q578" i="30"/>
  <c r="R578" i="30"/>
  <c r="Q579" i="30"/>
  <c r="R579" i="30"/>
  <c r="Q580" i="30"/>
  <c r="R580" i="30"/>
  <c r="Q581" i="30"/>
  <c r="R581" i="30"/>
  <c r="Q582" i="30"/>
  <c r="R582" i="30"/>
  <c r="Q583" i="30"/>
  <c r="R583" i="30"/>
  <c r="Q584" i="30"/>
  <c r="R584" i="30"/>
  <c r="Q585" i="30"/>
  <c r="R585" i="30"/>
  <c r="Q586" i="30"/>
  <c r="R586" i="30"/>
  <c r="Q587" i="30"/>
  <c r="R587" i="30"/>
  <c r="Q588" i="30"/>
  <c r="R588" i="30"/>
  <c r="Q589" i="30"/>
  <c r="R589" i="30"/>
  <c r="Q590" i="30"/>
  <c r="R590" i="30"/>
  <c r="Q591" i="30"/>
  <c r="R591" i="30"/>
  <c r="Q592" i="30"/>
  <c r="R592" i="30"/>
  <c r="Q593" i="30"/>
  <c r="R593" i="30"/>
  <c r="Q594" i="30"/>
  <c r="R594" i="30"/>
  <c r="Q595" i="30"/>
  <c r="R595" i="30"/>
  <c r="Q596" i="30"/>
  <c r="R596" i="30"/>
  <c r="Q597" i="30"/>
  <c r="R597" i="30"/>
  <c r="Q598" i="30"/>
  <c r="R598" i="30"/>
  <c r="Q599" i="30"/>
  <c r="R599" i="30"/>
  <c r="Q600" i="30"/>
  <c r="R600" i="30"/>
  <c r="Q601" i="30"/>
  <c r="R601" i="30"/>
  <c r="Q602" i="30"/>
  <c r="R602" i="30"/>
  <c r="Q603" i="30"/>
  <c r="R603" i="30"/>
  <c r="Q604" i="30"/>
  <c r="R604" i="30"/>
  <c r="Q605" i="30"/>
  <c r="R605" i="30"/>
  <c r="Q606" i="30"/>
  <c r="R606" i="30"/>
  <c r="Q607" i="30"/>
  <c r="R607" i="30"/>
  <c r="Q608" i="30"/>
  <c r="R608" i="30"/>
  <c r="Q609" i="30"/>
  <c r="R609" i="30"/>
  <c r="Q610" i="30"/>
  <c r="R610" i="30"/>
  <c r="Q611" i="30"/>
  <c r="R611" i="30"/>
  <c r="Q612" i="30"/>
  <c r="R612" i="30"/>
  <c r="Q613" i="30"/>
  <c r="R613" i="30"/>
  <c r="Q614" i="30"/>
  <c r="R614" i="30"/>
  <c r="Q615" i="30"/>
  <c r="R615" i="30"/>
  <c r="Q616" i="30"/>
  <c r="R616" i="30"/>
  <c r="Q617" i="30"/>
  <c r="R617" i="30"/>
  <c r="Q618" i="30"/>
  <c r="R618" i="30"/>
  <c r="Q619" i="30"/>
  <c r="R619" i="30"/>
  <c r="Q620" i="30"/>
  <c r="R620" i="30"/>
  <c r="Q621" i="30"/>
  <c r="R621" i="30"/>
  <c r="Q622" i="30"/>
  <c r="R622" i="30"/>
  <c r="Q623" i="30"/>
  <c r="R623" i="30"/>
  <c r="Q624" i="30"/>
  <c r="R624" i="30"/>
  <c r="Q625" i="30"/>
  <c r="R625" i="30"/>
  <c r="Q626" i="30"/>
  <c r="R626" i="30"/>
  <c r="Q627" i="30"/>
  <c r="R627" i="30"/>
  <c r="Q628" i="30"/>
  <c r="R628" i="30"/>
  <c r="Q629" i="30"/>
  <c r="R629" i="30"/>
  <c r="Q630" i="30"/>
  <c r="R630" i="30"/>
  <c r="Q631" i="30"/>
  <c r="R631" i="30"/>
  <c r="Q632" i="30"/>
  <c r="R632" i="30"/>
  <c r="Q633" i="30"/>
  <c r="R633" i="30"/>
  <c r="Q634" i="30"/>
  <c r="R634" i="30"/>
  <c r="Q635" i="30"/>
  <c r="R635" i="30"/>
  <c r="Q636" i="30"/>
  <c r="R636" i="30"/>
  <c r="Q637" i="30"/>
  <c r="R637" i="30"/>
  <c r="Q638" i="30"/>
  <c r="R638" i="30"/>
  <c r="N638" i="30"/>
  <c r="Q639" i="30"/>
  <c r="R639" i="30"/>
  <c r="Q640" i="30"/>
  <c r="R640" i="30"/>
  <c r="Q641" i="30"/>
  <c r="R641" i="30"/>
  <c r="Q642" i="30"/>
  <c r="R642" i="30"/>
  <c r="Q643" i="30"/>
  <c r="R643" i="30"/>
  <c r="Q644" i="30"/>
  <c r="R644" i="30"/>
  <c r="Q645" i="30"/>
  <c r="R645" i="30"/>
  <c r="Q646" i="30"/>
  <c r="R646" i="30"/>
  <c r="Q647" i="30"/>
  <c r="R647" i="30"/>
  <c r="Q648" i="30"/>
  <c r="R648" i="30"/>
  <c r="Q649" i="30"/>
  <c r="R649" i="30"/>
  <c r="Q650" i="30"/>
  <c r="R650" i="30"/>
  <c r="Q651" i="30"/>
  <c r="R651" i="30"/>
  <c r="Q652" i="30"/>
  <c r="R652" i="30"/>
  <c r="N652" i="30"/>
  <c r="Q653" i="30"/>
  <c r="R653" i="30"/>
  <c r="Q654" i="30"/>
  <c r="R654" i="30"/>
  <c r="Q655" i="30"/>
  <c r="R655" i="30"/>
  <c r="Q656" i="30"/>
  <c r="R656" i="30"/>
  <c r="Q657" i="30"/>
  <c r="R657" i="30"/>
  <c r="Q658" i="30"/>
  <c r="R658" i="30"/>
  <c r="Q659" i="30"/>
  <c r="R659" i="30"/>
  <c r="Q660" i="30"/>
  <c r="R660" i="30"/>
  <c r="Q661" i="30"/>
  <c r="R661" i="30"/>
  <c r="Q662" i="30"/>
  <c r="R662" i="30"/>
  <c r="Q663" i="30"/>
  <c r="R663" i="30"/>
  <c r="Q664" i="30"/>
  <c r="R664" i="30"/>
  <c r="Q665" i="30"/>
  <c r="R665" i="30"/>
  <c r="Q666" i="30"/>
  <c r="R666" i="30"/>
  <c r="Q667" i="30"/>
  <c r="R667" i="30"/>
  <c r="Q668" i="30"/>
  <c r="R668" i="30"/>
  <c r="Q669" i="30"/>
  <c r="R669" i="30"/>
  <c r="Q670" i="30"/>
  <c r="R670" i="30"/>
  <c r="Q671" i="30"/>
  <c r="R671" i="30"/>
  <c r="Q672" i="30"/>
  <c r="R672" i="30"/>
  <c r="Q673" i="30"/>
  <c r="R673" i="30"/>
  <c r="Q674" i="30"/>
  <c r="R674" i="30"/>
  <c r="Q675" i="30"/>
  <c r="R675" i="30"/>
  <c r="Q676" i="30"/>
  <c r="R676" i="30"/>
  <c r="Q677" i="30"/>
  <c r="R677" i="30"/>
  <c r="Q678" i="30"/>
  <c r="R678" i="30"/>
  <c r="Q679" i="30"/>
  <c r="R679" i="30"/>
  <c r="Q680" i="30"/>
  <c r="R680" i="30"/>
  <c r="N680" i="30"/>
  <c r="Q681" i="30"/>
  <c r="R681" i="30"/>
  <c r="Q682" i="30"/>
  <c r="R682" i="30"/>
  <c r="Q683" i="30"/>
  <c r="R683" i="30"/>
  <c r="Q684" i="30"/>
  <c r="R684" i="30"/>
  <c r="Q685" i="30"/>
  <c r="R685" i="30"/>
  <c r="Q686" i="30"/>
  <c r="R686" i="30"/>
  <c r="Q687" i="30"/>
  <c r="R687" i="30"/>
  <c r="Q688" i="30"/>
  <c r="R688" i="30"/>
  <c r="Q689" i="30"/>
  <c r="R689" i="30"/>
  <c r="Q690" i="30"/>
  <c r="R690" i="30"/>
  <c r="Q691" i="30"/>
  <c r="R691" i="30"/>
  <c r="Q692" i="30"/>
  <c r="R692" i="30"/>
  <c r="Q693" i="30"/>
  <c r="R693" i="30"/>
  <c r="Q694" i="30"/>
  <c r="R694" i="30"/>
  <c r="Q695" i="30"/>
  <c r="R695" i="30"/>
  <c r="Q696" i="30"/>
  <c r="R696" i="30"/>
  <c r="Q697" i="30"/>
  <c r="R697" i="30"/>
  <c r="Q698" i="30"/>
  <c r="R698" i="30"/>
  <c r="Q699" i="30"/>
  <c r="R699" i="30"/>
  <c r="Q700" i="30"/>
  <c r="R700" i="30"/>
  <c r="Q701" i="30"/>
  <c r="R701" i="30"/>
  <c r="Q702" i="30"/>
  <c r="R702" i="30"/>
  <c r="Q703" i="30"/>
  <c r="R703" i="30"/>
  <c r="Q704" i="30"/>
  <c r="R704" i="30"/>
  <c r="Q705" i="30"/>
  <c r="R705" i="30"/>
  <c r="Q706" i="30"/>
  <c r="R706" i="30"/>
  <c r="Q707" i="30"/>
  <c r="R707" i="30"/>
  <c r="Q708" i="30"/>
  <c r="R708" i="30"/>
  <c r="Q709" i="30"/>
  <c r="R709" i="30"/>
  <c r="Q710" i="30"/>
  <c r="R710" i="30"/>
  <c r="Q711" i="30"/>
  <c r="R711" i="30"/>
  <c r="Q712" i="30"/>
  <c r="R712" i="30"/>
  <c r="Q713" i="30"/>
  <c r="R713" i="30"/>
  <c r="Q714" i="30"/>
  <c r="R714" i="30"/>
  <c r="Q715" i="30"/>
  <c r="R715" i="30"/>
  <c r="Q716" i="30"/>
  <c r="R716" i="30"/>
  <c r="Q717" i="30"/>
  <c r="R717" i="30"/>
  <c r="Q718" i="30"/>
  <c r="R718" i="30"/>
  <c r="Q719" i="30"/>
  <c r="R719" i="30"/>
  <c r="Q720" i="30"/>
  <c r="R720" i="30"/>
  <c r="Q721" i="30"/>
  <c r="R721" i="30"/>
  <c r="Q722" i="30"/>
  <c r="R722" i="30"/>
  <c r="Q723" i="30"/>
  <c r="R723" i="30"/>
  <c r="Q724" i="30"/>
  <c r="R724" i="30"/>
  <c r="Q725" i="30"/>
  <c r="R725" i="30"/>
  <c r="Q726" i="30"/>
  <c r="R726" i="30"/>
  <c r="Q727" i="30"/>
  <c r="R727" i="30"/>
  <c r="Q728" i="30"/>
  <c r="R728" i="30"/>
  <c r="Q729" i="30"/>
  <c r="R729" i="30"/>
  <c r="Q730" i="30"/>
  <c r="R730" i="30"/>
  <c r="Q731" i="30"/>
  <c r="R731" i="30"/>
  <c r="Q732" i="30"/>
  <c r="R732" i="30"/>
  <c r="N732" i="30"/>
  <c r="Q733" i="30"/>
  <c r="R733" i="30"/>
  <c r="Q734" i="30"/>
  <c r="R734" i="30"/>
  <c r="Q735" i="30"/>
  <c r="R735" i="30"/>
  <c r="Q736" i="30"/>
  <c r="R736" i="30"/>
  <c r="Q737" i="30"/>
  <c r="R737" i="30"/>
  <c r="Q738" i="30"/>
  <c r="R738" i="30"/>
  <c r="Q739" i="30"/>
  <c r="R739" i="30"/>
  <c r="Q740" i="30"/>
  <c r="R740" i="30"/>
  <c r="Q741" i="30"/>
  <c r="R741" i="30"/>
  <c r="Q742" i="30"/>
  <c r="R742" i="30"/>
  <c r="Q743" i="30"/>
  <c r="R743" i="30"/>
  <c r="Q744" i="30"/>
  <c r="R744" i="30"/>
  <c r="Q745" i="30"/>
  <c r="R745" i="30"/>
  <c r="Q746" i="30"/>
  <c r="R746" i="30"/>
  <c r="Q747" i="30"/>
  <c r="R747" i="30"/>
  <c r="Q748" i="30"/>
  <c r="R748" i="30"/>
  <c r="Q749" i="30"/>
  <c r="R749" i="30"/>
  <c r="Q750" i="30"/>
  <c r="R750" i="30"/>
  <c r="Q751" i="30"/>
  <c r="R751" i="30"/>
  <c r="Q752" i="30"/>
  <c r="R752" i="30"/>
  <c r="Q753" i="30"/>
  <c r="R753" i="30"/>
  <c r="Q754" i="30"/>
  <c r="R754" i="30"/>
  <c r="Q755" i="30"/>
  <c r="R755" i="30"/>
  <c r="Q756" i="30"/>
  <c r="R756" i="30"/>
  <c r="Q757" i="30"/>
  <c r="R757" i="30"/>
  <c r="Q758" i="30"/>
  <c r="R758" i="30"/>
  <c r="Q759" i="30"/>
  <c r="R759" i="30"/>
  <c r="Q760" i="30"/>
  <c r="R760" i="30"/>
  <c r="Q761" i="30"/>
  <c r="R761" i="30"/>
  <c r="Q762" i="30"/>
  <c r="R762" i="30"/>
  <c r="Q763" i="30"/>
  <c r="R763" i="30"/>
  <c r="Q764" i="30"/>
  <c r="R764" i="30"/>
  <c r="Q765" i="30"/>
  <c r="R765" i="30"/>
  <c r="Q766" i="30"/>
  <c r="R766" i="30"/>
  <c r="Q767" i="30"/>
  <c r="R767" i="30"/>
  <c r="Q768" i="30"/>
  <c r="R768" i="30"/>
  <c r="Q769" i="30"/>
  <c r="R769" i="30"/>
  <c r="Q770" i="30"/>
  <c r="R770" i="30"/>
  <c r="Q771" i="30"/>
  <c r="R771" i="30"/>
  <c r="Q772" i="30"/>
  <c r="R772" i="30"/>
  <c r="Q773" i="30"/>
  <c r="R773" i="30"/>
  <c r="Q774" i="30"/>
  <c r="R774" i="30"/>
  <c r="Q775" i="30"/>
  <c r="R775" i="30"/>
  <c r="Q776" i="30"/>
  <c r="R776" i="30"/>
  <c r="N776" i="30"/>
  <c r="Q777" i="30"/>
  <c r="R777" i="30"/>
  <c r="Q778" i="30"/>
  <c r="R778" i="30"/>
  <c r="Q779" i="30"/>
  <c r="R779" i="30"/>
  <c r="Q780" i="30"/>
  <c r="R780" i="30"/>
  <c r="Q781" i="30"/>
  <c r="R781" i="30"/>
  <c r="Q782" i="30"/>
  <c r="R782" i="30"/>
  <c r="Q783" i="30"/>
  <c r="R783" i="30"/>
  <c r="Q784" i="30"/>
  <c r="R784" i="30"/>
  <c r="Q785" i="30"/>
  <c r="R785" i="30"/>
  <c r="Q786" i="30"/>
  <c r="R786" i="30"/>
  <c r="Q787" i="30"/>
  <c r="R787" i="30"/>
  <c r="Q788" i="30"/>
  <c r="R788" i="30"/>
  <c r="Q789" i="30"/>
  <c r="R789" i="30"/>
  <c r="Q790" i="30"/>
  <c r="R790" i="30"/>
  <c r="Q791" i="30"/>
  <c r="R791" i="30"/>
  <c r="Q792" i="30"/>
  <c r="R792" i="30"/>
  <c r="Q793" i="30"/>
  <c r="R793" i="30"/>
  <c r="Q794" i="30"/>
  <c r="R794" i="30"/>
  <c r="Q795" i="30"/>
  <c r="R795" i="30"/>
  <c r="Q796" i="30"/>
  <c r="R796" i="30"/>
  <c r="Q797" i="30"/>
  <c r="R797" i="30"/>
  <c r="Q798" i="30"/>
  <c r="R798" i="30"/>
  <c r="Q799" i="30"/>
  <c r="R799" i="30"/>
  <c r="Q800" i="30"/>
  <c r="R800" i="30"/>
  <c r="Q801" i="30"/>
  <c r="R801" i="30"/>
  <c r="Q802" i="30"/>
  <c r="R802" i="30"/>
  <c r="Q803" i="30"/>
  <c r="R803" i="30"/>
  <c r="Q804" i="30"/>
  <c r="R804" i="30"/>
  <c r="Q805" i="30"/>
  <c r="R805" i="30"/>
  <c r="Q806" i="30"/>
  <c r="R806" i="30"/>
  <c r="Q807" i="30"/>
  <c r="R807" i="30"/>
  <c r="Q808" i="30"/>
  <c r="R808" i="30"/>
  <c r="Q809" i="30"/>
  <c r="R809" i="30"/>
  <c r="Q810" i="30"/>
  <c r="R810" i="30"/>
  <c r="Q811" i="30"/>
  <c r="R811" i="30"/>
  <c r="Q812" i="30"/>
  <c r="R812" i="30"/>
  <c r="Q813" i="30"/>
  <c r="R813" i="30"/>
  <c r="Q814" i="30"/>
  <c r="R814" i="30"/>
  <c r="Q815" i="30"/>
  <c r="R815" i="30"/>
  <c r="Q816" i="30"/>
  <c r="R816" i="30"/>
  <c r="Q817" i="30"/>
  <c r="R817" i="30"/>
  <c r="Q818" i="30"/>
  <c r="R818" i="30"/>
  <c r="Q819" i="30"/>
  <c r="R819" i="30"/>
  <c r="Q820" i="30"/>
  <c r="R820" i="30"/>
  <c r="Q821" i="30"/>
  <c r="R821" i="30"/>
  <c r="Q822" i="30"/>
  <c r="R822" i="30"/>
  <c r="Q823" i="30"/>
  <c r="R823" i="30"/>
  <c r="Q824" i="30"/>
  <c r="R824" i="30"/>
  <c r="Q825" i="30"/>
  <c r="R825" i="30"/>
  <c r="Q826" i="30"/>
  <c r="R826" i="30"/>
  <c r="Q827" i="30"/>
  <c r="R827" i="30"/>
  <c r="Q828" i="30"/>
  <c r="R828" i="30"/>
  <c r="Q829" i="30"/>
  <c r="R829" i="30"/>
  <c r="Q830" i="30"/>
  <c r="R830" i="30"/>
  <c r="Q831" i="30"/>
  <c r="R831" i="30"/>
  <c r="Q832" i="30"/>
  <c r="R832" i="30"/>
  <c r="Q833" i="30"/>
  <c r="R833" i="30"/>
  <c r="Q834" i="30"/>
  <c r="R834" i="30"/>
  <c r="Q835" i="30"/>
  <c r="R835" i="30"/>
  <c r="Q836" i="30"/>
  <c r="R836" i="30"/>
  <c r="Q837" i="30"/>
  <c r="R837" i="30"/>
  <c r="Q838" i="30"/>
  <c r="R838" i="30"/>
  <c r="Q839" i="30"/>
  <c r="R839" i="30"/>
  <c r="Q840" i="30"/>
  <c r="R840" i="30"/>
  <c r="Q841" i="30"/>
  <c r="R841" i="30"/>
  <c r="Q842" i="30"/>
  <c r="R842" i="30"/>
  <c r="Q843" i="30"/>
  <c r="R843" i="30"/>
  <c r="Q844" i="30"/>
  <c r="R844" i="30"/>
  <c r="Q845" i="30"/>
  <c r="R845" i="30"/>
  <c r="Q846" i="30"/>
  <c r="R846" i="30"/>
  <c r="Q847" i="30"/>
  <c r="R847" i="30"/>
  <c r="Q848" i="30"/>
  <c r="R848" i="30"/>
  <c r="Q849" i="30"/>
  <c r="R849" i="30"/>
  <c r="Q850" i="30"/>
  <c r="R850" i="30"/>
  <c r="Q851" i="30"/>
  <c r="R851" i="30"/>
  <c r="Q852" i="30"/>
  <c r="R852" i="30"/>
  <c r="Q853" i="30"/>
  <c r="R853" i="30"/>
  <c r="Q854" i="30"/>
  <c r="R854" i="30"/>
  <c r="Q855" i="30"/>
  <c r="R855" i="30"/>
  <c r="Q856" i="30"/>
  <c r="R856" i="30"/>
  <c r="Q857" i="30"/>
  <c r="R857" i="30"/>
  <c r="Q858" i="30"/>
  <c r="R858" i="30"/>
  <c r="Q859" i="30"/>
  <c r="R859" i="30"/>
  <c r="Q860" i="30"/>
  <c r="R860" i="30"/>
  <c r="Q861" i="30"/>
  <c r="R861" i="30"/>
  <c r="Q862" i="30"/>
  <c r="R862" i="30"/>
  <c r="Q863" i="30"/>
  <c r="R863" i="30"/>
  <c r="Q864" i="30"/>
  <c r="R864" i="30"/>
  <c r="Q865" i="30"/>
  <c r="R865" i="30"/>
  <c r="Q866" i="30"/>
  <c r="R866" i="30"/>
  <c r="Q867" i="30"/>
  <c r="R867" i="30"/>
  <c r="Q868" i="30"/>
  <c r="R868" i="30"/>
  <c r="Q869" i="30"/>
  <c r="R869" i="30"/>
  <c r="Q870" i="30"/>
  <c r="R870" i="30"/>
  <c r="Q871" i="30"/>
  <c r="R871" i="30"/>
  <c r="Q872" i="30"/>
  <c r="R872" i="30"/>
  <c r="Q873" i="30"/>
  <c r="R873" i="30"/>
  <c r="Q874" i="30"/>
  <c r="R874" i="30"/>
  <c r="Q875" i="30"/>
  <c r="R875" i="30"/>
  <c r="Q876" i="30"/>
  <c r="R876" i="30"/>
  <c r="Q877" i="30"/>
  <c r="R877" i="30"/>
  <c r="Q878" i="30"/>
  <c r="R878" i="30"/>
  <c r="Q879" i="30"/>
  <c r="R879" i="30"/>
  <c r="Q880" i="30"/>
  <c r="R880" i="30"/>
  <c r="Q881" i="30"/>
  <c r="R881" i="30"/>
  <c r="Q882" i="30"/>
  <c r="R882" i="30"/>
  <c r="Q883" i="30"/>
  <c r="R883" i="30"/>
  <c r="Q884" i="30"/>
  <c r="R884" i="30"/>
  <c r="Q885" i="30"/>
  <c r="R885" i="30"/>
  <c r="Q886" i="30"/>
  <c r="R886" i="30"/>
  <c r="Q887" i="30"/>
  <c r="R887" i="30"/>
  <c r="Q888" i="30"/>
  <c r="R888" i="30"/>
  <c r="Q889" i="30"/>
  <c r="R889" i="30"/>
  <c r="Q890" i="30"/>
  <c r="R890" i="30"/>
  <c r="Q891" i="30"/>
  <c r="R891" i="30"/>
  <c r="Q892" i="30"/>
  <c r="R892" i="30"/>
  <c r="Q893" i="30"/>
  <c r="R893" i="30"/>
  <c r="Q894" i="30"/>
  <c r="R894" i="30"/>
  <c r="Q895" i="30"/>
  <c r="R895" i="30"/>
  <c r="Q896" i="30"/>
  <c r="R896" i="30"/>
  <c r="Q897" i="30"/>
  <c r="R897" i="30"/>
  <c r="Q898" i="30"/>
  <c r="R898" i="30"/>
  <c r="Q899" i="30"/>
  <c r="R899" i="30"/>
  <c r="Q900" i="30"/>
  <c r="R900" i="30"/>
  <c r="Q901" i="30"/>
  <c r="R901" i="30"/>
  <c r="Q902" i="30"/>
  <c r="R902" i="30"/>
  <c r="Q903" i="30"/>
  <c r="R903" i="30"/>
  <c r="Q904" i="30"/>
  <c r="R904" i="30"/>
  <c r="N904" i="30"/>
  <c r="Q905" i="30"/>
  <c r="R905" i="30"/>
  <c r="Q906" i="30"/>
  <c r="R906" i="30"/>
  <c r="Q907" i="30"/>
  <c r="R907" i="30"/>
  <c r="Q908" i="30"/>
  <c r="R908" i="30"/>
  <c r="Q909" i="30"/>
  <c r="R909" i="30"/>
  <c r="Q910" i="30"/>
  <c r="R910" i="30"/>
  <c r="Q911" i="30"/>
  <c r="R911" i="30"/>
  <c r="Q912" i="30"/>
  <c r="R912" i="30"/>
  <c r="Q913" i="30"/>
  <c r="R913" i="30"/>
  <c r="Q914" i="30"/>
  <c r="R914" i="30"/>
  <c r="Q915" i="30"/>
  <c r="R915" i="30"/>
  <c r="Q916" i="30"/>
  <c r="R916" i="30"/>
  <c r="Q917" i="30"/>
  <c r="R917" i="30"/>
  <c r="Q918" i="30"/>
  <c r="R918" i="30"/>
  <c r="Q919" i="30"/>
  <c r="R919" i="30"/>
  <c r="Q920" i="30"/>
  <c r="R920" i="30"/>
  <c r="Q921" i="30"/>
  <c r="R921" i="30"/>
  <c r="Q922" i="30"/>
  <c r="R922" i="30"/>
  <c r="Q923" i="30"/>
  <c r="R923" i="30"/>
  <c r="Q924" i="30"/>
  <c r="R924" i="30"/>
  <c r="Q925" i="30"/>
  <c r="R925" i="30"/>
  <c r="Q926" i="30"/>
  <c r="R926" i="30"/>
  <c r="Q927" i="30"/>
  <c r="R927" i="30"/>
  <c r="Q928" i="30"/>
  <c r="R928" i="30"/>
  <c r="Q929" i="30"/>
  <c r="R929" i="30"/>
  <c r="Q930" i="30"/>
  <c r="R930" i="30"/>
  <c r="Q931" i="30"/>
  <c r="R931" i="30"/>
  <c r="Q932" i="30"/>
  <c r="R932" i="30"/>
  <c r="Q933" i="30"/>
  <c r="R933" i="30"/>
  <c r="Q934" i="30"/>
  <c r="R934" i="30"/>
  <c r="Q935" i="30"/>
  <c r="R935" i="30"/>
  <c r="Q936" i="30"/>
  <c r="R936" i="30"/>
  <c r="Q937" i="30"/>
  <c r="R937" i="30"/>
  <c r="Q938" i="30"/>
  <c r="R938" i="30"/>
  <c r="Q939" i="30"/>
  <c r="R939" i="30"/>
  <c r="Q940" i="30"/>
  <c r="R940" i="30"/>
  <c r="Q941" i="30"/>
  <c r="R941" i="30"/>
  <c r="Q942" i="30"/>
  <c r="R942" i="30"/>
  <c r="Q943" i="30"/>
  <c r="R943" i="30"/>
  <c r="Q944" i="30"/>
  <c r="R944" i="30"/>
  <c r="Q945" i="30"/>
  <c r="R945" i="30"/>
  <c r="Q946" i="30"/>
  <c r="R946" i="30"/>
  <c r="Q947" i="30"/>
  <c r="R947" i="30"/>
  <c r="Q948" i="30"/>
  <c r="R948" i="30"/>
  <c r="Q949" i="30"/>
  <c r="R949" i="30"/>
  <c r="Q950" i="30"/>
  <c r="R950" i="30"/>
  <c r="Q951" i="30"/>
  <c r="R951" i="30"/>
  <c r="Q952" i="30"/>
  <c r="R952" i="30"/>
  <c r="Q953" i="30"/>
  <c r="R953" i="30"/>
  <c r="Q954" i="30"/>
  <c r="R954" i="30"/>
  <c r="Q955" i="30"/>
  <c r="R955" i="30"/>
  <c r="Q956" i="30"/>
  <c r="R956" i="30"/>
  <c r="Q957" i="30"/>
  <c r="R957" i="30"/>
  <c r="Q958" i="30"/>
  <c r="R958" i="30"/>
  <c r="Q959" i="30"/>
  <c r="R959" i="30"/>
  <c r="Q960" i="30"/>
  <c r="R960" i="30"/>
  <c r="Q961" i="30"/>
  <c r="R961" i="30"/>
  <c r="Q962" i="30"/>
  <c r="R962" i="30"/>
  <c r="Q963" i="30"/>
  <c r="R963" i="30"/>
  <c r="Q964" i="30"/>
  <c r="R964" i="30"/>
  <c r="Q965" i="30"/>
  <c r="R965" i="30"/>
  <c r="Q966" i="30"/>
  <c r="R966" i="30"/>
  <c r="Q967" i="30"/>
  <c r="R967" i="30"/>
  <c r="Q968" i="30"/>
  <c r="R968" i="30"/>
  <c r="Q969" i="30"/>
  <c r="R969" i="30"/>
  <c r="Q970" i="30"/>
  <c r="R970" i="30"/>
  <c r="Q971" i="30"/>
  <c r="R971" i="30"/>
  <c r="Q972" i="30"/>
  <c r="R972" i="30"/>
  <c r="Q973" i="30"/>
  <c r="R973" i="30"/>
  <c r="Q974" i="30"/>
  <c r="R974" i="30"/>
  <c r="Q975" i="30"/>
  <c r="R975" i="30"/>
  <c r="Q976" i="30"/>
  <c r="R976" i="30"/>
  <c r="Q977" i="30"/>
  <c r="R977" i="30"/>
  <c r="Q978" i="30"/>
  <c r="R978" i="30"/>
  <c r="Q979" i="30"/>
  <c r="R979" i="30"/>
  <c r="Q980" i="30"/>
  <c r="R980" i="30"/>
  <c r="Q981" i="30"/>
  <c r="R981" i="30"/>
  <c r="Q982" i="30"/>
  <c r="R982" i="30"/>
  <c r="Q983" i="30"/>
  <c r="R983" i="30"/>
  <c r="Q984" i="30"/>
  <c r="R984" i="30"/>
  <c r="Q985" i="30"/>
  <c r="R985" i="30"/>
  <c r="Q986" i="30"/>
  <c r="R986" i="30"/>
  <c r="Q987" i="30"/>
  <c r="R987" i="30"/>
  <c r="Q988" i="30"/>
  <c r="R988" i="30"/>
  <c r="Q989" i="30"/>
  <c r="R989" i="30"/>
  <c r="Q990" i="30"/>
  <c r="R990" i="30"/>
  <c r="Q991" i="30"/>
  <c r="R991" i="30"/>
  <c r="Q992" i="30"/>
  <c r="R992" i="30"/>
  <c r="Q993" i="30"/>
  <c r="R993" i="30"/>
  <c r="Q994" i="30"/>
  <c r="R994" i="30"/>
  <c r="Q995" i="30"/>
  <c r="R995" i="30"/>
  <c r="Q996" i="30"/>
  <c r="R996" i="30"/>
  <c r="Q997" i="30"/>
  <c r="R997" i="30"/>
  <c r="Q998" i="30"/>
  <c r="R998" i="30"/>
  <c r="Q999" i="30"/>
  <c r="R999" i="30"/>
  <c r="Q1000" i="30"/>
  <c r="R1000" i="30"/>
  <c r="Q1001" i="30"/>
  <c r="R1001" i="30"/>
  <c r="Q1002" i="30"/>
  <c r="R1002" i="30"/>
  <c r="Q1003" i="30"/>
  <c r="R1003" i="30"/>
  <c r="Q1004" i="30"/>
  <c r="R1004" i="30"/>
  <c r="Q1005" i="30"/>
  <c r="R1005" i="30"/>
  <c r="O1005" i="30"/>
  <c r="Q1006" i="30"/>
  <c r="R1006" i="30"/>
  <c r="Q1007" i="30"/>
  <c r="R1007" i="30"/>
  <c r="Q1008" i="30"/>
  <c r="R1008" i="30"/>
  <c r="Q1009" i="30"/>
  <c r="R1009" i="30"/>
  <c r="Q1010" i="30"/>
  <c r="R1010" i="30"/>
  <c r="Q1011" i="30"/>
  <c r="R1011" i="30"/>
  <c r="Q1012" i="30"/>
  <c r="R1012" i="30"/>
  <c r="Q1013" i="30"/>
  <c r="R1013" i="30"/>
  <c r="Q1014" i="30"/>
  <c r="R1014" i="30"/>
  <c r="Q1015" i="30"/>
  <c r="R1015" i="30"/>
  <c r="Q1016" i="30"/>
  <c r="R1016" i="30"/>
  <c r="Q1017" i="30"/>
  <c r="R1017" i="30"/>
  <c r="Q1018" i="30"/>
  <c r="R1018" i="30"/>
  <c r="Q1019" i="30"/>
  <c r="R1019" i="30"/>
  <c r="Q1020" i="30"/>
  <c r="R1020" i="30"/>
  <c r="Q1021" i="30"/>
  <c r="R1021" i="30"/>
  <c r="Q1022" i="30"/>
  <c r="R1022" i="30"/>
  <c r="Q1023" i="30"/>
  <c r="R1023" i="30"/>
  <c r="Q1024" i="30"/>
  <c r="R1024" i="30"/>
  <c r="Q1025" i="30"/>
  <c r="R1025" i="30"/>
  <c r="Q1026" i="30"/>
  <c r="R1026" i="30"/>
  <c r="Q1027" i="30"/>
  <c r="R1027" i="30"/>
  <c r="Q1028" i="30"/>
  <c r="R1028" i="30"/>
  <c r="Q1029" i="30"/>
  <c r="R1029" i="30"/>
  <c r="Q1030" i="30"/>
  <c r="R1030" i="30"/>
  <c r="Q1031" i="30"/>
  <c r="R1031" i="30"/>
  <c r="Q1032" i="30"/>
  <c r="R1032" i="30"/>
  <c r="Q1033" i="30"/>
  <c r="R1033" i="30"/>
  <c r="Q1034" i="30"/>
  <c r="R1034" i="30"/>
  <c r="Q1035" i="30"/>
  <c r="R1035" i="30"/>
  <c r="Q1036" i="30"/>
  <c r="R1036" i="30"/>
  <c r="Q1037" i="30"/>
  <c r="R1037" i="30"/>
  <c r="Q1038" i="30"/>
  <c r="R1038" i="30"/>
  <c r="Q1039" i="30"/>
  <c r="R1039" i="30"/>
  <c r="Q1040" i="30"/>
  <c r="R1040" i="30"/>
  <c r="Q1041" i="30"/>
  <c r="R1041" i="30"/>
  <c r="Q1042" i="30"/>
  <c r="R1042" i="30"/>
  <c r="Q1043" i="30"/>
  <c r="R1043" i="30"/>
  <c r="Q1044" i="30"/>
  <c r="R1044" i="30"/>
  <c r="Q1045" i="30"/>
  <c r="R1045" i="30"/>
  <c r="Q1046" i="30"/>
  <c r="R1046" i="30"/>
  <c r="Q1047" i="30"/>
  <c r="R1047" i="30"/>
  <c r="Q1048" i="30"/>
  <c r="R1048" i="30"/>
  <c r="Q1049" i="30"/>
  <c r="R1049" i="30"/>
  <c r="Q1050" i="30"/>
  <c r="R1050" i="30"/>
  <c r="Q1051" i="30"/>
  <c r="R1051" i="30"/>
  <c r="Q1052" i="30"/>
  <c r="R1052" i="30"/>
  <c r="Q1053" i="30"/>
  <c r="R1053" i="30"/>
  <c r="Q1054" i="30"/>
  <c r="R1054" i="30"/>
  <c r="Q1055" i="30"/>
  <c r="R1055" i="30"/>
  <c r="Q1056" i="30"/>
  <c r="R1056" i="30"/>
  <c r="Q1057" i="30"/>
  <c r="R1057" i="30"/>
  <c r="Q1058" i="30"/>
  <c r="R1058" i="30"/>
  <c r="Q1059" i="30"/>
  <c r="R1059" i="30"/>
  <c r="Q1060" i="30"/>
  <c r="R1060" i="30"/>
  <c r="Q1061" i="30"/>
  <c r="R1061" i="30"/>
  <c r="Q1062" i="30"/>
  <c r="R1062" i="30"/>
  <c r="Q1063" i="30"/>
  <c r="R1063" i="30"/>
  <c r="Q1064" i="30"/>
  <c r="R1064" i="30"/>
  <c r="Q1065" i="30"/>
  <c r="R1065" i="30"/>
  <c r="Q1066" i="30"/>
  <c r="R1066" i="30"/>
  <c r="Q1067" i="30"/>
  <c r="R1067" i="30"/>
  <c r="Q1068" i="30"/>
  <c r="R1068" i="30"/>
  <c r="Q1069" i="30"/>
  <c r="R1069" i="30"/>
  <c r="Q1070" i="30"/>
  <c r="R1070" i="30"/>
  <c r="Q1071" i="30"/>
  <c r="R1071" i="30"/>
  <c r="Q1072" i="30"/>
  <c r="R1072" i="30"/>
  <c r="Q1073" i="30"/>
  <c r="R1073" i="30"/>
  <c r="Q1074" i="30"/>
  <c r="R1074" i="30"/>
  <c r="Q1075" i="30"/>
  <c r="R1075" i="30"/>
  <c r="Q1076" i="30"/>
  <c r="R1076" i="30"/>
  <c r="Q1077" i="30"/>
  <c r="R1077" i="30"/>
  <c r="Q1078" i="30"/>
  <c r="R1078" i="30"/>
  <c r="Q1079" i="30"/>
  <c r="R1079" i="30"/>
  <c r="Q1080" i="30"/>
  <c r="R1080" i="30"/>
  <c r="Q1081" i="30"/>
  <c r="R1081" i="30"/>
  <c r="Q1082" i="30"/>
  <c r="R1082" i="30"/>
  <c r="Q1083" i="30"/>
  <c r="R1083" i="30"/>
  <c r="Q1084" i="30"/>
  <c r="R1084" i="30"/>
  <c r="Q1085" i="30"/>
  <c r="R1085" i="30"/>
  <c r="Q1086" i="30"/>
  <c r="R1086" i="30"/>
  <c r="Q1087" i="30"/>
  <c r="R1087" i="30"/>
  <c r="Q1088" i="30"/>
  <c r="R1088" i="30"/>
  <c r="Q1089" i="30"/>
  <c r="R1089" i="30"/>
  <c r="Q1090" i="30"/>
  <c r="R1090" i="30"/>
  <c r="Q1091" i="30"/>
  <c r="R1091" i="30"/>
  <c r="Q1092" i="30"/>
  <c r="R1092" i="30"/>
  <c r="Q1093" i="30"/>
  <c r="R1093" i="30"/>
  <c r="Q1094" i="30"/>
  <c r="R1094" i="30"/>
  <c r="Q1095" i="30"/>
  <c r="R1095" i="30"/>
  <c r="Q1096" i="30"/>
  <c r="R1096" i="30"/>
  <c r="Q1097" i="30"/>
  <c r="R1097" i="30"/>
  <c r="I8" i="30"/>
  <c r="K8" i="30"/>
  <c r="I9" i="30"/>
  <c r="K9" i="30"/>
  <c r="I10" i="30"/>
  <c r="K10" i="30"/>
  <c r="I11" i="30"/>
  <c r="K11" i="30"/>
  <c r="I12" i="30"/>
  <c r="K12" i="30"/>
  <c r="I13" i="30"/>
  <c r="K13" i="30"/>
  <c r="I14" i="30"/>
  <c r="K14" i="30"/>
  <c r="I15" i="30"/>
  <c r="K15" i="30"/>
  <c r="I16" i="30"/>
  <c r="K16" i="30"/>
  <c r="I17" i="30"/>
  <c r="K17" i="30"/>
  <c r="I18" i="30"/>
  <c r="K18" i="30"/>
  <c r="I19" i="30"/>
  <c r="K19" i="30"/>
  <c r="I20" i="30"/>
  <c r="K20" i="30"/>
  <c r="I21" i="30"/>
  <c r="K21" i="30"/>
  <c r="I22" i="30"/>
  <c r="K22" i="30"/>
  <c r="I23" i="30"/>
  <c r="K23" i="30"/>
  <c r="I24" i="30"/>
  <c r="K24" i="30"/>
  <c r="I25" i="30"/>
  <c r="K25" i="30"/>
  <c r="I26" i="30"/>
  <c r="K26" i="30"/>
  <c r="I27" i="30"/>
  <c r="K27" i="30"/>
  <c r="I28" i="30"/>
  <c r="K28" i="30"/>
  <c r="I29" i="30"/>
  <c r="K29" i="30"/>
  <c r="I30" i="30"/>
  <c r="K30" i="30"/>
  <c r="I31" i="30"/>
  <c r="K31" i="30"/>
  <c r="I32" i="30"/>
  <c r="K32" i="30"/>
  <c r="I33" i="30"/>
  <c r="K33" i="30"/>
  <c r="I34" i="30"/>
  <c r="K34" i="30"/>
  <c r="I35" i="30"/>
  <c r="K35" i="30"/>
  <c r="I36" i="30"/>
  <c r="K36" i="30"/>
  <c r="I37" i="30"/>
  <c r="K37" i="30"/>
  <c r="I38" i="30"/>
  <c r="K38" i="30"/>
  <c r="I39" i="30"/>
  <c r="K39" i="30"/>
  <c r="I40" i="30"/>
  <c r="K40" i="30"/>
  <c r="I41" i="30"/>
  <c r="K41" i="30"/>
  <c r="I42" i="30"/>
  <c r="K42" i="30"/>
  <c r="I43" i="30"/>
  <c r="K43" i="30"/>
  <c r="I44" i="30"/>
  <c r="K44" i="30"/>
  <c r="I45" i="30"/>
  <c r="K45" i="30"/>
  <c r="I46" i="30"/>
  <c r="K46" i="30"/>
  <c r="I47" i="30"/>
  <c r="K47" i="30"/>
  <c r="I48" i="30"/>
  <c r="K48" i="30"/>
  <c r="I49" i="30"/>
  <c r="K49" i="30"/>
  <c r="I50" i="30"/>
  <c r="K50" i="30"/>
  <c r="I51" i="30"/>
  <c r="K51" i="30"/>
  <c r="I52" i="30"/>
  <c r="K52" i="30"/>
  <c r="I53" i="30"/>
  <c r="K53" i="30"/>
  <c r="I54" i="30"/>
  <c r="K54" i="30"/>
  <c r="I55" i="30"/>
  <c r="K55" i="30"/>
  <c r="I56" i="30"/>
  <c r="K56" i="30"/>
  <c r="I57" i="30"/>
  <c r="K57" i="30"/>
  <c r="I58" i="30"/>
  <c r="K58" i="30"/>
  <c r="I59" i="30"/>
  <c r="K59" i="30"/>
  <c r="I60" i="30"/>
  <c r="K60" i="30"/>
  <c r="I61" i="30"/>
  <c r="K61" i="30"/>
  <c r="I62" i="30"/>
  <c r="K62" i="30"/>
  <c r="I63" i="30"/>
  <c r="K63" i="30"/>
  <c r="I64" i="30"/>
  <c r="K64" i="30"/>
  <c r="I65" i="30"/>
  <c r="K65" i="30"/>
  <c r="I66" i="30"/>
  <c r="K66" i="30"/>
  <c r="I67" i="30"/>
  <c r="K67" i="30"/>
  <c r="I68" i="30"/>
  <c r="K68" i="30"/>
  <c r="I69" i="30"/>
  <c r="K69" i="30"/>
  <c r="I70" i="30"/>
  <c r="K70" i="30"/>
  <c r="I71" i="30"/>
  <c r="K71" i="30"/>
  <c r="I72" i="30"/>
  <c r="K72" i="30"/>
  <c r="I73" i="30"/>
  <c r="K73" i="30"/>
  <c r="I74" i="30"/>
  <c r="K74" i="30"/>
  <c r="I75" i="30"/>
  <c r="K75" i="30"/>
  <c r="I76" i="30"/>
  <c r="K76" i="30"/>
  <c r="I77" i="30"/>
  <c r="K77" i="30"/>
  <c r="I78" i="30"/>
  <c r="K78" i="30"/>
  <c r="I79" i="30"/>
  <c r="K79" i="30"/>
  <c r="I80" i="30"/>
  <c r="K80" i="30"/>
  <c r="I81" i="30"/>
  <c r="K81" i="30"/>
  <c r="I82" i="30"/>
  <c r="K82" i="30"/>
  <c r="I83" i="30"/>
  <c r="K83" i="30"/>
  <c r="I84" i="30"/>
  <c r="K84" i="30"/>
  <c r="I85" i="30"/>
  <c r="K85" i="30"/>
  <c r="I86" i="30"/>
  <c r="K86" i="30"/>
  <c r="I87" i="30"/>
  <c r="K87" i="30"/>
  <c r="I88" i="30"/>
  <c r="K88" i="30"/>
  <c r="I89" i="30"/>
  <c r="K89" i="30"/>
  <c r="I90" i="30"/>
  <c r="K90" i="30"/>
  <c r="I91" i="30"/>
  <c r="K91" i="30"/>
  <c r="I92" i="30"/>
  <c r="K92" i="30"/>
  <c r="I93" i="30"/>
  <c r="K93" i="30"/>
  <c r="I94" i="30"/>
  <c r="K94" i="30"/>
  <c r="I95" i="30"/>
  <c r="K95" i="30"/>
  <c r="I96" i="30"/>
  <c r="K96" i="30"/>
  <c r="I97" i="30"/>
  <c r="K97" i="30"/>
  <c r="I98" i="30"/>
  <c r="K98" i="30"/>
  <c r="I99" i="30"/>
  <c r="K99" i="30"/>
  <c r="I100" i="30"/>
  <c r="K100" i="30"/>
  <c r="I101" i="30"/>
  <c r="K101" i="30"/>
  <c r="I102" i="30"/>
  <c r="K102" i="30"/>
  <c r="I103" i="30"/>
  <c r="K103" i="30"/>
  <c r="I104" i="30"/>
  <c r="K104" i="30"/>
  <c r="I105" i="30"/>
  <c r="K105" i="30"/>
  <c r="I106" i="30"/>
  <c r="K106" i="30"/>
  <c r="I107" i="30"/>
  <c r="K107" i="30"/>
  <c r="I108" i="30"/>
  <c r="K108" i="30"/>
  <c r="I109" i="30"/>
  <c r="K109" i="30"/>
  <c r="I110" i="30"/>
  <c r="K110" i="30"/>
  <c r="I111" i="30"/>
  <c r="K111" i="30"/>
  <c r="I112" i="30"/>
  <c r="K112" i="30"/>
  <c r="I113" i="30"/>
  <c r="K113" i="30"/>
  <c r="I114" i="30"/>
  <c r="K114" i="30"/>
  <c r="I115" i="30"/>
  <c r="K115" i="30"/>
  <c r="I116" i="30"/>
  <c r="K116" i="30"/>
  <c r="I117" i="30"/>
  <c r="K117" i="30"/>
  <c r="I118" i="30"/>
  <c r="K118" i="30"/>
  <c r="I119" i="30"/>
  <c r="K119" i="30"/>
  <c r="I120" i="30"/>
  <c r="K120" i="30"/>
  <c r="I121" i="30"/>
  <c r="K121" i="30"/>
  <c r="I122" i="30"/>
  <c r="K122" i="30"/>
  <c r="I123" i="30"/>
  <c r="K123" i="30"/>
  <c r="I124" i="30"/>
  <c r="K124" i="30"/>
  <c r="I125" i="30"/>
  <c r="K125" i="30"/>
  <c r="I126" i="30"/>
  <c r="K126" i="30"/>
  <c r="I127" i="30"/>
  <c r="K127" i="30"/>
  <c r="I128" i="30"/>
  <c r="K128" i="30"/>
  <c r="I129" i="30"/>
  <c r="K129" i="30"/>
  <c r="I130" i="30"/>
  <c r="K130" i="30"/>
  <c r="I131" i="30"/>
  <c r="K131" i="30"/>
  <c r="I132" i="30"/>
  <c r="K132" i="30"/>
  <c r="I133" i="30"/>
  <c r="K133" i="30"/>
  <c r="I134" i="30"/>
  <c r="K134" i="30"/>
  <c r="I135" i="30"/>
  <c r="K135" i="30"/>
  <c r="I136" i="30"/>
  <c r="K136" i="30"/>
  <c r="I137" i="30"/>
  <c r="K137" i="30"/>
  <c r="I138" i="30"/>
  <c r="K138" i="30"/>
  <c r="I139" i="30"/>
  <c r="K139" i="30"/>
  <c r="I140" i="30"/>
  <c r="K140" i="30"/>
  <c r="I141" i="30"/>
  <c r="K141" i="30"/>
  <c r="I142" i="30"/>
  <c r="K142" i="30"/>
  <c r="I143" i="30"/>
  <c r="K143" i="30"/>
  <c r="I144" i="30"/>
  <c r="K144" i="30"/>
  <c r="I145" i="30"/>
  <c r="K145" i="30"/>
  <c r="I146" i="30"/>
  <c r="K146" i="30"/>
  <c r="I147" i="30"/>
  <c r="K147" i="30"/>
  <c r="I148" i="30"/>
  <c r="K148" i="30"/>
  <c r="I149" i="30"/>
  <c r="K149" i="30"/>
  <c r="I150" i="30"/>
  <c r="K150" i="30"/>
  <c r="I151" i="30"/>
  <c r="K151" i="30"/>
  <c r="I152" i="30"/>
  <c r="K152" i="30"/>
  <c r="I153" i="30"/>
  <c r="K153" i="30"/>
  <c r="I154" i="30"/>
  <c r="K154" i="30"/>
  <c r="I155" i="30"/>
  <c r="K155" i="30"/>
  <c r="I156" i="30"/>
  <c r="K156" i="30"/>
  <c r="I157" i="30"/>
  <c r="K157" i="30"/>
  <c r="I158" i="30"/>
  <c r="K158" i="30"/>
  <c r="I159" i="30"/>
  <c r="K159" i="30"/>
  <c r="I160" i="30"/>
  <c r="K160" i="30"/>
  <c r="I161" i="30"/>
  <c r="K161" i="30"/>
  <c r="I162" i="30"/>
  <c r="K162" i="30"/>
  <c r="I163" i="30"/>
  <c r="K163" i="30"/>
  <c r="I164" i="30"/>
  <c r="K164" i="30"/>
  <c r="I165" i="30"/>
  <c r="K165" i="30"/>
  <c r="I166" i="30"/>
  <c r="K166" i="30"/>
  <c r="I167" i="30"/>
  <c r="K167" i="30"/>
  <c r="I168" i="30"/>
  <c r="K168" i="30"/>
  <c r="I169" i="30"/>
  <c r="K169" i="30"/>
  <c r="I170" i="30"/>
  <c r="K170" i="30"/>
  <c r="I171" i="30"/>
  <c r="K171" i="30"/>
  <c r="I172" i="30"/>
  <c r="K172" i="30"/>
  <c r="I173" i="30"/>
  <c r="K173" i="30"/>
  <c r="I174" i="30"/>
  <c r="K174" i="30"/>
  <c r="I175" i="30"/>
  <c r="K175" i="30"/>
  <c r="I176" i="30"/>
  <c r="K176" i="30"/>
  <c r="I177" i="30"/>
  <c r="K177" i="30"/>
  <c r="I178" i="30"/>
  <c r="K178" i="30"/>
  <c r="I179" i="30"/>
  <c r="K179" i="30"/>
  <c r="I180" i="30"/>
  <c r="K180" i="30"/>
  <c r="I181" i="30"/>
  <c r="K181" i="30"/>
  <c r="I182" i="30"/>
  <c r="K182" i="30"/>
  <c r="I183" i="30"/>
  <c r="K183" i="30"/>
  <c r="I184" i="30"/>
  <c r="K184" i="30"/>
  <c r="I185" i="30"/>
  <c r="K185" i="30"/>
  <c r="I186" i="30"/>
  <c r="K186" i="30"/>
  <c r="I187" i="30"/>
  <c r="K187" i="30"/>
  <c r="I188" i="30"/>
  <c r="K188" i="30"/>
  <c r="I189" i="30"/>
  <c r="K189" i="30"/>
  <c r="I190" i="30"/>
  <c r="K190" i="30"/>
  <c r="I191" i="30"/>
  <c r="K191" i="30"/>
  <c r="I192" i="30"/>
  <c r="K192" i="30"/>
  <c r="I193" i="30"/>
  <c r="K193" i="30"/>
  <c r="I194" i="30"/>
  <c r="K194" i="30"/>
  <c r="I195" i="30"/>
  <c r="K195" i="30"/>
  <c r="I196" i="30"/>
  <c r="K196" i="30"/>
  <c r="I197" i="30"/>
  <c r="K197" i="30"/>
  <c r="I198" i="30"/>
  <c r="K198" i="30"/>
  <c r="I199" i="30"/>
  <c r="K199" i="30"/>
  <c r="I200" i="30"/>
  <c r="K200" i="30"/>
  <c r="I201" i="30"/>
  <c r="K201" i="30"/>
  <c r="I202" i="30"/>
  <c r="K202" i="30"/>
  <c r="I203" i="30"/>
  <c r="K203" i="30"/>
  <c r="I204" i="30"/>
  <c r="K204" i="30"/>
  <c r="I205" i="30"/>
  <c r="K205" i="30"/>
  <c r="I206" i="30"/>
  <c r="K206" i="30"/>
  <c r="I207" i="30"/>
  <c r="K207" i="30"/>
  <c r="I208" i="30"/>
  <c r="K208" i="30"/>
  <c r="I209" i="30"/>
  <c r="K209" i="30"/>
  <c r="I210" i="30"/>
  <c r="K210" i="30"/>
  <c r="I211" i="30"/>
  <c r="K211" i="30"/>
  <c r="I212" i="30"/>
  <c r="K212" i="30"/>
  <c r="I213" i="30"/>
  <c r="K213" i="30"/>
  <c r="I214" i="30"/>
  <c r="K214" i="30"/>
  <c r="I215" i="30"/>
  <c r="K215" i="30"/>
  <c r="I216" i="30"/>
  <c r="K216" i="30"/>
  <c r="I217" i="30"/>
  <c r="K217" i="30"/>
  <c r="I218" i="30"/>
  <c r="K218" i="30"/>
  <c r="I219" i="30"/>
  <c r="K219" i="30"/>
  <c r="I220" i="30"/>
  <c r="K220" i="30"/>
  <c r="I221" i="30"/>
  <c r="K221" i="30"/>
  <c r="I222" i="30"/>
  <c r="K222" i="30"/>
  <c r="I223" i="30"/>
  <c r="K223" i="30"/>
  <c r="I224" i="30"/>
  <c r="K224" i="30"/>
  <c r="I225" i="30"/>
  <c r="K225" i="30"/>
  <c r="I226" i="30"/>
  <c r="K226" i="30"/>
  <c r="I227" i="30"/>
  <c r="K227" i="30"/>
  <c r="I228" i="30"/>
  <c r="K228" i="30"/>
  <c r="I229" i="30"/>
  <c r="K229" i="30"/>
  <c r="I230" i="30"/>
  <c r="K230" i="30"/>
  <c r="I231" i="30"/>
  <c r="K231" i="30"/>
  <c r="I232" i="30"/>
  <c r="K232" i="30"/>
  <c r="I233" i="30"/>
  <c r="K233" i="30"/>
  <c r="I234" i="30"/>
  <c r="K234" i="30"/>
  <c r="I235" i="30"/>
  <c r="K235" i="30"/>
  <c r="I236" i="30"/>
  <c r="K236" i="30"/>
  <c r="I237" i="30"/>
  <c r="K237" i="30"/>
  <c r="I238" i="30"/>
  <c r="K238" i="30"/>
  <c r="I239" i="30"/>
  <c r="K239" i="30"/>
  <c r="I240" i="30"/>
  <c r="K240" i="30"/>
  <c r="I241" i="30"/>
  <c r="K241" i="30"/>
  <c r="I242" i="30"/>
  <c r="K242" i="30"/>
  <c r="I243" i="30"/>
  <c r="K243" i="30"/>
  <c r="I244" i="30"/>
  <c r="K244" i="30"/>
  <c r="I245" i="30"/>
  <c r="K245" i="30"/>
  <c r="I246" i="30"/>
  <c r="K246" i="30"/>
  <c r="I247" i="30"/>
  <c r="K247" i="30"/>
  <c r="I248" i="30"/>
  <c r="K248" i="30"/>
  <c r="I249" i="30"/>
  <c r="K249" i="30"/>
  <c r="I250" i="30"/>
  <c r="K250" i="30"/>
  <c r="I251" i="30"/>
  <c r="K251" i="30"/>
  <c r="I252" i="30"/>
  <c r="K252" i="30"/>
  <c r="I253" i="30"/>
  <c r="K253" i="30"/>
  <c r="I254" i="30"/>
  <c r="K254" i="30"/>
  <c r="I255" i="30"/>
  <c r="K255" i="30"/>
  <c r="I256" i="30"/>
  <c r="K256" i="30"/>
  <c r="I257" i="30"/>
  <c r="K257" i="30"/>
  <c r="I258" i="30"/>
  <c r="K258" i="30"/>
  <c r="I259" i="30"/>
  <c r="K259" i="30"/>
  <c r="I260" i="30"/>
  <c r="K260" i="30"/>
  <c r="I261" i="30"/>
  <c r="K261" i="30"/>
  <c r="I262" i="30"/>
  <c r="K262" i="30"/>
  <c r="I263" i="30"/>
  <c r="K263" i="30"/>
  <c r="I264" i="30"/>
  <c r="K264" i="30"/>
  <c r="I265" i="30"/>
  <c r="K265" i="30"/>
  <c r="I266" i="30"/>
  <c r="K266" i="30"/>
  <c r="I267" i="30"/>
  <c r="K267" i="30"/>
  <c r="I268" i="30"/>
  <c r="K268" i="30"/>
  <c r="I269" i="30"/>
  <c r="K269" i="30"/>
  <c r="I270" i="30"/>
  <c r="K270" i="30"/>
  <c r="I271" i="30"/>
  <c r="K271" i="30"/>
  <c r="I272" i="30"/>
  <c r="K272" i="30"/>
  <c r="I273" i="30"/>
  <c r="K273" i="30"/>
  <c r="I274" i="30"/>
  <c r="K274" i="30"/>
  <c r="I275" i="30"/>
  <c r="K275" i="30"/>
  <c r="I276" i="30"/>
  <c r="K276" i="30"/>
  <c r="I277" i="30"/>
  <c r="K277" i="30"/>
  <c r="I278" i="30"/>
  <c r="K278" i="30"/>
  <c r="I279" i="30"/>
  <c r="K279" i="30"/>
  <c r="I280" i="30"/>
  <c r="K280" i="30"/>
  <c r="I281" i="30"/>
  <c r="K281" i="30"/>
  <c r="I282" i="30"/>
  <c r="K282" i="30"/>
  <c r="I283" i="30"/>
  <c r="K283" i="30"/>
  <c r="I284" i="30"/>
  <c r="K284" i="30"/>
  <c r="I285" i="30"/>
  <c r="K285" i="30"/>
  <c r="I286" i="30"/>
  <c r="K286" i="30"/>
  <c r="I287" i="30"/>
  <c r="K287" i="30"/>
  <c r="I288" i="30"/>
  <c r="K288" i="30"/>
  <c r="I289" i="30"/>
  <c r="K289" i="30"/>
  <c r="I290" i="30"/>
  <c r="K290" i="30"/>
  <c r="I291" i="30"/>
  <c r="K291" i="30"/>
  <c r="I292" i="30"/>
  <c r="K292" i="30"/>
  <c r="I293" i="30"/>
  <c r="K293" i="30"/>
  <c r="I294" i="30"/>
  <c r="K294" i="30"/>
  <c r="I295" i="30"/>
  <c r="K295" i="30"/>
  <c r="I296" i="30"/>
  <c r="K296" i="30"/>
  <c r="I297" i="30"/>
  <c r="K297" i="30"/>
  <c r="I298" i="30"/>
  <c r="K298" i="30"/>
  <c r="I299" i="30"/>
  <c r="K299" i="30"/>
  <c r="I300" i="30"/>
  <c r="K300" i="30"/>
  <c r="I301" i="30"/>
  <c r="K301" i="30"/>
  <c r="I302" i="30"/>
  <c r="K302" i="30"/>
  <c r="I303" i="30"/>
  <c r="K303" i="30"/>
  <c r="I304" i="30"/>
  <c r="K304" i="30"/>
  <c r="I305" i="30"/>
  <c r="K305" i="30"/>
  <c r="I306" i="30"/>
  <c r="K306" i="30"/>
  <c r="I307" i="30"/>
  <c r="K307" i="30"/>
  <c r="I308" i="30"/>
  <c r="K308" i="30"/>
  <c r="I309" i="30"/>
  <c r="K309" i="30"/>
  <c r="I310" i="30"/>
  <c r="K310" i="30"/>
  <c r="I311" i="30"/>
  <c r="K311" i="30"/>
  <c r="I312" i="30"/>
  <c r="K312" i="30"/>
  <c r="I313" i="30"/>
  <c r="K313" i="30"/>
  <c r="I314" i="30"/>
  <c r="K314" i="30"/>
  <c r="I315" i="30"/>
  <c r="K315" i="30"/>
  <c r="I316" i="30"/>
  <c r="K316" i="30"/>
  <c r="I317" i="30"/>
  <c r="K317" i="30"/>
  <c r="I318" i="30"/>
  <c r="K318" i="30"/>
  <c r="I319" i="30"/>
  <c r="K319" i="30"/>
  <c r="I320" i="30"/>
  <c r="K320" i="30"/>
  <c r="I321" i="30"/>
  <c r="K321" i="30"/>
  <c r="I322" i="30"/>
  <c r="K322" i="30"/>
  <c r="I323" i="30"/>
  <c r="K323" i="30"/>
  <c r="I324" i="30"/>
  <c r="K324" i="30"/>
  <c r="I325" i="30"/>
  <c r="K325" i="30"/>
  <c r="I326" i="30"/>
  <c r="K326" i="30"/>
  <c r="I327" i="30"/>
  <c r="K327" i="30"/>
  <c r="I328" i="30"/>
  <c r="K328" i="30"/>
  <c r="I329" i="30"/>
  <c r="K329" i="30"/>
  <c r="I330" i="30"/>
  <c r="K330" i="30"/>
  <c r="I331" i="30"/>
  <c r="K331" i="30"/>
  <c r="I332" i="30"/>
  <c r="K332" i="30"/>
  <c r="I333" i="30"/>
  <c r="K333" i="30"/>
  <c r="I334" i="30"/>
  <c r="K334" i="30"/>
  <c r="I335" i="30"/>
  <c r="K335" i="30"/>
  <c r="I336" i="30"/>
  <c r="K336" i="30"/>
  <c r="I337" i="30"/>
  <c r="K337" i="30"/>
  <c r="G337" i="30"/>
  <c r="I338" i="30"/>
  <c r="K338" i="30"/>
  <c r="I339" i="30"/>
  <c r="K339" i="30"/>
  <c r="I340" i="30"/>
  <c r="K340" i="30"/>
  <c r="I341" i="30"/>
  <c r="K341" i="30"/>
  <c r="I342" i="30"/>
  <c r="K342" i="30"/>
  <c r="I343" i="30"/>
  <c r="K343" i="30"/>
  <c r="I344" i="30"/>
  <c r="K344" i="30"/>
  <c r="I345" i="30"/>
  <c r="K345" i="30"/>
  <c r="I346" i="30"/>
  <c r="K346" i="30"/>
  <c r="I347" i="30"/>
  <c r="K347" i="30"/>
  <c r="I348" i="30"/>
  <c r="K348" i="30"/>
  <c r="I349" i="30"/>
  <c r="K349" i="30"/>
  <c r="I350" i="30"/>
  <c r="K350" i="30"/>
  <c r="I351" i="30"/>
  <c r="K351" i="30"/>
  <c r="I352" i="30"/>
  <c r="K352" i="30"/>
  <c r="I353" i="30"/>
  <c r="K353" i="30"/>
  <c r="I354" i="30"/>
  <c r="K354" i="30"/>
  <c r="I355" i="30"/>
  <c r="K355" i="30"/>
  <c r="I356" i="30"/>
  <c r="K356" i="30"/>
  <c r="I357" i="30"/>
  <c r="K357" i="30"/>
  <c r="I358" i="30"/>
  <c r="K358" i="30"/>
  <c r="I359" i="30"/>
  <c r="K359" i="30"/>
  <c r="I360" i="30"/>
  <c r="K360" i="30"/>
  <c r="I361" i="30"/>
  <c r="K361" i="30"/>
  <c r="I362" i="30"/>
  <c r="K362" i="30"/>
  <c r="I363" i="30"/>
  <c r="K363" i="30"/>
  <c r="I364" i="30"/>
  <c r="K364" i="30"/>
  <c r="I365" i="30"/>
  <c r="K365" i="30"/>
  <c r="I366" i="30"/>
  <c r="K366" i="30"/>
  <c r="I367" i="30"/>
  <c r="K367" i="30"/>
  <c r="I368" i="30"/>
  <c r="K368" i="30"/>
  <c r="I369" i="30"/>
  <c r="K369" i="30"/>
  <c r="I370" i="30"/>
  <c r="K370" i="30"/>
  <c r="I371" i="30"/>
  <c r="K371" i="30"/>
  <c r="I372" i="30"/>
  <c r="K372" i="30"/>
  <c r="I373" i="30"/>
  <c r="K373" i="30"/>
  <c r="I374" i="30"/>
  <c r="K374" i="30"/>
  <c r="I375" i="30"/>
  <c r="K375" i="30"/>
  <c r="I376" i="30"/>
  <c r="K376" i="30"/>
  <c r="I377" i="30"/>
  <c r="K377" i="30"/>
  <c r="I378" i="30"/>
  <c r="K378" i="30"/>
  <c r="I379" i="30"/>
  <c r="K379" i="30"/>
  <c r="I380" i="30"/>
  <c r="K380" i="30"/>
  <c r="I381" i="30"/>
  <c r="K381" i="30"/>
  <c r="I382" i="30"/>
  <c r="K382" i="30"/>
  <c r="I383" i="30"/>
  <c r="K383" i="30"/>
  <c r="I384" i="30"/>
  <c r="K384" i="30"/>
  <c r="I385" i="30"/>
  <c r="K385" i="30"/>
  <c r="I386" i="30"/>
  <c r="K386" i="30"/>
  <c r="I387" i="30"/>
  <c r="K387" i="30"/>
  <c r="I388" i="30"/>
  <c r="K388" i="30"/>
  <c r="I389" i="30"/>
  <c r="K389" i="30"/>
  <c r="I390" i="30"/>
  <c r="K390" i="30"/>
  <c r="I391" i="30"/>
  <c r="K391" i="30"/>
  <c r="I392" i="30"/>
  <c r="K392" i="30"/>
  <c r="I393" i="30"/>
  <c r="K393" i="30"/>
  <c r="I394" i="30"/>
  <c r="K394" i="30"/>
  <c r="I395" i="30"/>
  <c r="K395" i="30"/>
  <c r="I396" i="30"/>
  <c r="K396" i="30"/>
  <c r="I397" i="30"/>
  <c r="K397" i="30"/>
  <c r="I398" i="30"/>
  <c r="K398" i="30"/>
  <c r="I399" i="30"/>
  <c r="K399" i="30"/>
  <c r="I400" i="30"/>
  <c r="K400" i="30"/>
  <c r="I401" i="30"/>
  <c r="K401" i="30"/>
  <c r="I402" i="30"/>
  <c r="K402" i="30"/>
  <c r="I403" i="30"/>
  <c r="K403" i="30"/>
  <c r="I404" i="30"/>
  <c r="K404" i="30"/>
  <c r="I405" i="30"/>
  <c r="K405" i="30"/>
  <c r="I406" i="30"/>
  <c r="K406" i="30"/>
  <c r="I407" i="30"/>
  <c r="K407" i="30"/>
  <c r="I408" i="30"/>
  <c r="K408" i="30"/>
  <c r="I409" i="30"/>
  <c r="K409" i="30"/>
  <c r="I410" i="30"/>
  <c r="K410" i="30"/>
  <c r="I411" i="30"/>
  <c r="K411" i="30"/>
  <c r="G411" i="30"/>
  <c r="I412" i="30"/>
  <c r="K412" i="30"/>
  <c r="I413" i="30"/>
  <c r="K413" i="30"/>
  <c r="I414" i="30"/>
  <c r="K414" i="30"/>
  <c r="I415" i="30"/>
  <c r="K415" i="30"/>
  <c r="I416" i="30"/>
  <c r="K416" i="30"/>
  <c r="I417" i="30"/>
  <c r="K417" i="30"/>
  <c r="G417" i="30"/>
  <c r="I418" i="30"/>
  <c r="K418" i="30"/>
  <c r="I419" i="30"/>
  <c r="K419" i="30"/>
  <c r="I420" i="30"/>
  <c r="K420" i="30"/>
  <c r="I421" i="30"/>
  <c r="K421" i="30"/>
  <c r="I422" i="30"/>
  <c r="K422" i="30"/>
  <c r="I423" i="30"/>
  <c r="K423" i="30"/>
  <c r="I424" i="30"/>
  <c r="K424" i="30"/>
  <c r="I425" i="30"/>
  <c r="K425" i="30"/>
  <c r="I426" i="30"/>
  <c r="K426" i="30"/>
  <c r="I427" i="30"/>
  <c r="K427" i="30"/>
  <c r="I428" i="30"/>
  <c r="K428" i="30"/>
  <c r="I429" i="30"/>
  <c r="K429" i="30"/>
  <c r="G429" i="30"/>
  <c r="I430" i="30"/>
  <c r="K430" i="30"/>
  <c r="I431" i="30"/>
  <c r="K431" i="30"/>
  <c r="I432" i="30"/>
  <c r="K432" i="30"/>
  <c r="I433" i="30"/>
  <c r="K433" i="30"/>
  <c r="I434" i="30"/>
  <c r="K434" i="30"/>
  <c r="I435" i="30"/>
  <c r="K435" i="30"/>
  <c r="I436" i="30"/>
  <c r="K436" i="30"/>
  <c r="I437" i="30"/>
  <c r="K437" i="30"/>
  <c r="I438" i="30"/>
  <c r="K438" i="30"/>
  <c r="I439" i="30"/>
  <c r="K439" i="30"/>
  <c r="I440" i="30"/>
  <c r="K440" i="30"/>
  <c r="I441" i="30"/>
  <c r="K441" i="30"/>
  <c r="I442" i="30"/>
  <c r="K442" i="30"/>
  <c r="I443" i="30"/>
  <c r="K443" i="30"/>
  <c r="I444" i="30"/>
  <c r="K444" i="30"/>
  <c r="I445" i="30"/>
  <c r="K445" i="30"/>
  <c r="I446" i="30"/>
  <c r="K446" i="30"/>
  <c r="I447" i="30"/>
  <c r="K447" i="30"/>
  <c r="I448" i="30"/>
  <c r="K448" i="30"/>
  <c r="I449" i="30"/>
  <c r="K449" i="30"/>
  <c r="I450" i="30"/>
  <c r="K450" i="30"/>
  <c r="I451" i="30"/>
  <c r="K451" i="30"/>
  <c r="I452" i="30"/>
  <c r="K452" i="30"/>
  <c r="I453" i="30"/>
  <c r="K453" i="30"/>
  <c r="I454" i="30"/>
  <c r="K454" i="30"/>
  <c r="I455" i="30"/>
  <c r="K455" i="30"/>
  <c r="I456" i="30"/>
  <c r="K456" i="30"/>
  <c r="I457" i="30"/>
  <c r="K457" i="30"/>
  <c r="I458" i="30"/>
  <c r="K458" i="30"/>
  <c r="I459" i="30"/>
  <c r="K459" i="30"/>
  <c r="I460" i="30"/>
  <c r="K460" i="30"/>
  <c r="I461" i="30"/>
  <c r="K461" i="30"/>
  <c r="I462" i="30"/>
  <c r="K462" i="30"/>
  <c r="I463" i="30"/>
  <c r="K463" i="30"/>
  <c r="I464" i="30"/>
  <c r="K464" i="30"/>
  <c r="I465" i="30"/>
  <c r="K465" i="30"/>
  <c r="I466" i="30"/>
  <c r="K466" i="30"/>
  <c r="I467" i="30"/>
  <c r="K467" i="30"/>
  <c r="I468" i="30"/>
  <c r="K468" i="30"/>
  <c r="I469" i="30"/>
  <c r="K469" i="30"/>
  <c r="I470" i="30"/>
  <c r="K470" i="30"/>
  <c r="I471" i="30"/>
  <c r="K471" i="30"/>
  <c r="I472" i="30"/>
  <c r="K472" i="30"/>
  <c r="I473" i="30"/>
  <c r="K473" i="30"/>
  <c r="I474" i="30"/>
  <c r="K474" i="30"/>
  <c r="I475" i="30"/>
  <c r="K475" i="30"/>
  <c r="E475" i="30"/>
  <c r="I476" i="30"/>
  <c r="K476" i="30"/>
  <c r="I477" i="30"/>
  <c r="K477" i="30"/>
  <c r="I478" i="30"/>
  <c r="K478" i="30"/>
  <c r="I479" i="30"/>
  <c r="K479" i="30"/>
  <c r="I480" i="30"/>
  <c r="K480" i="30"/>
  <c r="I481" i="30"/>
  <c r="K481" i="30"/>
  <c r="I482" i="30"/>
  <c r="K482" i="30"/>
  <c r="I483" i="30"/>
  <c r="K483" i="30"/>
  <c r="I484" i="30"/>
  <c r="K484" i="30"/>
  <c r="I485" i="30"/>
  <c r="K485" i="30"/>
  <c r="I486" i="30"/>
  <c r="K486" i="30"/>
  <c r="I487" i="30"/>
  <c r="K487" i="30"/>
  <c r="I488" i="30"/>
  <c r="K488" i="30"/>
  <c r="I489" i="30"/>
  <c r="K489" i="30"/>
  <c r="I490" i="30"/>
  <c r="K490" i="30"/>
  <c r="I491" i="30"/>
  <c r="K491" i="30"/>
  <c r="I492" i="30"/>
  <c r="K492" i="30"/>
  <c r="I493" i="30"/>
  <c r="K493" i="30"/>
  <c r="I494" i="30"/>
  <c r="K494" i="30"/>
  <c r="I495" i="30"/>
  <c r="K495" i="30"/>
  <c r="I496" i="30"/>
  <c r="K496" i="30"/>
  <c r="I497" i="30"/>
  <c r="K497" i="30"/>
  <c r="I498" i="30"/>
  <c r="K498" i="30"/>
  <c r="I499" i="30"/>
  <c r="K499" i="30"/>
  <c r="I500" i="30"/>
  <c r="K500" i="30"/>
  <c r="I501" i="30"/>
  <c r="K501" i="30"/>
  <c r="I502" i="30"/>
  <c r="K502" i="30"/>
  <c r="I503" i="30"/>
  <c r="K503" i="30"/>
  <c r="I504" i="30"/>
  <c r="K504" i="30"/>
  <c r="I505" i="30"/>
  <c r="K505" i="30"/>
  <c r="I506" i="30"/>
  <c r="K506" i="30"/>
  <c r="I507" i="30"/>
  <c r="K507" i="30"/>
  <c r="I508" i="30"/>
  <c r="K508" i="30"/>
  <c r="I509" i="30"/>
  <c r="K509" i="30"/>
  <c r="I510" i="30"/>
  <c r="K510" i="30"/>
  <c r="I511" i="30"/>
  <c r="K511" i="30"/>
  <c r="I512" i="30"/>
  <c r="K512" i="30"/>
  <c r="I513" i="30"/>
  <c r="K513" i="30"/>
  <c r="I514" i="30"/>
  <c r="K514" i="30"/>
  <c r="I515" i="30"/>
  <c r="K515" i="30"/>
  <c r="I516" i="30"/>
  <c r="K516" i="30"/>
  <c r="I517" i="30"/>
  <c r="K517" i="30"/>
  <c r="I518" i="30"/>
  <c r="K518" i="30"/>
  <c r="I519" i="30"/>
  <c r="K519" i="30"/>
  <c r="I520" i="30"/>
  <c r="K520" i="30"/>
  <c r="I521" i="30"/>
  <c r="K521" i="30"/>
  <c r="I522" i="30"/>
  <c r="K522" i="30"/>
  <c r="I523" i="30"/>
  <c r="K523" i="30"/>
  <c r="I524" i="30"/>
  <c r="K524" i="30"/>
  <c r="I525" i="30"/>
  <c r="K525" i="30"/>
  <c r="I526" i="30"/>
  <c r="K526" i="30"/>
  <c r="I527" i="30"/>
  <c r="K527" i="30"/>
  <c r="I528" i="30"/>
  <c r="K528" i="30"/>
  <c r="I529" i="30"/>
  <c r="K529" i="30"/>
  <c r="I530" i="30"/>
  <c r="K530" i="30"/>
  <c r="I531" i="30"/>
  <c r="K531" i="30"/>
  <c r="I532" i="30"/>
  <c r="K532" i="30"/>
  <c r="I533" i="30"/>
  <c r="K533" i="30"/>
  <c r="I534" i="30"/>
  <c r="K534" i="30"/>
  <c r="I535" i="30"/>
  <c r="K535" i="30"/>
  <c r="I536" i="30"/>
  <c r="K536" i="30"/>
  <c r="I537" i="30"/>
  <c r="K537" i="30"/>
  <c r="I538" i="30"/>
  <c r="K538" i="30"/>
  <c r="I539" i="30"/>
  <c r="K539" i="30"/>
  <c r="E539" i="30"/>
  <c r="I540" i="30"/>
  <c r="K540" i="30"/>
  <c r="I541" i="30"/>
  <c r="K541" i="30"/>
  <c r="I542" i="30"/>
  <c r="K542" i="30"/>
  <c r="I543" i="30"/>
  <c r="K543" i="30"/>
  <c r="I544" i="30"/>
  <c r="K544" i="30"/>
  <c r="I545" i="30"/>
  <c r="K545" i="30"/>
  <c r="E545" i="30"/>
  <c r="I546" i="30"/>
  <c r="K546" i="30"/>
  <c r="I547" i="30"/>
  <c r="K547" i="30"/>
  <c r="I548" i="30"/>
  <c r="K548" i="30"/>
  <c r="I549" i="30"/>
  <c r="K549" i="30"/>
  <c r="I550" i="30"/>
  <c r="K550" i="30"/>
  <c r="I551" i="30"/>
  <c r="K551" i="30"/>
  <c r="I552" i="30"/>
  <c r="K552" i="30"/>
  <c r="I553" i="30"/>
  <c r="K553" i="30"/>
  <c r="I554" i="30"/>
  <c r="K554" i="30"/>
  <c r="I555" i="30"/>
  <c r="K555" i="30"/>
  <c r="I556" i="30"/>
  <c r="K556" i="30"/>
  <c r="I557" i="30"/>
  <c r="K557" i="30"/>
  <c r="I558" i="30"/>
  <c r="K558" i="30"/>
  <c r="I559" i="30"/>
  <c r="K559" i="30"/>
  <c r="I560" i="30"/>
  <c r="K560" i="30"/>
  <c r="I561" i="30"/>
  <c r="K561" i="30"/>
  <c r="I562" i="30"/>
  <c r="K562" i="30"/>
  <c r="I563" i="30"/>
  <c r="K563" i="30"/>
  <c r="I564" i="30"/>
  <c r="K564" i="30"/>
  <c r="I565" i="30"/>
  <c r="K565" i="30"/>
  <c r="I566" i="30"/>
  <c r="K566" i="30"/>
  <c r="I567" i="30"/>
  <c r="K567" i="30"/>
  <c r="I568" i="30"/>
  <c r="K568" i="30"/>
  <c r="I569" i="30"/>
  <c r="K569" i="30"/>
  <c r="I570" i="30"/>
  <c r="K570" i="30"/>
  <c r="I571" i="30"/>
  <c r="K571" i="30"/>
  <c r="I572" i="30"/>
  <c r="K572" i="30"/>
  <c r="I573" i="30"/>
  <c r="K573" i="30"/>
  <c r="I574" i="30"/>
  <c r="K574" i="30"/>
  <c r="I575" i="30"/>
  <c r="K575" i="30"/>
  <c r="I576" i="30"/>
  <c r="K576" i="30"/>
  <c r="I577" i="30"/>
  <c r="K577" i="30"/>
  <c r="I578" i="30"/>
  <c r="K578" i="30"/>
  <c r="I579" i="30"/>
  <c r="K579" i="30"/>
  <c r="I580" i="30"/>
  <c r="K580" i="30"/>
  <c r="I581" i="30"/>
  <c r="K581" i="30"/>
  <c r="I582" i="30"/>
  <c r="K582" i="30"/>
  <c r="I583" i="30"/>
  <c r="K583" i="30"/>
  <c r="I584" i="30"/>
  <c r="K584" i="30"/>
  <c r="I585" i="30"/>
  <c r="K585" i="30"/>
  <c r="I586" i="30"/>
  <c r="K586" i="30"/>
  <c r="I587" i="30"/>
  <c r="K587" i="30"/>
  <c r="I588" i="30"/>
  <c r="K588" i="30"/>
  <c r="I589" i="30"/>
  <c r="K589" i="30"/>
  <c r="I590" i="30"/>
  <c r="K590" i="30"/>
  <c r="I591" i="30"/>
  <c r="K591" i="30"/>
  <c r="I592" i="30"/>
  <c r="K592" i="30"/>
  <c r="I593" i="30"/>
  <c r="K593" i="30"/>
  <c r="I594" i="30"/>
  <c r="K594" i="30"/>
  <c r="I595" i="30"/>
  <c r="K595" i="30"/>
  <c r="I596" i="30"/>
  <c r="K596" i="30"/>
  <c r="I597" i="30"/>
  <c r="K597" i="30"/>
  <c r="I598" i="30"/>
  <c r="K598" i="30"/>
  <c r="I599" i="30"/>
  <c r="K599" i="30"/>
  <c r="I600" i="30"/>
  <c r="K600" i="30"/>
  <c r="I601" i="30"/>
  <c r="K601" i="30"/>
  <c r="I602" i="30"/>
  <c r="K602" i="30"/>
  <c r="I603" i="30"/>
  <c r="K603" i="30"/>
  <c r="I604" i="30"/>
  <c r="K604" i="30"/>
  <c r="I605" i="30"/>
  <c r="K605" i="30"/>
  <c r="I606" i="30"/>
  <c r="K606" i="30"/>
  <c r="I607" i="30"/>
  <c r="K607" i="30"/>
  <c r="I608" i="30"/>
  <c r="K608" i="30"/>
  <c r="I609" i="30"/>
  <c r="K609" i="30"/>
  <c r="I610" i="30"/>
  <c r="K610" i="30"/>
  <c r="I611" i="30"/>
  <c r="K611" i="30"/>
  <c r="I612" i="30"/>
  <c r="K612" i="30"/>
  <c r="I613" i="30"/>
  <c r="K613" i="30"/>
  <c r="I614" i="30"/>
  <c r="K614" i="30"/>
  <c r="I615" i="30"/>
  <c r="K615" i="30"/>
  <c r="I616" i="30"/>
  <c r="K616" i="30"/>
  <c r="I617" i="30"/>
  <c r="K617" i="30"/>
  <c r="I618" i="30"/>
  <c r="K618" i="30"/>
  <c r="I619" i="30"/>
  <c r="K619" i="30"/>
  <c r="I620" i="30"/>
  <c r="K620" i="30"/>
  <c r="I621" i="30"/>
  <c r="K621" i="30"/>
  <c r="I622" i="30"/>
  <c r="K622" i="30"/>
  <c r="I623" i="30"/>
  <c r="K623" i="30"/>
  <c r="I624" i="30"/>
  <c r="K624" i="30"/>
  <c r="I625" i="30"/>
  <c r="K625" i="30"/>
  <c r="I626" i="30"/>
  <c r="K626" i="30"/>
  <c r="I627" i="30"/>
  <c r="K627" i="30"/>
  <c r="I628" i="30"/>
  <c r="K628" i="30"/>
  <c r="I629" i="30"/>
  <c r="K629" i="30"/>
  <c r="I630" i="30"/>
  <c r="K630" i="30"/>
  <c r="I631" i="30"/>
  <c r="K631" i="30"/>
  <c r="I632" i="30"/>
  <c r="K632" i="30"/>
  <c r="I633" i="30"/>
  <c r="K633" i="30"/>
  <c r="I634" i="30"/>
  <c r="K634" i="30"/>
  <c r="I635" i="30"/>
  <c r="K635" i="30"/>
  <c r="I636" i="30"/>
  <c r="K636" i="30"/>
  <c r="I637" i="30"/>
  <c r="K637" i="30"/>
  <c r="I638" i="30"/>
  <c r="K638" i="30"/>
  <c r="I639" i="30"/>
  <c r="K639" i="30"/>
  <c r="I640" i="30"/>
  <c r="K640" i="30"/>
  <c r="I641" i="30"/>
  <c r="K641" i="30"/>
  <c r="I642" i="30"/>
  <c r="K642" i="30"/>
  <c r="I643" i="30"/>
  <c r="K643" i="30"/>
  <c r="I644" i="30"/>
  <c r="K644" i="30"/>
  <c r="I645" i="30"/>
  <c r="K645" i="30"/>
  <c r="I646" i="30"/>
  <c r="K646" i="30"/>
  <c r="I647" i="30"/>
  <c r="K647" i="30"/>
  <c r="I648" i="30"/>
  <c r="K648" i="30"/>
  <c r="I649" i="30"/>
  <c r="K649" i="30"/>
  <c r="I650" i="30"/>
  <c r="K650" i="30"/>
  <c r="I651" i="30"/>
  <c r="K651" i="30"/>
  <c r="I652" i="30"/>
  <c r="K652" i="30"/>
  <c r="I653" i="30"/>
  <c r="K653" i="30"/>
  <c r="I654" i="30"/>
  <c r="K654" i="30"/>
  <c r="I655" i="30"/>
  <c r="K655" i="30"/>
  <c r="I656" i="30"/>
  <c r="K656" i="30"/>
  <c r="I657" i="30"/>
  <c r="K657" i="30"/>
  <c r="I658" i="30"/>
  <c r="K658" i="30"/>
  <c r="I659" i="30"/>
  <c r="K659" i="30"/>
  <c r="I660" i="30"/>
  <c r="K660" i="30"/>
  <c r="I661" i="30"/>
  <c r="K661" i="30"/>
  <c r="G661" i="30"/>
  <c r="I662" i="30"/>
  <c r="K662" i="30"/>
  <c r="I663" i="30"/>
  <c r="K663" i="30"/>
  <c r="I664" i="30"/>
  <c r="K664" i="30"/>
  <c r="I665" i="30"/>
  <c r="K665" i="30"/>
  <c r="I666" i="30"/>
  <c r="K666" i="30"/>
  <c r="I667" i="30"/>
  <c r="K667" i="30"/>
  <c r="I668" i="30"/>
  <c r="K668" i="30"/>
  <c r="I669" i="30"/>
  <c r="K669" i="30"/>
  <c r="I670" i="30"/>
  <c r="K670" i="30"/>
  <c r="I671" i="30"/>
  <c r="K671" i="30"/>
  <c r="I672" i="30"/>
  <c r="K672" i="30"/>
  <c r="I673" i="30"/>
  <c r="K673" i="30"/>
  <c r="I674" i="30"/>
  <c r="K674" i="30"/>
  <c r="I675" i="30"/>
  <c r="K675" i="30"/>
  <c r="I676" i="30"/>
  <c r="K676" i="30"/>
  <c r="I677" i="30"/>
  <c r="K677" i="30"/>
  <c r="I678" i="30"/>
  <c r="K678" i="30"/>
  <c r="I679" i="30"/>
  <c r="K679" i="30"/>
  <c r="E679" i="30"/>
  <c r="I680" i="30"/>
  <c r="K680" i="30"/>
  <c r="I681" i="30"/>
  <c r="K681" i="30"/>
  <c r="I682" i="30"/>
  <c r="K682" i="30"/>
  <c r="I683" i="30"/>
  <c r="K683" i="30"/>
  <c r="I684" i="30"/>
  <c r="K684" i="30"/>
  <c r="I685" i="30"/>
  <c r="K685" i="30"/>
  <c r="I686" i="30"/>
  <c r="K686" i="30"/>
  <c r="I687" i="30"/>
  <c r="K687" i="30"/>
  <c r="I688" i="30"/>
  <c r="K688" i="30"/>
  <c r="I689" i="30"/>
  <c r="K689" i="30"/>
  <c r="I690" i="30"/>
  <c r="K690" i="30"/>
  <c r="I691" i="30"/>
  <c r="K691" i="30"/>
  <c r="I692" i="30"/>
  <c r="K692" i="30"/>
  <c r="I693" i="30"/>
  <c r="K693" i="30"/>
  <c r="I694" i="30"/>
  <c r="K694" i="30"/>
  <c r="I695" i="30"/>
  <c r="K695" i="30"/>
  <c r="G695" i="30"/>
  <c r="I696" i="30"/>
  <c r="K696" i="30"/>
  <c r="I697" i="30"/>
  <c r="K697" i="30"/>
  <c r="I698" i="30"/>
  <c r="K698" i="30"/>
  <c r="I699" i="30"/>
  <c r="K699" i="30"/>
  <c r="I700" i="30"/>
  <c r="K700" i="30"/>
  <c r="I701" i="30"/>
  <c r="K701" i="30"/>
  <c r="I702" i="30"/>
  <c r="K702" i="30"/>
  <c r="I703" i="30"/>
  <c r="K703" i="30"/>
  <c r="I704" i="30"/>
  <c r="K704" i="30"/>
  <c r="I705" i="30"/>
  <c r="K705" i="30"/>
  <c r="I706" i="30"/>
  <c r="K706" i="30"/>
  <c r="I707" i="30"/>
  <c r="K707" i="30"/>
  <c r="I708" i="30"/>
  <c r="K708" i="30"/>
  <c r="I709" i="30"/>
  <c r="K709" i="30"/>
  <c r="I710" i="30"/>
  <c r="K710" i="30"/>
  <c r="I711" i="30"/>
  <c r="K711" i="30"/>
  <c r="I712" i="30"/>
  <c r="K712" i="30"/>
  <c r="I713" i="30"/>
  <c r="K713" i="30"/>
  <c r="I714" i="30"/>
  <c r="K714" i="30"/>
  <c r="I715" i="30"/>
  <c r="K715" i="30"/>
  <c r="I716" i="30"/>
  <c r="K716" i="30"/>
  <c r="I717" i="30"/>
  <c r="K717" i="30"/>
  <c r="G717" i="30"/>
  <c r="I718" i="30"/>
  <c r="K718" i="30"/>
  <c r="I719" i="30"/>
  <c r="K719" i="30"/>
  <c r="I720" i="30"/>
  <c r="K720" i="30"/>
  <c r="I721" i="30"/>
  <c r="K721" i="30"/>
  <c r="I722" i="30"/>
  <c r="K722" i="30"/>
  <c r="I723" i="30"/>
  <c r="K723" i="30"/>
  <c r="I724" i="30"/>
  <c r="K724" i="30"/>
  <c r="I725" i="30"/>
  <c r="K725" i="30"/>
  <c r="I726" i="30"/>
  <c r="K726" i="30"/>
  <c r="I727" i="30"/>
  <c r="K727" i="30"/>
  <c r="I728" i="30"/>
  <c r="K728" i="30"/>
  <c r="I729" i="30"/>
  <c r="K729" i="30"/>
  <c r="G729" i="30"/>
  <c r="I730" i="30"/>
  <c r="K730" i="30"/>
  <c r="I731" i="30"/>
  <c r="K731" i="30"/>
  <c r="I732" i="30"/>
  <c r="K732" i="30"/>
  <c r="I733" i="30"/>
  <c r="K733" i="30"/>
  <c r="I734" i="30"/>
  <c r="K734" i="30"/>
  <c r="I735" i="30"/>
  <c r="K735" i="30"/>
  <c r="I736" i="30"/>
  <c r="K736" i="30"/>
  <c r="I737" i="30"/>
  <c r="K737" i="30"/>
  <c r="I738" i="30"/>
  <c r="K738" i="30"/>
  <c r="I739" i="30"/>
  <c r="K739" i="30"/>
  <c r="G739" i="30"/>
  <c r="I740" i="30"/>
  <c r="K740" i="30"/>
  <c r="I741" i="30"/>
  <c r="K741" i="30"/>
  <c r="I742" i="30"/>
  <c r="K742" i="30"/>
  <c r="I743" i="30"/>
  <c r="K743" i="30"/>
  <c r="I744" i="30"/>
  <c r="K744" i="30"/>
  <c r="I745" i="30"/>
  <c r="K745" i="30"/>
  <c r="I746" i="30"/>
  <c r="K746" i="30"/>
  <c r="I747" i="30"/>
  <c r="K747" i="30"/>
  <c r="I748" i="30"/>
  <c r="K748" i="30"/>
  <c r="I749" i="30"/>
  <c r="K749" i="30"/>
  <c r="I750" i="30"/>
  <c r="K750" i="30"/>
  <c r="I751" i="30"/>
  <c r="K751" i="30"/>
  <c r="I752" i="30"/>
  <c r="K752" i="30"/>
  <c r="I753" i="30"/>
  <c r="K753" i="30"/>
  <c r="I754" i="30"/>
  <c r="K754" i="30"/>
  <c r="I755" i="30"/>
  <c r="K755" i="30"/>
  <c r="G755" i="30"/>
  <c r="I756" i="30"/>
  <c r="K756" i="30"/>
  <c r="I757" i="30"/>
  <c r="K757" i="30"/>
  <c r="I758" i="30"/>
  <c r="K758" i="30"/>
  <c r="I759" i="30"/>
  <c r="K759" i="30"/>
  <c r="G759" i="30"/>
  <c r="I760" i="30"/>
  <c r="K760" i="30"/>
  <c r="I761" i="30"/>
  <c r="K761" i="30"/>
  <c r="I762" i="30"/>
  <c r="K762" i="30"/>
  <c r="I763" i="30"/>
  <c r="K763" i="30"/>
  <c r="I764" i="30"/>
  <c r="K764" i="30"/>
  <c r="I765" i="30"/>
  <c r="K765" i="30"/>
  <c r="I766" i="30"/>
  <c r="K766" i="30"/>
  <c r="I767" i="30"/>
  <c r="K767" i="30"/>
  <c r="I768" i="30"/>
  <c r="K768" i="30"/>
  <c r="I769" i="30"/>
  <c r="K769" i="30"/>
  <c r="I770" i="30"/>
  <c r="K770" i="30"/>
  <c r="I771" i="30"/>
  <c r="K771" i="30"/>
  <c r="E771" i="30"/>
  <c r="I772" i="30"/>
  <c r="K772" i="30"/>
  <c r="I773" i="30"/>
  <c r="K773" i="30"/>
  <c r="I774" i="30"/>
  <c r="K774" i="30"/>
  <c r="I775" i="30"/>
  <c r="K775" i="30"/>
  <c r="I776" i="30"/>
  <c r="K776" i="30"/>
  <c r="I777" i="30"/>
  <c r="K777" i="30"/>
  <c r="I778" i="30"/>
  <c r="K778" i="30"/>
  <c r="I779" i="30"/>
  <c r="K779" i="30"/>
  <c r="I780" i="30"/>
  <c r="K780" i="30"/>
  <c r="I781" i="30"/>
  <c r="K781" i="30"/>
  <c r="I782" i="30"/>
  <c r="K782" i="30"/>
  <c r="I783" i="30"/>
  <c r="K783" i="30"/>
  <c r="I784" i="30"/>
  <c r="K784" i="30"/>
  <c r="I785" i="30"/>
  <c r="K785" i="30"/>
  <c r="I786" i="30"/>
  <c r="K786" i="30"/>
  <c r="I787" i="30"/>
  <c r="K787" i="30"/>
  <c r="I788" i="30"/>
  <c r="K788" i="30"/>
  <c r="I789" i="30"/>
  <c r="K789" i="30"/>
  <c r="I790" i="30"/>
  <c r="K790" i="30"/>
  <c r="I791" i="30"/>
  <c r="K791" i="30"/>
  <c r="I792" i="30"/>
  <c r="K792" i="30"/>
  <c r="I793" i="30"/>
  <c r="K793" i="30"/>
  <c r="I794" i="30"/>
  <c r="K794" i="30"/>
  <c r="I795" i="30"/>
  <c r="K795" i="30"/>
  <c r="G795" i="30"/>
  <c r="I796" i="30"/>
  <c r="K796" i="30"/>
  <c r="I797" i="30"/>
  <c r="K797" i="30"/>
  <c r="I798" i="30"/>
  <c r="K798" i="30"/>
  <c r="I799" i="30"/>
  <c r="K799" i="30"/>
  <c r="I800" i="30"/>
  <c r="K800" i="30"/>
  <c r="I801" i="30"/>
  <c r="K801" i="30"/>
  <c r="I802" i="30"/>
  <c r="K802" i="30"/>
  <c r="I803" i="30"/>
  <c r="K803" i="30"/>
  <c r="I804" i="30"/>
  <c r="K804" i="30"/>
  <c r="I805" i="30"/>
  <c r="K805" i="30"/>
  <c r="I806" i="30"/>
  <c r="K806" i="30"/>
  <c r="I807" i="30"/>
  <c r="K807" i="30"/>
  <c r="I808" i="30"/>
  <c r="K808" i="30"/>
  <c r="I809" i="30"/>
  <c r="K809" i="30"/>
  <c r="I810" i="30"/>
  <c r="K810" i="30"/>
  <c r="I811" i="30"/>
  <c r="K811" i="30"/>
  <c r="I812" i="30"/>
  <c r="K812" i="30"/>
  <c r="I813" i="30"/>
  <c r="K813" i="30"/>
  <c r="I814" i="30"/>
  <c r="K814" i="30"/>
  <c r="I815" i="30"/>
  <c r="K815" i="30"/>
  <c r="I816" i="30"/>
  <c r="K816" i="30"/>
  <c r="I817" i="30"/>
  <c r="K817" i="30"/>
  <c r="I818" i="30"/>
  <c r="K818" i="30"/>
  <c r="I819" i="30"/>
  <c r="K819" i="30"/>
  <c r="I820" i="30"/>
  <c r="K820" i="30"/>
  <c r="I821" i="30"/>
  <c r="K821" i="30"/>
  <c r="I822" i="30"/>
  <c r="K822" i="30"/>
  <c r="I823" i="30"/>
  <c r="K823" i="30"/>
  <c r="I824" i="30"/>
  <c r="K824" i="30"/>
  <c r="I825" i="30"/>
  <c r="K825" i="30"/>
  <c r="I826" i="30"/>
  <c r="K826" i="30"/>
  <c r="I827" i="30"/>
  <c r="K827" i="30"/>
  <c r="I828" i="30"/>
  <c r="K828" i="30"/>
  <c r="I829" i="30"/>
  <c r="K829" i="30"/>
  <c r="I830" i="30"/>
  <c r="K830" i="30"/>
  <c r="I831" i="30"/>
  <c r="K831" i="30"/>
  <c r="I832" i="30"/>
  <c r="K832" i="30"/>
  <c r="I833" i="30"/>
  <c r="K833" i="30"/>
  <c r="I834" i="30"/>
  <c r="K834" i="30"/>
  <c r="I835" i="30"/>
  <c r="K835" i="30"/>
  <c r="I836" i="30"/>
  <c r="K836" i="30"/>
  <c r="I837" i="30"/>
  <c r="K837" i="30"/>
  <c r="I838" i="30"/>
  <c r="K838" i="30"/>
  <c r="I839" i="30"/>
  <c r="K839" i="30"/>
  <c r="G839" i="30"/>
  <c r="I840" i="30"/>
  <c r="K840" i="30"/>
  <c r="I841" i="30"/>
  <c r="K841" i="30"/>
  <c r="I842" i="30"/>
  <c r="K842" i="30"/>
  <c r="I843" i="30"/>
  <c r="K843" i="30"/>
  <c r="I844" i="30"/>
  <c r="K844" i="30"/>
  <c r="I845" i="30"/>
  <c r="K845" i="30"/>
  <c r="I846" i="30"/>
  <c r="K846" i="30"/>
  <c r="I847" i="30"/>
  <c r="K847" i="30"/>
  <c r="I848" i="30"/>
  <c r="K848" i="30"/>
  <c r="I849" i="30"/>
  <c r="K849" i="30"/>
  <c r="I850" i="30"/>
  <c r="K850" i="30"/>
  <c r="I851" i="30"/>
  <c r="K851" i="30"/>
  <c r="I852" i="30"/>
  <c r="K852" i="30"/>
  <c r="I853" i="30"/>
  <c r="K853" i="30"/>
  <c r="I854" i="30"/>
  <c r="K854" i="30"/>
  <c r="I855" i="30"/>
  <c r="K855" i="30"/>
  <c r="I856" i="30"/>
  <c r="K856" i="30"/>
  <c r="I857" i="30"/>
  <c r="K857" i="30"/>
  <c r="I858" i="30"/>
  <c r="K858" i="30"/>
  <c r="I859" i="30"/>
  <c r="K859" i="30"/>
  <c r="I860" i="30"/>
  <c r="K860" i="30"/>
  <c r="I861" i="30"/>
  <c r="K861" i="30"/>
  <c r="I862" i="30"/>
  <c r="K862" i="30"/>
  <c r="I863" i="30"/>
  <c r="K863" i="30"/>
  <c r="I864" i="30"/>
  <c r="K864" i="30"/>
  <c r="I865" i="30"/>
  <c r="K865" i="30"/>
  <c r="I866" i="30"/>
  <c r="K866" i="30"/>
  <c r="I867" i="30"/>
  <c r="K867" i="30"/>
  <c r="I868" i="30"/>
  <c r="K868" i="30"/>
  <c r="I869" i="30"/>
  <c r="K869" i="30"/>
  <c r="I870" i="30"/>
  <c r="K870" i="30"/>
  <c r="I871" i="30"/>
  <c r="K871" i="30"/>
  <c r="I872" i="30"/>
  <c r="K872" i="30"/>
  <c r="I873" i="30"/>
  <c r="K873" i="30"/>
  <c r="I874" i="30"/>
  <c r="K874" i="30"/>
  <c r="I875" i="30"/>
  <c r="K875" i="30"/>
  <c r="I876" i="30"/>
  <c r="K876" i="30"/>
  <c r="I877" i="30"/>
  <c r="K877" i="30"/>
  <c r="I878" i="30"/>
  <c r="K878" i="30"/>
  <c r="I879" i="30"/>
  <c r="K879" i="30"/>
  <c r="I880" i="30"/>
  <c r="K880" i="30"/>
  <c r="I881" i="30"/>
  <c r="K881" i="30"/>
  <c r="E881" i="30"/>
  <c r="I882" i="30"/>
  <c r="K882" i="30"/>
  <c r="I883" i="30"/>
  <c r="K883" i="30"/>
  <c r="I884" i="30"/>
  <c r="K884" i="30"/>
  <c r="I885" i="30"/>
  <c r="K885" i="30"/>
  <c r="I886" i="30"/>
  <c r="K886" i="30"/>
  <c r="I887" i="30"/>
  <c r="K887" i="30"/>
  <c r="G887" i="30"/>
  <c r="I888" i="30"/>
  <c r="K888" i="30"/>
  <c r="I889" i="30"/>
  <c r="K889" i="30"/>
  <c r="I890" i="30"/>
  <c r="K890" i="30"/>
  <c r="I891" i="30"/>
  <c r="K891" i="30"/>
  <c r="I892" i="30"/>
  <c r="K892" i="30"/>
  <c r="I893" i="30"/>
  <c r="K893" i="30"/>
  <c r="I894" i="30"/>
  <c r="K894" i="30"/>
  <c r="I895" i="30"/>
  <c r="K895" i="30"/>
  <c r="I896" i="30"/>
  <c r="K896" i="30"/>
  <c r="I897" i="30"/>
  <c r="K897" i="30"/>
  <c r="I898" i="30"/>
  <c r="K898" i="30"/>
  <c r="I899" i="30"/>
  <c r="K899" i="30"/>
  <c r="I900" i="30"/>
  <c r="K900" i="30"/>
  <c r="I901" i="30"/>
  <c r="K901" i="30"/>
  <c r="I902" i="30"/>
  <c r="K902" i="30"/>
  <c r="I903" i="30"/>
  <c r="K903" i="30"/>
  <c r="G903" i="30"/>
  <c r="I904" i="30"/>
  <c r="K904" i="30"/>
  <c r="I905" i="30"/>
  <c r="K905" i="30"/>
  <c r="I906" i="30"/>
  <c r="K906" i="30"/>
  <c r="I907" i="30"/>
  <c r="K907" i="30"/>
  <c r="I908" i="30"/>
  <c r="K908" i="30"/>
  <c r="I909" i="30"/>
  <c r="K909" i="30"/>
  <c r="I910" i="30"/>
  <c r="K910" i="30"/>
  <c r="I911" i="30"/>
  <c r="K911" i="30"/>
  <c r="I912" i="30"/>
  <c r="K912" i="30"/>
  <c r="I913" i="30"/>
  <c r="K913" i="30"/>
  <c r="I914" i="30"/>
  <c r="K914" i="30"/>
  <c r="I915" i="30"/>
  <c r="K915" i="30"/>
  <c r="I916" i="30"/>
  <c r="K916" i="30"/>
  <c r="I917" i="30"/>
  <c r="K917" i="30"/>
  <c r="I918" i="30"/>
  <c r="K918" i="30"/>
  <c r="I919" i="30"/>
  <c r="K919" i="30"/>
  <c r="I920" i="30"/>
  <c r="K920" i="30"/>
  <c r="I921" i="30"/>
  <c r="K921" i="30"/>
  <c r="I922" i="30"/>
  <c r="K922" i="30"/>
  <c r="I923" i="30"/>
  <c r="K923" i="30"/>
  <c r="G923" i="30"/>
  <c r="I924" i="30"/>
  <c r="K924" i="30"/>
  <c r="I925" i="30"/>
  <c r="K925" i="30"/>
  <c r="I926" i="30"/>
  <c r="K926" i="30"/>
  <c r="I927" i="30"/>
  <c r="K927" i="30"/>
  <c r="I928" i="30"/>
  <c r="K928" i="30"/>
  <c r="I929" i="30"/>
  <c r="K929" i="30"/>
  <c r="I930" i="30"/>
  <c r="K930" i="30"/>
  <c r="I931" i="30"/>
  <c r="K931" i="30"/>
  <c r="I932" i="30"/>
  <c r="K932" i="30"/>
  <c r="I933" i="30"/>
  <c r="K933" i="30"/>
  <c r="G933" i="30"/>
  <c r="I934" i="30"/>
  <c r="K934" i="30"/>
  <c r="I935" i="30"/>
  <c r="K935" i="30"/>
  <c r="I936" i="30"/>
  <c r="K936" i="30"/>
  <c r="I937" i="30"/>
  <c r="K937" i="30"/>
  <c r="I938" i="30"/>
  <c r="K938" i="30"/>
  <c r="I939" i="30"/>
  <c r="K939" i="30"/>
  <c r="I940" i="30"/>
  <c r="K940" i="30"/>
  <c r="I941" i="30"/>
  <c r="K941" i="30"/>
  <c r="I942" i="30"/>
  <c r="K942" i="30"/>
  <c r="I943" i="30"/>
  <c r="K943" i="30"/>
  <c r="I944" i="30"/>
  <c r="K944" i="30"/>
  <c r="I945" i="30"/>
  <c r="K945" i="30"/>
  <c r="I946" i="30"/>
  <c r="K946" i="30"/>
  <c r="I947" i="30"/>
  <c r="K947" i="30"/>
  <c r="I948" i="30"/>
  <c r="K948" i="30"/>
  <c r="I949" i="30"/>
  <c r="K949" i="30"/>
  <c r="I950" i="30"/>
  <c r="K950" i="30"/>
  <c r="I951" i="30"/>
  <c r="K951" i="30"/>
  <c r="G951" i="30"/>
  <c r="I952" i="30"/>
  <c r="K952" i="30"/>
  <c r="I953" i="30"/>
  <c r="K953" i="30"/>
  <c r="G953" i="30"/>
  <c r="I954" i="30"/>
  <c r="K954" i="30"/>
  <c r="I955" i="30"/>
  <c r="K955" i="30"/>
  <c r="I956" i="30"/>
  <c r="K956" i="30"/>
  <c r="I957" i="30"/>
  <c r="K957" i="30"/>
  <c r="I958" i="30"/>
  <c r="K958" i="30"/>
  <c r="I959" i="30"/>
  <c r="K959" i="30"/>
  <c r="I960" i="30"/>
  <c r="K960" i="30"/>
  <c r="I961" i="30"/>
  <c r="K961" i="30"/>
  <c r="I962" i="30"/>
  <c r="K962" i="30"/>
  <c r="I963" i="30"/>
  <c r="K963" i="30"/>
  <c r="I964" i="30"/>
  <c r="K964" i="30"/>
  <c r="I965" i="30"/>
  <c r="K965" i="30"/>
  <c r="I966" i="30"/>
  <c r="K966" i="30"/>
  <c r="I967" i="30"/>
  <c r="K967" i="30"/>
  <c r="I968" i="30"/>
  <c r="K968" i="30"/>
  <c r="I969" i="30"/>
  <c r="K969" i="30"/>
  <c r="I970" i="30"/>
  <c r="K970" i="30"/>
  <c r="I971" i="30"/>
  <c r="K971" i="30"/>
  <c r="G971" i="30"/>
  <c r="I972" i="30"/>
  <c r="K972" i="30"/>
  <c r="I973" i="30"/>
  <c r="K973" i="30"/>
  <c r="I974" i="30"/>
  <c r="K974" i="30"/>
  <c r="I975" i="30"/>
  <c r="K975" i="30"/>
  <c r="G975" i="30"/>
  <c r="I976" i="30"/>
  <c r="K976" i="30"/>
  <c r="I977" i="30"/>
  <c r="K977" i="30"/>
  <c r="G977" i="30"/>
  <c r="I978" i="30"/>
  <c r="K978" i="30"/>
  <c r="I979" i="30"/>
  <c r="K979" i="30"/>
  <c r="I980" i="30"/>
  <c r="K980" i="30"/>
  <c r="I981" i="30"/>
  <c r="K981" i="30"/>
  <c r="I982" i="30"/>
  <c r="K982" i="30"/>
  <c r="I983" i="30"/>
  <c r="K983" i="30"/>
  <c r="I984" i="30"/>
  <c r="K984" i="30"/>
  <c r="I985" i="30"/>
  <c r="K985" i="30"/>
  <c r="I986" i="30"/>
  <c r="K986" i="30"/>
  <c r="I987" i="30"/>
  <c r="K987" i="30"/>
  <c r="I988" i="30"/>
  <c r="K988" i="30"/>
  <c r="I989" i="30"/>
  <c r="K989" i="30"/>
  <c r="I990" i="30"/>
  <c r="K990" i="30"/>
  <c r="I991" i="30"/>
  <c r="K991" i="30"/>
  <c r="I992" i="30"/>
  <c r="K992" i="30"/>
  <c r="I993" i="30"/>
  <c r="K993" i="30"/>
  <c r="G993" i="30"/>
  <c r="I994" i="30"/>
  <c r="K994" i="30"/>
  <c r="I995" i="30"/>
  <c r="K995" i="30"/>
  <c r="I996" i="30"/>
  <c r="K996" i="30"/>
  <c r="I997" i="30"/>
  <c r="K997" i="30"/>
  <c r="I998" i="30"/>
  <c r="K998" i="30"/>
  <c r="I999" i="30"/>
  <c r="K999" i="30"/>
  <c r="G999" i="30"/>
  <c r="I1000" i="30"/>
  <c r="K1000" i="30"/>
  <c r="I1001" i="30"/>
  <c r="K1001" i="30"/>
  <c r="I1002" i="30"/>
  <c r="K1002" i="30"/>
  <c r="G1002" i="30"/>
  <c r="I1003" i="30"/>
  <c r="K1003" i="30"/>
  <c r="I1004" i="30"/>
  <c r="K1004" i="30"/>
  <c r="G1004" i="30"/>
  <c r="I1005" i="30"/>
  <c r="K1005" i="30"/>
  <c r="G1005" i="30"/>
  <c r="I1006" i="30"/>
  <c r="K1006" i="30"/>
  <c r="I1007" i="30"/>
  <c r="K1007" i="30"/>
  <c r="G1007" i="30"/>
  <c r="I1008" i="30"/>
  <c r="K1008" i="30"/>
  <c r="G1008" i="30"/>
  <c r="I1009" i="30"/>
  <c r="K1009" i="30"/>
  <c r="I1010" i="30"/>
  <c r="K1010" i="30"/>
  <c r="G1010" i="30"/>
  <c r="I1011" i="30"/>
  <c r="K1011" i="30"/>
  <c r="E1011" i="30"/>
  <c r="G1011" i="30"/>
  <c r="I1012" i="30"/>
  <c r="K1012" i="30"/>
  <c r="I1013" i="30"/>
  <c r="K1013" i="30"/>
  <c r="G1013" i="30"/>
  <c r="I1014" i="30"/>
  <c r="K1014" i="30"/>
  <c r="I1015" i="30"/>
  <c r="K1015" i="30"/>
  <c r="G1015" i="30"/>
  <c r="I1016" i="30"/>
  <c r="K1016" i="30"/>
  <c r="G1016" i="30"/>
  <c r="I1017" i="30"/>
  <c r="K1017" i="30"/>
  <c r="I1018" i="30"/>
  <c r="K1018" i="30"/>
  <c r="G1018" i="30"/>
  <c r="I1019" i="30"/>
  <c r="K1019" i="30"/>
  <c r="I1020" i="30"/>
  <c r="K1020" i="30"/>
  <c r="I1021" i="30"/>
  <c r="K1021" i="30"/>
  <c r="G1021" i="30"/>
  <c r="I1022" i="30"/>
  <c r="K1022" i="30"/>
  <c r="E1022" i="30"/>
  <c r="G1022" i="30"/>
  <c r="I1023" i="30"/>
  <c r="K1023" i="30"/>
  <c r="E1023" i="30"/>
  <c r="G1023" i="30"/>
  <c r="I1024" i="30"/>
  <c r="K1024" i="30"/>
  <c r="G1024" i="30"/>
  <c r="I1025" i="30"/>
  <c r="K1025" i="30"/>
  <c r="E1025" i="30"/>
  <c r="I1026" i="30"/>
  <c r="K1026" i="30"/>
  <c r="G1026" i="30"/>
  <c r="I1027" i="30"/>
  <c r="K1027" i="30"/>
  <c r="G1027" i="30"/>
  <c r="I1028" i="30"/>
  <c r="K1028" i="30"/>
  <c r="I1029" i="30"/>
  <c r="K1029" i="30"/>
  <c r="G1029" i="30"/>
  <c r="I1030" i="30"/>
  <c r="K1030" i="30"/>
  <c r="G1030" i="30"/>
  <c r="I1031" i="30"/>
  <c r="K1031" i="30"/>
  <c r="G1031" i="30"/>
  <c r="I1032" i="30"/>
  <c r="K1032" i="30"/>
  <c r="I1033" i="30"/>
  <c r="K1033" i="30"/>
  <c r="G1033" i="30"/>
  <c r="I1034" i="30"/>
  <c r="K1034" i="30"/>
  <c r="I1035" i="30"/>
  <c r="K1035" i="30"/>
  <c r="I1036" i="30"/>
  <c r="K1036" i="30"/>
  <c r="E1036" i="30"/>
  <c r="I1037" i="30"/>
  <c r="K1037" i="30"/>
  <c r="G1037" i="30"/>
  <c r="I1038" i="30"/>
  <c r="K1038" i="30"/>
  <c r="I1039" i="30"/>
  <c r="K1039" i="30"/>
  <c r="E1039" i="30"/>
  <c r="I1040" i="30"/>
  <c r="K1040" i="30"/>
  <c r="G1040" i="30"/>
  <c r="I1041" i="30"/>
  <c r="K1041" i="30"/>
  <c r="G1041" i="30"/>
  <c r="I1042" i="30"/>
  <c r="K1042" i="30"/>
  <c r="G1042" i="30"/>
  <c r="I1043" i="30"/>
  <c r="K1043" i="30"/>
  <c r="I1044" i="30"/>
  <c r="K1044" i="30"/>
  <c r="E1044" i="30"/>
  <c r="I1045" i="30"/>
  <c r="K1045" i="30"/>
  <c r="E1045" i="30"/>
  <c r="G1045" i="30"/>
  <c r="I1046" i="30"/>
  <c r="K1046" i="30"/>
  <c r="I1047" i="30"/>
  <c r="K1047" i="30"/>
  <c r="E1047" i="30"/>
  <c r="I1048" i="30"/>
  <c r="K1048" i="30"/>
  <c r="I1049" i="30"/>
  <c r="K1049" i="30"/>
  <c r="G1049" i="30"/>
  <c r="I1050" i="30"/>
  <c r="K1050" i="30"/>
  <c r="G1050" i="30"/>
  <c r="I1051" i="30"/>
  <c r="K1051" i="30"/>
  <c r="I1052" i="30"/>
  <c r="K1052" i="30"/>
  <c r="E1052" i="30"/>
  <c r="I1053" i="30"/>
  <c r="K1053" i="30"/>
  <c r="I1054" i="30"/>
  <c r="K1054" i="30"/>
  <c r="I1055" i="30"/>
  <c r="K1055" i="30"/>
  <c r="E1055" i="30"/>
  <c r="G1055" i="30"/>
  <c r="I1056" i="30"/>
  <c r="K1056" i="30"/>
  <c r="G1056" i="30"/>
  <c r="I1057" i="30"/>
  <c r="K1057" i="30"/>
  <c r="G1057" i="30"/>
  <c r="I1058" i="30"/>
  <c r="K1058" i="30"/>
  <c r="G1058" i="30"/>
  <c r="I1059" i="30"/>
  <c r="K1059" i="30"/>
  <c r="I1060" i="30"/>
  <c r="K1060" i="30"/>
  <c r="E1060" i="30"/>
  <c r="I1061" i="30"/>
  <c r="K1061" i="30"/>
  <c r="I1062" i="30"/>
  <c r="K1062" i="30"/>
  <c r="G1062" i="30"/>
  <c r="I1063" i="30"/>
  <c r="K1063" i="30"/>
  <c r="E1063" i="30"/>
  <c r="I1064" i="30"/>
  <c r="K1064" i="30"/>
  <c r="G1064" i="30"/>
  <c r="I1065" i="30"/>
  <c r="K1065" i="30"/>
  <c r="G1065" i="30"/>
  <c r="I1066" i="30"/>
  <c r="K1066" i="30"/>
  <c r="G1066" i="30"/>
  <c r="I1067" i="30"/>
  <c r="K1067" i="30"/>
  <c r="G1067" i="30"/>
  <c r="I1068" i="30"/>
  <c r="K1068" i="30"/>
  <c r="G1068" i="30"/>
  <c r="I1069" i="30"/>
  <c r="K1069" i="30"/>
  <c r="I1070" i="30"/>
  <c r="K1070" i="30"/>
  <c r="G1070" i="30"/>
  <c r="I1071" i="30"/>
  <c r="K1071" i="30"/>
  <c r="G1071" i="30"/>
  <c r="I1072" i="30"/>
  <c r="K1072" i="30"/>
  <c r="G1072" i="30"/>
  <c r="I1073" i="30"/>
  <c r="K1073" i="30"/>
  <c r="G1073" i="30"/>
  <c r="I1074" i="30"/>
  <c r="K1074" i="30"/>
  <c r="G1074" i="30"/>
  <c r="I1075" i="30"/>
  <c r="K1075" i="30"/>
  <c r="I1076" i="30"/>
  <c r="K1076" i="30"/>
  <c r="G1076" i="30"/>
  <c r="I1077" i="30"/>
  <c r="K1077" i="30"/>
  <c r="I1078" i="30"/>
  <c r="K1078" i="30"/>
  <c r="G1078" i="30"/>
  <c r="I1079" i="30"/>
  <c r="K1079" i="30"/>
  <c r="E1079" i="30"/>
  <c r="G1079" i="30"/>
  <c r="I1080" i="30"/>
  <c r="K1080" i="30"/>
  <c r="G1080" i="30"/>
  <c r="I1081" i="30"/>
  <c r="K1081" i="30"/>
  <c r="G1081" i="30"/>
  <c r="I1082" i="30"/>
  <c r="K1082" i="30"/>
  <c r="G1082" i="30"/>
  <c r="I1083" i="30"/>
  <c r="K1083" i="30"/>
  <c r="I1084" i="30"/>
  <c r="K1084" i="30"/>
  <c r="G1084" i="30"/>
  <c r="I1085" i="30"/>
  <c r="K1085" i="30"/>
  <c r="E1085" i="30"/>
  <c r="I1086" i="30"/>
  <c r="K1086" i="30"/>
  <c r="G1086" i="30"/>
  <c r="I1087" i="30"/>
  <c r="K1087" i="30"/>
  <c r="E1087" i="30"/>
  <c r="G1087" i="30"/>
  <c r="I1088" i="30"/>
  <c r="K1088" i="30"/>
  <c r="G1088" i="30"/>
  <c r="I1089" i="30"/>
  <c r="K1089" i="30"/>
  <c r="G1089" i="30"/>
  <c r="I1090" i="30"/>
  <c r="K1090" i="30"/>
  <c r="G1090" i="30"/>
  <c r="I1091" i="30"/>
  <c r="K1091" i="30"/>
  <c r="I1092" i="30"/>
  <c r="K1092" i="30"/>
  <c r="G1092" i="30"/>
  <c r="I1093" i="30"/>
  <c r="K1093" i="30"/>
  <c r="G1093" i="30"/>
  <c r="I1094" i="30"/>
  <c r="K1094" i="30"/>
  <c r="G1094" i="30"/>
  <c r="I1095" i="30"/>
  <c r="K1095" i="30"/>
  <c r="I1096" i="30"/>
  <c r="K1096" i="30"/>
  <c r="G1096" i="30"/>
  <c r="I1097" i="30"/>
  <c r="K1097" i="30"/>
  <c r="G1097" i="30"/>
  <c r="E8" i="30"/>
  <c r="G8" i="30"/>
  <c r="E9" i="30"/>
  <c r="G9" i="30"/>
  <c r="E10" i="30"/>
  <c r="G10" i="30"/>
  <c r="E11" i="30"/>
  <c r="G11" i="30"/>
  <c r="E12" i="30"/>
  <c r="G12" i="30"/>
  <c r="E13" i="30"/>
  <c r="G13" i="30"/>
  <c r="E14" i="30"/>
  <c r="G14" i="30"/>
  <c r="O1097" i="30"/>
  <c r="N1097" i="30"/>
  <c r="E1097" i="30"/>
  <c r="O1096" i="30"/>
  <c r="N1096" i="30"/>
  <c r="O1095" i="30"/>
  <c r="N1095" i="30"/>
  <c r="O1094" i="30"/>
  <c r="N1094" i="30"/>
  <c r="O1093" i="30"/>
  <c r="N1093" i="30"/>
  <c r="E1093" i="30"/>
  <c r="O1092" i="30"/>
  <c r="N1092" i="30"/>
  <c r="O1091" i="30"/>
  <c r="N1091" i="30"/>
  <c r="O1090" i="30"/>
  <c r="N1090" i="30"/>
  <c r="O1089" i="30"/>
  <c r="N1089" i="30"/>
  <c r="E1089" i="30"/>
  <c r="O1088" i="30"/>
  <c r="N1088" i="30"/>
  <c r="O1087" i="30"/>
  <c r="N1087" i="30"/>
  <c r="O1086" i="30"/>
  <c r="N1086" i="30"/>
  <c r="O1085" i="30"/>
  <c r="N1085" i="30"/>
  <c r="O1084" i="30"/>
  <c r="N1084" i="30"/>
  <c r="O1083" i="30"/>
  <c r="N1083" i="30"/>
  <c r="O1082" i="30"/>
  <c r="N1082" i="30"/>
  <c r="O1081" i="30"/>
  <c r="N1081" i="30"/>
  <c r="E1081" i="30"/>
  <c r="O1080" i="30"/>
  <c r="N1080" i="30"/>
  <c r="O1079" i="30"/>
  <c r="N1079" i="30"/>
  <c r="O1078" i="30"/>
  <c r="N1078" i="30"/>
  <c r="O1077" i="30"/>
  <c r="N1077" i="30"/>
  <c r="O1076" i="30"/>
  <c r="N1076" i="30"/>
  <c r="O1075" i="30"/>
  <c r="N1075" i="30"/>
  <c r="O1074" i="30"/>
  <c r="N1074" i="30"/>
  <c r="O1073" i="30"/>
  <c r="N1073" i="30"/>
  <c r="E1073" i="30"/>
  <c r="O1072" i="30"/>
  <c r="N1072" i="30"/>
  <c r="O1071" i="30"/>
  <c r="N1071" i="30"/>
  <c r="E1071" i="30"/>
  <c r="O1070" i="30"/>
  <c r="N1070" i="30"/>
  <c r="O1069" i="30"/>
  <c r="N1069" i="30"/>
  <c r="O1068" i="30"/>
  <c r="N1068" i="30"/>
  <c r="O1067" i="30"/>
  <c r="N1067" i="30"/>
  <c r="E1067" i="30"/>
  <c r="O1066" i="30"/>
  <c r="N1066" i="30"/>
  <c r="O1065" i="30"/>
  <c r="N1065" i="30"/>
  <c r="E1065" i="30"/>
  <c r="O1064" i="30"/>
  <c r="N1064" i="30"/>
  <c r="O1063" i="30"/>
  <c r="N1063" i="30"/>
  <c r="O1062" i="30"/>
  <c r="N1062" i="30"/>
  <c r="O1061" i="30"/>
  <c r="N1061" i="30"/>
  <c r="O1060" i="30"/>
  <c r="N1060" i="30"/>
  <c r="O1059" i="30"/>
  <c r="N1059" i="30"/>
  <c r="O1058" i="30"/>
  <c r="N1058" i="30"/>
  <c r="E1058" i="30"/>
  <c r="O1057" i="30"/>
  <c r="N1057" i="30"/>
  <c r="E1057" i="30"/>
  <c r="O1056" i="30"/>
  <c r="N1056" i="30"/>
  <c r="E1056" i="30"/>
  <c r="O1055" i="30"/>
  <c r="N1055" i="30"/>
  <c r="O1054" i="30"/>
  <c r="N1054" i="30"/>
  <c r="O1053" i="30"/>
  <c r="N1053" i="30"/>
  <c r="O1052" i="30"/>
  <c r="N1052" i="30"/>
  <c r="O1051" i="30"/>
  <c r="N1051" i="30"/>
  <c r="O1050" i="30"/>
  <c r="N1050" i="30"/>
  <c r="E1050" i="30"/>
  <c r="O1049" i="30"/>
  <c r="N1049" i="30"/>
  <c r="E1049" i="30"/>
  <c r="O1048" i="30"/>
  <c r="N1048" i="30"/>
  <c r="O1047" i="30"/>
  <c r="N1047" i="30"/>
  <c r="O1046" i="30"/>
  <c r="N1046" i="30"/>
  <c r="O1045" i="30"/>
  <c r="N1045" i="30"/>
  <c r="O1044" i="30"/>
  <c r="N1044" i="30"/>
  <c r="O1043" i="30"/>
  <c r="N1043" i="30"/>
  <c r="O1042" i="30"/>
  <c r="N1042" i="30"/>
  <c r="E1042" i="30"/>
  <c r="O1041" i="30"/>
  <c r="N1041" i="30"/>
  <c r="E1041" i="30"/>
  <c r="O1040" i="30"/>
  <c r="N1040" i="30"/>
  <c r="E1040" i="30"/>
  <c r="O1039" i="30"/>
  <c r="N1039" i="30"/>
  <c r="O1038" i="30"/>
  <c r="N1038" i="30"/>
  <c r="O1037" i="30"/>
  <c r="N1037" i="30"/>
  <c r="E1037" i="30"/>
  <c r="O1036" i="30"/>
  <c r="N1036" i="30"/>
  <c r="O1035" i="30"/>
  <c r="N1035" i="30"/>
  <c r="O1034" i="30"/>
  <c r="N1034" i="30"/>
  <c r="O1033" i="30"/>
  <c r="N1033" i="30"/>
  <c r="E1033" i="30"/>
  <c r="O1032" i="30"/>
  <c r="N1032" i="30"/>
  <c r="O1031" i="30"/>
  <c r="N1031" i="30"/>
  <c r="E1031" i="30"/>
  <c r="O1030" i="30"/>
  <c r="N1030" i="30"/>
  <c r="E1030" i="30"/>
  <c r="O1029" i="30"/>
  <c r="N1029" i="30"/>
  <c r="E1029" i="30"/>
  <c r="O1028" i="30"/>
  <c r="N1028" i="30"/>
  <c r="O1027" i="30"/>
  <c r="N1027" i="30"/>
  <c r="E1027" i="30"/>
  <c r="O1026" i="30"/>
  <c r="N1026" i="30"/>
  <c r="E1026" i="30"/>
  <c r="O1025" i="30"/>
  <c r="N1025" i="30"/>
  <c r="O1024" i="30"/>
  <c r="N1024" i="30"/>
  <c r="E1024" i="30"/>
  <c r="O1023" i="30"/>
  <c r="N1023" i="30"/>
  <c r="O1022" i="30"/>
  <c r="N1022" i="30"/>
  <c r="O1021" i="30"/>
  <c r="N1021" i="30"/>
  <c r="E1021" i="30"/>
  <c r="O1020" i="30"/>
  <c r="N1020" i="30"/>
  <c r="O1019" i="30"/>
  <c r="N1019" i="30"/>
  <c r="O1018" i="30"/>
  <c r="N1018" i="30"/>
  <c r="E1018" i="30"/>
  <c r="O1017" i="30"/>
  <c r="N1017" i="30"/>
  <c r="O1016" i="30"/>
  <c r="N1016" i="30"/>
  <c r="E1016" i="30"/>
  <c r="O1015" i="30"/>
  <c r="N1015" i="30"/>
  <c r="E1015" i="30"/>
  <c r="O1014" i="30"/>
  <c r="N1014" i="30"/>
  <c r="O1013" i="30"/>
  <c r="N1013" i="30"/>
  <c r="E1013" i="30"/>
  <c r="O1012" i="30"/>
  <c r="N1012" i="30"/>
  <c r="O1011" i="30"/>
  <c r="N1011" i="30"/>
  <c r="O1010" i="30"/>
  <c r="N1010" i="30"/>
  <c r="E1010" i="30"/>
  <c r="O1009" i="30"/>
  <c r="N1009" i="30"/>
  <c r="O1008" i="30"/>
  <c r="N1008" i="30"/>
  <c r="E1008" i="30"/>
  <c r="O1007" i="30"/>
  <c r="N1007" i="30"/>
  <c r="E1007" i="30"/>
  <c r="O1006" i="30"/>
  <c r="N1006" i="30"/>
  <c r="E1005" i="30"/>
  <c r="O1004" i="30"/>
  <c r="N1004" i="30"/>
  <c r="E1004" i="30"/>
  <c r="O1003" i="30"/>
  <c r="N1003" i="30"/>
  <c r="O1002" i="30"/>
  <c r="N1002" i="30"/>
  <c r="E1002" i="30"/>
  <c r="O1001" i="30"/>
  <c r="N1001" i="30"/>
  <c r="O1000" i="30"/>
  <c r="N1000" i="30"/>
  <c r="O999" i="30"/>
  <c r="N999" i="30"/>
  <c r="E999" i="30"/>
  <c r="O998" i="30"/>
  <c r="N998" i="30"/>
  <c r="O997" i="30"/>
  <c r="N997" i="30"/>
  <c r="O996" i="30"/>
  <c r="N996" i="30"/>
  <c r="O995" i="30"/>
  <c r="N995" i="30"/>
  <c r="G995" i="30"/>
  <c r="E995" i="30"/>
  <c r="O994" i="30"/>
  <c r="N994" i="30"/>
  <c r="O993" i="30"/>
  <c r="N993" i="30"/>
  <c r="E993" i="30"/>
  <c r="O992" i="30"/>
  <c r="N992" i="30"/>
  <c r="O991" i="30"/>
  <c r="N991" i="30"/>
  <c r="G991" i="30"/>
  <c r="E991" i="30"/>
  <c r="O990" i="30"/>
  <c r="N990" i="30"/>
  <c r="G990" i="30"/>
  <c r="E990" i="30"/>
  <c r="O989" i="30"/>
  <c r="N989" i="30"/>
  <c r="G989" i="30"/>
  <c r="E989" i="30"/>
  <c r="O988" i="30"/>
  <c r="N988" i="30"/>
  <c r="O987" i="30"/>
  <c r="N987" i="30"/>
  <c r="O986" i="30"/>
  <c r="N986" i="30"/>
  <c r="O985" i="30"/>
  <c r="N985" i="30"/>
  <c r="G985" i="30"/>
  <c r="E985" i="30"/>
  <c r="O984" i="30"/>
  <c r="N984" i="30"/>
  <c r="G984" i="30"/>
  <c r="E984" i="30"/>
  <c r="O983" i="30"/>
  <c r="N983" i="30"/>
  <c r="O982" i="30"/>
  <c r="N982" i="30"/>
  <c r="O981" i="30"/>
  <c r="N981" i="30"/>
  <c r="G981" i="30"/>
  <c r="E981" i="30"/>
  <c r="O980" i="30"/>
  <c r="N980" i="30"/>
  <c r="G980" i="30"/>
  <c r="E980" i="30"/>
  <c r="O979" i="30"/>
  <c r="N979" i="30"/>
  <c r="G979" i="30"/>
  <c r="E979" i="30"/>
  <c r="O978" i="30"/>
  <c r="N978" i="30"/>
  <c r="O977" i="30"/>
  <c r="N977" i="30"/>
  <c r="O976" i="30"/>
  <c r="N976" i="30"/>
  <c r="G976" i="30"/>
  <c r="E976" i="30"/>
  <c r="O975" i="30"/>
  <c r="N975" i="30"/>
  <c r="O974" i="30"/>
  <c r="N974" i="30"/>
  <c r="O973" i="30"/>
  <c r="N973" i="30"/>
  <c r="G973" i="30"/>
  <c r="E973" i="30"/>
  <c r="O972" i="30"/>
  <c r="N972" i="30"/>
  <c r="G972" i="30"/>
  <c r="E972" i="30"/>
  <c r="O971" i="30"/>
  <c r="N971" i="30"/>
  <c r="O970" i="30"/>
  <c r="N970" i="30"/>
  <c r="G969" i="30"/>
  <c r="E969" i="30"/>
  <c r="O968" i="30"/>
  <c r="N968" i="30"/>
  <c r="G968" i="30"/>
  <c r="E968" i="30"/>
  <c r="O967" i="30"/>
  <c r="N967" i="30"/>
  <c r="G967" i="30"/>
  <c r="E967" i="30"/>
  <c r="O966" i="30"/>
  <c r="N966" i="30"/>
  <c r="O965" i="30"/>
  <c r="N965" i="30"/>
  <c r="O964" i="30"/>
  <c r="N964" i="30"/>
  <c r="O963" i="30"/>
  <c r="N963" i="30"/>
  <c r="G963" i="30"/>
  <c r="E963" i="30"/>
  <c r="O962" i="30"/>
  <c r="N962" i="30"/>
  <c r="O961" i="30"/>
  <c r="N961" i="30"/>
  <c r="G961" i="30"/>
  <c r="E961" i="30"/>
  <c r="O960" i="30"/>
  <c r="N960" i="30"/>
  <c r="O959" i="30"/>
  <c r="N959" i="30"/>
  <c r="G959" i="30"/>
  <c r="E959" i="30"/>
  <c r="O958" i="30"/>
  <c r="N958" i="30"/>
  <c r="G958" i="30"/>
  <c r="E958" i="30"/>
  <c r="O957" i="30"/>
  <c r="N957" i="30"/>
  <c r="G957" i="30"/>
  <c r="E957" i="30"/>
  <c r="O956" i="30"/>
  <c r="N956" i="30"/>
  <c r="O955" i="30"/>
  <c r="N955" i="30"/>
  <c r="G955" i="30"/>
  <c r="E955" i="30"/>
  <c r="O954" i="30"/>
  <c r="N954" i="30"/>
  <c r="O953" i="30"/>
  <c r="N953" i="30"/>
  <c r="O952" i="30"/>
  <c r="N952" i="30"/>
  <c r="G952" i="30"/>
  <c r="E952" i="30"/>
  <c r="O951" i="30"/>
  <c r="N951" i="30"/>
  <c r="O950" i="30"/>
  <c r="N950" i="30"/>
  <c r="O949" i="30"/>
  <c r="N949" i="30"/>
  <c r="G949" i="30"/>
  <c r="E949" i="30"/>
  <c r="O948" i="30"/>
  <c r="N948" i="30"/>
  <c r="G948" i="30"/>
  <c r="E948" i="30"/>
  <c r="O947" i="30"/>
  <c r="N947" i="30"/>
  <c r="O946" i="30"/>
  <c r="N946" i="30"/>
  <c r="O945" i="30"/>
  <c r="N945" i="30"/>
  <c r="G945" i="30"/>
  <c r="E945" i="30"/>
  <c r="O944" i="30"/>
  <c r="N944" i="30"/>
  <c r="G944" i="30"/>
  <c r="E944" i="30"/>
  <c r="O943" i="30"/>
  <c r="N943" i="30"/>
  <c r="G943" i="30"/>
  <c r="E943" i="30"/>
  <c r="O942" i="30"/>
  <c r="N942" i="30"/>
  <c r="O941" i="30"/>
  <c r="N941" i="30"/>
  <c r="O940" i="30"/>
  <c r="N940" i="30"/>
  <c r="G940" i="30"/>
  <c r="E940" i="30"/>
  <c r="O939" i="30"/>
  <c r="N939" i="30"/>
  <c r="G939" i="30"/>
  <c r="E939" i="30"/>
  <c r="O938" i="30"/>
  <c r="N938" i="30"/>
  <c r="O937" i="30"/>
  <c r="N937" i="30"/>
  <c r="O936" i="30"/>
  <c r="N936" i="30"/>
  <c r="G936" i="30"/>
  <c r="E936" i="30"/>
  <c r="O935" i="30"/>
  <c r="N935" i="30"/>
  <c r="G935" i="30"/>
  <c r="E935" i="30"/>
  <c r="O934" i="30"/>
  <c r="N934" i="30"/>
  <c r="E933" i="30"/>
  <c r="O932" i="30"/>
  <c r="N932" i="30"/>
  <c r="O931" i="30"/>
  <c r="N931" i="30"/>
  <c r="G931" i="30"/>
  <c r="E931" i="30"/>
  <c r="O930" i="30"/>
  <c r="N930" i="30"/>
  <c r="O929" i="30"/>
  <c r="N929" i="30"/>
  <c r="O928" i="30"/>
  <c r="N928" i="30"/>
  <c r="O927" i="30"/>
  <c r="N927" i="30"/>
  <c r="G927" i="30"/>
  <c r="E927" i="30"/>
  <c r="O926" i="30"/>
  <c r="N926" i="30"/>
  <c r="G926" i="30"/>
  <c r="E926" i="30"/>
  <c r="O925" i="30"/>
  <c r="N925" i="30"/>
  <c r="G925" i="30"/>
  <c r="E925" i="30"/>
  <c r="O924" i="30"/>
  <c r="N924" i="30"/>
  <c r="O923" i="30"/>
  <c r="N923" i="30"/>
  <c r="O922" i="30"/>
  <c r="N922" i="30"/>
  <c r="O921" i="30"/>
  <c r="N921" i="30"/>
  <c r="G921" i="30"/>
  <c r="E921" i="30"/>
  <c r="O920" i="30"/>
  <c r="N920" i="30"/>
  <c r="G920" i="30"/>
  <c r="E920" i="30"/>
  <c r="O919" i="30"/>
  <c r="N919" i="30"/>
  <c r="G919" i="30"/>
  <c r="E919" i="30"/>
  <c r="O918" i="30"/>
  <c r="N918" i="30"/>
  <c r="O917" i="30"/>
  <c r="N917" i="30"/>
  <c r="G917" i="30"/>
  <c r="E917" i="30"/>
  <c r="O916" i="30"/>
  <c r="N916" i="30"/>
  <c r="G916" i="30"/>
  <c r="E916" i="30"/>
  <c r="O915" i="30"/>
  <c r="N915" i="30"/>
  <c r="G915" i="30"/>
  <c r="E915" i="30"/>
  <c r="O914" i="30"/>
  <c r="N914" i="30"/>
  <c r="O913" i="30"/>
  <c r="N913" i="30"/>
  <c r="G913" i="30"/>
  <c r="E913" i="30"/>
  <c r="O912" i="30"/>
  <c r="N912" i="30"/>
  <c r="O911" i="30"/>
  <c r="N911" i="30"/>
  <c r="G911" i="30"/>
  <c r="E911" i="30"/>
  <c r="O910" i="30"/>
  <c r="N910" i="30"/>
  <c r="G909" i="30"/>
  <c r="E909" i="30"/>
  <c r="O908" i="30"/>
  <c r="N908" i="30"/>
  <c r="O907" i="30"/>
  <c r="N907" i="30"/>
  <c r="G907" i="30"/>
  <c r="E907" i="30"/>
  <c r="O906" i="30"/>
  <c r="N906" i="30"/>
  <c r="G905" i="30"/>
  <c r="E905" i="30"/>
  <c r="O904" i="30"/>
  <c r="G904" i="30"/>
  <c r="E904" i="30"/>
  <c r="O903" i="30"/>
  <c r="N903" i="30"/>
  <c r="O902" i="30"/>
  <c r="N902" i="30"/>
  <c r="O901" i="30"/>
  <c r="N901" i="30"/>
  <c r="G901" i="30"/>
  <c r="E901" i="30"/>
  <c r="O900" i="30"/>
  <c r="N900" i="30"/>
  <c r="G900" i="30"/>
  <c r="E900" i="30"/>
  <c r="O899" i="30"/>
  <c r="N899" i="30"/>
  <c r="G899" i="30"/>
  <c r="E899" i="30"/>
  <c r="O898" i="30"/>
  <c r="N898" i="30"/>
  <c r="O897" i="30"/>
  <c r="N897" i="30"/>
  <c r="G897" i="30"/>
  <c r="E897" i="30"/>
  <c r="O896" i="30"/>
  <c r="N896" i="30"/>
  <c r="O894" i="30"/>
  <c r="N894" i="30"/>
  <c r="O893" i="30"/>
  <c r="N893" i="30"/>
  <c r="G893" i="30"/>
  <c r="E893" i="30"/>
  <c r="O892" i="30"/>
  <c r="N892" i="30"/>
  <c r="O891" i="30"/>
  <c r="N891" i="30"/>
  <c r="G891" i="30"/>
  <c r="E891" i="30"/>
  <c r="O890" i="30"/>
  <c r="N890" i="30"/>
  <c r="O889" i="30"/>
  <c r="N889" i="30"/>
  <c r="G889" i="30"/>
  <c r="E889" i="30"/>
  <c r="O888" i="30"/>
  <c r="N888" i="30"/>
  <c r="G888" i="30"/>
  <c r="E888" i="30"/>
  <c r="O887" i="30"/>
  <c r="N887" i="30"/>
  <c r="E887" i="30"/>
  <c r="O886" i="30"/>
  <c r="N886" i="30"/>
  <c r="G885" i="30"/>
  <c r="E885" i="30"/>
  <c r="O884" i="30"/>
  <c r="N884" i="30"/>
  <c r="G884" i="30"/>
  <c r="E884" i="30"/>
  <c r="O883" i="30"/>
  <c r="N883" i="30"/>
  <c r="G883" i="30"/>
  <c r="E883" i="30"/>
  <c r="O882" i="30"/>
  <c r="N882" i="30"/>
  <c r="O881" i="30"/>
  <c r="N881" i="30"/>
  <c r="O880" i="30"/>
  <c r="N880" i="30"/>
  <c r="O879" i="30"/>
  <c r="N879" i="30"/>
  <c r="G879" i="30"/>
  <c r="E879" i="30"/>
  <c r="O878" i="30"/>
  <c r="N878" i="30"/>
  <c r="O877" i="30"/>
  <c r="N877" i="30"/>
  <c r="G877" i="30"/>
  <c r="E877" i="30"/>
  <c r="O876" i="30"/>
  <c r="N876" i="30"/>
  <c r="O875" i="30"/>
  <c r="N875" i="30"/>
  <c r="O874" i="30"/>
  <c r="N874" i="30"/>
  <c r="O873" i="30"/>
  <c r="N873" i="30"/>
  <c r="G873" i="30"/>
  <c r="E873" i="30"/>
  <c r="O872" i="30"/>
  <c r="N872" i="30"/>
  <c r="G872" i="30"/>
  <c r="E872" i="30"/>
  <c r="O871" i="30"/>
  <c r="N871" i="30"/>
  <c r="G871" i="30"/>
  <c r="E871" i="30"/>
  <c r="O870" i="30"/>
  <c r="N870" i="30"/>
  <c r="O869" i="30"/>
  <c r="N869" i="30"/>
  <c r="G869" i="30"/>
  <c r="E869" i="30"/>
  <c r="O868" i="30"/>
  <c r="N868" i="30"/>
  <c r="G868" i="30"/>
  <c r="E868" i="30"/>
  <c r="O867" i="30"/>
  <c r="N867" i="30"/>
  <c r="O866" i="30"/>
  <c r="N866" i="30"/>
  <c r="O865" i="30"/>
  <c r="N865" i="30"/>
  <c r="G865" i="30"/>
  <c r="E865" i="30"/>
  <c r="O864" i="30"/>
  <c r="N864" i="30"/>
  <c r="O863" i="30"/>
  <c r="N863" i="30"/>
  <c r="G863" i="30"/>
  <c r="E863" i="30"/>
  <c r="O862" i="30"/>
  <c r="N862" i="30"/>
  <c r="O861" i="30"/>
  <c r="N861" i="30"/>
  <c r="G861" i="30"/>
  <c r="E861" i="30"/>
  <c r="O860" i="30"/>
  <c r="N860" i="30"/>
  <c r="O859" i="30"/>
  <c r="N859" i="30"/>
  <c r="O858" i="30"/>
  <c r="N858" i="30"/>
  <c r="O857" i="30"/>
  <c r="N857" i="30"/>
  <c r="G857" i="30"/>
  <c r="E857" i="30"/>
  <c r="O856" i="30"/>
  <c r="N856" i="30"/>
  <c r="G856" i="30"/>
  <c r="E856" i="30"/>
  <c r="O855" i="30"/>
  <c r="N855" i="30"/>
  <c r="G855" i="30"/>
  <c r="E855" i="30"/>
  <c r="O854" i="30"/>
  <c r="N854" i="30"/>
  <c r="O853" i="30"/>
  <c r="N853" i="30"/>
  <c r="G853" i="30"/>
  <c r="E853" i="30"/>
  <c r="O852" i="30"/>
  <c r="N852" i="30"/>
  <c r="G852" i="30"/>
  <c r="E852" i="30"/>
  <c r="O851" i="30"/>
  <c r="N851" i="30"/>
  <c r="G851" i="30"/>
  <c r="E851" i="30"/>
  <c r="O850" i="30"/>
  <c r="N850" i="30"/>
  <c r="O849" i="30"/>
  <c r="N849" i="30"/>
  <c r="G849" i="30"/>
  <c r="E849" i="30"/>
  <c r="O848" i="30"/>
  <c r="N848" i="30"/>
  <c r="O847" i="30"/>
  <c r="N847" i="30"/>
  <c r="G847" i="30"/>
  <c r="E847" i="30"/>
  <c r="O846" i="30"/>
  <c r="N846" i="30"/>
  <c r="O845" i="30"/>
  <c r="N845" i="30"/>
  <c r="G845" i="30"/>
  <c r="E845" i="30"/>
  <c r="O844" i="30"/>
  <c r="N844" i="30"/>
  <c r="O843" i="30"/>
  <c r="N843" i="30"/>
  <c r="G843" i="30"/>
  <c r="E843" i="30"/>
  <c r="O842" i="30"/>
  <c r="N842" i="30"/>
  <c r="G841" i="30"/>
  <c r="E841" i="30"/>
  <c r="O840" i="30"/>
  <c r="N840" i="30"/>
  <c r="G840" i="30"/>
  <c r="E840" i="30"/>
  <c r="O839" i="30"/>
  <c r="N839" i="30"/>
  <c r="O838" i="30"/>
  <c r="N838" i="30"/>
  <c r="O837" i="30"/>
  <c r="N837" i="30"/>
  <c r="G837" i="30"/>
  <c r="E837" i="30"/>
  <c r="G836" i="30"/>
  <c r="E836" i="30"/>
  <c r="O835" i="30"/>
  <c r="N835" i="30"/>
  <c r="G835" i="30"/>
  <c r="E835" i="30"/>
  <c r="O834" i="30"/>
  <c r="N834" i="30"/>
  <c r="O833" i="30"/>
  <c r="N833" i="30"/>
  <c r="G833" i="30"/>
  <c r="E833" i="30"/>
  <c r="O832" i="30"/>
  <c r="N832" i="30"/>
  <c r="O830" i="30"/>
  <c r="N830" i="30"/>
  <c r="O829" i="30"/>
  <c r="N829" i="30"/>
  <c r="G829" i="30"/>
  <c r="E829" i="30"/>
  <c r="O828" i="30"/>
  <c r="N828" i="30"/>
  <c r="O827" i="30"/>
  <c r="N827" i="30"/>
  <c r="G827" i="30"/>
  <c r="E827" i="30"/>
  <c r="O826" i="30"/>
  <c r="N826" i="30"/>
  <c r="O825" i="30"/>
  <c r="N825" i="30"/>
  <c r="G825" i="30"/>
  <c r="E825" i="30"/>
  <c r="O824" i="30"/>
  <c r="N824" i="30"/>
  <c r="G824" i="30"/>
  <c r="E824" i="30"/>
  <c r="O823" i="30"/>
  <c r="N823" i="30"/>
  <c r="G823" i="30"/>
  <c r="E823" i="30"/>
  <c r="O822" i="30"/>
  <c r="N822" i="30"/>
  <c r="O821" i="30"/>
  <c r="N821" i="30"/>
  <c r="G821" i="30"/>
  <c r="E821" i="30"/>
  <c r="O820" i="30"/>
  <c r="N820" i="30"/>
  <c r="G820" i="30"/>
  <c r="E820" i="30"/>
  <c r="O819" i="30"/>
  <c r="N819" i="30"/>
  <c r="G819" i="30"/>
  <c r="E819" i="30"/>
  <c r="O818" i="30"/>
  <c r="N818" i="30"/>
  <c r="O817" i="30"/>
  <c r="N817" i="30"/>
  <c r="O816" i="30"/>
  <c r="N816" i="30"/>
  <c r="O815" i="30"/>
  <c r="N815" i="30"/>
  <c r="G815" i="30"/>
  <c r="E815" i="30"/>
  <c r="O814" i="30"/>
  <c r="N814" i="30"/>
  <c r="O813" i="30"/>
  <c r="N813" i="30"/>
  <c r="G813" i="30"/>
  <c r="E813" i="30"/>
  <c r="O812" i="30"/>
  <c r="N812" i="30"/>
  <c r="O811" i="30"/>
  <c r="N811" i="30"/>
  <c r="O810" i="30"/>
  <c r="N810" i="30"/>
  <c r="O809" i="30"/>
  <c r="N809" i="30"/>
  <c r="G809" i="30"/>
  <c r="E809" i="30"/>
  <c r="O808" i="30"/>
  <c r="N808" i="30"/>
  <c r="G808" i="30"/>
  <c r="E808" i="30"/>
  <c r="O807" i="30"/>
  <c r="N807" i="30"/>
  <c r="G807" i="30"/>
  <c r="E807" i="30"/>
  <c r="O806" i="30"/>
  <c r="N806" i="30"/>
  <c r="O805" i="30"/>
  <c r="N805" i="30"/>
  <c r="G805" i="30"/>
  <c r="E805" i="30"/>
  <c r="O804" i="30"/>
  <c r="N804" i="30"/>
  <c r="G804" i="30"/>
  <c r="E804" i="30"/>
  <c r="O803" i="30"/>
  <c r="N803" i="30"/>
  <c r="O802" i="30"/>
  <c r="N802" i="30"/>
  <c r="G801" i="30"/>
  <c r="E801" i="30"/>
  <c r="O800" i="30"/>
  <c r="N800" i="30"/>
  <c r="O799" i="30"/>
  <c r="N799" i="30"/>
  <c r="G799" i="30"/>
  <c r="E799" i="30"/>
  <c r="O798" i="30"/>
  <c r="N798" i="30"/>
  <c r="O797" i="30"/>
  <c r="N797" i="30"/>
  <c r="G797" i="30"/>
  <c r="E797" i="30"/>
  <c r="O796" i="30"/>
  <c r="N796" i="30"/>
  <c r="O795" i="30"/>
  <c r="N795" i="30"/>
  <c r="E795" i="30"/>
  <c r="O794" i="30"/>
  <c r="N794" i="30"/>
  <c r="G794" i="30"/>
  <c r="E794" i="30"/>
  <c r="O793" i="30"/>
  <c r="N793" i="30"/>
  <c r="G793" i="30"/>
  <c r="E793" i="30"/>
  <c r="O792" i="30"/>
  <c r="N792" i="30"/>
  <c r="G792" i="30"/>
  <c r="E792" i="30"/>
  <c r="O791" i="30"/>
  <c r="N791" i="30"/>
  <c r="G791" i="30"/>
  <c r="E791" i="30"/>
  <c r="O790" i="30"/>
  <c r="N790" i="30"/>
  <c r="O789" i="30"/>
  <c r="N789" i="30"/>
  <c r="G789" i="30"/>
  <c r="E789" i="30"/>
  <c r="O788" i="30"/>
  <c r="N788" i="30"/>
  <c r="G788" i="30"/>
  <c r="E788" i="30"/>
  <c r="O787" i="30"/>
  <c r="N787" i="30"/>
  <c r="G787" i="30"/>
  <c r="E787" i="30"/>
  <c r="O786" i="30"/>
  <c r="N786" i="30"/>
  <c r="G786" i="30"/>
  <c r="E786" i="30"/>
  <c r="O785" i="30"/>
  <c r="N785" i="30"/>
  <c r="G785" i="30"/>
  <c r="E785" i="30"/>
  <c r="O784" i="30"/>
  <c r="N784" i="30"/>
  <c r="G784" i="30"/>
  <c r="E784" i="30"/>
  <c r="O783" i="30"/>
  <c r="N783" i="30"/>
  <c r="G783" i="30"/>
  <c r="E783" i="30"/>
  <c r="O782" i="30"/>
  <c r="N782" i="30"/>
  <c r="G782" i="30"/>
  <c r="E782" i="30"/>
  <c r="G781" i="30"/>
  <c r="E781" i="30"/>
  <c r="O780" i="30"/>
  <c r="N780" i="30"/>
  <c r="O779" i="30"/>
  <c r="N779" i="30"/>
  <c r="O778" i="30"/>
  <c r="N778" i="30"/>
  <c r="G778" i="30"/>
  <c r="E778" i="30"/>
  <c r="G777" i="30"/>
  <c r="E777" i="30"/>
  <c r="O776" i="30"/>
  <c r="O775" i="30"/>
  <c r="N775" i="30"/>
  <c r="G775" i="30"/>
  <c r="E775" i="30"/>
  <c r="O774" i="30"/>
  <c r="N774" i="30"/>
  <c r="G774" i="30"/>
  <c r="E774" i="30"/>
  <c r="O773" i="30"/>
  <c r="N773" i="30"/>
  <c r="G773" i="30"/>
  <c r="E773" i="30"/>
  <c r="O772" i="30"/>
  <c r="N772" i="30"/>
  <c r="G771" i="30"/>
  <c r="O770" i="30"/>
  <c r="N770" i="30"/>
  <c r="G770" i="30"/>
  <c r="E770" i="30"/>
  <c r="O769" i="30"/>
  <c r="N769" i="30"/>
  <c r="G769" i="30"/>
  <c r="E769" i="30"/>
  <c r="O768" i="30"/>
  <c r="N768" i="30"/>
  <c r="G768" i="30"/>
  <c r="E768" i="30"/>
  <c r="O767" i="30"/>
  <c r="N767" i="30"/>
  <c r="G767" i="30"/>
  <c r="E767" i="30"/>
  <c r="O766" i="30"/>
  <c r="N766" i="30"/>
  <c r="O765" i="30"/>
  <c r="N765" i="30"/>
  <c r="G765" i="30"/>
  <c r="E765" i="30"/>
  <c r="O764" i="30"/>
  <c r="N764" i="30"/>
  <c r="G764" i="30"/>
  <c r="E764" i="30"/>
  <c r="O763" i="30"/>
  <c r="N763" i="30"/>
  <c r="G763" i="30"/>
  <c r="E763" i="30"/>
  <c r="O762" i="30"/>
  <c r="N762" i="30"/>
  <c r="O761" i="30"/>
  <c r="N761" i="30"/>
  <c r="G761" i="30"/>
  <c r="E761" i="30"/>
  <c r="O760" i="30"/>
  <c r="N760" i="30"/>
  <c r="G760" i="30"/>
  <c r="E760" i="30"/>
  <c r="O759" i="30"/>
  <c r="N759" i="30"/>
  <c r="O758" i="30"/>
  <c r="N758" i="30"/>
  <c r="O757" i="30"/>
  <c r="N757" i="30"/>
  <c r="G757" i="30"/>
  <c r="E757" i="30"/>
  <c r="O756" i="30"/>
  <c r="N756" i="30"/>
  <c r="G756" i="30"/>
  <c r="E756" i="30"/>
  <c r="O755" i="30"/>
  <c r="N755" i="30"/>
  <c r="O754" i="30"/>
  <c r="N754" i="30"/>
  <c r="G754" i="30"/>
  <c r="E754" i="30"/>
  <c r="O753" i="30"/>
  <c r="N753" i="30"/>
  <c r="G753" i="30"/>
  <c r="E753" i="30"/>
  <c r="O752" i="30"/>
  <c r="N752" i="30"/>
  <c r="G752" i="30"/>
  <c r="E752" i="30"/>
  <c r="O751" i="30"/>
  <c r="N751" i="30"/>
  <c r="G751" i="30"/>
  <c r="E751" i="30"/>
  <c r="O750" i="30"/>
  <c r="N750" i="30"/>
  <c r="G750" i="30"/>
  <c r="E750" i="30"/>
  <c r="O749" i="30"/>
  <c r="N749" i="30"/>
  <c r="G749" i="30"/>
  <c r="E749" i="30"/>
  <c r="O748" i="30"/>
  <c r="N748" i="30"/>
  <c r="O747" i="30"/>
  <c r="N747" i="30"/>
  <c r="G747" i="30"/>
  <c r="E747" i="30"/>
  <c r="O746" i="30"/>
  <c r="N746" i="30"/>
  <c r="G746" i="30"/>
  <c r="E746" i="30"/>
  <c r="O745" i="30"/>
  <c r="N745" i="30"/>
  <c r="G745" i="30"/>
  <c r="E745" i="30"/>
  <c r="O744" i="30"/>
  <c r="N744" i="30"/>
  <c r="O743" i="30"/>
  <c r="N743" i="30"/>
  <c r="G743" i="30"/>
  <c r="E743" i="30"/>
  <c r="O742" i="30"/>
  <c r="N742" i="30"/>
  <c r="G742" i="30"/>
  <c r="E742" i="30"/>
  <c r="O741" i="30"/>
  <c r="N741" i="30"/>
  <c r="G741" i="30"/>
  <c r="E741" i="30"/>
  <c r="O740" i="30"/>
  <c r="N740" i="30"/>
  <c r="O739" i="30"/>
  <c r="N739" i="30"/>
  <c r="O738" i="30"/>
  <c r="N738" i="30"/>
  <c r="G738" i="30"/>
  <c r="E738" i="30"/>
  <c r="O737" i="30"/>
  <c r="N737" i="30"/>
  <c r="G737" i="30"/>
  <c r="E737" i="30"/>
  <c r="O736" i="30"/>
  <c r="N736" i="30"/>
  <c r="G736" i="30"/>
  <c r="E736" i="30"/>
  <c r="O735" i="30"/>
  <c r="N735" i="30"/>
  <c r="G735" i="30"/>
  <c r="E735" i="30"/>
  <c r="O734" i="30"/>
  <c r="N734" i="30"/>
  <c r="G733" i="30"/>
  <c r="E733" i="30"/>
  <c r="O732" i="30"/>
  <c r="G732" i="30"/>
  <c r="E732" i="30"/>
  <c r="O731" i="30"/>
  <c r="N731" i="30"/>
  <c r="G731" i="30"/>
  <c r="E731" i="30"/>
  <c r="O730" i="30"/>
  <c r="N730" i="30"/>
  <c r="G730" i="30"/>
  <c r="E730" i="30"/>
  <c r="O729" i="30"/>
  <c r="N729" i="30"/>
  <c r="E729" i="30"/>
  <c r="O728" i="30"/>
  <c r="N728" i="30"/>
  <c r="G728" i="30"/>
  <c r="E728" i="30"/>
  <c r="G727" i="30"/>
  <c r="E727" i="30"/>
  <c r="O726" i="30"/>
  <c r="N726" i="30"/>
  <c r="G726" i="30"/>
  <c r="E726" i="30"/>
  <c r="O725" i="30"/>
  <c r="N725" i="30"/>
  <c r="G725" i="30"/>
  <c r="E725" i="30"/>
  <c r="O724" i="30"/>
  <c r="N724" i="30"/>
  <c r="G724" i="30"/>
  <c r="E724" i="30"/>
  <c r="G723" i="30"/>
  <c r="E723" i="30"/>
  <c r="O722" i="30"/>
  <c r="N722" i="30"/>
  <c r="G722" i="30"/>
  <c r="E722" i="30"/>
  <c r="O721" i="30"/>
  <c r="N721" i="30"/>
  <c r="G721" i="30"/>
  <c r="E721" i="30"/>
  <c r="O720" i="30"/>
  <c r="N720" i="30"/>
  <c r="G720" i="30"/>
  <c r="E720" i="30"/>
  <c r="O719" i="30"/>
  <c r="N719" i="30"/>
  <c r="G719" i="30"/>
  <c r="E719" i="30"/>
  <c r="O718" i="30"/>
  <c r="N718" i="30"/>
  <c r="G718" i="30"/>
  <c r="E718" i="30"/>
  <c r="O717" i="30"/>
  <c r="N717" i="30"/>
  <c r="O716" i="30"/>
  <c r="N716" i="30"/>
  <c r="O715" i="30"/>
  <c r="N715" i="30"/>
  <c r="G715" i="30"/>
  <c r="E715" i="30"/>
  <c r="O714" i="30"/>
  <c r="N714" i="30"/>
  <c r="G714" i="30"/>
  <c r="E714" i="30"/>
  <c r="G713" i="30"/>
  <c r="E713" i="30"/>
  <c r="O712" i="30"/>
  <c r="N712" i="30"/>
  <c r="O711" i="30"/>
  <c r="N711" i="30"/>
  <c r="O710" i="30"/>
  <c r="N710" i="30"/>
  <c r="G710" i="30"/>
  <c r="E710" i="30"/>
  <c r="G709" i="30"/>
  <c r="E709" i="30"/>
  <c r="O708" i="30"/>
  <c r="N708" i="30"/>
  <c r="G708" i="30"/>
  <c r="E708" i="30"/>
  <c r="O707" i="30"/>
  <c r="N707" i="30"/>
  <c r="O706" i="30"/>
  <c r="N706" i="30"/>
  <c r="O705" i="30"/>
  <c r="N705" i="30"/>
  <c r="G705" i="30"/>
  <c r="E705" i="30"/>
  <c r="O704" i="30"/>
  <c r="N704" i="30"/>
  <c r="G704" i="30"/>
  <c r="E704" i="30"/>
  <c r="O703" i="30"/>
  <c r="N703" i="30"/>
  <c r="G703" i="30"/>
  <c r="E703" i="30"/>
  <c r="O702" i="30"/>
  <c r="N702" i="30"/>
  <c r="G702" i="30"/>
  <c r="E702" i="30"/>
  <c r="O701" i="30"/>
  <c r="N701" i="30"/>
  <c r="G701" i="30"/>
  <c r="E701" i="30"/>
  <c r="O700" i="30"/>
  <c r="N700" i="30"/>
  <c r="G700" i="30"/>
  <c r="E700" i="30"/>
  <c r="O699" i="30"/>
  <c r="N699" i="30"/>
  <c r="G699" i="30"/>
  <c r="E699" i="30"/>
  <c r="O698" i="30"/>
  <c r="N698" i="30"/>
  <c r="G698" i="30"/>
  <c r="E698" i="30"/>
  <c r="G697" i="30"/>
  <c r="E697" i="30"/>
  <c r="O696" i="30"/>
  <c r="N696" i="30"/>
  <c r="G696" i="30"/>
  <c r="E696" i="30"/>
  <c r="O695" i="30"/>
  <c r="N695" i="30"/>
  <c r="E695" i="30"/>
  <c r="O694" i="30"/>
  <c r="N694" i="30"/>
  <c r="G694" i="30"/>
  <c r="E694" i="30"/>
  <c r="O693" i="30"/>
  <c r="N693" i="30"/>
  <c r="G693" i="30"/>
  <c r="E693" i="30"/>
  <c r="O692" i="30"/>
  <c r="N692" i="30"/>
  <c r="G692" i="30"/>
  <c r="E692" i="30"/>
  <c r="O691" i="30"/>
  <c r="N691" i="30"/>
  <c r="G691" i="30"/>
  <c r="E691" i="30"/>
  <c r="O690" i="30"/>
  <c r="N690" i="30"/>
  <c r="G690" i="30"/>
  <c r="E690" i="30"/>
  <c r="O689" i="30"/>
  <c r="N689" i="30"/>
  <c r="G689" i="30"/>
  <c r="E689" i="30"/>
  <c r="O688" i="30"/>
  <c r="N688" i="30"/>
  <c r="G688" i="30"/>
  <c r="E688" i="30"/>
  <c r="O687" i="30"/>
  <c r="N687" i="30"/>
  <c r="G687" i="30"/>
  <c r="E687" i="30"/>
  <c r="O686" i="30"/>
  <c r="N686" i="30"/>
  <c r="G686" i="30"/>
  <c r="E686" i="30"/>
  <c r="O685" i="30"/>
  <c r="N685" i="30"/>
  <c r="G685" i="30"/>
  <c r="E685" i="30"/>
  <c r="O684" i="30"/>
  <c r="N684" i="30"/>
  <c r="O683" i="30"/>
  <c r="N683" i="30"/>
  <c r="G683" i="30"/>
  <c r="E683" i="30"/>
  <c r="O682" i="30"/>
  <c r="N682" i="30"/>
  <c r="G682" i="30"/>
  <c r="E682" i="30"/>
  <c r="G681" i="30"/>
  <c r="E681" i="30"/>
  <c r="O680" i="30"/>
  <c r="O679" i="30"/>
  <c r="N679" i="30"/>
  <c r="G679" i="30"/>
  <c r="O678" i="30"/>
  <c r="N678" i="30"/>
  <c r="G678" i="30"/>
  <c r="E678" i="30"/>
  <c r="O677" i="30"/>
  <c r="N677" i="30"/>
  <c r="G677" i="30"/>
  <c r="E677" i="30"/>
  <c r="O676" i="30"/>
  <c r="N676" i="30"/>
  <c r="G676" i="30"/>
  <c r="E676" i="30"/>
  <c r="O675" i="30"/>
  <c r="N675" i="30"/>
  <c r="G675" i="30"/>
  <c r="E675" i="30"/>
  <c r="O674" i="30"/>
  <c r="N674" i="30"/>
  <c r="O673" i="30"/>
  <c r="N673" i="30"/>
  <c r="G673" i="30"/>
  <c r="E673" i="30"/>
  <c r="O672" i="30"/>
  <c r="N672" i="30"/>
  <c r="G672" i="30"/>
  <c r="E672" i="30"/>
  <c r="O671" i="30"/>
  <c r="N671" i="30"/>
  <c r="G671" i="30"/>
  <c r="E671" i="30"/>
  <c r="O670" i="30"/>
  <c r="N670" i="30"/>
  <c r="G670" i="30"/>
  <c r="E670" i="30"/>
  <c r="O669" i="30"/>
  <c r="N669" i="30"/>
  <c r="G669" i="30"/>
  <c r="E669" i="30"/>
  <c r="O668" i="30"/>
  <c r="N668" i="30"/>
  <c r="G668" i="30"/>
  <c r="E668" i="30"/>
  <c r="O667" i="30"/>
  <c r="N667" i="30"/>
  <c r="G667" i="30"/>
  <c r="E667" i="30"/>
  <c r="O666" i="30"/>
  <c r="N666" i="30"/>
  <c r="G666" i="30"/>
  <c r="E666" i="30"/>
  <c r="O665" i="30"/>
  <c r="N665" i="30"/>
  <c r="G665" i="30"/>
  <c r="E665" i="30"/>
  <c r="O664" i="30"/>
  <c r="N664" i="30"/>
  <c r="G664" i="30"/>
  <c r="E664" i="30"/>
  <c r="O663" i="30"/>
  <c r="N663" i="30"/>
  <c r="G663" i="30"/>
  <c r="E663" i="30"/>
  <c r="O662" i="30"/>
  <c r="N662" i="30"/>
  <c r="G662" i="30"/>
  <c r="E662" i="30"/>
  <c r="O661" i="30"/>
  <c r="N661" i="30"/>
  <c r="O660" i="30"/>
  <c r="N660" i="30"/>
  <c r="G660" i="30"/>
  <c r="E660" i="30"/>
  <c r="O659" i="30"/>
  <c r="N659" i="30"/>
  <c r="G659" i="30"/>
  <c r="E659" i="30"/>
  <c r="O658" i="30"/>
  <c r="N658" i="30"/>
  <c r="G658" i="30"/>
  <c r="E658" i="30"/>
  <c r="O657" i="30"/>
  <c r="N657" i="30"/>
  <c r="G657" i="30"/>
  <c r="E657" i="30"/>
  <c r="O656" i="30"/>
  <c r="N656" i="30"/>
  <c r="O655" i="30"/>
  <c r="N655" i="30"/>
  <c r="G655" i="30"/>
  <c r="E655" i="30"/>
  <c r="O654" i="30"/>
  <c r="N654" i="30"/>
  <c r="G654" i="30"/>
  <c r="E654" i="30"/>
  <c r="O653" i="30"/>
  <c r="N653" i="30"/>
  <c r="G653" i="30"/>
  <c r="E653" i="30"/>
  <c r="G651" i="30"/>
  <c r="E651" i="30"/>
  <c r="O650" i="30"/>
  <c r="N650" i="30"/>
  <c r="G650" i="30"/>
  <c r="E650" i="30"/>
  <c r="O649" i="30"/>
  <c r="N649" i="30"/>
  <c r="G649" i="30"/>
  <c r="E649" i="30"/>
  <c r="O648" i="30"/>
  <c r="N648" i="30"/>
  <c r="G648" i="30"/>
  <c r="E648" i="30"/>
  <c r="O647" i="30"/>
  <c r="N647" i="30"/>
  <c r="G647" i="30"/>
  <c r="E647" i="30"/>
  <c r="O646" i="30"/>
  <c r="N646" i="30"/>
  <c r="G646" i="30"/>
  <c r="E646" i="30"/>
  <c r="O645" i="30"/>
  <c r="N645" i="30"/>
  <c r="G645" i="30"/>
  <c r="E645" i="30"/>
  <c r="G644" i="30"/>
  <c r="E644" i="30"/>
  <c r="O643" i="30"/>
  <c r="N643" i="30"/>
  <c r="O642" i="30"/>
  <c r="N642" i="30"/>
  <c r="O641" i="30"/>
  <c r="N641" i="30"/>
  <c r="G641" i="30"/>
  <c r="E641" i="30"/>
  <c r="O640" i="30"/>
  <c r="N640" i="30"/>
  <c r="G640" i="30"/>
  <c r="E640" i="30"/>
  <c r="O639" i="30"/>
  <c r="N639" i="30"/>
  <c r="G639" i="30"/>
  <c r="E639" i="30"/>
  <c r="G638" i="30"/>
  <c r="E638" i="30"/>
  <c r="G637" i="30"/>
  <c r="E637" i="30"/>
  <c r="O636" i="30"/>
  <c r="N636" i="30"/>
  <c r="G636" i="30"/>
  <c r="E636" i="30"/>
  <c r="O635" i="30"/>
  <c r="N635" i="30"/>
  <c r="G635" i="30"/>
  <c r="E635" i="30"/>
  <c r="O634" i="30"/>
  <c r="N634" i="30"/>
  <c r="G634" i="30"/>
  <c r="E634" i="30"/>
  <c r="O633" i="30"/>
  <c r="N633" i="30"/>
  <c r="G633" i="30"/>
  <c r="E633" i="30"/>
  <c r="O632" i="30"/>
  <c r="N632" i="30"/>
  <c r="G632" i="30"/>
  <c r="E632" i="30"/>
  <c r="G631" i="30"/>
  <c r="E631" i="30"/>
  <c r="G630" i="30"/>
  <c r="E630" i="30"/>
  <c r="O629" i="30"/>
  <c r="N629" i="30"/>
  <c r="G629" i="30"/>
  <c r="E629" i="30"/>
  <c r="O628" i="30"/>
  <c r="N628" i="30"/>
  <c r="G628" i="30"/>
  <c r="E628" i="30"/>
  <c r="O627" i="30"/>
  <c r="N627" i="30"/>
  <c r="G627" i="30"/>
  <c r="E627" i="30"/>
  <c r="O626" i="30"/>
  <c r="N626" i="30"/>
  <c r="G626" i="30"/>
  <c r="E626" i="30"/>
  <c r="O625" i="30"/>
  <c r="N625" i="30"/>
  <c r="G625" i="30"/>
  <c r="E625" i="30"/>
  <c r="O624" i="30"/>
  <c r="N624" i="30"/>
  <c r="O623" i="30"/>
  <c r="N623" i="30"/>
  <c r="G623" i="30"/>
  <c r="E623" i="30"/>
  <c r="O622" i="30"/>
  <c r="N622" i="30"/>
  <c r="G622" i="30"/>
  <c r="E622" i="30"/>
  <c r="O621" i="30"/>
  <c r="N621" i="30"/>
  <c r="G621" i="30"/>
  <c r="E621" i="30"/>
  <c r="O620" i="30"/>
  <c r="N620" i="30"/>
  <c r="O619" i="30"/>
  <c r="N619" i="30"/>
  <c r="G619" i="30"/>
  <c r="E619" i="30"/>
  <c r="O618" i="30"/>
  <c r="N618" i="30"/>
  <c r="G618" i="30"/>
  <c r="E618" i="30"/>
  <c r="O617" i="30"/>
  <c r="N617" i="30"/>
  <c r="G617" i="30"/>
  <c r="E617" i="30"/>
  <c r="O616" i="30"/>
  <c r="N616" i="30"/>
  <c r="G616" i="30"/>
  <c r="E616" i="30"/>
  <c r="O615" i="30"/>
  <c r="N615" i="30"/>
  <c r="G615" i="30"/>
  <c r="E615" i="30"/>
  <c r="O614" i="30"/>
  <c r="N614" i="30"/>
  <c r="O613" i="30"/>
  <c r="N613" i="30"/>
  <c r="G613" i="30"/>
  <c r="E613" i="30"/>
  <c r="O612" i="30"/>
  <c r="N612" i="30"/>
  <c r="G612" i="30"/>
  <c r="E612" i="30"/>
  <c r="O611" i="30"/>
  <c r="N611" i="30"/>
  <c r="G611" i="30"/>
  <c r="E611" i="30"/>
  <c r="O610" i="30"/>
  <c r="N610" i="30"/>
  <c r="G610" i="30"/>
  <c r="E610" i="30"/>
  <c r="O609" i="30"/>
  <c r="N609" i="30"/>
  <c r="G609" i="30"/>
  <c r="E609" i="30"/>
  <c r="O608" i="30"/>
  <c r="N608" i="30"/>
  <c r="G608" i="30"/>
  <c r="E608" i="30"/>
  <c r="O607" i="30"/>
  <c r="N607" i="30"/>
  <c r="G607" i="30"/>
  <c r="E607" i="30"/>
  <c r="O606" i="30"/>
  <c r="N606" i="30"/>
  <c r="G606" i="30"/>
  <c r="E606" i="30"/>
  <c r="O605" i="30"/>
  <c r="N605" i="30"/>
  <c r="G605" i="30"/>
  <c r="E605" i="30"/>
  <c r="O604" i="30"/>
  <c r="N604" i="30"/>
  <c r="G604" i="30"/>
  <c r="E604" i="30"/>
  <c r="O603" i="30"/>
  <c r="N603" i="30"/>
  <c r="G603" i="30"/>
  <c r="E603" i="30"/>
  <c r="O602" i="30"/>
  <c r="N602" i="30"/>
  <c r="G602" i="30"/>
  <c r="E602" i="30"/>
  <c r="O601" i="30"/>
  <c r="N601" i="30"/>
  <c r="G601" i="30"/>
  <c r="E601" i="30"/>
  <c r="O600" i="30"/>
  <c r="N600" i="30"/>
  <c r="G600" i="30"/>
  <c r="E600" i="30"/>
  <c r="O599" i="30"/>
  <c r="N599" i="30"/>
  <c r="G599" i="30"/>
  <c r="E599" i="30"/>
  <c r="O598" i="30"/>
  <c r="N598" i="30"/>
  <c r="G598" i="30"/>
  <c r="E598" i="30"/>
  <c r="O597" i="30"/>
  <c r="N597" i="30"/>
  <c r="G597" i="30"/>
  <c r="E597" i="30"/>
  <c r="O596" i="30"/>
  <c r="N596" i="30"/>
  <c r="G596" i="30"/>
  <c r="E596" i="30"/>
  <c r="O595" i="30"/>
  <c r="N595" i="30"/>
  <c r="G595" i="30"/>
  <c r="E595" i="30"/>
  <c r="O594" i="30"/>
  <c r="N594" i="30"/>
  <c r="G594" i="30"/>
  <c r="E594" i="30"/>
  <c r="O593" i="30"/>
  <c r="N593" i="30"/>
  <c r="G593" i="30"/>
  <c r="E593" i="30"/>
  <c r="G592" i="30"/>
  <c r="E592" i="30"/>
  <c r="O591" i="30"/>
  <c r="N591" i="30"/>
  <c r="G591" i="30"/>
  <c r="E591" i="30"/>
  <c r="O590" i="30"/>
  <c r="N590" i="30"/>
  <c r="G590" i="30"/>
  <c r="E590" i="30"/>
  <c r="O589" i="30"/>
  <c r="N589" i="30"/>
  <c r="G589" i="30"/>
  <c r="E589" i="30"/>
  <c r="O588" i="30"/>
  <c r="N588" i="30"/>
  <c r="G588" i="30"/>
  <c r="E588" i="30"/>
  <c r="O587" i="30"/>
  <c r="N587" i="30"/>
  <c r="G587" i="30"/>
  <c r="E587" i="30"/>
  <c r="O586" i="30"/>
  <c r="N586" i="30"/>
  <c r="G586" i="30"/>
  <c r="E586" i="30"/>
  <c r="O585" i="30"/>
  <c r="N585" i="30"/>
  <c r="G585" i="30"/>
  <c r="E585" i="30"/>
  <c r="O584" i="30"/>
  <c r="N584" i="30"/>
  <c r="G584" i="30"/>
  <c r="E584" i="30"/>
  <c r="O583" i="30"/>
  <c r="N583" i="30"/>
  <c r="G583" i="30"/>
  <c r="E583" i="30"/>
  <c r="O582" i="30"/>
  <c r="N582" i="30"/>
  <c r="G582" i="30"/>
  <c r="E582" i="30"/>
  <c r="O581" i="30"/>
  <c r="N581" i="30"/>
  <c r="G581" i="30"/>
  <c r="E581" i="30"/>
  <c r="O580" i="30"/>
  <c r="N580" i="30"/>
  <c r="G580" i="30"/>
  <c r="E580" i="30"/>
  <c r="O579" i="30"/>
  <c r="N579" i="30"/>
  <c r="G579" i="30"/>
  <c r="E579" i="30"/>
  <c r="O578" i="30"/>
  <c r="N578" i="30"/>
  <c r="G578" i="30"/>
  <c r="E578" i="30"/>
  <c r="O577" i="30"/>
  <c r="N577" i="30"/>
  <c r="G577" i="30"/>
  <c r="E577" i="30"/>
  <c r="O576" i="30"/>
  <c r="N576" i="30"/>
  <c r="G576" i="30"/>
  <c r="E576" i="30"/>
  <c r="O575" i="30"/>
  <c r="N575" i="30"/>
  <c r="G575" i="30"/>
  <c r="E575" i="30"/>
  <c r="O574" i="30"/>
  <c r="N574" i="30"/>
  <c r="G574" i="30"/>
  <c r="E574" i="30"/>
  <c r="O573" i="30"/>
  <c r="N573" i="30"/>
  <c r="G573" i="30"/>
  <c r="E573" i="30"/>
  <c r="O572" i="30"/>
  <c r="N572" i="30"/>
  <c r="G572" i="30"/>
  <c r="E572" i="30"/>
  <c r="O571" i="30"/>
  <c r="N571" i="30"/>
  <c r="G571" i="30"/>
  <c r="E571" i="30"/>
  <c r="O570" i="30"/>
  <c r="N570" i="30"/>
  <c r="G570" i="30"/>
  <c r="E570" i="30"/>
  <c r="O569" i="30"/>
  <c r="N569" i="30"/>
  <c r="G569" i="30"/>
  <c r="E569" i="30"/>
  <c r="O568" i="30"/>
  <c r="N568" i="30"/>
  <c r="G568" i="30"/>
  <c r="E568" i="30"/>
  <c r="O567" i="30"/>
  <c r="N567" i="30"/>
  <c r="G567" i="30"/>
  <c r="E567" i="30"/>
  <c r="O566" i="30"/>
  <c r="N566" i="30"/>
  <c r="G566" i="30"/>
  <c r="E566" i="30"/>
  <c r="O565" i="30"/>
  <c r="N565" i="30"/>
  <c r="G565" i="30"/>
  <c r="E565" i="30"/>
  <c r="O564" i="30"/>
  <c r="N564" i="30"/>
  <c r="G564" i="30"/>
  <c r="E564" i="30"/>
  <c r="O563" i="30"/>
  <c r="N563" i="30"/>
  <c r="G563" i="30"/>
  <c r="E563" i="30"/>
  <c r="O562" i="30"/>
  <c r="N562" i="30"/>
  <c r="O561" i="30"/>
  <c r="N561" i="30"/>
  <c r="G561" i="30"/>
  <c r="E561" i="30"/>
  <c r="O560" i="30"/>
  <c r="N560" i="30"/>
  <c r="G560" i="30"/>
  <c r="E560" i="30"/>
  <c r="O559" i="30"/>
  <c r="N559" i="30"/>
  <c r="G559" i="30"/>
  <c r="E559" i="30"/>
  <c r="O558" i="30"/>
  <c r="N558" i="30"/>
  <c r="G558" i="30"/>
  <c r="E558" i="30"/>
  <c r="O557" i="30"/>
  <c r="N557" i="30"/>
  <c r="O556" i="30"/>
  <c r="N556" i="30"/>
  <c r="O555" i="30"/>
  <c r="N555" i="30"/>
  <c r="G555" i="30"/>
  <c r="E555" i="30"/>
  <c r="O554" i="30"/>
  <c r="N554" i="30"/>
  <c r="G554" i="30"/>
  <c r="E554" i="30"/>
  <c r="O553" i="30"/>
  <c r="N553" i="30"/>
  <c r="G553" i="30"/>
  <c r="E553" i="30"/>
  <c r="O552" i="30"/>
  <c r="N552" i="30"/>
  <c r="G552" i="30"/>
  <c r="E552" i="30"/>
  <c r="O551" i="30"/>
  <c r="N551" i="30"/>
  <c r="G551" i="30"/>
  <c r="E551" i="30"/>
  <c r="O550" i="30"/>
  <c r="N550" i="30"/>
  <c r="O549" i="30"/>
  <c r="N549" i="30"/>
  <c r="G549" i="30"/>
  <c r="E549" i="30"/>
  <c r="O548" i="30"/>
  <c r="N548" i="30"/>
  <c r="G548" i="30"/>
  <c r="E548" i="30"/>
  <c r="O547" i="30"/>
  <c r="N547" i="30"/>
  <c r="G547" i="30"/>
  <c r="E547" i="30"/>
  <c r="O546" i="30"/>
  <c r="N546" i="30"/>
  <c r="G546" i="30"/>
  <c r="E546" i="30"/>
  <c r="O545" i="30"/>
  <c r="N545" i="30"/>
  <c r="G545" i="30"/>
  <c r="O544" i="30"/>
  <c r="N544" i="30"/>
  <c r="G544" i="30"/>
  <c r="E544" i="30"/>
  <c r="O543" i="30"/>
  <c r="N543" i="30"/>
  <c r="G543" i="30"/>
  <c r="E543" i="30"/>
  <c r="O542" i="30"/>
  <c r="N542" i="30"/>
  <c r="G542" i="30"/>
  <c r="E542" i="30"/>
  <c r="O541" i="30"/>
  <c r="N541" i="30"/>
  <c r="G541" i="30"/>
  <c r="E541" i="30"/>
  <c r="O540" i="30"/>
  <c r="N540" i="30"/>
  <c r="G540" i="30"/>
  <c r="E540" i="30"/>
  <c r="O539" i="30"/>
  <c r="N539" i="30"/>
  <c r="O538" i="30"/>
  <c r="N538" i="30"/>
  <c r="G538" i="30"/>
  <c r="E538" i="30"/>
  <c r="O537" i="30"/>
  <c r="N537" i="30"/>
  <c r="G537" i="30"/>
  <c r="E537" i="30"/>
  <c r="O536" i="30"/>
  <c r="N536" i="30"/>
  <c r="G536" i="30"/>
  <c r="E536" i="30"/>
  <c r="O535" i="30"/>
  <c r="N535" i="30"/>
  <c r="G535" i="30"/>
  <c r="E535" i="30"/>
  <c r="O534" i="30"/>
  <c r="N534" i="30"/>
  <c r="G534" i="30"/>
  <c r="E534" i="30"/>
  <c r="O533" i="30"/>
  <c r="N533" i="30"/>
  <c r="G533" i="30"/>
  <c r="E533" i="30"/>
  <c r="O532" i="30"/>
  <c r="N532" i="30"/>
  <c r="G532" i="30"/>
  <c r="E532" i="30"/>
  <c r="O531" i="30"/>
  <c r="N531" i="30"/>
  <c r="G531" i="30"/>
  <c r="E531" i="30"/>
  <c r="O530" i="30"/>
  <c r="N530" i="30"/>
  <c r="G530" i="30"/>
  <c r="E530" i="30"/>
  <c r="O529" i="30"/>
  <c r="N529" i="30"/>
  <c r="G529" i="30"/>
  <c r="E529" i="30"/>
  <c r="G528" i="30"/>
  <c r="E528" i="30"/>
  <c r="O527" i="30"/>
  <c r="N527" i="30"/>
  <c r="G527" i="30"/>
  <c r="E527" i="30"/>
  <c r="O526" i="30"/>
  <c r="N526" i="30"/>
  <c r="G526" i="30"/>
  <c r="E526" i="30"/>
  <c r="O525" i="30"/>
  <c r="N525" i="30"/>
  <c r="G525" i="30"/>
  <c r="E525" i="30"/>
  <c r="O524" i="30"/>
  <c r="N524" i="30"/>
  <c r="G524" i="30"/>
  <c r="E524" i="30"/>
  <c r="O523" i="30"/>
  <c r="N523" i="30"/>
  <c r="G523" i="30"/>
  <c r="E523" i="30"/>
  <c r="O522" i="30"/>
  <c r="N522" i="30"/>
  <c r="G522" i="30"/>
  <c r="E522" i="30"/>
  <c r="O521" i="30"/>
  <c r="N521" i="30"/>
  <c r="G521" i="30"/>
  <c r="E521" i="30"/>
  <c r="O520" i="30"/>
  <c r="N520" i="30"/>
  <c r="G520" i="30"/>
  <c r="E520" i="30"/>
  <c r="O519" i="30"/>
  <c r="N519" i="30"/>
  <c r="G519" i="30"/>
  <c r="E519" i="30"/>
  <c r="O518" i="30"/>
  <c r="N518" i="30"/>
  <c r="G518" i="30"/>
  <c r="E518" i="30"/>
  <c r="O517" i="30"/>
  <c r="N517" i="30"/>
  <c r="G517" i="30"/>
  <c r="E517" i="30"/>
  <c r="O516" i="30"/>
  <c r="N516" i="30"/>
  <c r="G516" i="30"/>
  <c r="E516" i="30"/>
  <c r="O515" i="30"/>
  <c r="N515" i="30"/>
  <c r="G515" i="30"/>
  <c r="E515" i="30"/>
  <c r="O514" i="30"/>
  <c r="N514" i="30"/>
  <c r="G514" i="30"/>
  <c r="E514" i="30"/>
  <c r="O513" i="30"/>
  <c r="N513" i="30"/>
  <c r="G513" i="30"/>
  <c r="E513" i="30"/>
  <c r="O512" i="30"/>
  <c r="N512" i="30"/>
  <c r="G512" i="30"/>
  <c r="E512" i="30"/>
  <c r="O511" i="30"/>
  <c r="N511" i="30"/>
  <c r="G511" i="30"/>
  <c r="E511" i="30"/>
  <c r="O510" i="30"/>
  <c r="N510" i="30"/>
  <c r="G510" i="30"/>
  <c r="E510" i="30"/>
  <c r="O509" i="30"/>
  <c r="N509" i="30"/>
  <c r="G509" i="30"/>
  <c r="E509" i="30"/>
  <c r="O508" i="30"/>
  <c r="N508" i="30"/>
  <c r="G508" i="30"/>
  <c r="E508" i="30"/>
  <c r="O507" i="30"/>
  <c r="N507" i="30"/>
  <c r="G507" i="30"/>
  <c r="E507" i="30"/>
  <c r="O506" i="30"/>
  <c r="N506" i="30"/>
  <c r="G506" i="30"/>
  <c r="E506" i="30"/>
  <c r="O505" i="30"/>
  <c r="N505" i="30"/>
  <c r="G505" i="30"/>
  <c r="E505" i="30"/>
  <c r="O504" i="30"/>
  <c r="N504" i="30"/>
  <c r="G504" i="30"/>
  <c r="E504" i="30"/>
  <c r="O503" i="30"/>
  <c r="N503" i="30"/>
  <c r="G503" i="30"/>
  <c r="E503" i="30"/>
  <c r="O502" i="30"/>
  <c r="N502" i="30"/>
  <c r="G502" i="30"/>
  <c r="E502" i="30"/>
  <c r="O501" i="30"/>
  <c r="N501" i="30"/>
  <c r="G501" i="30"/>
  <c r="E501" i="30"/>
  <c r="O500" i="30"/>
  <c r="N500" i="30"/>
  <c r="G500" i="30"/>
  <c r="E500" i="30"/>
  <c r="O499" i="30"/>
  <c r="N499" i="30"/>
  <c r="G499" i="30"/>
  <c r="E499" i="30"/>
  <c r="O498" i="30"/>
  <c r="N498" i="30"/>
  <c r="O497" i="30"/>
  <c r="N497" i="30"/>
  <c r="G497" i="30"/>
  <c r="E497" i="30"/>
  <c r="O496" i="30"/>
  <c r="N496" i="30"/>
  <c r="G496" i="30"/>
  <c r="E496" i="30"/>
  <c r="O495" i="30"/>
  <c r="N495" i="30"/>
  <c r="G495" i="30"/>
  <c r="E495" i="30"/>
  <c r="O494" i="30"/>
  <c r="N494" i="30"/>
  <c r="G494" i="30"/>
  <c r="E494" i="30"/>
  <c r="O493" i="30"/>
  <c r="N493" i="30"/>
  <c r="O492" i="30"/>
  <c r="N492" i="30"/>
  <c r="O491" i="30"/>
  <c r="N491" i="30"/>
  <c r="G491" i="30"/>
  <c r="E491" i="30"/>
  <c r="O490" i="30"/>
  <c r="N490" i="30"/>
  <c r="G490" i="30"/>
  <c r="E490" i="30"/>
  <c r="O489" i="30"/>
  <c r="N489" i="30"/>
  <c r="G489" i="30"/>
  <c r="E489" i="30"/>
  <c r="O488" i="30"/>
  <c r="N488" i="30"/>
  <c r="G488" i="30"/>
  <c r="E488" i="30"/>
  <c r="O487" i="30"/>
  <c r="N487" i="30"/>
  <c r="G487" i="30"/>
  <c r="E487" i="30"/>
  <c r="O486" i="30"/>
  <c r="N486" i="30"/>
  <c r="O485" i="30"/>
  <c r="N485" i="30"/>
  <c r="G485" i="30"/>
  <c r="E485" i="30"/>
  <c r="O484" i="30"/>
  <c r="N484" i="30"/>
  <c r="G484" i="30"/>
  <c r="E484" i="30"/>
  <c r="O483" i="30"/>
  <c r="N483" i="30"/>
  <c r="G483" i="30"/>
  <c r="E483" i="30"/>
  <c r="O482" i="30"/>
  <c r="N482" i="30"/>
  <c r="G482" i="30"/>
  <c r="E482" i="30"/>
  <c r="O481" i="30"/>
  <c r="N481" i="30"/>
  <c r="O480" i="30"/>
  <c r="N480" i="30"/>
  <c r="G480" i="30"/>
  <c r="E480" i="30"/>
  <c r="O479" i="30"/>
  <c r="N479" i="30"/>
  <c r="G479" i="30"/>
  <c r="E479" i="30"/>
  <c r="O478" i="30"/>
  <c r="G478" i="30"/>
  <c r="E478" i="30"/>
  <c r="O477" i="30"/>
  <c r="N477" i="30"/>
  <c r="G477" i="30"/>
  <c r="E477" i="30"/>
  <c r="O476" i="30"/>
  <c r="N476" i="30"/>
  <c r="G476" i="30"/>
  <c r="E476" i="30"/>
  <c r="O475" i="30"/>
  <c r="N475" i="30"/>
  <c r="O474" i="30"/>
  <c r="N474" i="30"/>
  <c r="G474" i="30"/>
  <c r="E474" i="30"/>
  <c r="O473" i="30"/>
  <c r="N473" i="30"/>
  <c r="G473" i="30"/>
  <c r="E473" i="30"/>
  <c r="O472" i="30"/>
  <c r="N472" i="30"/>
  <c r="G472" i="30"/>
  <c r="E472" i="30"/>
  <c r="O471" i="30"/>
  <c r="N471" i="30"/>
  <c r="G471" i="30"/>
  <c r="E471" i="30"/>
  <c r="O470" i="30"/>
  <c r="N470" i="30"/>
  <c r="G470" i="30"/>
  <c r="E470" i="30"/>
  <c r="O469" i="30"/>
  <c r="N469" i="30"/>
  <c r="G469" i="30"/>
  <c r="E469" i="30"/>
  <c r="O468" i="30"/>
  <c r="N468" i="30"/>
  <c r="G468" i="30"/>
  <c r="E468" i="30"/>
  <c r="O467" i="30"/>
  <c r="N467" i="30"/>
  <c r="G467" i="30"/>
  <c r="E467" i="30"/>
  <c r="O466" i="30"/>
  <c r="N466" i="30"/>
  <c r="G466" i="30"/>
  <c r="E466" i="30"/>
  <c r="G465" i="30"/>
  <c r="E465" i="30"/>
  <c r="O464" i="30"/>
  <c r="N464" i="30"/>
  <c r="G464" i="30"/>
  <c r="E464" i="30"/>
  <c r="O463" i="30"/>
  <c r="N463" i="30"/>
  <c r="G463" i="30"/>
  <c r="E463" i="30"/>
  <c r="O462" i="30"/>
  <c r="N462" i="30"/>
  <c r="G462" i="30"/>
  <c r="E462" i="30"/>
  <c r="O461" i="30"/>
  <c r="N461" i="30"/>
  <c r="G461" i="30"/>
  <c r="E461" i="30"/>
  <c r="O460" i="30"/>
  <c r="N460" i="30"/>
  <c r="G460" i="30"/>
  <c r="E460" i="30"/>
  <c r="G459" i="30"/>
  <c r="E459" i="30"/>
  <c r="O458" i="30"/>
  <c r="N458" i="30"/>
  <c r="G458" i="30"/>
  <c r="E458" i="30"/>
  <c r="O457" i="30"/>
  <c r="N457" i="30"/>
  <c r="G457" i="30"/>
  <c r="E457" i="30"/>
  <c r="O456" i="30"/>
  <c r="N456" i="30"/>
  <c r="G456" i="30"/>
  <c r="E456" i="30"/>
  <c r="O455" i="30"/>
  <c r="N455" i="30"/>
  <c r="G455" i="30"/>
  <c r="E455" i="30"/>
  <c r="O454" i="30"/>
  <c r="N454" i="30"/>
  <c r="G454" i="30"/>
  <c r="E454" i="30"/>
  <c r="O453" i="30"/>
  <c r="N453" i="30"/>
  <c r="G453" i="30"/>
  <c r="E453" i="30"/>
  <c r="O452" i="30"/>
  <c r="G452" i="30"/>
  <c r="E452" i="30"/>
  <c r="O451" i="30"/>
  <c r="N451" i="30"/>
  <c r="G451" i="30"/>
  <c r="E451" i="30"/>
  <c r="O450" i="30"/>
  <c r="N450" i="30"/>
  <c r="G450" i="30"/>
  <c r="E450" i="30"/>
  <c r="O449" i="30"/>
  <c r="N449" i="30"/>
  <c r="G449" i="30"/>
  <c r="E449" i="30"/>
  <c r="O448" i="30"/>
  <c r="N448" i="30"/>
  <c r="G448" i="30"/>
  <c r="E448" i="30"/>
  <c r="O447" i="30"/>
  <c r="N447" i="30"/>
  <c r="G447" i="30"/>
  <c r="E447" i="30"/>
  <c r="O446" i="30"/>
  <c r="G446" i="30"/>
  <c r="E446" i="30"/>
  <c r="O445" i="30"/>
  <c r="N445" i="30"/>
  <c r="G445" i="30"/>
  <c r="E445" i="30"/>
  <c r="O444" i="30"/>
  <c r="N444" i="30"/>
  <c r="G444" i="30"/>
  <c r="E444" i="30"/>
  <c r="O443" i="30"/>
  <c r="N443" i="30"/>
  <c r="G443" i="30"/>
  <c r="E443" i="30"/>
  <c r="O442" i="30"/>
  <c r="N442" i="30"/>
  <c r="G442" i="30"/>
  <c r="E442" i="30"/>
  <c r="O441" i="30"/>
  <c r="N441" i="30"/>
  <c r="G441" i="30"/>
  <c r="E441" i="30"/>
  <c r="O440" i="30"/>
  <c r="N440" i="30"/>
  <c r="G440" i="30"/>
  <c r="E440" i="30"/>
  <c r="O439" i="30"/>
  <c r="N439" i="30"/>
  <c r="G439" i="30"/>
  <c r="E439" i="30"/>
  <c r="O438" i="30"/>
  <c r="N438" i="30"/>
  <c r="G438" i="30"/>
  <c r="E438" i="30"/>
  <c r="O437" i="30"/>
  <c r="N437" i="30"/>
  <c r="G437" i="30"/>
  <c r="E437" i="30"/>
  <c r="O436" i="30"/>
  <c r="N436" i="30"/>
  <c r="G436" i="30"/>
  <c r="E436" i="30"/>
  <c r="O435" i="30"/>
  <c r="N435" i="30"/>
  <c r="G435" i="30"/>
  <c r="E435" i="30"/>
  <c r="O434" i="30"/>
  <c r="N434" i="30"/>
  <c r="G433" i="30"/>
  <c r="E433" i="30"/>
  <c r="O432" i="30"/>
  <c r="N432" i="30"/>
  <c r="G432" i="30"/>
  <c r="E432" i="30"/>
  <c r="O431" i="30"/>
  <c r="N431" i="30"/>
  <c r="G431" i="30"/>
  <c r="E431" i="30"/>
  <c r="O430" i="30"/>
  <c r="N430" i="30"/>
  <c r="G430" i="30"/>
  <c r="E430" i="30"/>
  <c r="O429" i="30"/>
  <c r="N429" i="30"/>
  <c r="O428" i="30"/>
  <c r="N428" i="30"/>
  <c r="G427" i="30"/>
  <c r="E427" i="30"/>
  <c r="O426" i="30"/>
  <c r="N426" i="30"/>
  <c r="G426" i="30"/>
  <c r="E426" i="30"/>
  <c r="O425" i="30"/>
  <c r="N425" i="30"/>
  <c r="G425" i="30"/>
  <c r="E425" i="30"/>
  <c r="O424" i="30"/>
  <c r="N424" i="30"/>
  <c r="G424" i="30"/>
  <c r="E424" i="30"/>
  <c r="O423" i="30"/>
  <c r="N423" i="30"/>
  <c r="G423" i="30"/>
  <c r="E423" i="30"/>
  <c r="O422" i="30"/>
  <c r="N422" i="30"/>
  <c r="O421" i="30"/>
  <c r="N421" i="30"/>
  <c r="G421" i="30"/>
  <c r="E421" i="30"/>
  <c r="O420" i="30"/>
  <c r="G420" i="30"/>
  <c r="E420" i="30"/>
  <c r="O419" i="30"/>
  <c r="N419" i="30"/>
  <c r="G419" i="30"/>
  <c r="E419" i="30"/>
  <c r="O418" i="30"/>
  <c r="N418" i="30"/>
  <c r="G418" i="30"/>
  <c r="E418" i="30"/>
  <c r="O417" i="30"/>
  <c r="N417" i="30"/>
  <c r="O416" i="30"/>
  <c r="N416" i="30"/>
  <c r="G416" i="30"/>
  <c r="E416" i="30"/>
  <c r="O415" i="30"/>
  <c r="N415" i="30"/>
  <c r="G415" i="30"/>
  <c r="E415" i="30"/>
  <c r="O414" i="30"/>
  <c r="G414" i="30"/>
  <c r="E414" i="30"/>
  <c r="O413" i="30"/>
  <c r="N413" i="30"/>
  <c r="G413" i="30"/>
  <c r="E413" i="30"/>
  <c r="O412" i="30"/>
  <c r="N412" i="30"/>
  <c r="G412" i="30"/>
  <c r="E412" i="30"/>
  <c r="O411" i="30"/>
  <c r="N411" i="30"/>
  <c r="O410" i="30"/>
  <c r="N410" i="30"/>
  <c r="G410" i="30"/>
  <c r="E410" i="30"/>
  <c r="O409" i="30"/>
  <c r="N409" i="30"/>
  <c r="G409" i="30"/>
  <c r="E409" i="30"/>
  <c r="O408" i="30"/>
  <c r="G408" i="30"/>
  <c r="E408" i="30"/>
  <c r="O407" i="30"/>
  <c r="N407" i="30"/>
  <c r="G407" i="30"/>
  <c r="E407" i="30"/>
  <c r="O406" i="30"/>
  <c r="N406" i="30"/>
  <c r="G406" i="30"/>
  <c r="E406" i="30"/>
  <c r="O405" i="30"/>
  <c r="N405" i="30"/>
  <c r="G405" i="30"/>
  <c r="E405" i="30"/>
  <c r="O404" i="30"/>
  <c r="N404" i="30"/>
  <c r="G404" i="30"/>
  <c r="E404" i="30"/>
  <c r="O403" i="30"/>
  <c r="N403" i="30"/>
  <c r="G403" i="30"/>
  <c r="E403" i="30"/>
  <c r="O402" i="30"/>
  <c r="N402" i="30"/>
  <c r="G402" i="30"/>
  <c r="E402" i="30"/>
  <c r="O401" i="30"/>
  <c r="N401" i="30"/>
  <c r="G401" i="30"/>
  <c r="E401" i="30"/>
  <c r="O400" i="30"/>
  <c r="N400" i="30"/>
  <c r="G400" i="30"/>
  <c r="E400" i="30"/>
  <c r="O399" i="30"/>
  <c r="N399" i="30"/>
  <c r="G399" i="30"/>
  <c r="E399" i="30"/>
  <c r="O398" i="30"/>
  <c r="N398" i="30"/>
  <c r="G398" i="30"/>
  <c r="E398" i="30"/>
  <c r="G397" i="30"/>
  <c r="E397" i="30"/>
  <c r="O396" i="30"/>
  <c r="N396" i="30"/>
  <c r="G396" i="30"/>
  <c r="E396" i="30"/>
  <c r="O395" i="30"/>
  <c r="N395" i="30"/>
  <c r="G395" i="30"/>
  <c r="E395" i="30"/>
  <c r="O394" i="30"/>
  <c r="N394" i="30"/>
  <c r="G394" i="30"/>
  <c r="E394" i="30"/>
  <c r="O393" i="30"/>
  <c r="N393" i="30"/>
  <c r="G393" i="30"/>
  <c r="E393" i="30"/>
  <c r="O392" i="30"/>
  <c r="N392" i="30"/>
  <c r="G392" i="30"/>
  <c r="E392" i="30"/>
  <c r="O391" i="30"/>
  <c r="N391" i="30"/>
  <c r="G391" i="30"/>
  <c r="E391" i="30"/>
  <c r="O390" i="30"/>
  <c r="N390" i="30"/>
  <c r="G390" i="30"/>
  <c r="E390" i="30"/>
  <c r="O389" i="30"/>
  <c r="N389" i="30"/>
  <c r="G389" i="30"/>
  <c r="E389" i="30"/>
  <c r="O388" i="30"/>
  <c r="N388" i="30"/>
  <c r="G388" i="30"/>
  <c r="E388" i="30"/>
  <c r="O387" i="30"/>
  <c r="N387" i="30"/>
  <c r="G387" i="30"/>
  <c r="E387" i="30"/>
  <c r="O386" i="30"/>
  <c r="N386" i="30"/>
  <c r="G386" i="30"/>
  <c r="E386" i="30"/>
  <c r="G385" i="30"/>
  <c r="E385" i="30"/>
  <c r="O384" i="30"/>
  <c r="N384" i="30"/>
  <c r="G384" i="30"/>
  <c r="E384" i="30"/>
  <c r="O383" i="30"/>
  <c r="N383" i="30"/>
  <c r="G383" i="30"/>
  <c r="E383" i="30"/>
  <c r="O382" i="30"/>
  <c r="N382" i="30"/>
  <c r="G382" i="30"/>
  <c r="E382" i="30"/>
  <c r="O381" i="30"/>
  <c r="N381" i="30"/>
  <c r="G381" i="30"/>
  <c r="E381" i="30"/>
  <c r="O380" i="30"/>
  <c r="N380" i="30"/>
  <c r="G380" i="30"/>
  <c r="E380" i="30"/>
  <c r="G379" i="30"/>
  <c r="E379" i="30"/>
  <c r="O378" i="30"/>
  <c r="N378" i="30"/>
  <c r="G378" i="30"/>
  <c r="E378" i="30"/>
  <c r="O377" i="30"/>
  <c r="N377" i="30"/>
  <c r="G377" i="30"/>
  <c r="E377" i="30"/>
  <c r="O376" i="30"/>
  <c r="N376" i="30"/>
  <c r="G376" i="30"/>
  <c r="E376" i="30"/>
  <c r="O375" i="30"/>
  <c r="N375" i="30"/>
  <c r="G375" i="30"/>
  <c r="E375" i="30"/>
  <c r="O374" i="30"/>
  <c r="N374" i="30"/>
  <c r="G374" i="30"/>
  <c r="E374" i="30"/>
  <c r="O373" i="30"/>
  <c r="N373" i="30"/>
  <c r="G373" i="30"/>
  <c r="E373" i="30"/>
  <c r="O372" i="30"/>
  <c r="G372" i="30"/>
  <c r="E372" i="30"/>
  <c r="O371" i="30"/>
  <c r="N371" i="30"/>
  <c r="G371" i="30"/>
  <c r="E371" i="30"/>
  <c r="O370" i="30"/>
  <c r="N370" i="30"/>
  <c r="O369" i="30"/>
  <c r="N369" i="30"/>
  <c r="G369" i="30"/>
  <c r="E369" i="30"/>
  <c r="O368" i="30"/>
  <c r="N368" i="30"/>
  <c r="G368" i="30"/>
  <c r="E368" i="30"/>
  <c r="O367" i="30"/>
  <c r="N367" i="30"/>
  <c r="G367" i="30"/>
  <c r="E367" i="30"/>
  <c r="O366" i="30"/>
  <c r="G366" i="30"/>
  <c r="E366" i="30"/>
  <c r="O365" i="30"/>
  <c r="N365" i="30"/>
  <c r="O364" i="30"/>
  <c r="N364" i="30"/>
  <c r="O363" i="30"/>
  <c r="N363" i="30"/>
  <c r="G363" i="30"/>
  <c r="E363" i="30"/>
  <c r="O362" i="30"/>
  <c r="N362" i="30"/>
  <c r="G362" i="30"/>
  <c r="E362" i="30"/>
  <c r="O361" i="30"/>
  <c r="N361" i="30"/>
  <c r="G361" i="30"/>
  <c r="E361" i="30"/>
  <c r="O360" i="30"/>
  <c r="N360" i="30"/>
  <c r="G360" i="30"/>
  <c r="E360" i="30"/>
  <c r="O359" i="30"/>
  <c r="N359" i="30"/>
  <c r="G359" i="30"/>
  <c r="E359" i="30"/>
  <c r="O358" i="30"/>
  <c r="N358" i="30"/>
  <c r="O357" i="30"/>
  <c r="N357" i="30"/>
  <c r="G357" i="30"/>
  <c r="E357" i="30"/>
  <c r="O356" i="30"/>
  <c r="N356" i="30"/>
  <c r="G356" i="30"/>
  <c r="E356" i="30"/>
  <c r="O355" i="30"/>
  <c r="N355" i="30"/>
  <c r="G355" i="30"/>
  <c r="E355" i="30"/>
  <c r="O354" i="30"/>
  <c r="N354" i="30"/>
  <c r="G354" i="30"/>
  <c r="E354" i="30"/>
  <c r="O352" i="30"/>
  <c r="N352" i="30"/>
  <c r="G352" i="30"/>
  <c r="E352" i="30"/>
  <c r="O351" i="30"/>
  <c r="N351" i="30"/>
  <c r="G351" i="30"/>
  <c r="E351" i="30"/>
  <c r="O350" i="30"/>
  <c r="N350" i="30"/>
  <c r="G350" i="30"/>
  <c r="E350" i="30"/>
  <c r="O349" i="30"/>
  <c r="N349" i="30"/>
  <c r="G349" i="30"/>
  <c r="E349" i="30"/>
  <c r="O348" i="30"/>
  <c r="N348" i="30"/>
  <c r="G348" i="30"/>
  <c r="E348" i="30"/>
  <c r="O347" i="30"/>
  <c r="N347" i="30"/>
  <c r="O346" i="30"/>
  <c r="N346" i="30"/>
  <c r="G346" i="30"/>
  <c r="E346" i="30"/>
  <c r="O345" i="30"/>
  <c r="N345" i="30"/>
  <c r="G345" i="30"/>
  <c r="E345" i="30"/>
  <c r="O344" i="30"/>
  <c r="N344" i="30"/>
  <c r="G344" i="30"/>
  <c r="E344" i="30"/>
  <c r="O343" i="30"/>
  <c r="N343" i="30"/>
  <c r="G343" i="30"/>
  <c r="E343" i="30"/>
  <c r="O342" i="30"/>
  <c r="N342" i="30"/>
  <c r="O341" i="30"/>
  <c r="N341" i="30"/>
  <c r="G341" i="30"/>
  <c r="E341" i="30"/>
  <c r="O340" i="30"/>
  <c r="N340" i="30"/>
  <c r="G340" i="30"/>
  <c r="E340" i="30"/>
  <c r="O339" i="30"/>
  <c r="N339" i="30"/>
  <c r="G339" i="30"/>
  <c r="E339" i="30"/>
  <c r="O338" i="30"/>
  <c r="N338" i="30"/>
  <c r="G338" i="30"/>
  <c r="E338" i="30"/>
  <c r="O337" i="30"/>
  <c r="N337" i="30"/>
  <c r="O336" i="30"/>
  <c r="N336" i="30"/>
  <c r="G336" i="30"/>
  <c r="E336" i="30"/>
  <c r="O335" i="30"/>
  <c r="N335" i="30"/>
  <c r="G335" i="30"/>
  <c r="E335" i="30"/>
  <c r="O334" i="30"/>
  <c r="N334" i="30"/>
  <c r="G334" i="30"/>
  <c r="E334" i="30"/>
  <c r="O333" i="30"/>
  <c r="N333" i="30"/>
  <c r="G333" i="30"/>
  <c r="E333" i="30"/>
  <c r="O332" i="30"/>
  <c r="N332" i="30"/>
  <c r="G332" i="30"/>
  <c r="E332" i="30"/>
  <c r="O331" i="30"/>
  <c r="N331" i="30"/>
  <c r="G331" i="30"/>
  <c r="E331" i="30"/>
  <c r="O330" i="30"/>
  <c r="N330" i="30"/>
  <c r="G330" i="30"/>
  <c r="E330" i="30"/>
  <c r="O329" i="30"/>
  <c r="N329" i="30"/>
  <c r="G329" i="30"/>
  <c r="E329" i="30"/>
  <c r="O328" i="30"/>
  <c r="N328" i="30"/>
  <c r="G328" i="30"/>
  <c r="E328" i="30"/>
  <c r="O327" i="30"/>
  <c r="N327" i="30"/>
  <c r="G327" i="30"/>
  <c r="E327" i="30"/>
  <c r="O326" i="30"/>
  <c r="N326" i="30"/>
  <c r="G326" i="30"/>
  <c r="E326" i="30"/>
  <c r="O325" i="30"/>
  <c r="N325" i="30"/>
  <c r="G325" i="30"/>
  <c r="E325" i="30"/>
  <c r="O324" i="30"/>
  <c r="N324" i="30"/>
  <c r="G324" i="30"/>
  <c r="E324" i="30"/>
  <c r="O323" i="30"/>
  <c r="N323" i="30"/>
  <c r="G323" i="30"/>
  <c r="E323" i="30"/>
  <c r="O322" i="30"/>
  <c r="N322" i="30"/>
  <c r="G322" i="30"/>
  <c r="E322" i="30"/>
  <c r="O321" i="30"/>
  <c r="N321" i="30"/>
  <c r="G321" i="30"/>
  <c r="E321" i="30"/>
  <c r="O320" i="30"/>
  <c r="N320" i="30"/>
  <c r="G320" i="30"/>
  <c r="E320" i="30"/>
  <c r="O319" i="30"/>
  <c r="N319" i="30"/>
  <c r="G319" i="30"/>
  <c r="E319" i="30"/>
  <c r="O318" i="30"/>
  <c r="N318" i="30"/>
  <c r="G318" i="30"/>
  <c r="E318" i="30"/>
  <c r="O317" i="30"/>
  <c r="N317" i="30"/>
  <c r="G317" i="30"/>
  <c r="E317" i="30"/>
  <c r="O316" i="30"/>
  <c r="N316" i="30"/>
  <c r="G316" i="30"/>
  <c r="E316" i="30"/>
  <c r="O315" i="30"/>
  <c r="N315" i="30"/>
  <c r="G315" i="30"/>
  <c r="E315" i="30"/>
  <c r="O314" i="30"/>
  <c r="N314" i="30"/>
  <c r="G314" i="30"/>
  <c r="E314" i="30"/>
  <c r="O313" i="30"/>
  <c r="N313" i="30"/>
  <c r="G313" i="30"/>
  <c r="E313" i="30"/>
  <c r="O312" i="30"/>
  <c r="N312" i="30"/>
  <c r="G312" i="30"/>
  <c r="E312" i="30"/>
  <c r="O311" i="30"/>
  <c r="N311" i="30"/>
  <c r="G311" i="30"/>
  <c r="E311" i="30"/>
  <c r="O310" i="30"/>
  <c r="N310" i="30"/>
  <c r="G310" i="30"/>
  <c r="E310" i="30"/>
  <c r="O309" i="30"/>
  <c r="N309" i="30"/>
  <c r="G309" i="30"/>
  <c r="E309" i="30"/>
  <c r="O308" i="30"/>
  <c r="N308" i="30"/>
  <c r="G308" i="30"/>
  <c r="E308" i="30"/>
  <c r="O307" i="30"/>
  <c r="N307" i="30"/>
  <c r="G307" i="30"/>
  <c r="E307" i="30"/>
  <c r="O306" i="30"/>
  <c r="N306" i="30"/>
  <c r="G306" i="30"/>
  <c r="E306" i="30"/>
  <c r="O305" i="30"/>
  <c r="N305" i="30"/>
  <c r="G305" i="30"/>
  <c r="E305" i="30"/>
  <c r="O304" i="30"/>
  <c r="N304" i="30"/>
  <c r="G304" i="30"/>
  <c r="E304" i="30"/>
  <c r="O303" i="30"/>
  <c r="N303" i="30"/>
  <c r="G303" i="30"/>
  <c r="E303" i="30"/>
  <c r="O302" i="30"/>
  <c r="N302" i="30"/>
  <c r="G302" i="30"/>
  <c r="E302" i="30"/>
  <c r="O301" i="30"/>
  <c r="N301" i="30"/>
  <c r="G301" i="30"/>
  <c r="E301" i="30"/>
  <c r="O300" i="30"/>
  <c r="N300" i="30"/>
  <c r="G300" i="30"/>
  <c r="E300" i="30"/>
  <c r="O299" i="30"/>
  <c r="N299" i="30"/>
  <c r="G299" i="30"/>
  <c r="E299" i="30"/>
  <c r="O298" i="30"/>
  <c r="N298" i="30"/>
  <c r="G298" i="30"/>
  <c r="E298" i="30"/>
  <c r="O297" i="30"/>
  <c r="N297" i="30"/>
  <c r="G297" i="30"/>
  <c r="E297" i="30"/>
  <c r="O296" i="30"/>
  <c r="N296" i="30"/>
  <c r="G296" i="30"/>
  <c r="E296" i="30"/>
  <c r="O295" i="30"/>
  <c r="N295" i="30"/>
  <c r="G295" i="30"/>
  <c r="E295" i="30"/>
  <c r="O294" i="30"/>
  <c r="N294" i="30"/>
  <c r="G294" i="30"/>
  <c r="E294" i="30"/>
  <c r="O293" i="30"/>
  <c r="N293" i="30"/>
  <c r="G293" i="30"/>
  <c r="E293" i="30"/>
  <c r="O292" i="30"/>
  <c r="N292" i="30"/>
  <c r="G292" i="30"/>
  <c r="E292" i="30"/>
  <c r="O291" i="30"/>
  <c r="N291" i="30"/>
  <c r="G291" i="30"/>
  <c r="E291" i="30"/>
  <c r="O290" i="30"/>
  <c r="N290" i="30"/>
  <c r="G290" i="30"/>
  <c r="E290" i="30"/>
  <c r="O289" i="30"/>
  <c r="N289" i="30"/>
  <c r="G289" i="30"/>
  <c r="E289" i="30"/>
  <c r="O288" i="30"/>
  <c r="N288" i="30"/>
  <c r="G288" i="30"/>
  <c r="E288" i="30"/>
  <c r="O287" i="30"/>
  <c r="N287" i="30"/>
  <c r="G287" i="30"/>
  <c r="E287" i="30"/>
  <c r="O286" i="30"/>
  <c r="N286" i="30"/>
  <c r="G286" i="30"/>
  <c r="E286" i="30"/>
  <c r="O285" i="30"/>
  <c r="N285" i="30"/>
  <c r="G285" i="30"/>
  <c r="E285" i="30"/>
  <c r="O284" i="30"/>
  <c r="N284" i="30"/>
  <c r="G284" i="30"/>
  <c r="E284" i="30"/>
  <c r="O283" i="30"/>
  <c r="N283" i="30"/>
  <c r="G283" i="30"/>
  <c r="E283" i="30"/>
  <c r="O282" i="30"/>
  <c r="N282" i="30"/>
  <c r="G282" i="30"/>
  <c r="E282" i="30"/>
  <c r="O281" i="30"/>
  <c r="N281" i="30"/>
  <c r="G281" i="30"/>
  <c r="E281" i="30"/>
  <c r="O280" i="30"/>
  <c r="N280" i="30"/>
  <c r="G280" i="30"/>
  <c r="E280" i="30"/>
  <c r="O279" i="30"/>
  <c r="N279" i="30"/>
  <c r="G279" i="30"/>
  <c r="E279" i="30"/>
  <c r="O278" i="30"/>
  <c r="N278" i="30"/>
  <c r="G278" i="30"/>
  <c r="E278" i="30"/>
  <c r="O277" i="30"/>
  <c r="N277" i="30"/>
  <c r="G277" i="30"/>
  <c r="E277" i="30"/>
  <c r="O276" i="30"/>
  <c r="N276" i="30"/>
  <c r="G276" i="30"/>
  <c r="E276" i="30"/>
  <c r="O275" i="30"/>
  <c r="N275" i="30"/>
  <c r="G275" i="30"/>
  <c r="E275" i="30"/>
  <c r="O274" i="30"/>
  <c r="N274" i="30"/>
  <c r="G274" i="30"/>
  <c r="E274" i="30"/>
  <c r="O273" i="30"/>
  <c r="N273" i="30"/>
  <c r="G273" i="30"/>
  <c r="E273" i="30"/>
  <c r="O272" i="30"/>
  <c r="N272" i="30"/>
  <c r="G272" i="30"/>
  <c r="E272" i="30"/>
  <c r="O271" i="30"/>
  <c r="N271" i="30"/>
  <c r="G271" i="30"/>
  <c r="E271" i="30"/>
  <c r="O270" i="30"/>
  <c r="N270" i="30"/>
  <c r="G270" i="30"/>
  <c r="E270" i="30"/>
  <c r="O269" i="30"/>
  <c r="N269" i="30"/>
  <c r="G269" i="30"/>
  <c r="E269" i="30"/>
  <c r="O268" i="30"/>
  <c r="N268" i="30"/>
  <c r="G268" i="30"/>
  <c r="E268" i="30"/>
  <c r="O267" i="30"/>
  <c r="N267" i="30"/>
  <c r="G267" i="30"/>
  <c r="E267" i="30"/>
  <c r="O266" i="30"/>
  <c r="N266" i="30"/>
  <c r="G266" i="30"/>
  <c r="E266" i="30"/>
  <c r="O265" i="30"/>
  <c r="N265" i="30"/>
  <c r="G265" i="30"/>
  <c r="E265" i="30"/>
  <c r="O264" i="30"/>
  <c r="N264" i="30"/>
  <c r="G264" i="30"/>
  <c r="E264" i="30"/>
  <c r="O263" i="30"/>
  <c r="N263" i="30"/>
  <c r="G263" i="30"/>
  <c r="E263" i="30"/>
  <c r="O262" i="30"/>
  <c r="N262" i="30"/>
  <c r="G262" i="30"/>
  <c r="E262" i="30"/>
  <c r="O261" i="30"/>
  <c r="N261" i="30"/>
  <c r="G261" i="30"/>
  <c r="E261" i="30"/>
  <c r="O260" i="30"/>
  <c r="N260" i="30"/>
  <c r="G260" i="30"/>
  <c r="E260" i="30"/>
  <c r="O259" i="30"/>
  <c r="N259" i="30"/>
  <c r="G259" i="30"/>
  <c r="E259" i="30"/>
  <c r="O258" i="30"/>
  <c r="N258" i="30"/>
  <c r="G258" i="30"/>
  <c r="E258" i="30"/>
  <c r="O257" i="30"/>
  <c r="N257" i="30"/>
  <c r="G257" i="30"/>
  <c r="E257" i="30"/>
  <c r="O256" i="30"/>
  <c r="N256" i="30"/>
  <c r="G256" i="30"/>
  <c r="E256" i="30"/>
  <c r="G255" i="30"/>
  <c r="E255" i="30"/>
  <c r="O254" i="30"/>
  <c r="N254" i="30"/>
  <c r="G254" i="30"/>
  <c r="E254" i="30"/>
  <c r="O253" i="30"/>
  <c r="N253" i="30"/>
  <c r="G253" i="30"/>
  <c r="E253" i="30"/>
  <c r="O252" i="30"/>
  <c r="N252" i="30"/>
  <c r="G252" i="30"/>
  <c r="E252" i="30"/>
  <c r="O251" i="30"/>
  <c r="N251" i="30"/>
  <c r="G251" i="30"/>
  <c r="E251" i="30"/>
  <c r="O250" i="30"/>
  <c r="G250" i="30"/>
  <c r="E250" i="30"/>
  <c r="O249" i="30"/>
  <c r="N249" i="30"/>
  <c r="G249" i="30"/>
  <c r="E249" i="30"/>
  <c r="O248" i="30"/>
  <c r="N248" i="30"/>
  <c r="G248" i="30"/>
  <c r="E248" i="30"/>
  <c r="O247" i="30"/>
  <c r="N247" i="30"/>
  <c r="G247" i="30"/>
  <c r="E247" i="30"/>
  <c r="O246" i="30"/>
  <c r="N246" i="30"/>
  <c r="G246" i="30"/>
  <c r="E246" i="30"/>
  <c r="O245" i="30"/>
  <c r="N245" i="30"/>
  <c r="G245" i="30"/>
  <c r="E245" i="30"/>
  <c r="O244" i="30"/>
  <c r="N244" i="30"/>
  <c r="G244" i="30"/>
  <c r="E244" i="30"/>
  <c r="O243" i="30"/>
  <c r="N243" i="30"/>
  <c r="G243" i="30"/>
  <c r="E243" i="30"/>
  <c r="O242" i="30"/>
  <c r="N242" i="30"/>
  <c r="G242" i="30"/>
  <c r="E242" i="30"/>
  <c r="O241" i="30"/>
  <c r="N241" i="30"/>
  <c r="G241" i="30"/>
  <c r="E241" i="30"/>
  <c r="O240" i="30"/>
  <c r="N240" i="30"/>
  <c r="G240" i="30"/>
  <c r="E240" i="30"/>
  <c r="O239" i="30"/>
  <c r="N239" i="30"/>
  <c r="G239" i="30"/>
  <c r="E239" i="30"/>
  <c r="O238" i="30"/>
  <c r="N238" i="30"/>
  <c r="G238" i="30"/>
  <c r="E238" i="30"/>
  <c r="O237" i="30"/>
  <c r="N237" i="30"/>
  <c r="G237" i="30"/>
  <c r="E237" i="30"/>
  <c r="O236" i="30"/>
  <c r="N236" i="30"/>
  <c r="G236" i="30"/>
  <c r="E236" i="30"/>
  <c r="O235" i="30"/>
  <c r="N235" i="30"/>
  <c r="G235" i="30"/>
  <c r="E235" i="30"/>
  <c r="O234" i="30"/>
  <c r="N234" i="30"/>
  <c r="G234" i="30"/>
  <c r="E234" i="30"/>
  <c r="O233" i="30"/>
  <c r="N233" i="30"/>
  <c r="G233" i="30"/>
  <c r="E233" i="30"/>
  <c r="O232" i="30"/>
  <c r="N232" i="30"/>
  <c r="G232" i="30"/>
  <c r="E232" i="30"/>
  <c r="O231" i="30"/>
  <c r="N231" i="30"/>
  <c r="G231" i="30"/>
  <c r="E231" i="30"/>
  <c r="O230" i="30"/>
  <c r="N230" i="30"/>
  <c r="G230" i="30"/>
  <c r="E230" i="30"/>
  <c r="O229" i="30"/>
  <c r="N229" i="30"/>
  <c r="G229" i="30"/>
  <c r="E229" i="30"/>
  <c r="O228" i="30"/>
  <c r="N228" i="30"/>
  <c r="G228" i="30"/>
  <c r="E228" i="30"/>
  <c r="O227" i="30"/>
  <c r="N227" i="30"/>
  <c r="G227" i="30"/>
  <c r="E227" i="30"/>
  <c r="O226" i="30"/>
  <c r="N226" i="30"/>
  <c r="G226" i="30"/>
  <c r="E226" i="30"/>
  <c r="O225" i="30"/>
  <c r="N225" i="30"/>
  <c r="G225" i="30"/>
  <c r="E225" i="30"/>
  <c r="O224" i="30"/>
  <c r="N224" i="30"/>
  <c r="G224" i="30"/>
  <c r="E224" i="30"/>
  <c r="O223" i="30"/>
  <c r="N223" i="30"/>
  <c r="G223" i="30"/>
  <c r="E223" i="30"/>
  <c r="O222" i="30"/>
  <c r="N222" i="30"/>
  <c r="G222" i="30"/>
  <c r="E222" i="30"/>
  <c r="O221" i="30"/>
  <c r="N221" i="30"/>
  <c r="G221" i="30"/>
  <c r="E221" i="30"/>
  <c r="O220" i="30"/>
  <c r="N220" i="30"/>
  <c r="G220" i="30"/>
  <c r="E220" i="30"/>
  <c r="O219" i="30"/>
  <c r="N219" i="30"/>
  <c r="G219" i="30"/>
  <c r="E219" i="30"/>
  <c r="O218" i="30"/>
  <c r="N218" i="30"/>
  <c r="G218" i="30"/>
  <c r="E218" i="30"/>
  <c r="O217" i="30"/>
  <c r="N217" i="30"/>
  <c r="G217" i="30"/>
  <c r="E217" i="30"/>
  <c r="O216" i="30"/>
  <c r="N216" i="30"/>
  <c r="G216" i="30"/>
  <c r="E216" i="30"/>
  <c r="O215" i="30"/>
  <c r="N215" i="30"/>
  <c r="G215" i="30"/>
  <c r="E215" i="30"/>
  <c r="O214" i="30"/>
  <c r="N214" i="30"/>
  <c r="G214" i="30"/>
  <c r="E214" i="30"/>
  <c r="O213" i="30"/>
  <c r="N213" i="30"/>
  <c r="G213" i="30"/>
  <c r="E213" i="30"/>
  <c r="O212" i="30"/>
  <c r="N212" i="30"/>
  <c r="G212" i="30"/>
  <c r="E212" i="30"/>
  <c r="G211" i="30"/>
  <c r="E211" i="30"/>
  <c r="O210" i="30"/>
  <c r="N210" i="30"/>
  <c r="G210" i="30"/>
  <c r="E210" i="30"/>
  <c r="O209" i="30"/>
  <c r="N209" i="30"/>
  <c r="G209" i="30"/>
  <c r="E209" i="30"/>
  <c r="O208" i="30"/>
  <c r="N208" i="30"/>
  <c r="G208" i="30"/>
  <c r="E208" i="30"/>
  <c r="O207" i="30"/>
  <c r="N207" i="30"/>
  <c r="G207" i="30"/>
  <c r="E207" i="30"/>
  <c r="O206" i="30"/>
  <c r="N206" i="30"/>
  <c r="G206" i="30"/>
  <c r="E206" i="30"/>
  <c r="O205" i="30"/>
  <c r="N205" i="30"/>
  <c r="G205" i="30"/>
  <c r="E205" i="30"/>
  <c r="O204" i="30"/>
  <c r="N204" i="30"/>
  <c r="G204" i="30"/>
  <c r="E204" i="30"/>
  <c r="O203" i="30"/>
  <c r="N203" i="30"/>
  <c r="G203" i="30"/>
  <c r="E203" i="30"/>
  <c r="O202" i="30"/>
  <c r="N202" i="30"/>
  <c r="G202" i="30"/>
  <c r="E202" i="30"/>
  <c r="O201" i="30"/>
  <c r="N201" i="30"/>
  <c r="G201" i="30"/>
  <c r="E201" i="30"/>
  <c r="O200" i="30"/>
  <c r="N200" i="30"/>
  <c r="G200" i="30"/>
  <c r="E200" i="30"/>
  <c r="O199" i="30"/>
  <c r="N199" i="30"/>
  <c r="G199" i="30"/>
  <c r="E199" i="30"/>
  <c r="O198" i="30"/>
  <c r="N198" i="30"/>
  <c r="G198" i="30"/>
  <c r="E198" i="30"/>
  <c r="O197" i="30"/>
  <c r="N197" i="30"/>
  <c r="G197" i="30"/>
  <c r="E197" i="30"/>
  <c r="O196" i="30"/>
  <c r="N196" i="30"/>
  <c r="G196" i="30"/>
  <c r="E196" i="30"/>
  <c r="O195" i="30"/>
  <c r="N195" i="30"/>
  <c r="G195" i="30"/>
  <c r="E195" i="30"/>
  <c r="O194" i="30"/>
  <c r="G194" i="30"/>
  <c r="E194" i="30"/>
  <c r="O193" i="30"/>
  <c r="N193" i="30"/>
  <c r="G193" i="30"/>
  <c r="E193" i="30"/>
  <c r="O192" i="30"/>
  <c r="N192" i="30"/>
  <c r="G192" i="30"/>
  <c r="E192" i="30"/>
  <c r="O191" i="30"/>
  <c r="N191" i="30"/>
  <c r="G191" i="30"/>
  <c r="E191" i="30"/>
  <c r="O190" i="30"/>
  <c r="N190" i="30"/>
  <c r="G190" i="30"/>
  <c r="E190" i="30"/>
  <c r="O189" i="30"/>
  <c r="N189" i="30"/>
  <c r="G189" i="30"/>
  <c r="E189" i="30"/>
  <c r="O188" i="30"/>
  <c r="N188" i="30"/>
  <c r="G188" i="30"/>
  <c r="E188" i="30"/>
  <c r="O187" i="30"/>
  <c r="N187" i="30"/>
  <c r="G187" i="30"/>
  <c r="E187" i="30"/>
  <c r="O186" i="30"/>
  <c r="N186" i="30"/>
  <c r="G186" i="30"/>
  <c r="E186" i="30"/>
  <c r="O185" i="30"/>
  <c r="N185" i="30"/>
  <c r="G185" i="30"/>
  <c r="E185" i="30"/>
  <c r="O184" i="30"/>
  <c r="N184" i="30"/>
  <c r="G184" i="30"/>
  <c r="E184" i="30"/>
  <c r="O183" i="30"/>
  <c r="G183" i="30"/>
  <c r="E183" i="30"/>
  <c r="O182" i="30"/>
  <c r="N182" i="30"/>
  <c r="G182" i="30"/>
  <c r="E182" i="30"/>
  <c r="O181" i="30"/>
  <c r="N181" i="30"/>
  <c r="G181" i="30"/>
  <c r="E181" i="30"/>
  <c r="O180" i="30"/>
  <c r="N180" i="30"/>
  <c r="G180" i="30"/>
  <c r="E180" i="30"/>
  <c r="O179" i="30"/>
  <c r="N179" i="30"/>
  <c r="G179" i="30"/>
  <c r="E179" i="30"/>
  <c r="O178" i="30"/>
  <c r="N178" i="30"/>
  <c r="G178" i="30"/>
  <c r="E178" i="30"/>
  <c r="O177" i="30"/>
  <c r="N177" i="30"/>
  <c r="G177" i="30"/>
  <c r="E177" i="30"/>
  <c r="O176" i="30"/>
  <c r="N176" i="30"/>
  <c r="G176" i="30"/>
  <c r="E176" i="30"/>
  <c r="O175" i="30"/>
  <c r="N175" i="30"/>
  <c r="G175" i="30"/>
  <c r="E175" i="30"/>
  <c r="O174" i="30"/>
  <c r="N174" i="30"/>
  <c r="G174" i="30"/>
  <c r="E174" i="30"/>
  <c r="O173" i="30"/>
  <c r="N173" i="30"/>
  <c r="G173" i="30"/>
  <c r="E173" i="30"/>
  <c r="O172" i="30"/>
  <c r="N172" i="30"/>
  <c r="G172" i="30"/>
  <c r="E172" i="30"/>
  <c r="O171" i="30"/>
  <c r="N171" i="30"/>
  <c r="G171" i="30"/>
  <c r="E171" i="30"/>
  <c r="O170" i="30"/>
  <c r="N170" i="30"/>
  <c r="G170" i="30"/>
  <c r="E170" i="30"/>
  <c r="O169" i="30"/>
  <c r="N169" i="30"/>
  <c r="G169" i="30"/>
  <c r="E169" i="30"/>
  <c r="O168" i="30"/>
  <c r="N168" i="30"/>
  <c r="G168" i="30"/>
  <c r="E168" i="30"/>
  <c r="G167" i="30"/>
  <c r="E167" i="30"/>
  <c r="O166" i="30"/>
  <c r="N166" i="30"/>
  <c r="G166" i="30"/>
  <c r="E166" i="30"/>
  <c r="O165" i="30"/>
  <c r="N165" i="30"/>
  <c r="G165" i="30"/>
  <c r="E165" i="30"/>
  <c r="O164" i="30"/>
  <c r="N164" i="30"/>
  <c r="G164" i="30"/>
  <c r="E164" i="30"/>
  <c r="O163" i="30"/>
  <c r="N163" i="30"/>
  <c r="G163" i="30"/>
  <c r="E163" i="30"/>
  <c r="O162" i="30"/>
  <c r="N162" i="30"/>
  <c r="G162" i="30"/>
  <c r="E162" i="30"/>
  <c r="O161" i="30"/>
  <c r="N161" i="30"/>
  <c r="G161" i="30"/>
  <c r="E161" i="30"/>
  <c r="O160" i="30"/>
  <c r="N160" i="30"/>
  <c r="G160" i="30"/>
  <c r="E160" i="30"/>
  <c r="O159" i="30"/>
  <c r="N159" i="30"/>
  <c r="G159" i="30"/>
  <c r="E159" i="30"/>
  <c r="O158" i="30"/>
  <c r="N158" i="30"/>
  <c r="G158" i="30"/>
  <c r="E158" i="30"/>
  <c r="O157" i="30"/>
  <c r="N157" i="30"/>
  <c r="G157" i="30"/>
  <c r="E157" i="30"/>
  <c r="O156" i="30"/>
  <c r="N156" i="30"/>
  <c r="G156" i="30"/>
  <c r="E156" i="30"/>
  <c r="O155" i="30"/>
  <c r="N155" i="30"/>
  <c r="G155" i="30"/>
  <c r="E155" i="30"/>
  <c r="O154" i="30"/>
  <c r="N154" i="30"/>
  <c r="G154" i="30"/>
  <c r="E154" i="30"/>
  <c r="O153" i="30"/>
  <c r="N153" i="30"/>
  <c r="G153" i="30"/>
  <c r="E153" i="30"/>
  <c r="O152" i="30"/>
  <c r="N152" i="30"/>
  <c r="G152" i="30"/>
  <c r="E152" i="30"/>
  <c r="O151" i="30"/>
  <c r="N151" i="30"/>
  <c r="G151" i="30"/>
  <c r="E151" i="30"/>
  <c r="O150" i="30"/>
  <c r="N150" i="30"/>
  <c r="G150" i="30"/>
  <c r="E150" i="30"/>
  <c r="O149" i="30"/>
  <c r="N149" i="30"/>
  <c r="G149" i="30"/>
  <c r="E149" i="30"/>
  <c r="O148" i="30"/>
  <c r="N148" i="30"/>
  <c r="G148" i="30"/>
  <c r="E148" i="30"/>
  <c r="O147" i="30"/>
  <c r="N147" i="30"/>
  <c r="G147" i="30"/>
  <c r="E147" i="30"/>
  <c r="O146" i="30"/>
  <c r="N146" i="30"/>
  <c r="G146" i="30"/>
  <c r="E146" i="30"/>
  <c r="O145" i="30"/>
  <c r="N145" i="30"/>
  <c r="G145" i="30"/>
  <c r="E145" i="30"/>
  <c r="O144" i="30"/>
  <c r="N144" i="30"/>
  <c r="G144" i="30"/>
  <c r="E144" i="30"/>
  <c r="O143" i="30"/>
  <c r="N143" i="30"/>
  <c r="G143" i="30"/>
  <c r="E143" i="30"/>
  <c r="O142" i="30"/>
  <c r="N142" i="30"/>
  <c r="G142" i="30"/>
  <c r="E142" i="30"/>
  <c r="O141" i="30"/>
  <c r="N141" i="30"/>
  <c r="G141" i="30"/>
  <c r="E141" i="30"/>
  <c r="O140" i="30"/>
  <c r="N140" i="30"/>
  <c r="G140" i="30"/>
  <c r="E140" i="30"/>
  <c r="O139" i="30"/>
  <c r="N139" i="30"/>
  <c r="G139" i="30"/>
  <c r="E139" i="30"/>
  <c r="O138" i="30"/>
  <c r="N138" i="30"/>
  <c r="G138" i="30"/>
  <c r="E138" i="30"/>
  <c r="O137" i="30"/>
  <c r="N137" i="30"/>
  <c r="G137" i="30"/>
  <c r="E137" i="30"/>
  <c r="O136" i="30"/>
  <c r="N136" i="30"/>
  <c r="G136" i="30"/>
  <c r="E136" i="30"/>
  <c r="O135" i="30"/>
  <c r="N135" i="30"/>
  <c r="G135" i="30"/>
  <c r="E135" i="30"/>
  <c r="O134" i="30"/>
  <c r="N134" i="30"/>
  <c r="G134" i="30"/>
  <c r="E134" i="30"/>
  <c r="O133" i="30"/>
  <c r="N133" i="30"/>
  <c r="G133" i="30"/>
  <c r="E133" i="30"/>
  <c r="O132" i="30"/>
  <c r="N132" i="30"/>
  <c r="G132" i="30"/>
  <c r="E132" i="30"/>
  <c r="O131" i="30"/>
  <c r="N131" i="30"/>
  <c r="G131" i="30"/>
  <c r="E131" i="30"/>
  <c r="O130" i="30"/>
  <c r="N130" i="30"/>
  <c r="G130" i="30"/>
  <c r="E130" i="30"/>
  <c r="O129" i="30"/>
  <c r="N129" i="30"/>
  <c r="G129" i="30"/>
  <c r="E129" i="30"/>
  <c r="O128" i="30"/>
  <c r="N128" i="30"/>
  <c r="G128" i="30"/>
  <c r="E128" i="30"/>
  <c r="G127" i="30"/>
  <c r="E127" i="30"/>
  <c r="O126" i="30"/>
  <c r="N126" i="30"/>
  <c r="G126" i="30"/>
  <c r="E126" i="30"/>
  <c r="O125" i="30"/>
  <c r="N125" i="30"/>
  <c r="G125" i="30"/>
  <c r="E125" i="30"/>
  <c r="O124" i="30"/>
  <c r="N124" i="30"/>
  <c r="G124" i="30"/>
  <c r="E124" i="30"/>
  <c r="O123" i="30"/>
  <c r="N123" i="30"/>
  <c r="G123" i="30"/>
  <c r="E123" i="30"/>
  <c r="N122" i="30"/>
  <c r="G122" i="30"/>
  <c r="E122" i="30"/>
  <c r="O121" i="30"/>
  <c r="N121" i="30"/>
  <c r="G121" i="30"/>
  <c r="E121" i="30"/>
  <c r="O120" i="30"/>
  <c r="N120" i="30"/>
  <c r="G120" i="30"/>
  <c r="E120" i="30"/>
  <c r="O119" i="30"/>
  <c r="N119" i="30"/>
  <c r="G119" i="30"/>
  <c r="E119" i="30"/>
  <c r="O118" i="30"/>
  <c r="N118" i="30"/>
  <c r="G118" i="30"/>
  <c r="E118" i="30"/>
  <c r="O117" i="30"/>
  <c r="N117" i="30"/>
  <c r="G117" i="30"/>
  <c r="E117" i="30"/>
  <c r="O116" i="30"/>
  <c r="N116" i="30"/>
  <c r="G116" i="30"/>
  <c r="E116" i="30"/>
  <c r="O115" i="30"/>
  <c r="N115" i="30"/>
  <c r="G115" i="30"/>
  <c r="E115" i="30"/>
  <c r="O114" i="30"/>
  <c r="N114" i="30"/>
  <c r="G114" i="30"/>
  <c r="E114" i="30"/>
  <c r="O113" i="30"/>
  <c r="N113" i="30"/>
  <c r="G113" i="30"/>
  <c r="E113" i="30"/>
  <c r="O112" i="30"/>
  <c r="N112" i="30"/>
  <c r="G112" i="30"/>
  <c r="E112" i="30"/>
  <c r="O111" i="30"/>
  <c r="N111" i="30"/>
  <c r="G111" i="30"/>
  <c r="E111" i="30"/>
  <c r="O110" i="30"/>
  <c r="N110" i="30"/>
  <c r="G110" i="30"/>
  <c r="E110" i="30"/>
  <c r="O109" i="30"/>
  <c r="N109" i="30"/>
  <c r="G109" i="30"/>
  <c r="E109" i="30"/>
  <c r="O108" i="30"/>
  <c r="N108" i="30"/>
  <c r="G108" i="30"/>
  <c r="E108" i="30"/>
  <c r="O107" i="30"/>
  <c r="N107" i="30"/>
  <c r="G107" i="30"/>
  <c r="E107" i="30"/>
  <c r="O106" i="30"/>
  <c r="N106" i="30"/>
  <c r="G106" i="30"/>
  <c r="E106" i="30"/>
  <c r="O105" i="30"/>
  <c r="N105" i="30"/>
  <c r="G105" i="30"/>
  <c r="E105" i="30"/>
  <c r="O104" i="30"/>
  <c r="N104" i="30"/>
  <c r="G104" i="30"/>
  <c r="E104" i="30"/>
  <c r="O103" i="30"/>
  <c r="N103" i="30"/>
  <c r="G103" i="30"/>
  <c r="E103" i="30"/>
  <c r="O102" i="30"/>
  <c r="N102" i="30"/>
  <c r="G102" i="30"/>
  <c r="E102" i="30"/>
  <c r="O101" i="30"/>
  <c r="N101" i="30"/>
  <c r="G101" i="30"/>
  <c r="E101" i="30"/>
  <c r="O100" i="30"/>
  <c r="N100" i="30"/>
  <c r="G100" i="30"/>
  <c r="E100" i="30"/>
  <c r="O99" i="30"/>
  <c r="N99" i="30"/>
  <c r="G99" i="30"/>
  <c r="E99" i="30"/>
  <c r="O98" i="30"/>
  <c r="N98" i="30"/>
  <c r="G98" i="30"/>
  <c r="E98" i="30"/>
  <c r="O97" i="30"/>
  <c r="N97" i="30"/>
  <c r="G97" i="30"/>
  <c r="E97" i="30"/>
  <c r="O96" i="30"/>
  <c r="N96" i="30"/>
  <c r="G96" i="30"/>
  <c r="E96" i="30"/>
  <c r="O95" i="30"/>
  <c r="N95" i="30"/>
  <c r="G95" i="30"/>
  <c r="E95" i="30"/>
  <c r="O94" i="30"/>
  <c r="N94" i="30"/>
  <c r="G94" i="30"/>
  <c r="E94" i="30"/>
  <c r="O93" i="30"/>
  <c r="N93" i="30"/>
  <c r="G93" i="30"/>
  <c r="E93" i="30"/>
  <c r="O92" i="30"/>
  <c r="N92" i="30"/>
  <c r="G92" i="30"/>
  <c r="E92" i="30"/>
  <c r="O91" i="30"/>
  <c r="N91" i="30"/>
  <c r="G91" i="30"/>
  <c r="E91" i="30"/>
  <c r="O90" i="30"/>
  <c r="N90" i="30"/>
  <c r="G90" i="30"/>
  <c r="E90" i="30"/>
  <c r="O89" i="30"/>
  <c r="N89" i="30"/>
  <c r="G89" i="30"/>
  <c r="E89" i="30"/>
  <c r="O88" i="30"/>
  <c r="N88" i="30"/>
  <c r="G88" i="30"/>
  <c r="E88" i="30"/>
  <c r="O87" i="30"/>
  <c r="N87" i="30"/>
  <c r="G87" i="30"/>
  <c r="E87" i="30"/>
  <c r="O86" i="30"/>
  <c r="N86" i="30"/>
  <c r="G86" i="30"/>
  <c r="E86" i="30"/>
  <c r="O85" i="30"/>
  <c r="N85" i="30"/>
  <c r="G85" i="30"/>
  <c r="E85" i="30"/>
  <c r="O84" i="30"/>
  <c r="N84" i="30"/>
  <c r="G84" i="30"/>
  <c r="E84" i="30"/>
  <c r="G83" i="30"/>
  <c r="E83" i="30"/>
  <c r="O82" i="30"/>
  <c r="N82" i="30"/>
  <c r="G82" i="30"/>
  <c r="E82" i="30"/>
  <c r="O81" i="30"/>
  <c r="N81" i="30"/>
  <c r="G81" i="30"/>
  <c r="E81" i="30"/>
  <c r="O80" i="30"/>
  <c r="N80" i="30"/>
  <c r="G80" i="30"/>
  <c r="E80" i="30"/>
  <c r="O79" i="30"/>
  <c r="N79" i="30"/>
  <c r="G79" i="30"/>
  <c r="E79" i="30"/>
  <c r="O78" i="30"/>
  <c r="N78" i="30"/>
  <c r="G78" i="30"/>
  <c r="E78" i="30"/>
  <c r="O77" i="30"/>
  <c r="N77" i="30"/>
  <c r="G77" i="30"/>
  <c r="E77" i="30"/>
  <c r="O76" i="30"/>
  <c r="N76" i="30"/>
  <c r="G76" i="30"/>
  <c r="E76" i="30"/>
  <c r="O75" i="30"/>
  <c r="N75" i="30"/>
  <c r="G75" i="30"/>
  <c r="E75" i="30"/>
  <c r="O74" i="30"/>
  <c r="N74" i="30"/>
  <c r="G74" i="30"/>
  <c r="E74" i="30"/>
  <c r="O73" i="30"/>
  <c r="N73" i="30"/>
  <c r="G73" i="30"/>
  <c r="E73" i="30"/>
  <c r="O72" i="30"/>
  <c r="N72" i="30"/>
  <c r="G72" i="30"/>
  <c r="E72" i="30"/>
  <c r="O71" i="30"/>
  <c r="N71" i="30"/>
  <c r="G71" i="30"/>
  <c r="E71" i="30"/>
  <c r="O70" i="30"/>
  <c r="N70" i="30"/>
  <c r="G70" i="30"/>
  <c r="E70" i="30"/>
  <c r="O69" i="30"/>
  <c r="N69" i="30"/>
  <c r="G69" i="30"/>
  <c r="E69" i="30"/>
  <c r="O68" i="30"/>
  <c r="N68" i="30"/>
  <c r="G68" i="30"/>
  <c r="E68" i="30"/>
  <c r="O67" i="30"/>
  <c r="N67" i="30"/>
  <c r="G67" i="30"/>
  <c r="E67" i="30"/>
  <c r="G66" i="30"/>
  <c r="E66" i="30"/>
  <c r="O65" i="30"/>
  <c r="N65" i="30"/>
  <c r="G65" i="30"/>
  <c r="E65" i="30"/>
  <c r="O64" i="30"/>
  <c r="N64" i="30"/>
  <c r="G64" i="30"/>
  <c r="E64" i="30"/>
  <c r="O63" i="30"/>
  <c r="N63" i="30"/>
  <c r="G63" i="30"/>
  <c r="E63" i="30"/>
  <c r="O62" i="30"/>
  <c r="N62" i="30"/>
  <c r="G62" i="30"/>
  <c r="E62" i="30"/>
  <c r="O61" i="30"/>
  <c r="N61" i="30"/>
  <c r="G61" i="30"/>
  <c r="E61" i="30"/>
  <c r="O60" i="30"/>
  <c r="N60" i="30"/>
  <c r="G60" i="30"/>
  <c r="E60" i="30"/>
  <c r="O59" i="30"/>
  <c r="N59" i="30"/>
  <c r="G59" i="30"/>
  <c r="E59" i="30"/>
  <c r="O58" i="30"/>
  <c r="N58" i="30"/>
  <c r="G58" i="30"/>
  <c r="E58" i="30"/>
  <c r="O57" i="30"/>
  <c r="N57" i="30"/>
  <c r="G57" i="30"/>
  <c r="E57" i="30"/>
  <c r="O56" i="30"/>
  <c r="N56" i="30"/>
  <c r="G56" i="30"/>
  <c r="E56" i="30"/>
  <c r="O55" i="30"/>
  <c r="N55" i="30"/>
  <c r="G55" i="30"/>
  <c r="E55" i="30"/>
  <c r="O54" i="30"/>
  <c r="N54" i="30"/>
  <c r="G54" i="30"/>
  <c r="E54" i="30"/>
  <c r="O53" i="30"/>
  <c r="N53" i="30"/>
  <c r="G53" i="30"/>
  <c r="E53" i="30"/>
  <c r="O52" i="30"/>
  <c r="N52" i="30"/>
  <c r="G52" i="30"/>
  <c r="E52" i="30"/>
  <c r="G51" i="30"/>
  <c r="E51" i="30"/>
  <c r="O50" i="30"/>
  <c r="N50" i="30"/>
  <c r="G50" i="30"/>
  <c r="E50" i="30"/>
  <c r="O49" i="30"/>
  <c r="N49" i="30"/>
  <c r="G49" i="30"/>
  <c r="E49" i="30"/>
  <c r="O48" i="30"/>
  <c r="N48" i="30"/>
  <c r="G48" i="30"/>
  <c r="E48" i="30"/>
  <c r="O47" i="30"/>
  <c r="N47" i="30"/>
  <c r="G47" i="30"/>
  <c r="E47" i="30"/>
  <c r="O46" i="30"/>
  <c r="N46" i="30"/>
  <c r="G46" i="30"/>
  <c r="E46" i="30"/>
  <c r="O45" i="30"/>
  <c r="N45" i="30"/>
  <c r="G45" i="30"/>
  <c r="E45" i="30"/>
  <c r="O44" i="30"/>
  <c r="N44" i="30"/>
  <c r="G44" i="30"/>
  <c r="E44" i="30"/>
  <c r="O43" i="30"/>
  <c r="N43" i="30"/>
  <c r="G43" i="30"/>
  <c r="E43" i="30"/>
  <c r="O42" i="30"/>
  <c r="N42" i="30"/>
  <c r="G42" i="30"/>
  <c r="E42" i="30"/>
  <c r="O41" i="30"/>
  <c r="N41" i="30"/>
  <c r="G41" i="30"/>
  <c r="E41" i="30"/>
  <c r="O40" i="30"/>
  <c r="N40" i="30"/>
  <c r="G40" i="30"/>
  <c r="E40" i="30"/>
  <c r="O39" i="30"/>
  <c r="N39" i="30"/>
  <c r="G39" i="30"/>
  <c r="E39" i="30"/>
  <c r="O38" i="30"/>
  <c r="N38" i="30"/>
  <c r="G38" i="30"/>
  <c r="E38" i="30"/>
  <c r="O37" i="30"/>
  <c r="N37" i="30"/>
  <c r="G37" i="30"/>
  <c r="E37" i="30"/>
  <c r="O36" i="30"/>
  <c r="N36" i="30"/>
  <c r="G36" i="30"/>
  <c r="E36" i="30"/>
  <c r="O35" i="30"/>
  <c r="N35" i="30"/>
  <c r="G35" i="30"/>
  <c r="E35" i="30"/>
  <c r="O34" i="30"/>
  <c r="N34" i="30"/>
  <c r="G34" i="30"/>
  <c r="E34" i="30"/>
  <c r="O33" i="30"/>
  <c r="N33" i="30"/>
  <c r="G33" i="30"/>
  <c r="E33" i="30"/>
  <c r="O32" i="30"/>
  <c r="N32" i="30"/>
  <c r="G32" i="30"/>
  <c r="E32" i="30"/>
  <c r="O31" i="30"/>
  <c r="N31" i="30"/>
  <c r="G31" i="30"/>
  <c r="E31" i="30"/>
  <c r="O30" i="30"/>
  <c r="N30" i="30"/>
  <c r="G30" i="30"/>
  <c r="E30" i="30"/>
  <c r="O29" i="30"/>
  <c r="N29" i="30"/>
  <c r="G29" i="30"/>
  <c r="E29" i="30"/>
  <c r="O28" i="30"/>
  <c r="N28" i="30"/>
  <c r="G28" i="30"/>
  <c r="E28" i="30"/>
  <c r="O27" i="30"/>
  <c r="N27" i="30"/>
  <c r="G27" i="30"/>
  <c r="E27" i="30"/>
  <c r="O26" i="30"/>
  <c r="N26" i="30"/>
  <c r="G26" i="30"/>
  <c r="E26" i="30"/>
  <c r="O25" i="30"/>
  <c r="N25" i="30"/>
  <c r="G25" i="30"/>
  <c r="E25" i="30"/>
  <c r="O24" i="30"/>
  <c r="N24" i="30"/>
  <c r="G24" i="30"/>
  <c r="E24" i="30"/>
  <c r="O23" i="30"/>
  <c r="N23" i="30"/>
  <c r="G23" i="30"/>
  <c r="E23" i="30"/>
  <c r="O22" i="30"/>
  <c r="N22" i="30"/>
  <c r="G22" i="30"/>
  <c r="E22" i="30"/>
  <c r="O21" i="30"/>
  <c r="N21" i="30"/>
  <c r="G21" i="30"/>
  <c r="E21" i="30"/>
  <c r="O20" i="30"/>
  <c r="N20" i="30"/>
  <c r="G20" i="30"/>
  <c r="E20" i="30"/>
  <c r="O19" i="30"/>
  <c r="N19" i="30"/>
  <c r="G19" i="30"/>
  <c r="E19" i="30"/>
  <c r="O18" i="30"/>
  <c r="N18" i="30"/>
  <c r="G18" i="30"/>
  <c r="E18" i="30"/>
  <c r="O17" i="30"/>
  <c r="N17" i="30"/>
  <c r="G17" i="30"/>
  <c r="E17" i="30"/>
  <c r="O16" i="30"/>
  <c r="N16" i="30"/>
  <c r="G16" i="30"/>
  <c r="E16" i="30"/>
  <c r="O15" i="30"/>
  <c r="N15" i="30"/>
  <c r="E15" i="30"/>
  <c r="G15" i="30"/>
  <c r="N14" i="30"/>
  <c r="O14" i="30"/>
  <c r="N12" i="30"/>
  <c r="O12" i="30"/>
  <c r="N10" i="30"/>
  <c r="O10" i="30"/>
  <c r="N9" i="30"/>
  <c r="O9" i="30"/>
  <c r="N8" i="30"/>
  <c r="O8" i="30"/>
  <c r="G103" i="8"/>
  <c r="H103" i="8"/>
  <c r="F103" i="8"/>
  <c r="G102" i="8"/>
  <c r="H102" i="8"/>
  <c r="F102" i="8"/>
  <c r="G101" i="8"/>
  <c r="H101" i="8"/>
  <c r="F101" i="8"/>
  <c r="O100" i="8"/>
  <c r="P100" i="8"/>
  <c r="N100" i="8"/>
  <c r="G100" i="8"/>
  <c r="H100" i="8"/>
  <c r="F100" i="8"/>
  <c r="G99" i="8"/>
  <c r="H99" i="8"/>
  <c r="F99" i="8"/>
  <c r="O98" i="8"/>
  <c r="P98" i="8"/>
  <c r="N98" i="8"/>
  <c r="G98" i="8"/>
  <c r="H98" i="8"/>
  <c r="F98" i="8"/>
  <c r="G97" i="8"/>
  <c r="H97" i="8"/>
  <c r="F97" i="8"/>
  <c r="O96" i="8"/>
  <c r="P96" i="8"/>
  <c r="N96" i="8"/>
  <c r="O95" i="8"/>
  <c r="P95" i="8"/>
  <c r="N95" i="8"/>
  <c r="G95" i="8"/>
  <c r="H95" i="8"/>
  <c r="F95" i="8"/>
  <c r="G94" i="8"/>
  <c r="H94" i="8"/>
  <c r="F94" i="8"/>
  <c r="O93" i="8"/>
  <c r="P93" i="8"/>
  <c r="N93" i="8"/>
  <c r="G93" i="8"/>
  <c r="H93" i="8"/>
  <c r="F93" i="8"/>
  <c r="O92" i="8"/>
  <c r="P92" i="8"/>
  <c r="N92" i="8"/>
  <c r="G92" i="8"/>
  <c r="H92" i="8"/>
  <c r="F92" i="8"/>
  <c r="G91" i="8"/>
  <c r="H91" i="8"/>
  <c r="F91" i="8"/>
  <c r="O90" i="8"/>
  <c r="P90" i="8"/>
  <c r="N90" i="8"/>
  <c r="G90" i="8"/>
  <c r="H90" i="8"/>
  <c r="F90" i="8"/>
  <c r="O89" i="8"/>
  <c r="P89" i="8"/>
  <c r="N89" i="8"/>
  <c r="G88" i="8"/>
  <c r="H88" i="8"/>
  <c r="F88" i="8"/>
  <c r="O87" i="8"/>
  <c r="P87" i="8"/>
  <c r="N87" i="8"/>
  <c r="G87" i="8"/>
  <c r="H87" i="8"/>
  <c r="F87" i="8"/>
  <c r="O86" i="8"/>
  <c r="P86" i="8"/>
  <c r="N86" i="8"/>
  <c r="G86" i="8"/>
  <c r="H86" i="8"/>
  <c r="F86" i="8"/>
  <c r="O85" i="8"/>
  <c r="P85" i="8"/>
  <c r="N85" i="8"/>
  <c r="G85" i="8"/>
  <c r="H85" i="8"/>
  <c r="F85" i="8"/>
  <c r="O84" i="8"/>
  <c r="P84" i="8"/>
  <c r="N84" i="8"/>
  <c r="G84" i="8"/>
  <c r="H84" i="8"/>
  <c r="F84" i="8"/>
  <c r="O83" i="8"/>
  <c r="P83" i="8"/>
  <c r="N83" i="8"/>
  <c r="G83" i="8"/>
  <c r="H83" i="8"/>
  <c r="F83" i="8"/>
  <c r="G82" i="8"/>
  <c r="H82" i="8"/>
  <c r="F82" i="8"/>
  <c r="O81" i="8"/>
  <c r="P81" i="8"/>
  <c r="N81" i="8"/>
  <c r="O80" i="8"/>
  <c r="P80" i="8"/>
  <c r="N80" i="8"/>
  <c r="G80" i="8"/>
  <c r="H80" i="8"/>
  <c r="F80" i="8"/>
  <c r="O79" i="8"/>
  <c r="P79" i="8"/>
  <c r="N79" i="8"/>
  <c r="G79" i="8"/>
  <c r="H79" i="8"/>
  <c r="F79" i="8"/>
  <c r="O78" i="8"/>
  <c r="P78" i="8"/>
  <c r="N78" i="8"/>
  <c r="G78" i="8"/>
  <c r="H78" i="8"/>
  <c r="F78" i="8"/>
  <c r="G77" i="8"/>
  <c r="H77" i="8"/>
  <c r="F77" i="8"/>
  <c r="O76" i="8"/>
  <c r="P76" i="8"/>
  <c r="N76" i="8"/>
  <c r="G76" i="8"/>
  <c r="H76" i="8"/>
  <c r="F76" i="8"/>
  <c r="O75" i="8"/>
  <c r="P75" i="8"/>
  <c r="N75" i="8"/>
  <c r="G75" i="8"/>
  <c r="H75" i="8"/>
  <c r="F75" i="8"/>
  <c r="O74" i="8"/>
  <c r="P74" i="8"/>
  <c r="N74" i="8"/>
  <c r="G74" i="8"/>
  <c r="H74" i="8"/>
  <c r="F74" i="8"/>
  <c r="O73" i="8"/>
  <c r="P73" i="8"/>
  <c r="N73" i="8"/>
  <c r="O72" i="8"/>
  <c r="P72" i="8"/>
  <c r="N72" i="8"/>
  <c r="G72" i="8"/>
  <c r="H72" i="8"/>
  <c r="F72" i="8"/>
  <c r="G71" i="8"/>
  <c r="H71" i="8"/>
  <c r="F71" i="8"/>
  <c r="O70" i="8"/>
  <c r="P70" i="8"/>
  <c r="N70" i="8"/>
  <c r="G70" i="8"/>
  <c r="H70" i="8"/>
  <c r="F70" i="8"/>
  <c r="O69" i="8"/>
  <c r="P69" i="8"/>
  <c r="N69" i="8"/>
  <c r="O68" i="8"/>
  <c r="P68" i="8"/>
  <c r="N68" i="8"/>
  <c r="G68" i="8"/>
  <c r="H68" i="8"/>
  <c r="F68" i="8"/>
  <c r="O67" i="8"/>
  <c r="P67" i="8"/>
  <c r="N67" i="8"/>
  <c r="G67" i="8"/>
  <c r="H67" i="8"/>
  <c r="F67" i="8"/>
  <c r="O66" i="8"/>
  <c r="P66" i="8"/>
  <c r="N66" i="8"/>
  <c r="G66" i="8"/>
  <c r="H66" i="8"/>
  <c r="F66" i="8"/>
  <c r="O65" i="8"/>
  <c r="P65" i="8"/>
  <c r="N65" i="8"/>
  <c r="G65" i="8"/>
  <c r="H65" i="8"/>
  <c r="F65" i="8"/>
  <c r="G64" i="8"/>
  <c r="H64" i="8"/>
  <c r="F64" i="8"/>
  <c r="O63" i="8"/>
  <c r="P63" i="8"/>
  <c r="N63" i="8"/>
  <c r="G63" i="8"/>
  <c r="H63" i="8"/>
  <c r="F63" i="8"/>
  <c r="O62" i="8"/>
  <c r="P62" i="8"/>
  <c r="N62" i="8"/>
  <c r="G62" i="8"/>
  <c r="H62" i="8"/>
  <c r="F62" i="8"/>
  <c r="O61" i="8"/>
  <c r="P61" i="8"/>
  <c r="N61" i="8"/>
  <c r="G61" i="8"/>
  <c r="H61" i="8"/>
  <c r="F61" i="8"/>
  <c r="O60" i="8"/>
  <c r="P60" i="8"/>
  <c r="N60" i="8"/>
  <c r="O59" i="8"/>
  <c r="P59" i="8"/>
  <c r="N59" i="8"/>
  <c r="G59" i="8"/>
  <c r="H59" i="8"/>
  <c r="F59" i="8"/>
  <c r="O58" i="8"/>
  <c r="P58" i="8"/>
  <c r="N58" i="8"/>
  <c r="G58" i="8"/>
  <c r="H58" i="8"/>
  <c r="F58" i="8"/>
  <c r="G57" i="8"/>
  <c r="H57" i="8"/>
  <c r="F57" i="8"/>
  <c r="O56" i="8"/>
  <c r="P56" i="8"/>
  <c r="N56" i="8"/>
  <c r="G56" i="8"/>
  <c r="H56" i="8"/>
  <c r="F56" i="8"/>
  <c r="O55" i="8"/>
  <c r="P55" i="8"/>
  <c r="N55" i="8"/>
  <c r="G55" i="8"/>
  <c r="H55" i="8"/>
  <c r="F55" i="8"/>
  <c r="O54" i="8"/>
  <c r="P54" i="8"/>
  <c r="N54" i="8"/>
  <c r="G54" i="8"/>
  <c r="H54" i="8"/>
  <c r="F54" i="8"/>
  <c r="O53" i="8"/>
  <c r="P53" i="8"/>
  <c r="N53" i="8"/>
  <c r="G53" i="8"/>
  <c r="H53" i="8"/>
  <c r="F53" i="8"/>
  <c r="O52" i="8"/>
  <c r="P52" i="8"/>
  <c r="N52" i="8"/>
  <c r="G52" i="8"/>
  <c r="H52" i="8"/>
  <c r="F52" i="8"/>
  <c r="O51" i="8"/>
  <c r="P51" i="8"/>
  <c r="N51" i="8"/>
  <c r="G51" i="8"/>
  <c r="H51" i="8"/>
  <c r="F51" i="8"/>
  <c r="O49" i="8"/>
  <c r="P49" i="8"/>
  <c r="N49" i="8"/>
  <c r="G49" i="8"/>
  <c r="H49" i="8"/>
  <c r="F49" i="8"/>
  <c r="O48" i="8"/>
  <c r="P48" i="8"/>
  <c r="N48" i="8"/>
  <c r="G48" i="8"/>
  <c r="H48" i="8"/>
  <c r="F48" i="8"/>
  <c r="O47" i="8"/>
  <c r="P47" i="8"/>
  <c r="N47" i="8"/>
  <c r="G47" i="8"/>
  <c r="H47" i="8"/>
  <c r="F47" i="8"/>
  <c r="O46" i="8"/>
  <c r="P46" i="8"/>
  <c r="N46" i="8"/>
  <c r="G46" i="8"/>
  <c r="H46" i="8"/>
  <c r="F46" i="8"/>
  <c r="O45" i="8"/>
  <c r="P45" i="8"/>
  <c r="N45" i="8"/>
  <c r="G44" i="8"/>
  <c r="H44" i="8"/>
  <c r="F44" i="8"/>
  <c r="O43" i="8"/>
  <c r="P43" i="8"/>
  <c r="N43" i="8"/>
  <c r="G43" i="8"/>
  <c r="H43" i="8"/>
  <c r="F43" i="8"/>
  <c r="O42" i="8"/>
  <c r="P42" i="8"/>
  <c r="N42" i="8"/>
  <c r="G42" i="8"/>
  <c r="H42" i="8"/>
  <c r="F42" i="8"/>
  <c r="O41" i="8"/>
  <c r="P41" i="8"/>
  <c r="N41" i="8"/>
  <c r="G41" i="8"/>
  <c r="H41" i="8"/>
  <c r="F41" i="8"/>
  <c r="O40" i="8"/>
  <c r="P40" i="8"/>
  <c r="N40" i="8"/>
  <c r="O39" i="8"/>
  <c r="P39" i="8"/>
  <c r="N39" i="8"/>
  <c r="G39" i="8"/>
  <c r="H39" i="8"/>
  <c r="F39" i="8"/>
  <c r="G38" i="8"/>
  <c r="H38" i="8"/>
  <c r="F38" i="8"/>
  <c r="O37" i="8"/>
  <c r="P37" i="8"/>
  <c r="N37" i="8"/>
  <c r="G37" i="8"/>
  <c r="H37" i="8"/>
  <c r="F37" i="8"/>
  <c r="O36" i="8"/>
  <c r="P36" i="8"/>
  <c r="N36" i="8"/>
  <c r="G36" i="8"/>
  <c r="H36" i="8"/>
  <c r="F36" i="8"/>
  <c r="O35" i="8"/>
  <c r="P35" i="8"/>
  <c r="N35" i="8"/>
  <c r="G35" i="8"/>
  <c r="H35" i="8"/>
  <c r="F35" i="8"/>
  <c r="O34" i="8"/>
  <c r="P34" i="8"/>
  <c r="N34" i="8"/>
  <c r="G34" i="8"/>
  <c r="H34" i="8"/>
  <c r="F34" i="8"/>
  <c r="O33" i="8"/>
  <c r="P33" i="8"/>
  <c r="N33" i="8"/>
  <c r="G33" i="8"/>
  <c r="H33" i="8"/>
  <c r="F33" i="8"/>
  <c r="O31" i="8"/>
  <c r="P31" i="8"/>
  <c r="N31" i="8"/>
  <c r="G31" i="8"/>
  <c r="H31" i="8"/>
  <c r="F31" i="8"/>
  <c r="O30" i="8"/>
  <c r="P30" i="8"/>
  <c r="N30" i="8"/>
  <c r="G30" i="8"/>
  <c r="H30" i="8"/>
  <c r="F30" i="8"/>
  <c r="O29" i="8"/>
  <c r="P29" i="8"/>
  <c r="N29" i="8"/>
  <c r="G29" i="8"/>
  <c r="H29" i="8"/>
  <c r="F29" i="8"/>
  <c r="O28" i="8"/>
  <c r="P28" i="8"/>
  <c r="N28" i="8"/>
  <c r="G28" i="8"/>
  <c r="H28" i="8"/>
  <c r="F28" i="8"/>
  <c r="O27" i="8"/>
  <c r="P27" i="8"/>
  <c r="N27" i="8"/>
  <c r="G27" i="8"/>
  <c r="H27" i="8"/>
  <c r="F27" i="8"/>
  <c r="G26" i="8"/>
  <c r="H26" i="8"/>
  <c r="F26" i="8"/>
  <c r="O25" i="8"/>
  <c r="P25" i="8"/>
  <c r="N25" i="8"/>
  <c r="G25" i="8"/>
  <c r="H25" i="8"/>
  <c r="F25" i="8"/>
  <c r="O24" i="8"/>
  <c r="P24" i="8"/>
  <c r="N24" i="8"/>
  <c r="O23" i="8"/>
  <c r="P23" i="8"/>
  <c r="N23" i="8"/>
  <c r="G23" i="8"/>
  <c r="H23" i="8"/>
  <c r="F23" i="8"/>
  <c r="O22" i="8"/>
  <c r="P22" i="8"/>
  <c r="N22" i="8"/>
  <c r="G22" i="8"/>
  <c r="H22" i="8"/>
  <c r="F22" i="8"/>
  <c r="O21" i="8"/>
  <c r="P21" i="8"/>
  <c r="N21" i="8"/>
  <c r="G21" i="8"/>
  <c r="H21" i="8"/>
  <c r="F21" i="8"/>
  <c r="B3" i="8"/>
  <c r="J38" i="25"/>
  <c r="J37" i="25"/>
  <c r="J36" i="25"/>
  <c r="J35" i="25"/>
  <c r="J34" i="25"/>
  <c r="J33" i="25"/>
  <c r="J32" i="25"/>
  <c r="J31" i="25"/>
  <c r="J30" i="25"/>
  <c r="H38" i="25"/>
  <c r="H37" i="25"/>
  <c r="H36" i="25"/>
  <c r="H35" i="25"/>
  <c r="H34" i="25"/>
  <c r="H33" i="25"/>
  <c r="H32" i="25"/>
  <c r="H31" i="25"/>
  <c r="H30" i="25"/>
  <c r="D38" i="25"/>
  <c r="D37" i="25"/>
  <c r="D36" i="25"/>
  <c r="D35" i="25"/>
  <c r="D34" i="25"/>
  <c r="D33" i="25"/>
  <c r="D31" i="25"/>
  <c r="D30" i="25"/>
  <c r="K83" i="25"/>
  <c r="K82" i="25"/>
  <c r="K81" i="25"/>
  <c r="K80" i="25"/>
  <c r="K78" i="25"/>
  <c r="K77" i="25"/>
  <c r="J83" i="25"/>
  <c r="J82" i="25"/>
  <c r="J81" i="25"/>
  <c r="J80" i="25"/>
  <c r="J79" i="25"/>
  <c r="J78" i="25"/>
  <c r="J77" i="25"/>
  <c r="I83" i="25"/>
  <c r="I82" i="25"/>
  <c r="I80" i="25"/>
  <c r="I79" i="25"/>
  <c r="I78" i="25"/>
  <c r="I77" i="25"/>
  <c r="N16" i="25"/>
  <c r="M16" i="25"/>
  <c r="L16" i="25"/>
  <c r="K16" i="25"/>
  <c r="N15" i="25"/>
  <c r="M15" i="25"/>
  <c r="L15" i="25"/>
  <c r="K15" i="25"/>
  <c r="N14" i="25"/>
  <c r="M14" i="25"/>
  <c r="L14" i="25"/>
  <c r="K14" i="25"/>
  <c r="N13" i="25"/>
  <c r="M13" i="25"/>
  <c r="L13" i="25"/>
  <c r="K13" i="25"/>
  <c r="N12" i="25"/>
  <c r="M12" i="25"/>
  <c r="L12" i="25"/>
  <c r="K12" i="25"/>
  <c r="N11" i="25"/>
  <c r="M11" i="25"/>
  <c r="L11" i="25"/>
  <c r="K11" i="25"/>
  <c r="N10" i="25"/>
  <c r="M10" i="25"/>
  <c r="L10" i="25"/>
  <c r="K10" i="25"/>
  <c r="N9" i="25"/>
  <c r="M9" i="25"/>
  <c r="L9" i="25"/>
  <c r="K9" i="25"/>
  <c r="N8" i="25"/>
  <c r="M8" i="25"/>
  <c r="K8" i="25"/>
  <c r="L8" i="25"/>
  <c r="G16" i="25"/>
  <c r="F16" i="25"/>
  <c r="E16" i="25"/>
  <c r="D16" i="25"/>
  <c r="G15" i="25"/>
  <c r="F15" i="25"/>
  <c r="E15" i="25"/>
  <c r="D15" i="25"/>
  <c r="G14" i="25"/>
  <c r="F14" i="25"/>
  <c r="E14" i="25"/>
  <c r="D14" i="25"/>
  <c r="G13" i="25"/>
  <c r="F13" i="25"/>
  <c r="E13" i="25"/>
  <c r="D13" i="25"/>
  <c r="G12" i="25"/>
  <c r="F12" i="25"/>
  <c r="E12" i="25"/>
  <c r="D12" i="25"/>
  <c r="G11" i="25"/>
  <c r="F11" i="25"/>
  <c r="E11" i="25"/>
  <c r="D11" i="25"/>
  <c r="G10" i="25"/>
  <c r="F10" i="25"/>
  <c r="E10" i="25"/>
  <c r="D10" i="25"/>
  <c r="G9" i="25"/>
  <c r="F9" i="25"/>
  <c r="E9" i="25"/>
  <c r="D9" i="25"/>
  <c r="G8" i="25"/>
  <c r="F8" i="25"/>
  <c r="D8" i="25"/>
  <c r="E8" i="25"/>
  <c r="R174" i="15"/>
  <c r="S174" i="15"/>
  <c r="S175" i="15"/>
  <c r="R173" i="15"/>
  <c r="S173" i="15"/>
  <c r="S178" i="15"/>
  <c r="S179" i="15"/>
  <c r="S176" i="15"/>
  <c r="S177" i="15"/>
  <c r="C170" i="15"/>
  <c r="S190" i="15"/>
  <c r="M196" i="15"/>
  <c r="S182" i="15"/>
  <c r="T182" i="15"/>
  <c r="Y182" i="15"/>
  <c r="X182" i="15"/>
  <c r="T184" i="15"/>
  <c r="S188" i="15"/>
  <c r="S186" i="15"/>
  <c r="S116" i="15"/>
  <c r="S114" i="15"/>
  <c r="D115" i="15"/>
  <c r="S115" i="15"/>
  <c r="T114" i="15"/>
  <c r="D82" i="15"/>
  <c r="S70" i="15"/>
  <c r="U76" i="15"/>
  <c r="U73" i="15"/>
  <c r="V73" i="15"/>
  <c r="U72" i="15"/>
  <c r="U77" i="15"/>
  <c r="G70" i="15"/>
  <c r="S35" i="15"/>
  <c r="U40" i="15"/>
  <c r="U41" i="15"/>
  <c r="U39" i="15"/>
  <c r="D50" i="15"/>
  <c r="T48" i="15"/>
  <c r="S15" i="15"/>
  <c r="X15" i="15"/>
  <c r="R6" i="15"/>
  <c r="T15" i="15"/>
  <c r="R7" i="15"/>
  <c r="S7" i="15"/>
  <c r="S6" i="15"/>
  <c r="S8" i="15"/>
  <c r="S11" i="15"/>
  <c r="S12" i="15"/>
  <c r="S17" i="15"/>
  <c r="S9" i="15"/>
  <c r="S10" i="15"/>
  <c r="T17" i="15"/>
  <c r="S19" i="15"/>
  <c r="S146" i="15"/>
  <c r="V146" i="15"/>
  <c r="R137" i="15"/>
  <c r="T146" i="15"/>
  <c r="R138" i="15"/>
  <c r="S138" i="15"/>
  <c r="S139" i="15"/>
  <c r="S142" i="15"/>
  <c r="S143" i="15"/>
  <c r="S140" i="15"/>
  <c r="S141" i="15"/>
  <c r="T148" i="15"/>
  <c r="S152" i="15"/>
  <c r="C134" i="15"/>
  <c r="S150" i="15"/>
  <c r="M160" i="15"/>
  <c r="S154" i="15"/>
  <c r="S107" i="15"/>
  <c r="T107" i="15"/>
  <c r="S110" i="15"/>
  <c r="T110" i="15"/>
  <c r="V95" i="15"/>
  <c r="V96" i="15"/>
  <c r="V39" i="15"/>
  <c r="U44" i="15"/>
  <c r="U59" i="15"/>
  <c r="V59" i="15"/>
  <c r="U61" i="15"/>
  <c r="V61" i="15"/>
  <c r="V76" i="15"/>
  <c r="U80" i="15"/>
  <c r="U84" i="15"/>
  <c r="V84" i="15"/>
  <c r="U87" i="15"/>
  <c r="V80" i="15"/>
  <c r="V87" i="15"/>
  <c r="T66" i="15"/>
  <c r="T68" i="15"/>
  <c r="U66" i="15"/>
  <c r="S67" i="15"/>
  <c r="T67" i="15"/>
  <c r="C2" i="15"/>
  <c r="U55" i="15"/>
  <c r="T35" i="15"/>
  <c r="U34" i="15"/>
  <c r="T34" i="15"/>
  <c r="T36" i="15"/>
  <c r="N23" i="7"/>
  <c r="N24" i="7"/>
  <c r="N25" i="7"/>
  <c r="N27" i="7"/>
  <c r="N28" i="7"/>
  <c r="N29" i="7"/>
  <c r="N30" i="7"/>
  <c r="N32" i="7"/>
  <c r="N33" i="7"/>
  <c r="N34" i="7"/>
  <c r="N36" i="7"/>
  <c r="N37" i="7"/>
  <c r="N38" i="7"/>
  <c r="N40" i="7"/>
  <c r="N41" i="7"/>
  <c r="N42" i="7"/>
  <c r="N44" i="7"/>
  <c r="N45" i="7"/>
  <c r="N46" i="7"/>
  <c r="N48" i="7"/>
  <c r="N49" i="7"/>
  <c r="N51" i="7"/>
  <c r="N52" i="7"/>
  <c r="N54" i="7"/>
  <c r="N55" i="7"/>
  <c r="N56" i="7"/>
  <c r="N21" i="7"/>
  <c r="N20" i="7"/>
  <c r="N19" i="7"/>
  <c r="L56" i="7"/>
  <c r="M56" i="7"/>
  <c r="L55" i="7"/>
  <c r="M55" i="7"/>
  <c r="L54" i="7"/>
  <c r="M54" i="7"/>
  <c r="L52" i="7"/>
  <c r="M52" i="7"/>
  <c r="L51" i="7"/>
  <c r="M51" i="7"/>
  <c r="L49" i="7"/>
  <c r="M49" i="7"/>
  <c r="L48" i="7"/>
  <c r="M48" i="7"/>
  <c r="L46" i="7"/>
  <c r="M46" i="7"/>
  <c r="L45" i="7"/>
  <c r="M45" i="7"/>
  <c r="L44" i="7"/>
  <c r="M44" i="7"/>
  <c r="L42" i="7"/>
  <c r="M42" i="7"/>
  <c r="L41" i="7"/>
  <c r="M41" i="7"/>
  <c r="L40" i="7"/>
  <c r="M40" i="7"/>
  <c r="L38" i="7"/>
  <c r="M38" i="7"/>
  <c r="L37" i="7"/>
  <c r="M37" i="7"/>
  <c r="L36" i="7"/>
  <c r="M36" i="7"/>
  <c r="L34" i="7"/>
  <c r="M34" i="7"/>
  <c r="L33" i="7"/>
  <c r="M33" i="7"/>
  <c r="L32" i="7"/>
  <c r="M32" i="7"/>
  <c r="L30" i="7"/>
  <c r="M30" i="7"/>
  <c r="L29" i="7"/>
  <c r="M29" i="7"/>
  <c r="L28" i="7"/>
  <c r="M28" i="7"/>
  <c r="L27" i="7"/>
  <c r="M27" i="7"/>
  <c r="L25" i="7"/>
  <c r="M25" i="7"/>
  <c r="L24" i="7"/>
  <c r="M24" i="7"/>
  <c r="L23" i="7"/>
  <c r="M23" i="7"/>
  <c r="L21" i="7"/>
  <c r="M21" i="7"/>
  <c r="L20" i="7"/>
  <c r="M20" i="7"/>
  <c r="L19" i="7"/>
  <c r="M19" i="7"/>
  <c r="F17" i="27"/>
  <c r="F19" i="27"/>
  <c r="H359" i="27"/>
  <c r="L360" i="27"/>
  <c r="K360" i="27"/>
  <c r="J360" i="27"/>
  <c r="I360" i="27"/>
  <c r="L359" i="27"/>
  <c r="K359" i="27"/>
  <c r="J359" i="27"/>
  <c r="I359" i="27"/>
  <c r="L358" i="27"/>
  <c r="K358" i="27"/>
  <c r="J358" i="27"/>
  <c r="I358" i="27"/>
  <c r="L357" i="27"/>
  <c r="K357" i="27"/>
  <c r="J357" i="27"/>
  <c r="I357" i="27"/>
  <c r="H355" i="27"/>
  <c r="L356" i="27"/>
  <c r="K356" i="27"/>
  <c r="J356" i="27"/>
  <c r="I356" i="27"/>
  <c r="L355" i="27"/>
  <c r="K355" i="27"/>
  <c r="J355" i="27"/>
  <c r="I355" i="27"/>
  <c r="L354" i="27"/>
  <c r="K354" i="27"/>
  <c r="J354" i="27"/>
  <c r="I354" i="27"/>
  <c r="L353" i="27"/>
  <c r="K353" i="27"/>
  <c r="J353" i="27"/>
  <c r="I353" i="27"/>
  <c r="H351" i="27"/>
  <c r="L352" i="27"/>
  <c r="K352" i="27"/>
  <c r="J352" i="27"/>
  <c r="I352" i="27"/>
  <c r="L351" i="27"/>
  <c r="K351" i="27"/>
  <c r="J351" i="27"/>
  <c r="I351" i="27"/>
  <c r="L350" i="27"/>
  <c r="K350" i="27"/>
  <c r="J350" i="27"/>
  <c r="I350" i="27"/>
  <c r="L349" i="27"/>
  <c r="K349" i="27"/>
  <c r="J349" i="27"/>
  <c r="I349" i="27"/>
  <c r="L348" i="27"/>
  <c r="K348" i="27"/>
  <c r="J348" i="27"/>
  <c r="I348" i="27"/>
  <c r="L347" i="27"/>
  <c r="K347" i="27"/>
  <c r="J347" i="27"/>
  <c r="I347" i="27"/>
  <c r="H347" i="27"/>
  <c r="L346" i="27"/>
  <c r="K346" i="27"/>
  <c r="J346" i="27"/>
  <c r="I346" i="27"/>
  <c r="L345" i="27"/>
  <c r="K345" i="27"/>
  <c r="J345" i="27"/>
  <c r="I345" i="27"/>
  <c r="L343" i="27"/>
  <c r="K343" i="27"/>
  <c r="J343" i="27"/>
  <c r="I343" i="27"/>
  <c r="L342" i="27"/>
  <c r="K342" i="27"/>
  <c r="J342" i="27"/>
  <c r="I342" i="27"/>
  <c r="H342" i="27"/>
  <c r="L341" i="27"/>
  <c r="K341" i="27"/>
  <c r="J341" i="27"/>
  <c r="I341" i="27"/>
  <c r="L340" i="27"/>
  <c r="K340" i="27"/>
  <c r="J340" i="27"/>
  <c r="I340" i="27"/>
  <c r="L339" i="27"/>
  <c r="K339" i="27"/>
  <c r="J339" i="27"/>
  <c r="I339" i="27"/>
  <c r="L338" i="27"/>
  <c r="K338" i="27"/>
  <c r="J338" i="27"/>
  <c r="I338" i="27"/>
  <c r="H338" i="27"/>
  <c r="L337" i="27"/>
  <c r="K337" i="27"/>
  <c r="J337" i="27"/>
  <c r="I337" i="27"/>
  <c r="L336" i="27"/>
  <c r="K336" i="27"/>
  <c r="J336" i="27"/>
  <c r="I336" i="27"/>
  <c r="L335" i="27"/>
  <c r="K335" i="27"/>
  <c r="J335" i="27"/>
  <c r="I335" i="27"/>
  <c r="L334" i="27"/>
  <c r="K334" i="27"/>
  <c r="J334" i="27"/>
  <c r="I334" i="27"/>
  <c r="H334" i="27"/>
  <c r="L333" i="27"/>
  <c r="K333" i="27"/>
  <c r="J333" i="27"/>
  <c r="I333" i="27"/>
  <c r="L332" i="27"/>
  <c r="K332" i="27"/>
  <c r="J332" i="27"/>
  <c r="I332" i="27"/>
  <c r="L331" i="27"/>
  <c r="K331" i="27"/>
  <c r="J331" i="27"/>
  <c r="I331" i="27"/>
  <c r="L330" i="27"/>
  <c r="K330" i="27"/>
  <c r="J330" i="27"/>
  <c r="I330" i="27"/>
  <c r="H330" i="27"/>
  <c r="L329" i="27"/>
  <c r="K329" i="27"/>
  <c r="J329" i="27"/>
  <c r="I329" i="27"/>
  <c r="L328" i="27"/>
  <c r="K328" i="27"/>
  <c r="J328" i="27"/>
  <c r="I328" i="27"/>
  <c r="L327" i="27"/>
  <c r="K327" i="27"/>
  <c r="J327" i="27"/>
  <c r="I327" i="27"/>
  <c r="L326" i="27"/>
  <c r="K326" i="27"/>
  <c r="J326" i="27"/>
  <c r="I326" i="27"/>
  <c r="H326" i="27"/>
  <c r="L325" i="27"/>
  <c r="K325" i="27"/>
  <c r="J325" i="27"/>
  <c r="I325" i="27"/>
  <c r="L324" i="27"/>
  <c r="K324" i="27"/>
  <c r="J324" i="27"/>
  <c r="I324" i="27"/>
  <c r="L323" i="27"/>
  <c r="K323" i="27"/>
  <c r="J323" i="27"/>
  <c r="I323" i="27"/>
  <c r="L322" i="27"/>
  <c r="K322" i="27"/>
  <c r="J322" i="27"/>
  <c r="I322" i="27"/>
  <c r="H322" i="27"/>
  <c r="L321" i="27"/>
  <c r="K321" i="27"/>
  <c r="J321" i="27"/>
  <c r="I321" i="27"/>
  <c r="L320" i="27"/>
  <c r="K320" i="27"/>
  <c r="J320" i="27"/>
  <c r="I320" i="27"/>
  <c r="L318" i="27"/>
  <c r="K318" i="27"/>
  <c r="J318" i="27"/>
  <c r="I318" i="27"/>
  <c r="L317" i="27"/>
  <c r="K317" i="27"/>
  <c r="J317" i="27"/>
  <c r="I317" i="27"/>
  <c r="H317" i="27"/>
  <c r="L316" i="27"/>
  <c r="K316" i="27"/>
  <c r="J316" i="27"/>
  <c r="I316" i="27"/>
  <c r="L315" i="27"/>
  <c r="K315" i="27"/>
  <c r="J315" i="27"/>
  <c r="I315" i="27"/>
  <c r="L314" i="27"/>
  <c r="K314" i="27"/>
  <c r="J314" i="27"/>
  <c r="I314" i="27"/>
  <c r="L313" i="27"/>
  <c r="K313" i="27"/>
  <c r="J313" i="27"/>
  <c r="I313" i="27"/>
  <c r="H313" i="27"/>
  <c r="L312" i="27"/>
  <c r="K312" i="27"/>
  <c r="J312" i="27"/>
  <c r="I312" i="27"/>
  <c r="L311" i="27"/>
  <c r="K311" i="27"/>
  <c r="J311" i="27"/>
  <c r="I311" i="27"/>
  <c r="L310" i="27"/>
  <c r="K310" i="27"/>
  <c r="J310" i="27"/>
  <c r="I310" i="27"/>
  <c r="L309" i="27"/>
  <c r="K309" i="27"/>
  <c r="J309" i="27"/>
  <c r="I309" i="27"/>
  <c r="H309" i="27"/>
  <c r="L308" i="27"/>
  <c r="K308" i="27"/>
  <c r="J308" i="27"/>
  <c r="I308" i="27"/>
  <c r="L307" i="27"/>
  <c r="K307" i="27"/>
  <c r="J307" i="27"/>
  <c r="I307" i="27"/>
  <c r="L306" i="27"/>
  <c r="K306" i="27"/>
  <c r="J306" i="27"/>
  <c r="I306" i="27"/>
  <c r="L305" i="27"/>
  <c r="K305" i="27"/>
  <c r="J305" i="27"/>
  <c r="I305" i="27"/>
  <c r="H305" i="27"/>
  <c r="L304" i="27"/>
  <c r="K304" i="27"/>
  <c r="J304" i="27"/>
  <c r="I304" i="27"/>
  <c r="L303" i="27"/>
  <c r="K303" i="27"/>
  <c r="J303" i="27"/>
  <c r="I303" i="27"/>
  <c r="L302" i="27"/>
  <c r="K302" i="27"/>
  <c r="J302" i="27"/>
  <c r="I302" i="27"/>
  <c r="L301" i="27"/>
  <c r="K301" i="27"/>
  <c r="J301" i="27"/>
  <c r="I301" i="27"/>
  <c r="H301" i="27"/>
  <c r="L300" i="27"/>
  <c r="K300" i="27"/>
  <c r="J300" i="27"/>
  <c r="I300" i="27"/>
  <c r="L299" i="27"/>
  <c r="K299" i="27"/>
  <c r="J299" i="27"/>
  <c r="I299" i="27"/>
  <c r="L298" i="27"/>
  <c r="K298" i="27"/>
  <c r="J298" i="27"/>
  <c r="I298" i="27"/>
  <c r="L297" i="27"/>
  <c r="K297" i="27"/>
  <c r="J297" i="27"/>
  <c r="I297" i="27"/>
  <c r="H297" i="27"/>
  <c r="L296" i="27"/>
  <c r="K296" i="27"/>
  <c r="J296" i="27"/>
  <c r="I296" i="27"/>
  <c r="L295" i="27"/>
  <c r="K295" i="27"/>
  <c r="J295" i="27"/>
  <c r="I295" i="27"/>
  <c r="L293" i="27"/>
  <c r="K293" i="27"/>
  <c r="J293" i="27"/>
  <c r="I293" i="27"/>
  <c r="L292" i="27"/>
  <c r="K292" i="27"/>
  <c r="J292" i="27"/>
  <c r="I292" i="27"/>
  <c r="H292" i="27"/>
  <c r="L291" i="27"/>
  <c r="K291" i="27"/>
  <c r="J291" i="27"/>
  <c r="I291" i="27"/>
  <c r="L290" i="27"/>
  <c r="K290" i="27"/>
  <c r="J290" i="27"/>
  <c r="I290" i="27"/>
  <c r="L289" i="27"/>
  <c r="K289" i="27"/>
  <c r="J289" i="27"/>
  <c r="I289" i="27"/>
  <c r="L288" i="27"/>
  <c r="K288" i="27"/>
  <c r="J288" i="27"/>
  <c r="I288" i="27"/>
  <c r="H288" i="27"/>
  <c r="L287" i="27"/>
  <c r="K287" i="27"/>
  <c r="J287" i="27"/>
  <c r="I287" i="27"/>
  <c r="L286" i="27"/>
  <c r="K286" i="27"/>
  <c r="J286" i="27"/>
  <c r="I286" i="27"/>
  <c r="L285" i="27"/>
  <c r="K285" i="27"/>
  <c r="J285" i="27"/>
  <c r="I285" i="27"/>
  <c r="L284" i="27"/>
  <c r="K284" i="27"/>
  <c r="J284" i="27"/>
  <c r="I284" i="27"/>
  <c r="H284" i="27"/>
  <c r="L283" i="27"/>
  <c r="K283" i="27"/>
  <c r="J283" i="27"/>
  <c r="I283" i="27"/>
  <c r="L282" i="27"/>
  <c r="K282" i="27"/>
  <c r="J282" i="27"/>
  <c r="I282" i="27"/>
  <c r="L281" i="27"/>
  <c r="K281" i="27"/>
  <c r="J281" i="27"/>
  <c r="I281" i="27"/>
  <c r="L280" i="27"/>
  <c r="K280" i="27"/>
  <c r="J280" i="27"/>
  <c r="I280" i="27"/>
  <c r="H280" i="27"/>
  <c r="L279" i="27"/>
  <c r="K279" i="27"/>
  <c r="J279" i="27"/>
  <c r="I279" i="27"/>
  <c r="L278" i="27"/>
  <c r="K278" i="27"/>
  <c r="J278" i="27"/>
  <c r="I278" i="27"/>
  <c r="L277" i="27"/>
  <c r="K277" i="27"/>
  <c r="J277" i="27"/>
  <c r="I277" i="27"/>
  <c r="L276" i="27"/>
  <c r="K276" i="27"/>
  <c r="J276" i="27"/>
  <c r="I276" i="27"/>
  <c r="H276" i="27"/>
  <c r="L275" i="27"/>
  <c r="K275" i="27"/>
  <c r="J275" i="27"/>
  <c r="I275" i="27"/>
  <c r="L274" i="27"/>
  <c r="K274" i="27"/>
  <c r="J274" i="27"/>
  <c r="I274" i="27"/>
  <c r="L273" i="27"/>
  <c r="K273" i="27"/>
  <c r="J273" i="27"/>
  <c r="I273" i="27"/>
  <c r="L272" i="27"/>
  <c r="K272" i="27"/>
  <c r="J272" i="27"/>
  <c r="I272" i="27"/>
  <c r="H272" i="27"/>
  <c r="L271" i="27"/>
  <c r="K271" i="27"/>
  <c r="J271" i="27"/>
  <c r="I271" i="27"/>
  <c r="L270" i="27"/>
  <c r="K270" i="27"/>
  <c r="J270" i="27"/>
  <c r="I270" i="27"/>
  <c r="L268" i="27"/>
  <c r="K268" i="27"/>
  <c r="J268" i="27"/>
  <c r="I268" i="27"/>
  <c r="L267" i="27"/>
  <c r="K267" i="27"/>
  <c r="J267" i="27"/>
  <c r="I267" i="27"/>
  <c r="H267" i="27"/>
  <c r="L266" i="27"/>
  <c r="K266" i="27"/>
  <c r="J266" i="27"/>
  <c r="I266" i="27"/>
  <c r="L265" i="27"/>
  <c r="K265" i="27"/>
  <c r="J265" i="27"/>
  <c r="I265" i="27"/>
  <c r="L264" i="27"/>
  <c r="K264" i="27"/>
  <c r="J264" i="27"/>
  <c r="I264" i="27"/>
  <c r="L263" i="27"/>
  <c r="K263" i="27"/>
  <c r="J263" i="27"/>
  <c r="I263" i="27"/>
  <c r="H263" i="27"/>
  <c r="L262" i="27"/>
  <c r="K262" i="27"/>
  <c r="J262" i="27"/>
  <c r="I262" i="27"/>
  <c r="L261" i="27"/>
  <c r="K261" i="27"/>
  <c r="J261" i="27"/>
  <c r="I261" i="27"/>
  <c r="L260" i="27"/>
  <c r="K260" i="27"/>
  <c r="J260" i="27"/>
  <c r="I260" i="27"/>
  <c r="L259" i="27"/>
  <c r="K259" i="27"/>
  <c r="J259" i="27"/>
  <c r="I259" i="27"/>
  <c r="H259" i="27"/>
  <c r="L258" i="27"/>
  <c r="K258" i="27"/>
  <c r="J258" i="27"/>
  <c r="I258" i="27"/>
  <c r="L257" i="27"/>
  <c r="K257" i="27"/>
  <c r="J257" i="27"/>
  <c r="I257" i="27"/>
  <c r="L256" i="27"/>
  <c r="K256" i="27"/>
  <c r="J256" i="27"/>
  <c r="I256" i="27"/>
  <c r="L255" i="27"/>
  <c r="K255" i="27"/>
  <c r="J255" i="27"/>
  <c r="I255" i="27"/>
  <c r="H255" i="27"/>
  <c r="L254" i="27"/>
  <c r="K254" i="27"/>
  <c r="J254" i="27"/>
  <c r="I254" i="27"/>
  <c r="L253" i="27"/>
  <c r="K253" i="27"/>
  <c r="J253" i="27"/>
  <c r="I253" i="27"/>
  <c r="L252" i="27"/>
  <c r="K252" i="27"/>
  <c r="J252" i="27"/>
  <c r="I252" i="27"/>
  <c r="L251" i="27"/>
  <c r="K251" i="27"/>
  <c r="J251" i="27"/>
  <c r="I251" i="27"/>
  <c r="H251" i="27"/>
  <c r="L250" i="27"/>
  <c r="K250" i="27"/>
  <c r="J250" i="27"/>
  <c r="I250" i="27"/>
  <c r="L249" i="27"/>
  <c r="K249" i="27"/>
  <c r="J249" i="27"/>
  <c r="I249" i="27"/>
  <c r="L248" i="27"/>
  <c r="K248" i="27"/>
  <c r="J248" i="27"/>
  <c r="I248" i="27"/>
  <c r="L247" i="27"/>
  <c r="K247" i="27"/>
  <c r="J247" i="27"/>
  <c r="I247" i="27"/>
  <c r="H247" i="27"/>
  <c r="L246" i="27"/>
  <c r="K246" i="27"/>
  <c r="J246" i="27"/>
  <c r="I246" i="27"/>
  <c r="L245" i="27"/>
  <c r="K245" i="27"/>
  <c r="J245" i="27"/>
  <c r="I245" i="27"/>
  <c r="L243" i="27"/>
  <c r="K243" i="27"/>
  <c r="J243" i="27"/>
  <c r="I243" i="27"/>
  <c r="L242" i="27"/>
  <c r="K242" i="27"/>
  <c r="J242" i="27"/>
  <c r="I242" i="27"/>
  <c r="H242" i="27"/>
  <c r="L241" i="27"/>
  <c r="K241" i="27"/>
  <c r="J241" i="27"/>
  <c r="I241" i="27"/>
  <c r="L240" i="27"/>
  <c r="K240" i="27"/>
  <c r="J240" i="27"/>
  <c r="I240" i="27"/>
  <c r="L239" i="27"/>
  <c r="K239" i="27"/>
  <c r="J239" i="27"/>
  <c r="I239" i="27"/>
  <c r="L238" i="27"/>
  <c r="K238" i="27"/>
  <c r="J238" i="27"/>
  <c r="I238" i="27"/>
  <c r="L237" i="27"/>
  <c r="K237" i="27"/>
  <c r="J237" i="27"/>
  <c r="I237" i="27"/>
  <c r="L236" i="27"/>
  <c r="K236" i="27"/>
  <c r="J236" i="27"/>
  <c r="I236" i="27"/>
  <c r="L235" i="27"/>
  <c r="K235" i="27"/>
  <c r="J235" i="27"/>
  <c r="I235" i="27"/>
  <c r="L234" i="27"/>
  <c r="K234" i="27"/>
  <c r="J234" i="27"/>
  <c r="I234" i="27"/>
  <c r="H234" i="27"/>
  <c r="L233" i="27"/>
  <c r="K233" i="27"/>
  <c r="J233" i="27"/>
  <c r="I233" i="27"/>
  <c r="L232" i="27"/>
  <c r="K232" i="27"/>
  <c r="J232" i="27"/>
  <c r="I232" i="27"/>
  <c r="L231" i="27"/>
  <c r="K231" i="27"/>
  <c r="J231" i="27"/>
  <c r="I231" i="27"/>
  <c r="L230" i="27"/>
  <c r="K230" i="27"/>
  <c r="J230" i="27"/>
  <c r="I230" i="27"/>
  <c r="H230" i="27"/>
  <c r="L229" i="27"/>
  <c r="K229" i="27"/>
  <c r="J229" i="27"/>
  <c r="I229" i="27"/>
  <c r="L228" i="27"/>
  <c r="K228" i="27"/>
  <c r="J228" i="27"/>
  <c r="I228" i="27"/>
  <c r="L227" i="27"/>
  <c r="K227" i="27"/>
  <c r="J227" i="27"/>
  <c r="I227" i="27"/>
  <c r="L226" i="27"/>
  <c r="K226" i="27"/>
  <c r="J226" i="27"/>
  <c r="I226" i="27"/>
  <c r="L225" i="27"/>
  <c r="K225" i="27"/>
  <c r="J225" i="27"/>
  <c r="I225" i="27"/>
  <c r="L224" i="27"/>
  <c r="K224" i="27"/>
  <c r="J224" i="27"/>
  <c r="I224" i="27"/>
  <c r="L223" i="27"/>
  <c r="K223" i="27"/>
  <c r="J223" i="27"/>
  <c r="I223" i="27"/>
  <c r="L222" i="27"/>
  <c r="K222" i="27"/>
  <c r="J222" i="27"/>
  <c r="I222" i="27"/>
  <c r="L221" i="27"/>
  <c r="K221" i="27"/>
  <c r="J221" i="27"/>
  <c r="I221" i="27"/>
  <c r="L220" i="27"/>
  <c r="K220" i="27"/>
  <c r="J220" i="27"/>
  <c r="I220" i="27"/>
  <c r="H192" i="27"/>
  <c r="H188" i="27"/>
  <c r="H184" i="27"/>
  <c r="H180" i="27"/>
  <c r="L193" i="27"/>
  <c r="K193" i="27"/>
  <c r="J193" i="27"/>
  <c r="I193" i="27"/>
  <c r="L192" i="27"/>
  <c r="K192" i="27"/>
  <c r="J192" i="27"/>
  <c r="I192" i="27"/>
  <c r="L191" i="27"/>
  <c r="K191" i="27"/>
  <c r="J191" i="27"/>
  <c r="I191" i="27"/>
  <c r="L190" i="27"/>
  <c r="K190" i="27"/>
  <c r="J190" i="27"/>
  <c r="I190" i="27"/>
  <c r="L189" i="27"/>
  <c r="K189" i="27"/>
  <c r="J189" i="27"/>
  <c r="I189" i="27"/>
  <c r="L188" i="27"/>
  <c r="K188" i="27"/>
  <c r="J188" i="27"/>
  <c r="I188" i="27"/>
  <c r="L187" i="27"/>
  <c r="K187" i="27"/>
  <c r="J187" i="27"/>
  <c r="I187" i="27"/>
  <c r="L186" i="27"/>
  <c r="K186" i="27"/>
  <c r="J186" i="27"/>
  <c r="I186" i="27"/>
  <c r="L185" i="27"/>
  <c r="K185" i="27"/>
  <c r="J185" i="27"/>
  <c r="I185" i="27"/>
  <c r="L184" i="27"/>
  <c r="K184" i="27"/>
  <c r="J184" i="27"/>
  <c r="I184" i="27"/>
  <c r="L183" i="27"/>
  <c r="K183" i="27"/>
  <c r="J183" i="27"/>
  <c r="I183" i="27"/>
  <c r="L182" i="27"/>
  <c r="K182" i="27"/>
  <c r="J182" i="27"/>
  <c r="I182" i="27"/>
  <c r="L181" i="27"/>
  <c r="K181" i="27"/>
  <c r="J181" i="27"/>
  <c r="I181" i="27"/>
  <c r="L180" i="27"/>
  <c r="K180" i="27"/>
  <c r="J180" i="27"/>
  <c r="I180" i="27"/>
  <c r="L179" i="27"/>
  <c r="K179" i="27"/>
  <c r="J179" i="27"/>
  <c r="I179" i="27"/>
  <c r="L178" i="27"/>
  <c r="K178" i="27"/>
  <c r="J178" i="27"/>
  <c r="I178" i="27"/>
  <c r="H175" i="27"/>
  <c r="H171" i="27"/>
  <c r="H167" i="27"/>
  <c r="H163" i="27"/>
  <c r="H159" i="27"/>
  <c r="H155" i="27"/>
  <c r="L176" i="27"/>
  <c r="K176" i="27"/>
  <c r="J176" i="27"/>
  <c r="I176" i="27"/>
  <c r="L175" i="27"/>
  <c r="K175" i="27"/>
  <c r="J175" i="27"/>
  <c r="I175" i="27"/>
  <c r="L174" i="27"/>
  <c r="K174" i="27"/>
  <c r="J174" i="27"/>
  <c r="I174" i="27"/>
  <c r="L173" i="27"/>
  <c r="K173" i="27"/>
  <c r="J173" i="27"/>
  <c r="I173" i="27"/>
  <c r="L172" i="27"/>
  <c r="K172" i="27"/>
  <c r="J172" i="27"/>
  <c r="I172" i="27"/>
  <c r="L171" i="27"/>
  <c r="K171" i="27"/>
  <c r="J171" i="27"/>
  <c r="I171" i="27"/>
  <c r="L170" i="27"/>
  <c r="K170" i="27"/>
  <c r="J170" i="27"/>
  <c r="I170" i="27"/>
  <c r="L169" i="27"/>
  <c r="K169" i="27"/>
  <c r="J169" i="27"/>
  <c r="I169" i="27"/>
  <c r="L168" i="27"/>
  <c r="K168" i="27"/>
  <c r="J168" i="27"/>
  <c r="I168" i="27"/>
  <c r="L167" i="27"/>
  <c r="K167" i="27"/>
  <c r="J167" i="27"/>
  <c r="I167" i="27"/>
  <c r="L166" i="27"/>
  <c r="K166" i="27"/>
  <c r="J166" i="27"/>
  <c r="I166" i="27"/>
  <c r="L165" i="27"/>
  <c r="K165" i="27"/>
  <c r="J165" i="27"/>
  <c r="I165" i="27"/>
  <c r="L164" i="27"/>
  <c r="K164" i="27"/>
  <c r="J164" i="27"/>
  <c r="I164" i="27"/>
  <c r="L163" i="27"/>
  <c r="K163" i="27"/>
  <c r="J163" i="27"/>
  <c r="I163" i="27"/>
  <c r="L162" i="27"/>
  <c r="K162" i="27"/>
  <c r="J162" i="27"/>
  <c r="I162" i="27"/>
  <c r="L161" i="27"/>
  <c r="K161" i="27"/>
  <c r="J161" i="27"/>
  <c r="I161" i="27"/>
  <c r="L160" i="27"/>
  <c r="K160" i="27"/>
  <c r="J160" i="27"/>
  <c r="I160" i="27"/>
  <c r="L159" i="27"/>
  <c r="K159" i="27"/>
  <c r="J159" i="27"/>
  <c r="I159" i="27"/>
  <c r="L158" i="27"/>
  <c r="K158" i="27"/>
  <c r="J158" i="27"/>
  <c r="I158" i="27"/>
  <c r="L157" i="27"/>
  <c r="K157" i="27"/>
  <c r="J157" i="27"/>
  <c r="I157" i="27"/>
  <c r="L156" i="27"/>
  <c r="K156" i="27"/>
  <c r="J156" i="27"/>
  <c r="I156" i="27"/>
  <c r="L155" i="27"/>
  <c r="K155" i="27"/>
  <c r="J155" i="27"/>
  <c r="I155" i="27"/>
  <c r="L154" i="27"/>
  <c r="K154" i="27"/>
  <c r="J154" i="27"/>
  <c r="I154" i="27"/>
  <c r="L153" i="27"/>
  <c r="K153" i="27"/>
  <c r="J153" i="27"/>
  <c r="I153" i="27"/>
  <c r="H150" i="27"/>
  <c r="H146" i="27"/>
  <c r="H142" i="27"/>
  <c r="H138" i="27"/>
  <c r="H134" i="27"/>
  <c r="H130" i="27"/>
  <c r="L151" i="27"/>
  <c r="K151" i="27"/>
  <c r="J151" i="27"/>
  <c r="I151" i="27"/>
  <c r="L150" i="27"/>
  <c r="K150" i="27"/>
  <c r="J150" i="27"/>
  <c r="I150" i="27"/>
  <c r="L149" i="27"/>
  <c r="K149" i="27"/>
  <c r="J149" i="27"/>
  <c r="I149" i="27"/>
  <c r="L148" i="27"/>
  <c r="K148" i="27"/>
  <c r="J148" i="27"/>
  <c r="I148" i="27"/>
  <c r="L147" i="27"/>
  <c r="K147" i="27"/>
  <c r="J147" i="27"/>
  <c r="I147" i="27"/>
  <c r="L146" i="27"/>
  <c r="K146" i="27"/>
  <c r="J146" i="27"/>
  <c r="I146" i="27"/>
  <c r="L145" i="27"/>
  <c r="K145" i="27"/>
  <c r="J145" i="27"/>
  <c r="I145" i="27"/>
  <c r="L144" i="27"/>
  <c r="K144" i="27"/>
  <c r="J144" i="27"/>
  <c r="I144" i="27"/>
  <c r="L143" i="27"/>
  <c r="K143" i="27"/>
  <c r="J143" i="27"/>
  <c r="I143" i="27"/>
  <c r="L142" i="27"/>
  <c r="K142" i="27"/>
  <c r="J142" i="27"/>
  <c r="I142" i="27"/>
  <c r="L141" i="27"/>
  <c r="K141" i="27"/>
  <c r="J141" i="27"/>
  <c r="I141" i="27"/>
  <c r="L140" i="27"/>
  <c r="K140" i="27"/>
  <c r="J140" i="27"/>
  <c r="I140" i="27"/>
  <c r="L139" i="27"/>
  <c r="K139" i="27"/>
  <c r="J139" i="27"/>
  <c r="I139" i="27"/>
  <c r="L138" i="27"/>
  <c r="K138" i="27"/>
  <c r="J138" i="27"/>
  <c r="I138" i="27"/>
  <c r="L137" i="27"/>
  <c r="K137" i="27"/>
  <c r="J137" i="27"/>
  <c r="I137" i="27"/>
  <c r="L136" i="27"/>
  <c r="K136" i="27"/>
  <c r="J136" i="27"/>
  <c r="I136" i="27"/>
  <c r="L135" i="27"/>
  <c r="K135" i="27"/>
  <c r="J135" i="27"/>
  <c r="I135" i="27"/>
  <c r="L134" i="27"/>
  <c r="K134" i="27"/>
  <c r="J134" i="27"/>
  <c r="I134" i="27"/>
  <c r="L133" i="27"/>
  <c r="K133" i="27"/>
  <c r="J133" i="27"/>
  <c r="I133" i="27"/>
  <c r="L132" i="27"/>
  <c r="K132" i="27"/>
  <c r="J132" i="27"/>
  <c r="I132" i="27"/>
  <c r="L131" i="27"/>
  <c r="K131" i="27"/>
  <c r="J131" i="27"/>
  <c r="I131" i="27"/>
  <c r="L130" i="27"/>
  <c r="K130" i="27"/>
  <c r="J130" i="27"/>
  <c r="I130" i="27"/>
  <c r="L129" i="27"/>
  <c r="K129" i="27"/>
  <c r="J129" i="27"/>
  <c r="I129" i="27"/>
  <c r="L128" i="27"/>
  <c r="K128" i="27"/>
  <c r="J128" i="27"/>
  <c r="I128" i="27"/>
  <c r="H125" i="27"/>
  <c r="H121" i="27"/>
  <c r="H117" i="27"/>
  <c r="H113" i="27"/>
  <c r="H109" i="27"/>
  <c r="H105" i="27"/>
  <c r="L126" i="27"/>
  <c r="K126" i="27"/>
  <c r="J126" i="27"/>
  <c r="I126" i="27"/>
  <c r="L125" i="27"/>
  <c r="K125" i="27"/>
  <c r="J125" i="27"/>
  <c r="I125" i="27"/>
  <c r="L124" i="27"/>
  <c r="K124" i="27"/>
  <c r="J124" i="27"/>
  <c r="I124" i="27"/>
  <c r="L123" i="27"/>
  <c r="K123" i="27"/>
  <c r="J123" i="27"/>
  <c r="I123" i="27"/>
  <c r="L122" i="27"/>
  <c r="K122" i="27"/>
  <c r="J122" i="27"/>
  <c r="I122" i="27"/>
  <c r="L121" i="27"/>
  <c r="K121" i="27"/>
  <c r="J121" i="27"/>
  <c r="I121" i="27"/>
  <c r="L120" i="27"/>
  <c r="K120" i="27"/>
  <c r="J120" i="27"/>
  <c r="I120" i="27"/>
  <c r="L119" i="27"/>
  <c r="K119" i="27"/>
  <c r="J119" i="27"/>
  <c r="I119" i="27"/>
  <c r="L118" i="27"/>
  <c r="K118" i="27"/>
  <c r="J118" i="27"/>
  <c r="I118" i="27"/>
  <c r="L117" i="27"/>
  <c r="K117" i="27"/>
  <c r="J117" i="27"/>
  <c r="I117" i="27"/>
  <c r="L116" i="27"/>
  <c r="K116" i="27"/>
  <c r="J116" i="27"/>
  <c r="I116" i="27"/>
  <c r="L115" i="27"/>
  <c r="K115" i="27"/>
  <c r="J115" i="27"/>
  <c r="I115" i="27"/>
  <c r="L114" i="27"/>
  <c r="K114" i="27"/>
  <c r="J114" i="27"/>
  <c r="I114" i="27"/>
  <c r="L113" i="27"/>
  <c r="K113" i="27"/>
  <c r="J113" i="27"/>
  <c r="I113" i="27"/>
  <c r="L112" i="27"/>
  <c r="K112" i="27"/>
  <c r="J112" i="27"/>
  <c r="I112" i="27"/>
  <c r="L111" i="27"/>
  <c r="K111" i="27"/>
  <c r="J111" i="27"/>
  <c r="I111" i="27"/>
  <c r="L110" i="27"/>
  <c r="K110" i="27"/>
  <c r="J110" i="27"/>
  <c r="I110" i="27"/>
  <c r="L109" i="27"/>
  <c r="K109" i="27"/>
  <c r="J109" i="27"/>
  <c r="I109" i="27"/>
  <c r="L108" i="27"/>
  <c r="K108" i="27"/>
  <c r="J108" i="27"/>
  <c r="I108" i="27"/>
  <c r="L107" i="27"/>
  <c r="K107" i="27"/>
  <c r="J107" i="27"/>
  <c r="I107" i="27"/>
  <c r="L106" i="27"/>
  <c r="K106" i="27"/>
  <c r="J106" i="27"/>
  <c r="I106" i="27"/>
  <c r="L105" i="27"/>
  <c r="K105" i="27"/>
  <c r="J105" i="27"/>
  <c r="I105" i="27"/>
  <c r="L104" i="27"/>
  <c r="K104" i="27"/>
  <c r="J104" i="27"/>
  <c r="I104" i="27"/>
  <c r="L103" i="27"/>
  <c r="K103" i="27"/>
  <c r="J103" i="27"/>
  <c r="I103" i="27"/>
  <c r="F2" i="27"/>
  <c r="F4" i="27"/>
  <c r="I18" i="27"/>
  <c r="I19" i="27"/>
  <c r="M9" i="27"/>
  <c r="M10" i="27"/>
  <c r="C9" i="27"/>
  <c r="C10" i="27"/>
  <c r="G26" i="27"/>
  <c r="H100" i="27"/>
  <c r="H92" i="27"/>
  <c r="H96" i="27"/>
  <c r="H88" i="27"/>
  <c r="H84" i="27"/>
  <c r="H80" i="27"/>
  <c r="L101" i="27"/>
  <c r="K101" i="27"/>
  <c r="J101" i="27"/>
  <c r="I101" i="27"/>
  <c r="L100" i="27"/>
  <c r="K100" i="27"/>
  <c r="J100" i="27"/>
  <c r="I100" i="27"/>
  <c r="L99" i="27"/>
  <c r="K99" i="27"/>
  <c r="J99" i="27"/>
  <c r="I99" i="27"/>
  <c r="L98" i="27"/>
  <c r="K98" i="27"/>
  <c r="J98" i="27"/>
  <c r="I98" i="27"/>
  <c r="L97" i="27"/>
  <c r="K97" i="27"/>
  <c r="J97" i="27"/>
  <c r="I97" i="27"/>
  <c r="L96" i="27"/>
  <c r="K96" i="27"/>
  <c r="J96" i="27"/>
  <c r="I96" i="27"/>
  <c r="L95" i="27"/>
  <c r="K95" i="27"/>
  <c r="J95" i="27"/>
  <c r="I95" i="27"/>
  <c r="L94" i="27"/>
  <c r="K94" i="27"/>
  <c r="J94" i="27"/>
  <c r="I94" i="27"/>
  <c r="L93" i="27"/>
  <c r="K93" i="27"/>
  <c r="J93" i="27"/>
  <c r="I93" i="27"/>
  <c r="L92" i="27"/>
  <c r="K92" i="27"/>
  <c r="J92" i="27"/>
  <c r="I92" i="27"/>
  <c r="L91" i="27"/>
  <c r="K91" i="27"/>
  <c r="J91" i="27"/>
  <c r="I91" i="27"/>
  <c r="L90" i="27"/>
  <c r="K90" i="27"/>
  <c r="J90" i="27"/>
  <c r="I90" i="27"/>
  <c r="L89" i="27"/>
  <c r="K89" i="27"/>
  <c r="J89" i="27"/>
  <c r="I89" i="27"/>
  <c r="L88" i="27"/>
  <c r="K88" i="27"/>
  <c r="J88" i="27"/>
  <c r="I88" i="27"/>
  <c r="L87" i="27"/>
  <c r="K87" i="27"/>
  <c r="J87" i="27"/>
  <c r="I87" i="27"/>
  <c r="L86" i="27"/>
  <c r="K86" i="27"/>
  <c r="J86" i="27"/>
  <c r="I86" i="27"/>
  <c r="L85" i="27"/>
  <c r="K85" i="27"/>
  <c r="J85" i="27"/>
  <c r="I85" i="27"/>
  <c r="L84" i="27"/>
  <c r="K84" i="27"/>
  <c r="J84" i="27"/>
  <c r="I84" i="27"/>
  <c r="L83" i="27"/>
  <c r="K83" i="27"/>
  <c r="J83" i="27"/>
  <c r="I83" i="27"/>
  <c r="L82" i="27"/>
  <c r="K82" i="27"/>
  <c r="J82" i="27"/>
  <c r="I82" i="27"/>
  <c r="L81" i="27"/>
  <c r="K81" i="27"/>
  <c r="J81" i="27"/>
  <c r="I81" i="27"/>
  <c r="L80" i="27"/>
  <c r="K80" i="27"/>
  <c r="J80" i="27"/>
  <c r="I80" i="27"/>
  <c r="L79" i="27"/>
  <c r="K79" i="27"/>
  <c r="J79" i="27"/>
  <c r="I79" i="27"/>
  <c r="L78" i="27"/>
  <c r="K78" i="27"/>
  <c r="J78" i="27"/>
  <c r="I78" i="27"/>
  <c r="H75" i="27"/>
  <c r="H67" i="27"/>
  <c r="H63" i="27"/>
  <c r="L76" i="27"/>
  <c r="K76" i="27"/>
  <c r="J76" i="27"/>
  <c r="I76" i="27"/>
  <c r="L75" i="27"/>
  <c r="K75" i="27"/>
  <c r="J75" i="27"/>
  <c r="I75" i="27"/>
  <c r="L74" i="27"/>
  <c r="K74" i="27"/>
  <c r="J74" i="27"/>
  <c r="I74" i="27"/>
  <c r="L73" i="27"/>
  <c r="K73" i="27"/>
  <c r="J73" i="27"/>
  <c r="I73" i="27"/>
  <c r="L72" i="27"/>
  <c r="K72" i="27"/>
  <c r="J72" i="27"/>
  <c r="I72" i="27"/>
  <c r="L71" i="27"/>
  <c r="K71" i="27"/>
  <c r="J71" i="27"/>
  <c r="I71" i="27"/>
  <c r="L70" i="27"/>
  <c r="K70" i="27"/>
  <c r="J70" i="27"/>
  <c r="I70" i="27"/>
  <c r="L69" i="27"/>
  <c r="K69" i="27"/>
  <c r="J69" i="27"/>
  <c r="I69" i="27"/>
  <c r="L68" i="27"/>
  <c r="K68" i="27"/>
  <c r="J68" i="27"/>
  <c r="I68" i="27"/>
  <c r="L67" i="27"/>
  <c r="K67" i="27"/>
  <c r="J67" i="27"/>
  <c r="I67" i="27"/>
  <c r="L66" i="27"/>
  <c r="K66" i="27"/>
  <c r="J66" i="27"/>
  <c r="I66" i="27"/>
  <c r="L65" i="27"/>
  <c r="K65" i="27"/>
  <c r="J65" i="27"/>
  <c r="I65" i="27"/>
  <c r="L64" i="27"/>
  <c r="K64" i="27"/>
  <c r="J64" i="27"/>
  <c r="I64" i="27"/>
  <c r="L63" i="27"/>
  <c r="K63" i="27"/>
  <c r="J63" i="27"/>
  <c r="I63" i="27"/>
  <c r="L62" i="27"/>
  <c r="K62" i="27"/>
  <c r="J62" i="27"/>
  <c r="I62" i="27"/>
  <c r="L61" i="27"/>
  <c r="K61" i="27"/>
  <c r="J61" i="27"/>
  <c r="I61" i="27"/>
  <c r="L60" i="27"/>
  <c r="K60" i="27"/>
  <c r="J60" i="27"/>
  <c r="I60" i="27"/>
  <c r="L59" i="27"/>
  <c r="K59" i="27"/>
  <c r="J59" i="27"/>
  <c r="I59" i="27"/>
  <c r="L58" i="27"/>
  <c r="K58" i="27"/>
  <c r="J58" i="27"/>
  <c r="I58" i="27"/>
  <c r="L57" i="27"/>
  <c r="K57" i="27"/>
  <c r="J57" i="27"/>
  <c r="I57" i="27"/>
  <c r="L56" i="27"/>
  <c r="L55" i="27"/>
  <c r="L54" i="27"/>
  <c r="L53" i="27"/>
  <c r="K56" i="27"/>
  <c r="K55" i="27"/>
  <c r="K54" i="27"/>
  <c r="K53" i="27"/>
  <c r="J56" i="27"/>
  <c r="J55" i="27"/>
  <c r="J54" i="27"/>
  <c r="J53" i="27"/>
  <c r="I56" i="27"/>
  <c r="I55" i="27"/>
  <c r="I54" i="27"/>
  <c r="I53" i="27"/>
  <c r="U68" i="16"/>
  <c r="S68" i="16"/>
  <c r="Q68" i="16"/>
  <c r="P68" i="16"/>
  <c r="I68" i="16"/>
  <c r="F68" i="16"/>
  <c r="B68" i="16"/>
  <c r="A68" i="16"/>
  <c r="U67" i="16"/>
  <c r="S67" i="16"/>
  <c r="Q67" i="16"/>
  <c r="P67" i="16"/>
  <c r="I67" i="16"/>
  <c r="F67" i="16"/>
  <c r="B67" i="16"/>
  <c r="A67" i="16"/>
  <c r="U66" i="16"/>
  <c r="T66" i="16"/>
  <c r="S66" i="16"/>
  <c r="Q66" i="16"/>
  <c r="P66" i="16"/>
  <c r="I66" i="16"/>
  <c r="G66" i="16"/>
  <c r="F66" i="16"/>
  <c r="E66" i="16"/>
  <c r="D66" i="16"/>
  <c r="B66" i="16"/>
  <c r="A66" i="16"/>
  <c r="U65" i="16"/>
  <c r="T65" i="16"/>
  <c r="S65" i="16"/>
  <c r="R65" i="16"/>
  <c r="Q65" i="16"/>
  <c r="P65" i="16"/>
  <c r="I65" i="16"/>
  <c r="F65" i="16"/>
  <c r="E65" i="16"/>
  <c r="D65" i="16"/>
  <c r="B65" i="16"/>
  <c r="A65" i="16"/>
  <c r="X64" i="16"/>
  <c r="V64" i="16"/>
  <c r="U64" i="16"/>
  <c r="T64" i="16"/>
  <c r="S64" i="16"/>
  <c r="R64" i="16"/>
  <c r="Q64" i="16"/>
  <c r="P64" i="16"/>
  <c r="N64" i="16"/>
  <c r="M64" i="16"/>
  <c r="L64" i="16"/>
  <c r="K64" i="16"/>
  <c r="J64" i="16"/>
  <c r="I64" i="16"/>
  <c r="H64" i="16"/>
  <c r="G64" i="16"/>
  <c r="F64" i="16"/>
  <c r="E64" i="16"/>
  <c r="D64" i="16"/>
  <c r="B64" i="16"/>
  <c r="A64" i="16"/>
  <c r="X63" i="16"/>
  <c r="V63" i="16"/>
  <c r="U63" i="16"/>
  <c r="T63" i="16"/>
  <c r="S63" i="16"/>
  <c r="R63" i="16"/>
  <c r="Q63" i="16"/>
  <c r="P63" i="16"/>
  <c r="N63" i="16"/>
  <c r="M63" i="16"/>
  <c r="L63" i="16"/>
  <c r="K63" i="16"/>
  <c r="J63" i="16"/>
  <c r="I63" i="16"/>
  <c r="H63" i="16"/>
  <c r="G63" i="16"/>
  <c r="F63" i="16"/>
  <c r="E63" i="16"/>
  <c r="D63" i="16"/>
  <c r="B63" i="16"/>
  <c r="A63" i="16"/>
  <c r="X62" i="16"/>
  <c r="V62" i="16"/>
  <c r="U62" i="16"/>
  <c r="T62" i="16"/>
  <c r="S62" i="16"/>
  <c r="R62" i="16"/>
  <c r="Q62" i="16"/>
  <c r="P62" i="16"/>
  <c r="N62" i="16"/>
  <c r="M62" i="16"/>
  <c r="L62" i="16"/>
  <c r="K62" i="16"/>
  <c r="J62" i="16"/>
  <c r="I62" i="16"/>
  <c r="H62" i="16"/>
  <c r="G62" i="16"/>
  <c r="F62" i="16"/>
  <c r="E62" i="16"/>
  <c r="D62" i="16"/>
  <c r="B62" i="16"/>
  <c r="A62" i="16"/>
  <c r="X61" i="16"/>
  <c r="V61" i="16"/>
  <c r="U61" i="16"/>
  <c r="T61" i="16"/>
  <c r="S61" i="16"/>
  <c r="R61" i="16"/>
  <c r="Q61" i="16"/>
  <c r="P61" i="16"/>
  <c r="N61" i="16"/>
  <c r="M61" i="16"/>
  <c r="L61" i="16"/>
  <c r="K61" i="16"/>
  <c r="J61" i="16"/>
  <c r="I61" i="16"/>
  <c r="H61" i="16"/>
  <c r="G61" i="16"/>
  <c r="F61" i="16"/>
  <c r="E61" i="16"/>
  <c r="D61" i="16"/>
  <c r="B61" i="16"/>
  <c r="A61" i="16"/>
  <c r="X60" i="16"/>
  <c r="V60" i="16"/>
  <c r="U60" i="16"/>
  <c r="T60" i="16"/>
  <c r="S60" i="16"/>
  <c r="R60" i="16"/>
  <c r="Q60" i="16"/>
  <c r="P60" i="16"/>
  <c r="N60" i="16"/>
  <c r="M60" i="16"/>
  <c r="L60" i="16"/>
  <c r="K60" i="16"/>
  <c r="J60" i="16"/>
  <c r="I60" i="16"/>
  <c r="H60" i="16"/>
  <c r="G60" i="16"/>
  <c r="F60" i="16"/>
  <c r="E60" i="16"/>
  <c r="D60" i="16"/>
  <c r="B60" i="16"/>
  <c r="A60" i="16"/>
  <c r="X59" i="16"/>
  <c r="W59" i="16"/>
  <c r="V59" i="16"/>
  <c r="U59" i="16"/>
  <c r="T59" i="16"/>
  <c r="S59" i="16"/>
  <c r="R59" i="16"/>
  <c r="Q59" i="16"/>
  <c r="P59" i="16"/>
  <c r="O59" i="16"/>
  <c r="N59" i="16"/>
  <c r="M59" i="16"/>
  <c r="L59" i="16"/>
  <c r="K59" i="16"/>
  <c r="J59" i="16"/>
  <c r="I59" i="16"/>
  <c r="H59" i="16"/>
  <c r="G59" i="16"/>
  <c r="F59" i="16"/>
  <c r="E59" i="16"/>
  <c r="D59" i="16"/>
  <c r="B59" i="16"/>
  <c r="A59" i="16"/>
  <c r="X58" i="16"/>
  <c r="W58" i="16"/>
  <c r="V58" i="16"/>
  <c r="U58" i="16"/>
  <c r="T58" i="16"/>
  <c r="S58" i="16"/>
  <c r="R58" i="16"/>
  <c r="Q58" i="16"/>
  <c r="P58" i="16"/>
  <c r="O58" i="16"/>
  <c r="N58" i="16"/>
  <c r="M58" i="16"/>
  <c r="L58" i="16"/>
  <c r="K58" i="16"/>
  <c r="J58" i="16"/>
  <c r="I58" i="16"/>
  <c r="H58" i="16"/>
  <c r="G58" i="16"/>
  <c r="F58" i="16"/>
  <c r="E58" i="16"/>
  <c r="D58" i="16"/>
  <c r="B58" i="16"/>
  <c r="A58" i="16"/>
  <c r="X57" i="16"/>
  <c r="W57" i="16"/>
  <c r="V57" i="16"/>
  <c r="U57" i="16"/>
  <c r="T57" i="16"/>
  <c r="S57" i="16"/>
  <c r="R57" i="16"/>
  <c r="Q57" i="16"/>
  <c r="P57" i="16"/>
  <c r="O57" i="16"/>
  <c r="N57" i="16"/>
  <c r="M57" i="16"/>
  <c r="L57" i="16"/>
  <c r="K57" i="16"/>
  <c r="J57" i="16"/>
  <c r="I57" i="16"/>
  <c r="H57" i="16"/>
  <c r="G57" i="16"/>
  <c r="F57" i="16"/>
  <c r="E57" i="16"/>
  <c r="D57" i="16"/>
  <c r="B57" i="16"/>
  <c r="A57" i="16"/>
  <c r="X56" i="16"/>
  <c r="W56" i="16"/>
  <c r="V56" i="16"/>
  <c r="U56" i="16"/>
  <c r="T56" i="16"/>
  <c r="S56" i="16"/>
  <c r="R56" i="16"/>
  <c r="Q56" i="16"/>
  <c r="P56" i="16"/>
  <c r="O56" i="16"/>
  <c r="N56" i="16"/>
  <c r="L56" i="16"/>
  <c r="J56" i="16"/>
  <c r="I56" i="16"/>
  <c r="G56" i="16"/>
  <c r="F56" i="16"/>
  <c r="B56" i="16"/>
  <c r="A56" i="16"/>
  <c r="X55" i="16"/>
  <c r="W55" i="16"/>
  <c r="V55" i="16"/>
  <c r="U55" i="16"/>
  <c r="T55" i="16"/>
  <c r="S55" i="16"/>
  <c r="R55" i="16"/>
  <c r="Q55" i="16"/>
  <c r="P55" i="16"/>
  <c r="O55" i="16"/>
  <c r="N55" i="16"/>
  <c r="L55" i="16"/>
  <c r="J55" i="16"/>
  <c r="I55" i="16"/>
  <c r="G55" i="16"/>
  <c r="F55" i="16"/>
  <c r="B55" i="16"/>
  <c r="A55" i="16"/>
  <c r="X54" i="16"/>
  <c r="W54" i="16"/>
  <c r="V54" i="16"/>
  <c r="U54" i="16"/>
  <c r="T54" i="16"/>
  <c r="S54" i="16"/>
  <c r="R54" i="16"/>
  <c r="Q54" i="16"/>
  <c r="P54" i="16"/>
  <c r="O54" i="16"/>
  <c r="N54" i="16"/>
  <c r="L54" i="16"/>
  <c r="J54" i="16"/>
  <c r="I54" i="16"/>
  <c r="G54" i="16"/>
  <c r="F54" i="16"/>
  <c r="B54" i="16"/>
  <c r="A54" i="16"/>
  <c r="X53" i="16"/>
  <c r="W53" i="16"/>
  <c r="V53" i="16"/>
  <c r="U53" i="16"/>
  <c r="T53" i="16"/>
  <c r="S53" i="16"/>
  <c r="R53" i="16"/>
  <c r="Q53" i="16"/>
  <c r="P53" i="16"/>
  <c r="O53" i="16"/>
  <c r="J53" i="16"/>
  <c r="I53" i="16"/>
  <c r="G53" i="16"/>
  <c r="F53" i="16"/>
  <c r="B53" i="16"/>
  <c r="A53" i="16"/>
  <c r="X52" i="16"/>
  <c r="W52" i="16"/>
  <c r="V52" i="16"/>
  <c r="U52" i="16"/>
  <c r="T52" i="16"/>
  <c r="S52" i="16"/>
  <c r="R52" i="16"/>
  <c r="Q52" i="16"/>
  <c r="P52" i="16"/>
  <c r="O52" i="16"/>
  <c r="N52" i="16"/>
  <c r="J52" i="16"/>
  <c r="I52" i="16"/>
  <c r="G52" i="16"/>
  <c r="F52" i="16"/>
  <c r="B52" i="16"/>
  <c r="A52" i="16"/>
  <c r="X51" i="16"/>
  <c r="W51" i="16"/>
  <c r="V51" i="16"/>
  <c r="U51" i="16"/>
  <c r="T51" i="16"/>
  <c r="S51" i="16"/>
  <c r="R51" i="16"/>
  <c r="Q51" i="16"/>
  <c r="P51" i="16"/>
  <c r="O51" i="16"/>
  <c r="N51" i="16"/>
  <c r="J51" i="16"/>
  <c r="I51" i="16"/>
  <c r="G51" i="16"/>
  <c r="F51" i="16"/>
  <c r="C51" i="16"/>
  <c r="B51" i="16"/>
  <c r="A51" i="16"/>
  <c r="X50" i="16"/>
  <c r="W50" i="16"/>
  <c r="V50" i="16"/>
  <c r="U50" i="16"/>
  <c r="T50" i="16"/>
  <c r="S50" i="16"/>
  <c r="R50" i="16"/>
  <c r="Q50" i="16"/>
  <c r="P50" i="16"/>
  <c r="O50" i="16"/>
  <c r="N50" i="16"/>
  <c r="J50" i="16"/>
  <c r="I50" i="16"/>
  <c r="G50" i="16"/>
  <c r="F50" i="16"/>
  <c r="C50" i="16"/>
  <c r="B50" i="16"/>
  <c r="A50" i="16"/>
  <c r="X49" i="16"/>
  <c r="W49" i="16"/>
  <c r="V49" i="16"/>
  <c r="U49" i="16"/>
  <c r="T49" i="16"/>
  <c r="S49" i="16"/>
  <c r="R49" i="16"/>
  <c r="Q49" i="16"/>
  <c r="P49" i="16"/>
  <c r="O49" i="16"/>
  <c r="N49" i="16"/>
  <c r="J49" i="16"/>
  <c r="I49" i="16"/>
  <c r="G49" i="16"/>
  <c r="F49" i="16"/>
  <c r="C49" i="16"/>
  <c r="B49" i="16"/>
  <c r="A49" i="16"/>
  <c r="X48" i="16"/>
  <c r="W48" i="16"/>
  <c r="V48" i="16"/>
  <c r="U48" i="16"/>
  <c r="T48" i="16"/>
  <c r="S48" i="16"/>
  <c r="R48" i="16"/>
  <c r="Q48" i="16"/>
  <c r="P48" i="16"/>
  <c r="O48" i="16"/>
  <c r="N48" i="16"/>
  <c r="J48" i="16"/>
  <c r="I48" i="16"/>
  <c r="G48" i="16"/>
  <c r="F48" i="16"/>
  <c r="C48" i="16"/>
  <c r="B48" i="16"/>
  <c r="A48" i="16"/>
  <c r="X47" i="16"/>
  <c r="W47" i="16"/>
  <c r="V47" i="16"/>
  <c r="U47" i="16"/>
  <c r="T47" i="16"/>
  <c r="S47" i="16"/>
  <c r="R47" i="16"/>
  <c r="Q47" i="16"/>
  <c r="P47" i="16"/>
  <c r="O47" i="16"/>
  <c r="N47" i="16"/>
  <c r="J47" i="16"/>
  <c r="I47" i="16"/>
  <c r="G47" i="16"/>
  <c r="F47" i="16"/>
  <c r="C47" i="16"/>
  <c r="B47" i="16"/>
  <c r="A47" i="16"/>
  <c r="X46" i="16"/>
  <c r="W46" i="16"/>
  <c r="V46" i="16"/>
  <c r="U46" i="16"/>
  <c r="R46" i="16"/>
  <c r="Q46" i="16"/>
  <c r="P46" i="16"/>
  <c r="O46" i="16"/>
  <c r="N46" i="16"/>
  <c r="J46" i="16"/>
  <c r="I46" i="16"/>
  <c r="G46" i="16"/>
  <c r="F46" i="16"/>
  <c r="C46" i="16"/>
  <c r="B46" i="16"/>
  <c r="A46" i="16"/>
  <c r="X45" i="16"/>
  <c r="W45" i="16"/>
  <c r="V45" i="16"/>
  <c r="U45" i="16"/>
  <c r="R45" i="16"/>
  <c r="Q45" i="16"/>
  <c r="P45" i="16"/>
  <c r="O45" i="16"/>
  <c r="N45" i="16"/>
  <c r="J45" i="16"/>
  <c r="I45" i="16"/>
  <c r="G45" i="16"/>
  <c r="F45" i="16"/>
  <c r="C45" i="16"/>
  <c r="B45" i="16"/>
  <c r="A45" i="16"/>
  <c r="P165" i="19"/>
  <c r="O165" i="19"/>
  <c r="N165" i="19"/>
  <c r="M165" i="19"/>
  <c r="L165" i="19"/>
  <c r="K165" i="19"/>
  <c r="J165" i="19"/>
  <c r="P164" i="19"/>
  <c r="O164" i="19"/>
  <c r="N164" i="19"/>
  <c r="M164" i="19"/>
  <c r="L164" i="19"/>
  <c r="K164" i="19"/>
  <c r="J164" i="19"/>
  <c r="P163" i="19"/>
  <c r="O163" i="19"/>
  <c r="N163" i="19"/>
  <c r="M163" i="19"/>
  <c r="L163" i="19"/>
  <c r="K163" i="19"/>
  <c r="J163" i="19"/>
  <c r="P162" i="19"/>
  <c r="O162" i="19"/>
  <c r="N162" i="19"/>
  <c r="M162" i="19"/>
  <c r="L162" i="19"/>
  <c r="K162" i="19"/>
  <c r="J162" i="19"/>
  <c r="P161" i="19"/>
  <c r="O161" i="19"/>
  <c r="N161" i="19"/>
  <c r="M161" i="19"/>
  <c r="L161" i="19"/>
  <c r="K161" i="19"/>
  <c r="J161" i="19"/>
  <c r="P160" i="19"/>
  <c r="O160" i="19"/>
  <c r="N160" i="19"/>
  <c r="M160" i="19"/>
  <c r="L160" i="19"/>
  <c r="K160" i="19"/>
  <c r="J160" i="19"/>
  <c r="P159" i="19"/>
  <c r="O159" i="19"/>
  <c r="N159" i="19"/>
  <c r="M159" i="19"/>
  <c r="L159" i="19"/>
  <c r="K159" i="19"/>
  <c r="J159" i="19"/>
  <c r="P158" i="19"/>
  <c r="O158" i="19"/>
  <c r="N158" i="19"/>
  <c r="M158" i="19"/>
  <c r="L158" i="19"/>
  <c r="K158" i="19"/>
  <c r="J158" i="19"/>
  <c r="P157" i="19"/>
  <c r="O157" i="19"/>
  <c r="N157" i="19"/>
  <c r="M157" i="19"/>
  <c r="L157" i="19"/>
  <c r="K157" i="19"/>
  <c r="J157" i="19"/>
  <c r="P156" i="19"/>
  <c r="O156" i="19"/>
  <c r="N156" i="19"/>
  <c r="M156" i="19"/>
  <c r="L156" i="19"/>
  <c r="K156" i="19"/>
  <c r="J156" i="19"/>
  <c r="P155" i="19"/>
  <c r="O155" i="19"/>
  <c r="N155" i="19"/>
  <c r="M155" i="19"/>
  <c r="L155" i="19"/>
  <c r="K155" i="19"/>
  <c r="J155" i="19"/>
  <c r="J154" i="19"/>
  <c r="P153" i="19"/>
  <c r="O153" i="19"/>
  <c r="N153" i="19"/>
  <c r="M153" i="19"/>
  <c r="L153" i="19"/>
  <c r="K153" i="19"/>
  <c r="J153" i="19"/>
  <c r="P152" i="19"/>
  <c r="O152" i="19"/>
  <c r="N152" i="19"/>
  <c r="M152" i="19"/>
  <c r="L152" i="19"/>
  <c r="K152" i="19"/>
  <c r="J152" i="19"/>
  <c r="P151" i="19"/>
  <c r="O151" i="19"/>
  <c r="N151" i="19"/>
  <c r="M151" i="19"/>
  <c r="L151" i="19"/>
  <c r="K151" i="19"/>
  <c r="J151" i="19"/>
  <c r="P150" i="19"/>
  <c r="O150" i="19"/>
  <c r="N150" i="19"/>
  <c r="M150" i="19"/>
  <c r="L150" i="19"/>
  <c r="K150" i="19"/>
  <c r="J150" i="19"/>
  <c r="P149" i="19"/>
  <c r="O149" i="19"/>
  <c r="N149" i="19"/>
  <c r="M149" i="19"/>
  <c r="L149" i="19"/>
  <c r="K149" i="19"/>
  <c r="J149" i="19"/>
  <c r="P148" i="19"/>
  <c r="O148" i="19"/>
  <c r="N148" i="19"/>
  <c r="M148" i="19"/>
  <c r="L148" i="19"/>
  <c r="K148" i="19"/>
  <c r="J148" i="19"/>
  <c r="P147" i="19"/>
  <c r="O147" i="19"/>
  <c r="N147" i="19"/>
  <c r="M147" i="19"/>
  <c r="L147" i="19"/>
  <c r="K147" i="19"/>
  <c r="J147" i="19"/>
  <c r="P146" i="19"/>
  <c r="O146" i="19"/>
  <c r="N146" i="19"/>
  <c r="M146" i="19"/>
  <c r="L146" i="19"/>
  <c r="K146" i="19"/>
  <c r="J146" i="19"/>
  <c r="P139" i="19"/>
  <c r="O139" i="19"/>
  <c r="N139" i="19"/>
  <c r="M139" i="19"/>
  <c r="L139" i="19"/>
  <c r="K139" i="19"/>
  <c r="J139" i="19"/>
  <c r="P138" i="19"/>
  <c r="O138" i="19"/>
  <c r="N138" i="19"/>
  <c r="M138" i="19"/>
  <c r="L138" i="19"/>
  <c r="K138" i="19"/>
  <c r="J138" i="19"/>
  <c r="P137" i="19"/>
  <c r="O137" i="19"/>
  <c r="N137" i="19"/>
  <c r="M137" i="19"/>
  <c r="L137" i="19"/>
  <c r="K137" i="19"/>
  <c r="J137" i="19"/>
  <c r="P136" i="19"/>
  <c r="O136" i="19"/>
  <c r="N136" i="19"/>
  <c r="M136" i="19"/>
  <c r="L136" i="19"/>
  <c r="K136" i="19"/>
  <c r="J136" i="19"/>
  <c r="P135" i="19"/>
  <c r="O135" i="19"/>
  <c r="N135" i="19"/>
  <c r="M135" i="19"/>
  <c r="L135" i="19"/>
  <c r="K135" i="19"/>
  <c r="J135" i="19"/>
  <c r="P134" i="19"/>
  <c r="O134" i="19"/>
  <c r="N134" i="19"/>
  <c r="M134" i="19"/>
  <c r="L134" i="19"/>
  <c r="K134" i="19"/>
  <c r="J134" i="19"/>
  <c r="P133" i="19"/>
  <c r="O133" i="19"/>
  <c r="N133" i="19"/>
  <c r="M133" i="19"/>
  <c r="L133" i="19"/>
  <c r="K133" i="19"/>
  <c r="J133" i="19"/>
  <c r="P132" i="19"/>
  <c r="O132" i="19"/>
  <c r="N132" i="19"/>
  <c r="M132" i="19"/>
  <c r="L132" i="19"/>
  <c r="K132" i="19"/>
  <c r="J132" i="19"/>
  <c r="P131" i="19"/>
  <c r="O131" i="19"/>
  <c r="N131" i="19"/>
  <c r="M131" i="19"/>
  <c r="L131" i="19"/>
  <c r="K131" i="19"/>
  <c r="J131" i="19"/>
  <c r="P130" i="19"/>
  <c r="O130" i="19"/>
  <c r="N130" i="19"/>
  <c r="M130" i="19"/>
  <c r="L130" i="19"/>
  <c r="K130" i="19"/>
  <c r="J130" i="19"/>
  <c r="P129" i="19"/>
  <c r="O129" i="19"/>
  <c r="N129" i="19"/>
  <c r="M129" i="19"/>
  <c r="L129" i="19"/>
  <c r="K129" i="19"/>
  <c r="J129" i="19"/>
  <c r="J128" i="19"/>
  <c r="P127" i="19"/>
  <c r="O127" i="19"/>
  <c r="N127" i="19"/>
  <c r="M127" i="19"/>
  <c r="L127" i="19"/>
  <c r="K127" i="19"/>
  <c r="J127" i="19"/>
  <c r="P126" i="19"/>
  <c r="O126" i="19"/>
  <c r="N126" i="19"/>
  <c r="M126" i="19"/>
  <c r="L126" i="19"/>
  <c r="K126" i="19"/>
  <c r="J126" i="19"/>
  <c r="P125" i="19"/>
  <c r="O125" i="19"/>
  <c r="N125" i="19"/>
  <c r="M125" i="19"/>
  <c r="L125" i="19"/>
  <c r="K125" i="19"/>
  <c r="J125" i="19"/>
  <c r="P124" i="19"/>
  <c r="O124" i="19"/>
  <c r="N124" i="19"/>
  <c r="M124" i="19"/>
  <c r="L124" i="19"/>
  <c r="K124" i="19"/>
  <c r="J124" i="19"/>
  <c r="P123" i="19"/>
  <c r="O123" i="19"/>
  <c r="N123" i="19"/>
  <c r="M123" i="19"/>
  <c r="L123" i="19"/>
  <c r="K123" i="19"/>
  <c r="J123" i="19"/>
  <c r="P122" i="19"/>
  <c r="O122" i="19"/>
  <c r="N122" i="19"/>
  <c r="M122" i="19"/>
  <c r="L122" i="19"/>
  <c r="K122" i="19"/>
  <c r="J122" i="19"/>
  <c r="P121" i="19"/>
  <c r="O121" i="19"/>
  <c r="N121" i="19"/>
  <c r="M121" i="19"/>
  <c r="L121" i="19"/>
  <c r="K121" i="19"/>
  <c r="J121" i="19"/>
  <c r="P120" i="19"/>
  <c r="O120" i="19"/>
  <c r="N120" i="19"/>
  <c r="M120" i="19"/>
  <c r="L120" i="19"/>
  <c r="K120" i="19"/>
  <c r="J120" i="19"/>
  <c r="P113" i="19"/>
  <c r="O113" i="19"/>
  <c r="N113" i="19"/>
  <c r="M113" i="19"/>
  <c r="L113" i="19"/>
  <c r="K113" i="19"/>
  <c r="J113" i="19"/>
  <c r="P112" i="19"/>
  <c r="O112" i="19"/>
  <c r="N112" i="19"/>
  <c r="M112" i="19"/>
  <c r="L112" i="19"/>
  <c r="K112" i="19"/>
  <c r="J112" i="19"/>
  <c r="P111" i="19"/>
  <c r="O111" i="19"/>
  <c r="N111" i="19"/>
  <c r="M111" i="19"/>
  <c r="L111" i="19"/>
  <c r="K111" i="19"/>
  <c r="J111" i="19"/>
  <c r="P110" i="19"/>
  <c r="O110" i="19"/>
  <c r="N110" i="19"/>
  <c r="M110" i="19"/>
  <c r="L110" i="19"/>
  <c r="K110" i="19"/>
  <c r="J110" i="19"/>
  <c r="P109" i="19"/>
  <c r="O109" i="19"/>
  <c r="N109" i="19"/>
  <c r="M109" i="19"/>
  <c r="L109" i="19"/>
  <c r="K109" i="19"/>
  <c r="J109" i="19"/>
  <c r="P108" i="19"/>
  <c r="O108" i="19"/>
  <c r="N108" i="19"/>
  <c r="M108" i="19"/>
  <c r="L108" i="19"/>
  <c r="K108" i="19"/>
  <c r="J108" i="19"/>
  <c r="P107" i="19"/>
  <c r="O107" i="19"/>
  <c r="N107" i="19"/>
  <c r="M107" i="19"/>
  <c r="L107" i="19"/>
  <c r="K107" i="19"/>
  <c r="J107" i="19"/>
  <c r="P106" i="19"/>
  <c r="O106" i="19"/>
  <c r="N106" i="19"/>
  <c r="M106" i="19"/>
  <c r="L106" i="19"/>
  <c r="K106" i="19"/>
  <c r="J106" i="19"/>
  <c r="P105" i="19"/>
  <c r="O105" i="19"/>
  <c r="N105" i="19"/>
  <c r="M105" i="19"/>
  <c r="L105" i="19"/>
  <c r="K105" i="19"/>
  <c r="J105" i="19"/>
  <c r="P104" i="19"/>
  <c r="O104" i="19"/>
  <c r="N104" i="19"/>
  <c r="M104" i="19"/>
  <c r="L104" i="19"/>
  <c r="K104" i="19"/>
  <c r="J104" i="19"/>
  <c r="P103" i="19"/>
  <c r="O103" i="19"/>
  <c r="N103" i="19"/>
  <c r="M103" i="19"/>
  <c r="L103" i="19"/>
  <c r="K103" i="19"/>
  <c r="J103" i="19"/>
  <c r="P102" i="19"/>
  <c r="O102" i="19"/>
  <c r="N102" i="19"/>
  <c r="M102" i="19"/>
  <c r="L102" i="19"/>
  <c r="K102" i="19"/>
  <c r="J102" i="19"/>
  <c r="P101" i="19"/>
  <c r="O101" i="19"/>
  <c r="N101" i="19"/>
  <c r="M101" i="19"/>
  <c r="L101" i="19"/>
  <c r="K101" i="19"/>
  <c r="J101" i="19"/>
  <c r="P100" i="19"/>
  <c r="O100" i="19"/>
  <c r="N100" i="19"/>
  <c r="M100" i="19"/>
  <c r="L100" i="19"/>
  <c r="K100" i="19"/>
  <c r="J100" i="19"/>
  <c r="P99" i="19"/>
  <c r="O99" i="19"/>
  <c r="N99" i="19"/>
  <c r="M99" i="19"/>
  <c r="L99" i="19"/>
  <c r="K99" i="19"/>
  <c r="J99" i="19"/>
  <c r="P98" i="19"/>
  <c r="O98" i="19"/>
  <c r="N98" i="19"/>
  <c r="M98" i="19"/>
  <c r="L98" i="19"/>
  <c r="K98" i="19"/>
  <c r="J98" i="19"/>
  <c r="P97" i="19"/>
  <c r="O97" i="19"/>
  <c r="N97" i="19"/>
  <c r="M97" i="19"/>
  <c r="L97" i="19"/>
  <c r="K97" i="19"/>
  <c r="J97" i="19"/>
  <c r="P96" i="19"/>
  <c r="O96" i="19"/>
  <c r="N96" i="19"/>
  <c r="M96" i="19"/>
  <c r="L96" i="19"/>
  <c r="K96" i="19"/>
  <c r="J96" i="19"/>
  <c r="P95" i="19"/>
  <c r="O95" i="19"/>
  <c r="N95" i="19"/>
  <c r="M95" i="19"/>
  <c r="L95" i="19"/>
  <c r="K95" i="19"/>
  <c r="J95" i="19"/>
  <c r="P94" i="19"/>
  <c r="O94" i="19"/>
  <c r="N94" i="19"/>
  <c r="M94" i="19"/>
  <c r="L94" i="19"/>
  <c r="K94" i="19"/>
  <c r="J94" i="19"/>
  <c r="P87" i="19"/>
  <c r="O87" i="19"/>
  <c r="N87" i="19"/>
  <c r="M87" i="19"/>
  <c r="L87" i="19"/>
  <c r="K87" i="19"/>
  <c r="J87" i="19"/>
  <c r="P86" i="19"/>
  <c r="O86" i="19"/>
  <c r="N86" i="19"/>
  <c r="M86" i="19"/>
  <c r="L86" i="19"/>
  <c r="K86" i="19"/>
  <c r="J86" i="19"/>
  <c r="P85" i="19"/>
  <c r="O85" i="19"/>
  <c r="N85" i="19"/>
  <c r="M85" i="19"/>
  <c r="L85" i="19"/>
  <c r="K85" i="19"/>
  <c r="J85" i="19"/>
  <c r="P84" i="19"/>
  <c r="O84" i="19"/>
  <c r="N84" i="19"/>
  <c r="M84" i="19"/>
  <c r="L84" i="19"/>
  <c r="K84" i="19"/>
  <c r="J84" i="19"/>
  <c r="P83" i="19"/>
  <c r="O83" i="19"/>
  <c r="N83" i="19"/>
  <c r="M83" i="19"/>
  <c r="L83" i="19"/>
  <c r="K83" i="19"/>
  <c r="J83" i="19"/>
  <c r="P82" i="19"/>
  <c r="O82" i="19"/>
  <c r="N82" i="19"/>
  <c r="M82" i="19"/>
  <c r="L82" i="19"/>
  <c r="K82" i="19"/>
  <c r="J82" i="19"/>
  <c r="P81" i="19"/>
  <c r="O81" i="19"/>
  <c r="N81" i="19"/>
  <c r="M81" i="19"/>
  <c r="L81" i="19"/>
  <c r="K81" i="19"/>
  <c r="J81" i="19"/>
  <c r="P80" i="19"/>
  <c r="O80" i="19"/>
  <c r="N80" i="19"/>
  <c r="M80" i="19"/>
  <c r="L80" i="19"/>
  <c r="K80" i="19"/>
  <c r="J80" i="19"/>
  <c r="P79" i="19"/>
  <c r="O79" i="19"/>
  <c r="N79" i="19"/>
  <c r="M79" i="19"/>
  <c r="L79" i="19"/>
  <c r="K79" i="19"/>
  <c r="J79" i="19"/>
  <c r="P78" i="19"/>
  <c r="O78" i="19"/>
  <c r="N78" i="19"/>
  <c r="M78" i="19"/>
  <c r="L78" i="19"/>
  <c r="K78" i="19"/>
  <c r="J78" i="19"/>
  <c r="P77" i="19"/>
  <c r="O77" i="19"/>
  <c r="N77" i="19"/>
  <c r="M77" i="19"/>
  <c r="L77" i="19"/>
  <c r="K77" i="19"/>
  <c r="J77" i="19"/>
  <c r="P76" i="19"/>
  <c r="O76" i="19"/>
  <c r="N76" i="19"/>
  <c r="M76" i="19"/>
  <c r="L76" i="19"/>
  <c r="K76" i="19"/>
  <c r="J76" i="19"/>
  <c r="P75" i="19"/>
  <c r="O75" i="19"/>
  <c r="N75" i="19"/>
  <c r="M75" i="19"/>
  <c r="L75" i="19"/>
  <c r="K75" i="19"/>
  <c r="J75" i="19"/>
  <c r="P74" i="19"/>
  <c r="O74" i="19"/>
  <c r="N74" i="19"/>
  <c r="M74" i="19"/>
  <c r="L74" i="19"/>
  <c r="K74" i="19"/>
  <c r="J74" i="19"/>
  <c r="P73" i="19"/>
  <c r="O73" i="19"/>
  <c r="N73" i="19"/>
  <c r="M73" i="19"/>
  <c r="L73" i="19"/>
  <c r="K73" i="19"/>
  <c r="J73" i="19"/>
  <c r="P72" i="19"/>
  <c r="O72" i="19"/>
  <c r="N72" i="19"/>
  <c r="M72" i="19"/>
  <c r="L72" i="19"/>
  <c r="K72" i="19"/>
  <c r="J72" i="19"/>
  <c r="P71" i="19"/>
  <c r="O71" i="19"/>
  <c r="N71" i="19"/>
  <c r="M71" i="19"/>
  <c r="L71" i="19"/>
  <c r="K71" i="19"/>
  <c r="J71" i="19"/>
  <c r="P70" i="19"/>
  <c r="O70" i="19"/>
  <c r="N70" i="19"/>
  <c r="M70" i="19"/>
  <c r="L70" i="19"/>
  <c r="K70" i="19"/>
  <c r="J70" i="19"/>
  <c r="P69" i="19"/>
  <c r="O69" i="19"/>
  <c r="N69" i="19"/>
  <c r="M69" i="19"/>
  <c r="L69" i="19"/>
  <c r="K69" i="19"/>
  <c r="J69" i="19"/>
  <c r="P68" i="19"/>
  <c r="O68" i="19"/>
  <c r="N68" i="19"/>
  <c r="M68" i="19"/>
  <c r="L68" i="19"/>
  <c r="K68" i="19"/>
  <c r="J68" i="19"/>
  <c r="P61" i="19"/>
  <c r="O61" i="19"/>
  <c r="N61" i="19"/>
  <c r="M61" i="19"/>
  <c r="L61" i="19"/>
  <c r="K61" i="19"/>
  <c r="J61" i="19"/>
  <c r="P60" i="19"/>
  <c r="O60" i="19"/>
  <c r="N60" i="19"/>
  <c r="M60" i="19"/>
  <c r="L60" i="19"/>
  <c r="K60" i="19"/>
  <c r="J60" i="19"/>
  <c r="P59" i="19"/>
  <c r="O59" i="19"/>
  <c r="N59" i="19"/>
  <c r="M59" i="19"/>
  <c r="L59" i="19"/>
  <c r="K59" i="19"/>
  <c r="J59" i="19"/>
  <c r="P58" i="19"/>
  <c r="O58" i="19"/>
  <c r="N58" i="19"/>
  <c r="M58" i="19"/>
  <c r="L58" i="19"/>
  <c r="K58" i="19"/>
  <c r="J58" i="19"/>
  <c r="P57" i="19"/>
  <c r="O57" i="19"/>
  <c r="N57" i="19"/>
  <c r="M57" i="19"/>
  <c r="L57" i="19"/>
  <c r="K57" i="19"/>
  <c r="J57" i="19"/>
  <c r="P56" i="19"/>
  <c r="O56" i="19"/>
  <c r="N56" i="19"/>
  <c r="M56" i="19"/>
  <c r="L56" i="19"/>
  <c r="K56" i="19"/>
  <c r="J56" i="19"/>
  <c r="P55" i="19"/>
  <c r="O55" i="19"/>
  <c r="N55" i="19"/>
  <c r="M55" i="19"/>
  <c r="L55" i="19"/>
  <c r="K55" i="19"/>
  <c r="J55" i="19"/>
  <c r="P54" i="19"/>
  <c r="O54" i="19"/>
  <c r="N54" i="19"/>
  <c r="M54" i="19"/>
  <c r="L54" i="19"/>
  <c r="K54" i="19"/>
  <c r="J54" i="19"/>
  <c r="P53" i="19"/>
  <c r="O53" i="19"/>
  <c r="N53" i="19"/>
  <c r="M53" i="19"/>
  <c r="L53" i="19"/>
  <c r="K53" i="19"/>
  <c r="J53" i="19"/>
  <c r="P52" i="19"/>
  <c r="O52" i="19"/>
  <c r="N52" i="19"/>
  <c r="M52" i="19"/>
  <c r="L52" i="19"/>
  <c r="K52" i="19"/>
  <c r="J52" i="19"/>
  <c r="P51" i="19"/>
  <c r="O51" i="19"/>
  <c r="N51" i="19"/>
  <c r="M51" i="19"/>
  <c r="L51" i="19"/>
  <c r="K51" i="19"/>
  <c r="J51" i="19"/>
  <c r="P50" i="19"/>
  <c r="O50" i="19"/>
  <c r="N50" i="19"/>
  <c r="M50" i="19"/>
  <c r="L50" i="19"/>
  <c r="K50" i="19"/>
  <c r="J50" i="19"/>
  <c r="P49" i="19"/>
  <c r="O49" i="19"/>
  <c r="N49" i="19"/>
  <c r="M49" i="19"/>
  <c r="L49" i="19"/>
  <c r="K49" i="19"/>
  <c r="J49" i="19"/>
  <c r="P48" i="19"/>
  <c r="O48" i="19"/>
  <c r="N48" i="19"/>
  <c r="M48" i="19"/>
  <c r="L48" i="19"/>
  <c r="K48" i="19"/>
  <c r="J48" i="19"/>
  <c r="P47" i="19"/>
  <c r="O47" i="19"/>
  <c r="N47" i="19"/>
  <c r="M47" i="19"/>
  <c r="L47" i="19"/>
  <c r="K47" i="19"/>
  <c r="J47" i="19"/>
  <c r="P46" i="19"/>
  <c r="O46" i="19"/>
  <c r="N46" i="19"/>
  <c r="M46" i="19"/>
  <c r="L46" i="19"/>
  <c r="K46" i="19"/>
  <c r="J46" i="19"/>
  <c r="P45" i="19"/>
  <c r="O45" i="19"/>
  <c r="N45" i="19"/>
  <c r="M45" i="19"/>
  <c r="L45" i="19"/>
  <c r="K45" i="19"/>
  <c r="J45" i="19"/>
  <c r="P44" i="19"/>
  <c r="O44" i="19"/>
  <c r="N44" i="19"/>
  <c r="M44" i="19"/>
  <c r="L44" i="19"/>
  <c r="K44" i="19"/>
  <c r="J44" i="19"/>
  <c r="P43" i="19"/>
  <c r="O43" i="19"/>
  <c r="N43" i="19"/>
  <c r="M43" i="19"/>
  <c r="L43" i="19"/>
  <c r="K43" i="19"/>
  <c r="J43" i="19"/>
  <c r="P42" i="19"/>
  <c r="O42" i="19"/>
  <c r="N42" i="19"/>
  <c r="M42" i="19"/>
  <c r="L42" i="19"/>
  <c r="K42" i="19"/>
  <c r="J42" i="19"/>
  <c r="P35" i="19"/>
  <c r="O35" i="19"/>
  <c r="N35" i="19"/>
  <c r="M35" i="19"/>
  <c r="L35" i="19"/>
  <c r="K35" i="19"/>
  <c r="J35" i="19"/>
  <c r="P34" i="19"/>
  <c r="O34" i="19"/>
  <c r="N34" i="19"/>
  <c r="M34" i="19"/>
  <c r="L34" i="19"/>
  <c r="K34" i="19"/>
  <c r="J34" i="19"/>
  <c r="P33" i="19"/>
  <c r="O33" i="19"/>
  <c r="N33" i="19"/>
  <c r="M33" i="19"/>
  <c r="L33" i="19"/>
  <c r="K33" i="19"/>
  <c r="J33" i="19"/>
  <c r="P32" i="19"/>
  <c r="O32" i="19"/>
  <c r="N32" i="19"/>
  <c r="M32" i="19"/>
  <c r="L32" i="19"/>
  <c r="K32" i="19"/>
  <c r="J32" i="19"/>
  <c r="P31" i="19"/>
  <c r="O31" i="19"/>
  <c r="N31" i="19"/>
  <c r="M31" i="19"/>
  <c r="L31" i="19"/>
  <c r="K31" i="19"/>
  <c r="J31" i="19"/>
  <c r="P30" i="19"/>
  <c r="O30" i="19"/>
  <c r="N30" i="19"/>
  <c r="M30" i="19"/>
  <c r="L30" i="19"/>
  <c r="K30" i="19"/>
  <c r="J30" i="19"/>
  <c r="P29" i="19"/>
  <c r="O29" i="19"/>
  <c r="N29" i="19"/>
  <c r="M29" i="19"/>
  <c r="L29" i="19"/>
  <c r="K29" i="19"/>
  <c r="J29" i="19"/>
  <c r="P28" i="19"/>
  <c r="O28" i="19"/>
  <c r="N28" i="19"/>
  <c r="M28" i="19"/>
  <c r="L28" i="19"/>
  <c r="K28" i="19"/>
  <c r="J28" i="19"/>
  <c r="P27" i="19"/>
  <c r="O27" i="19"/>
  <c r="N27" i="19"/>
  <c r="M27" i="19"/>
  <c r="L27" i="19"/>
  <c r="K27" i="19"/>
  <c r="J27" i="19"/>
  <c r="P26" i="19"/>
  <c r="O26" i="19"/>
  <c r="N26" i="19"/>
  <c r="M26" i="19"/>
  <c r="L26" i="19"/>
  <c r="K26" i="19"/>
  <c r="J26" i="19"/>
  <c r="P25" i="19"/>
  <c r="O25" i="19"/>
  <c r="N25" i="19"/>
  <c r="M25" i="19"/>
  <c r="L25" i="19"/>
  <c r="K25" i="19"/>
  <c r="J25" i="19"/>
  <c r="P24" i="19"/>
  <c r="O24" i="19"/>
  <c r="N24" i="19"/>
  <c r="M24" i="19"/>
  <c r="L24" i="19"/>
  <c r="K24" i="19"/>
  <c r="J24" i="19"/>
  <c r="P23" i="19"/>
  <c r="O23" i="19"/>
  <c r="N23" i="19"/>
  <c r="M23" i="19"/>
  <c r="L23" i="19"/>
  <c r="K23" i="19"/>
  <c r="J23" i="19"/>
  <c r="P22" i="19"/>
  <c r="O22" i="19"/>
  <c r="N22" i="19"/>
  <c r="M22" i="19"/>
  <c r="L22" i="19"/>
  <c r="K22" i="19"/>
  <c r="J22" i="19"/>
  <c r="P21" i="19"/>
  <c r="O21" i="19"/>
  <c r="N21" i="19"/>
  <c r="M21" i="19"/>
  <c r="L21" i="19"/>
  <c r="K21" i="19"/>
  <c r="J21" i="19"/>
  <c r="P20" i="19"/>
  <c r="O20" i="19"/>
  <c r="N20" i="19"/>
  <c r="M20" i="19"/>
  <c r="L20" i="19"/>
  <c r="K20" i="19"/>
  <c r="J20" i="19"/>
  <c r="P19" i="19"/>
  <c r="O19" i="19"/>
  <c r="N19" i="19"/>
  <c r="M19" i="19"/>
  <c r="L19" i="19"/>
  <c r="K19" i="19"/>
  <c r="J19" i="19"/>
  <c r="P18" i="19"/>
  <c r="O18" i="19"/>
  <c r="N18" i="19"/>
  <c r="M18" i="19"/>
  <c r="L18" i="19"/>
  <c r="K18" i="19"/>
  <c r="J18" i="19"/>
  <c r="P17" i="19"/>
  <c r="O17" i="19"/>
  <c r="N17" i="19"/>
  <c r="M17" i="19"/>
  <c r="L17" i="19"/>
  <c r="K17" i="19"/>
  <c r="J17" i="19"/>
  <c r="P16" i="19"/>
  <c r="O16" i="19"/>
  <c r="N16" i="19"/>
  <c r="M16" i="19"/>
  <c r="L16" i="19"/>
  <c r="K16" i="19"/>
  <c r="J16" i="19"/>
  <c r="H187" i="18"/>
  <c r="H186" i="18"/>
  <c r="H185" i="18"/>
  <c r="H184" i="18"/>
  <c r="H183" i="18"/>
  <c r="M182" i="18"/>
  <c r="L182" i="18"/>
  <c r="K182" i="18"/>
  <c r="J182" i="18"/>
  <c r="I182" i="18"/>
  <c r="H182" i="18"/>
  <c r="M181" i="18"/>
  <c r="L181" i="18"/>
  <c r="K181" i="18"/>
  <c r="J181" i="18"/>
  <c r="I181" i="18"/>
  <c r="H181" i="18"/>
  <c r="M180" i="18"/>
  <c r="L180" i="18"/>
  <c r="K180" i="18"/>
  <c r="J180" i="18"/>
  <c r="I180" i="18"/>
  <c r="H180" i="18"/>
  <c r="M179" i="18"/>
  <c r="L179" i="18"/>
  <c r="K179" i="18"/>
  <c r="J179" i="18"/>
  <c r="I179" i="18"/>
  <c r="H179" i="18"/>
  <c r="M178" i="18"/>
  <c r="L178" i="18"/>
  <c r="K178" i="18"/>
  <c r="J178" i="18"/>
  <c r="I178" i="18"/>
  <c r="H178" i="18"/>
  <c r="M177" i="18"/>
  <c r="L177" i="18"/>
  <c r="K177" i="18"/>
  <c r="J177" i="18"/>
  <c r="I177" i="18"/>
  <c r="H177" i="18"/>
  <c r="M176" i="18"/>
  <c r="L176" i="18"/>
  <c r="K176" i="18"/>
  <c r="J176" i="18"/>
  <c r="I176" i="18"/>
  <c r="H176" i="18"/>
  <c r="M175" i="18"/>
  <c r="L175" i="18"/>
  <c r="K175" i="18"/>
  <c r="J175" i="18"/>
  <c r="I175" i="18"/>
  <c r="H175" i="18"/>
  <c r="M174" i="18"/>
  <c r="L174" i="18"/>
  <c r="K174" i="18"/>
  <c r="J174" i="18"/>
  <c r="I174" i="18"/>
  <c r="H174" i="18"/>
  <c r="M173" i="18"/>
  <c r="L173" i="18"/>
  <c r="K173" i="18"/>
  <c r="J173" i="18"/>
  <c r="I173" i="18"/>
  <c r="H173" i="18"/>
  <c r="M172" i="18"/>
  <c r="L172" i="18"/>
  <c r="K172" i="18"/>
  <c r="J172" i="18"/>
  <c r="I172" i="18"/>
  <c r="H172" i="18"/>
  <c r="M171" i="18"/>
  <c r="L171" i="18"/>
  <c r="K171" i="18"/>
  <c r="J171" i="18"/>
  <c r="I171" i="18"/>
  <c r="H171" i="18"/>
  <c r="M170" i="18"/>
  <c r="L170" i="18"/>
  <c r="K170" i="18"/>
  <c r="J170" i="18"/>
  <c r="I170" i="18"/>
  <c r="H170" i="18"/>
  <c r="M169" i="18"/>
  <c r="L169" i="18"/>
  <c r="K169" i="18"/>
  <c r="J169" i="18"/>
  <c r="I169" i="18"/>
  <c r="H169" i="18"/>
  <c r="H161" i="18"/>
  <c r="H160" i="18"/>
  <c r="H159" i="18"/>
  <c r="H158" i="18"/>
  <c r="H157" i="18"/>
  <c r="M156" i="18"/>
  <c r="L156" i="18"/>
  <c r="K156" i="18"/>
  <c r="J156" i="18"/>
  <c r="I156" i="18"/>
  <c r="H156" i="18"/>
  <c r="M155" i="18"/>
  <c r="L155" i="18"/>
  <c r="K155" i="18"/>
  <c r="J155" i="18"/>
  <c r="I155" i="18"/>
  <c r="H155" i="18"/>
  <c r="M154" i="18"/>
  <c r="L154" i="18"/>
  <c r="K154" i="18"/>
  <c r="J154" i="18"/>
  <c r="I154" i="18"/>
  <c r="H154" i="18"/>
  <c r="M153" i="18"/>
  <c r="L153" i="18"/>
  <c r="K153" i="18"/>
  <c r="J153" i="18"/>
  <c r="I153" i="18"/>
  <c r="H153" i="18"/>
  <c r="M152" i="18"/>
  <c r="L152" i="18"/>
  <c r="K152" i="18"/>
  <c r="J152" i="18"/>
  <c r="I152" i="18"/>
  <c r="H152" i="18"/>
  <c r="M151" i="18"/>
  <c r="L151" i="18"/>
  <c r="K151" i="18"/>
  <c r="J151" i="18"/>
  <c r="I151" i="18"/>
  <c r="H151" i="18"/>
  <c r="M150" i="18"/>
  <c r="L150" i="18"/>
  <c r="K150" i="18"/>
  <c r="J150" i="18"/>
  <c r="I150" i="18"/>
  <c r="H150" i="18"/>
  <c r="M149" i="18"/>
  <c r="L149" i="18"/>
  <c r="K149" i="18"/>
  <c r="J149" i="18"/>
  <c r="I149" i="18"/>
  <c r="H149" i="18"/>
  <c r="M148" i="18"/>
  <c r="L148" i="18"/>
  <c r="K148" i="18"/>
  <c r="J148" i="18"/>
  <c r="I148" i="18"/>
  <c r="H148" i="18"/>
  <c r="M147" i="18"/>
  <c r="L147" i="18"/>
  <c r="K147" i="18"/>
  <c r="J147" i="18"/>
  <c r="I147" i="18"/>
  <c r="H147" i="18"/>
  <c r="M146" i="18"/>
  <c r="L146" i="18"/>
  <c r="K146" i="18"/>
  <c r="J146" i="18"/>
  <c r="I146" i="18"/>
  <c r="H146" i="18"/>
  <c r="M145" i="18"/>
  <c r="L145" i="18"/>
  <c r="K145" i="18"/>
  <c r="J145" i="18"/>
  <c r="I145" i="18"/>
  <c r="H145" i="18"/>
  <c r="M144" i="18"/>
  <c r="L144" i="18"/>
  <c r="K144" i="18"/>
  <c r="J144" i="18"/>
  <c r="I144" i="18"/>
  <c r="H144" i="18"/>
  <c r="M143" i="18"/>
  <c r="L143" i="18"/>
  <c r="K143" i="18"/>
  <c r="J143" i="18"/>
  <c r="I143" i="18"/>
  <c r="H143" i="18"/>
  <c r="M135" i="18"/>
  <c r="L135" i="18"/>
  <c r="K135" i="18"/>
  <c r="J135" i="18"/>
  <c r="I135" i="18"/>
  <c r="H135" i="18"/>
  <c r="M134" i="18"/>
  <c r="L134" i="18"/>
  <c r="K134" i="18"/>
  <c r="J134" i="18"/>
  <c r="I134" i="18"/>
  <c r="H134" i="18"/>
  <c r="M133" i="18"/>
  <c r="L133" i="18"/>
  <c r="K133" i="18"/>
  <c r="J133" i="18"/>
  <c r="I133" i="18"/>
  <c r="H133" i="18"/>
  <c r="M132" i="18"/>
  <c r="L132" i="18"/>
  <c r="K132" i="18"/>
  <c r="J132" i="18"/>
  <c r="I132" i="18"/>
  <c r="H132" i="18"/>
  <c r="M131" i="18"/>
  <c r="L131" i="18"/>
  <c r="K131" i="18"/>
  <c r="J131" i="18"/>
  <c r="I131" i="18"/>
  <c r="H131" i="18"/>
  <c r="M130" i="18"/>
  <c r="L130" i="18"/>
  <c r="K130" i="18"/>
  <c r="J130" i="18"/>
  <c r="I130" i="18"/>
  <c r="H130" i="18"/>
  <c r="M129" i="18"/>
  <c r="L129" i="18"/>
  <c r="K129" i="18"/>
  <c r="J129" i="18"/>
  <c r="I129" i="18"/>
  <c r="H129" i="18"/>
  <c r="M128" i="18"/>
  <c r="L128" i="18"/>
  <c r="K128" i="18"/>
  <c r="J128" i="18"/>
  <c r="I128" i="18"/>
  <c r="H128" i="18"/>
  <c r="M127" i="18"/>
  <c r="L127" i="18"/>
  <c r="K127" i="18"/>
  <c r="J127" i="18"/>
  <c r="I127" i="18"/>
  <c r="H127" i="18"/>
  <c r="M126" i="18"/>
  <c r="L126" i="18"/>
  <c r="K126" i="18"/>
  <c r="J126" i="18"/>
  <c r="I126" i="18"/>
  <c r="H126" i="18"/>
  <c r="M125" i="18"/>
  <c r="L125" i="18"/>
  <c r="K125" i="18"/>
  <c r="J125" i="18"/>
  <c r="I125" i="18"/>
  <c r="H125" i="18"/>
  <c r="M124" i="18"/>
  <c r="L124" i="18"/>
  <c r="K124" i="18"/>
  <c r="J124" i="18"/>
  <c r="I124" i="18"/>
  <c r="H124" i="18"/>
  <c r="M123" i="18"/>
  <c r="L123" i="18"/>
  <c r="K123" i="18"/>
  <c r="J123" i="18"/>
  <c r="I123" i="18"/>
  <c r="H123" i="18"/>
  <c r="M122" i="18"/>
  <c r="L122" i="18"/>
  <c r="K122" i="18"/>
  <c r="J122" i="18"/>
  <c r="I122" i="18"/>
  <c r="H122" i="18"/>
  <c r="M121" i="18"/>
  <c r="L121" i="18"/>
  <c r="K121" i="18"/>
  <c r="J121" i="18"/>
  <c r="I121" i="18"/>
  <c r="H121" i="18"/>
  <c r="M120" i="18"/>
  <c r="L120" i="18"/>
  <c r="K120" i="18"/>
  <c r="J120" i="18"/>
  <c r="I120" i="18"/>
  <c r="H120" i="18"/>
  <c r="M119" i="18"/>
  <c r="L119" i="18"/>
  <c r="K119" i="18"/>
  <c r="J119" i="18"/>
  <c r="I119" i="18"/>
  <c r="H119" i="18"/>
  <c r="M118" i="18"/>
  <c r="L118" i="18"/>
  <c r="K118" i="18"/>
  <c r="J118" i="18"/>
  <c r="I118" i="18"/>
  <c r="H118" i="18"/>
  <c r="M117" i="18"/>
  <c r="L117" i="18"/>
  <c r="K117" i="18"/>
  <c r="J117" i="18"/>
  <c r="I117" i="18"/>
  <c r="H117" i="18"/>
  <c r="M109" i="18"/>
  <c r="L109" i="18"/>
  <c r="K109" i="18"/>
  <c r="J109" i="18"/>
  <c r="I109" i="18"/>
  <c r="H109" i="18"/>
  <c r="M108" i="18"/>
  <c r="L108" i="18"/>
  <c r="K108" i="18"/>
  <c r="J108" i="18"/>
  <c r="I108" i="18"/>
  <c r="H108" i="18"/>
  <c r="M107" i="18"/>
  <c r="L107" i="18"/>
  <c r="K107" i="18"/>
  <c r="J107" i="18"/>
  <c r="I107" i="18"/>
  <c r="H107" i="18"/>
  <c r="M106" i="18"/>
  <c r="L106" i="18"/>
  <c r="K106" i="18"/>
  <c r="J106" i="18"/>
  <c r="I106" i="18"/>
  <c r="H106" i="18"/>
  <c r="M105" i="18"/>
  <c r="L105" i="18"/>
  <c r="K105" i="18"/>
  <c r="J105" i="18"/>
  <c r="I105" i="18"/>
  <c r="H105" i="18"/>
  <c r="M104" i="18"/>
  <c r="L104" i="18"/>
  <c r="K104" i="18"/>
  <c r="J104" i="18"/>
  <c r="I104" i="18"/>
  <c r="H104" i="18"/>
  <c r="M103" i="18"/>
  <c r="L103" i="18"/>
  <c r="K103" i="18"/>
  <c r="J103" i="18"/>
  <c r="I103" i="18"/>
  <c r="H103" i="18"/>
  <c r="M102" i="18"/>
  <c r="L102" i="18"/>
  <c r="K102" i="18"/>
  <c r="J102" i="18"/>
  <c r="I102" i="18"/>
  <c r="H102" i="18"/>
  <c r="M101" i="18"/>
  <c r="L101" i="18"/>
  <c r="K101" i="18"/>
  <c r="J101" i="18"/>
  <c r="I101" i="18"/>
  <c r="H101" i="18"/>
  <c r="M100" i="18"/>
  <c r="L100" i="18"/>
  <c r="K100" i="18"/>
  <c r="J100" i="18"/>
  <c r="I100" i="18"/>
  <c r="H100" i="18"/>
  <c r="M99" i="18"/>
  <c r="L99" i="18"/>
  <c r="K99" i="18"/>
  <c r="J99" i="18"/>
  <c r="I99" i="18"/>
  <c r="H99" i="18"/>
  <c r="M98" i="18"/>
  <c r="L98" i="18"/>
  <c r="K98" i="18"/>
  <c r="J98" i="18"/>
  <c r="I98" i="18"/>
  <c r="H98" i="18"/>
  <c r="M97" i="18"/>
  <c r="L97" i="18"/>
  <c r="K97" i="18"/>
  <c r="J97" i="18"/>
  <c r="I97" i="18"/>
  <c r="H97" i="18"/>
  <c r="M96" i="18"/>
  <c r="L96" i="18"/>
  <c r="K96" i="18"/>
  <c r="J96" i="18"/>
  <c r="I96" i="18"/>
  <c r="H96" i="18"/>
  <c r="M95" i="18"/>
  <c r="L95" i="18"/>
  <c r="K95" i="18"/>
  <c r="J95" i="18"/>
  <c r="I95" i="18"/>
  <c r="H95" i="18"/>
  <c r="M94" i="18"/>
  <c r="L94" i="18"/>
  <c r="K94" i="18"/>
  <c r="J94" i="18"/>
  <c r="I94" i="18"/>
  <c r="H94" i="18"/>
  <c r="M93" i="18"/>
  <c r="L93" i="18"/>
  <c r="K93" i="18"/>
  <c r="J93" i="18"/>
  <c r="I93" i="18"/>
  <c r="H93" i="18"/>
  <c r="M92" i="18"/>
  <c r="L92" i="18"/>
  <c r="K92" i="18"/>
  <c r="J92" i="18"/>
  <c r="I92" i="18"/>
  <c r="H92" i="18"/>
  <c r="M91" i="18"/>
  <c r="L91" i="18"/>
  <c r="K91" i="18"/>
  <c r="J91" i="18"/>
  <c r="I91" i="18"/>
  <c r="H91" i="18"/>
  <c r="M90" i="18"/>
  <c r="L90" i="18"/>
  <c r="K90" i="18"/>
  <c r="J90" i="18"/>
  <c r="I90" i="18"/>
  <c r="H90" i="18"/>
  <c r="M82" i="18"/>
  <c r="L82" i="18"/>
  <c r="K82" i="18"/>
  <c r="J82" i="18"/>
  <c r="I82" i="18"/>
  <c r="H82" i="18"/>
  <c r="M81" i="18"/>
  <c r="L81" i="18"/>
  <c r="K81" i="18"/>
  <c r="J81" i="18"/>
  <c r="I81" i="18"/>
  <c r="H81" i="18"/>
  <c r="M80" i="18"/>
  <c r="L80" i="18"/>
  <c r="K80" i="18"/>
  <c r="J80" i="18"/>
  <c r="I80" i="18"/>
  <c r="H80" i="18"/>
  <c r="M79" i="18"/>
  <c r="L79" i="18"/>
  <c r="K79" i="18"/>
  <c r="J79" i="18"/>
  <c r="I79" i="18"/>
  <c r="H79" i="18"/>
  <c r="M78" i="18"/>
  <c r="L78" i="18"/>
  <c r="K78" i="18"/>
  <c r="J78" i="18"/>
  <c r="I78" i="18"/>
  <c r="H78" i="18"/>
  <c r="M77" i="18"/>
  <c r="L77" i="18"/>
  <c r="K77" i="18"/>
  <c r="J77" i="18"/>
  <c r="I77" i="18"/>
  <c r="H77" i="18"/>
  <c r="M76" i="18"/>
  <c r="L76" i="18"/>
  <c r="K76" i="18"/>
  <c r="J76" i="18"/>
  <c r="I76" i="18"/>
  <c r="H76" i="18"/>
  <c r="M75" i="18"/>
  <c r="L75" i="18"/>
  <c r="K75" i="18"/>
  <c r="J75" i="18"/>
  <c r="I75" i="18"/>
  <c r="H75" i="18"/>
  <c r="M74" i="18"/>
  <c r="L74" i="18"/>
  <c r="K74" i="18"/>
  <c r="J74" i="18"/>
  <c r="I74" i="18"/>
  <c r="H74" i="18"/>
  <c r="M73" i="18"/>
  <c r="L73" i="18"/>
  <c r="K73" i="18"/>
  <c r="J73" i="18"/>
  <c r="I73" i="18"/>
  <c r="H73" i="18"/>
  <c r="M72" i="18"/>
  <c r="L72" i="18"/>
  <c r="K72" i="18"/>
  <c r="J72" i="18"/>
  <c r="I72" i="18"/>
  <c r="H72" i="18"/>
  <c r="M71" i="18"/>
  <c r="L71" i="18"/>
  <c r="K71" i="18"/>
  <c r="J71" i="18"/>
  <c r="I71" i="18"/>
  <c r="H71" i="18"/>
  <c r="M70" i="18"/>
  <c r="L70" i="18"/>
  <c r="K70" i="18"/>
  <c r="J70" i="18"/>
  <c r="I70" i="18"/>
  <c r="H70" i="18"/>
  <c r="M69" i="18"/>
  <c r="L69" i="18"/>
  <c r="K69" i="18"/>
  <c r="J69" i="18"/>
  <c r="I69" i="18"/>
  <c r="H69" i="18"/>
  <c r="M68" i="18"/>
  <c r="L68" i="18"/>
  <c r="K68" i="18"/>
  <c r="J68" i="18"/>
  <c r="I68" i="18"/>
  <c r="H68" i="18"/>
  <c r="M67" i="18"/>
  <c r="L67" i="18"/>
  <c r="K67" i="18"/>
  <c r="J67" i="18"/>
  <c r="I67" i="18"/>
  <c r="H67" i="18"/>
  <c r="M66" i="18"/>
  <c r="L66" i="18"/>
  <c r="K66" i="18"/>
  <c r="J66" i="18"/>
  <c r="I66" i="18"/>
  <c r="H66" i="18"/>
  <c r="M65" i="18"/>
  <c r="L65" i="18"/>
  <c r="K65" i="18"/>
  <c r="J65" i="18"/>
  <c r="I65" i="18"/>
  <c r="H65" i="18"/>
  <c r="M64" i="18"/>
  <c r="L64" i="18"/>
  <c r="K64" i="18"/>
  <c r="J64" i="18"/>
  <c r="I64" i="18"/>
  <c r="H64" i="18"/>
  <c r="M63" i="18"/>
  <c r="L63" i="18"/>
  <c r="K63" i="18"/>
  <c r="J63" i="18"/>
  <c r="I63" i="18"/>
  <c r="H63" i="18"/>
  <c r="M55" i="18"/>
  <c r="L55" i="18"/>
  <c r="K55" i="18"/>
  <c r="J55" i="18"/>
  <c r="I55" i="18"/>
  <c r="H55" i="18"/>
  <c r="M54" i="18"/>
  <c r="L54" i="18"/>
  <c r="K54" i="18"/>
  <c r="J54" i="18"/>
  <c r="I54" i="18"/>
  <c r="H54" i="18"/>
  <c r="M53" i="18"/>
  <c r="L53" i="18"/>
  <c r="K53" i="18"/>
  <c r="J53" i="18"/>
  <c r="I53" i="18"/>
  <c r="H53" i="18"/>
  <c r="M52" i="18"/>
  <c r="L52" i="18"/>
  <c r="K52" i="18"/>
  <c r="J52" i="18"/>
  <c r="I52" i="18"/>
  <c r="H52" i="18"/>
  <c r="M51" i="18"/>
  <c r="L51" i="18"/>
  <c r="K51" i="18"/>
  <c r="J51" i="18"/>
  <c r="I51" i="18"/>
  <c r="H51" i="18"/>
  <c r="M50" i="18"/>
  <c r="L50" i="18"/>
  <c r="K50" i="18"/>
  <c r="J50" i="18"/>
  <c r="I50" i="18"/>
  <c r="H50" i="18"/>
  <c r="M49" i="18"/>
  <c r="L49" i="18"/>
  <c r="K49" i="18"/>
  <c r="J49" i="18"/>
  <c r="I49" i="18"/>
  <c r="H49" i="18"/>
  <c r="M48" i="18"/>
  <c r="L48" i="18"/>
  <c r="K48" i="18"/>
  <c r="J48" i="18"/>
  <c r="I48" i="18"/>
  <c r="H48" i="18"/>
  <c r="M47" i="18"/>
  <c r="L47" i="18"/>
  <c r="K47" i="18"/>
  <c r="J47" i="18"/>
  <c r="I47" i="18"/>
  <c r="H47" i="18"/>
  <c r="M46" i="18"/>
  <c r="L46" i="18"/>
  <c r="K46" i="18"/>
  <c r="J46" i="18"/>
  <c r="I46" i="18"/>
  <c r="H46" i="18"/>
  <c r="M45" i="18"/>
  <c r="L45" i="18"/>
  <c r="K45" i="18"/>
  <c r="J45" i="18"/>
  <c r="I45" i="18"/>
  <c r="H45" i="18"/>
  <c r="M44" i="18"/>
  <c r="L44" i="18"/>
  <c r="K44" i="18"/>
  <c r="J44" i="18"/>
  <c r="I44" i="18"/>
  <c r="H44" i="18"/>
  <c r="M43" i="18"/>
  <c r="L43" i="18"/>
  <c r="K43" i="18"/>
  <c r="J43" i="18"/>
  <c r="I43" i="18"/>
  <c r="H43" i="18"/>
  <c r="M42" i="18"/>
  <c r="L42" i="18"/>
  <c r="K42" i="18"/>
  <c r="J42" i="18"/>
  <c r="I42" i="18"/>
  <c r="H42" i="18"/>
  <c r="M41" i="18"/>
  <c r="L41" i="18"/>
  <c r="K41" i="18"/>
  <c r="J41" i="18"/>
  <c r="I41" i="18"/>
  <c r="H41" i="18"/>
  <c r="M40" i="18"/>
  <c r="L40" i="18"/>
  <c r="K40" i="18"/>
  <c r="J40" i="18"/>
  <c r="I40" i="18"/>
  <c r="H40" i="18"/>
  <c r="M39" i="18"/>
  <c r="L39" i="18"/>
  <c r="K39" i="18"/>
  <c r="J39" i="18"/>
  <c r="I39" i="18"/>
  <c r="H39" i="18"/>
  <c r="M38" i="18"/>
  <c r="L38" i="18"/>
  <c r="K38" i="18"/>
  <c r="J38" i="18"/>
  <c r="I38" i="18"/>
  <c r="H38" i="18"/>
  <c r="M37" i="18"/>
  <c r="L37" i="18"/>
  <c r="K37" i="18"/>
  <c r="J37" i="18"/>
  <c r="I37" i="18"/>
  <c r="H37" i="18"/>
  <c r="M36" i="18"/>
  <c r="L36" i="18"/>
  <c r="K36" i="18"/>
  <c r="J36" i="18"/>
  <c r="I36" i="18"/>
  <c r="H36" i="18"/>
  <c r="M28" i="18"/>
  <c r="L28" i="18"/>
  <c r="K28" i="18"/>
  <c r="J28" i="18"/>
  <c r="I28" i="18"/>
  <c r="H28" i="18"/>
  <c r="M27" i="18"/>
  <c r="L27" i="18"/>
  <c r="K27" i="18"/>
  <c r="J27" i="18"/>
  <c r="I27" i="18"/>
  <c r="H27" i="18"/>
  <c r="M26" i="18"/>
  <c r="L26" i="18"/>
  <c r="K26" i="18"/>
  <c r="J26" i="18"/>
  <c r="I26" i="18"/>
  <c r="H26" i="18"/>
  <c r="M25" i="18"/>
  <c r="L25" i="18"/>
  <c r="K25" i="18"/>
  <c r="J25" i="18"/>
  <c r="I25" i="18"/>
  <c r="H25" i="18"/>
  <c r="M24" i="18"/>
  <c r="L24" i="18"/>
  <c r="K24" i="18"/>
  <c r="J24" i="18"/>
  <c r="I24" i="18"/>
  <c r="H24" i="18"/>
  <c r="M23" i="18"/>
  <c r="L23" i="18"/>
  <c r="K23" i="18"/>
  <c r="J23" i="18"/>
  <c r="I23" i="18"/>
  <c r="H23" i="18"/>
  <c r="M22" i="18"/>
  <c r="L22" i="18"/>
  <c r="K22" i="18"/>
  <c r="J22" i="18"/>
  <c r="I22" i="18"/>
  <c r="H22" i="18"/>
  <c r="M21" i="18"/>
  <c r="L21" i="18"/>
  <c r="K21" i="18"/>
  <c r="J21" i="18"/>
  <c r="I21" i="18"/>
  <c r="H21" i="18"/>
  <c r="M20" i="18"/>
  <c r="L20" i="18"/>
  <c r="K20" i="18"/>
  <c r="J20" i="18"/>
  <c r="I20" i="18"/>
  <c r="H20" i="18"/>
  <c r="M19" i="18"/>
  <c r="L19" i="18"/>
  <c r="K19" i="18"/>
  <c r="J19" i="18"/>
  <c r="I19" i="18"/>
  <c r="H19" i="18"/>
  <c r="M18" i="18"/>
  <c r="L18" i="18"/>
  <c r="K18" i="18"/>
  <c r="J18" i="18"/>
  <c r="I18" i="18"/>
  <c r="H18" i="18"/>
  <c r="M17" i="18"/>
  <c r="L17" i="18"/>
  <c r="K17" i="18"/>
  <c r="J17" i="18"/>
  <c r="I17" i="18"/>
  <c r="H17" i="18"/>
  <c r="M16" i="18"/>
  <c r="L16" i="18"/>
  <c r="K16" i="18"/>
  <c r="J16" i="18"/>
  <c r="I16" i="18"/>
  <c r="H16" i="18"/>
  <c r="M15" i="18"/>
  <c r="L15" i="18"/>
  <c r="K15" i="18"/>
  <c r="J15" i="18"/>
  <c r="I15" i="18"/>
  <c r="H15" i="18"/>
  <c r="M14" i="18"/>
  <c r="L14" i="18"/>
  <c r="K14" i="18"/>
  <c r="J14" i="18"/>
  <c r="I14" i="18"/>
  <c r="H14" i="18"/>
  <c r="M13" i="18"/>
  <c r="L13" i="18"/>
  <c r="K13" i="18"/>
  <c r="J13" i="18"/>
  <c r="I13" i="18"/>
  <c r="H13" i="18"/>
  <c r="M12" i="18"/>
  <c r="L12" i="18"/>
  <c r="K12" i="18"/>
  <c r="J12" i="18"/>
  <c r="I12" i="18"/>
  <c r="H12" i="18"/>
  <c r="M11" i="18"/>
  <c r="L11" i="18"/>
  <c r="K11" i="18"/>
  <c r="J11" i="18"/>
  <c r="I11" i="18"/>
  <c r="H11" i="18"/>
  <c r="M10" i="18"/>
  <c r="L10" i="18"/>
  <c r="K10" i="18"/>
  <c r="J10" i="18"/>
  <c r="I10" i="18"/>
  <c r="H10" i="18"/>
  <c r="M9" i="18"/>
  <c r="L9" i="18"/>
  <c r="K9" i="18"/>
  <c r="J9" i="18"/>
  <c r="I9" i="18"/>
  <c r="H9" i="18"/>
  <c r="L10" i="14"/>
  <c r="M10" i="14"/>
  <c r="L5" i="14"/>
  <c r="M5" i="14"/>
  <c r="J10" i="14"/>
  <c r="I10" i="14"/>
  <c r="M18" i="14"/>
  <c r="N18" i="14"/>
  <c r="B6" i="14"/>
  <c r="B5" i="14"/>
  <c r="G3" i="14"/>
  <c r="G2" i="14"/>
  <c r="F10" i="14"/>
  <c r="F9" i="14"/>
  <c r="D10" i="14"/>
  <c r="D9" i="14"/>
  <c r="M25" i="14"/>
  <c r="K25" i="14"/>
  <c r="K27" i="14"/>
  <c r="L27" i="14"/>
  <c r="K18" i="14"/>
  <c r="K20" i="14"/>
  <c r="L20" i="14"/>
  <c r="F25" i="14"/>
  <c r="F27" i="14"/>
  <c r="G27" i="14"/>
  <c r="F18" i="14"/>
  <c r="F20" i="14"/>
  <c r="G20" i="14"/>
  <c r="L25" i="14"/>
  <c r="L18" i="14"/>
  <c r="B2" i="14"/>
  <c r="H25" i="14"/>
  <c r="I25" i="14"/>
  <c r="H18" i="14"/>
  <c r="I18" i="14"/>
  <c r="C62" i="13"/>
  <c r="C58" i="13"/>
  <c r="C54" i="13"/>
  <c r="C50" i="13"/>
  <c r="C46" i="13"/>
  <c r="C42" i="13"/>
  <c r="C38" i="13"/>
  <c r="C34" i="13"/>
  <c r="C30" i="13"/>
  <c r="C26" i="13"/>
  <c r="C22" i="13"/>
  <c r="C18" i="13"/>
  <c r="B1" i="13"/>
  <c r="K21" i="5"/>
  <c r="K22" i="5"/>
  <c r="K24" i="5"/>
  <c r="K25" i="5"/>
  <c r="K26" i="5"/>
  <c r="K27" i="5"/>
  <c r="K29" i="5"/>
  <c r="K30" i="5"/>
  <c r="K31" i="5"/>
  <c r="K32" i="5"/>
  <c r="K34" i="5"/>
  <c r="K35" i="5"/>
  <c r="K37" i="5"/>
  <c r="K20" i="5"/>
  <c r="K19" i="5"/>
  <c r="I37" i="5"/>
  <c r="J37" i="5"/>
  <c r="I35" i="5"/>
  <c r="J35" i="5"/>
  <c r="I34" i="5"/>
  <c r="J34" i="5"/>
  <c r="I32" i="5"/>
  <c r="J32" i="5"/>
  <c r="I31" i="5"/>
  <c r="J31" i="5"/>
  <c r="I30" i="5"/>
  <c r="J30" i="5"/>
  <c r="I29" i="5"/>
  <c r="J29" i="5"/>
  <c r="I27" i="5"/>
  <c r="J27" i="5"/>
  <c r="I21" i="5"/>
  <c r="J21" i="5"/>
  <c r="I22" i="5"/>
  <c r="J22" i="5"/>
  <c r="I24" i="5"/>
  <c r="J24" i="5"/>
  <c r="I25" i="5"/>
  <c r="J25" i="5"/>
  <c r="I26" i="5"/>
  <c r="J26" i="5"/>
  <c r="I20" i="5"/>
  <c r="J20" i="5"/>
  <c r="I19" i="5"/>
  <c r="J19" i="5"/>
  <c r="B1" i="5"/>
  <c r="M21" i="2"/>
  <c r="M22" i="2"/>
  <c r="M23" i="2"/>
  <c r="M25" i="2"/>
  <c r="M26" i="2"/>
  <c r="M27" i="2"/>
  <c r="M29" i="2"/>
  <c r="M31" i="2"/>
  <c r="M33" i="2"/>
  <c r="M19" i="2"/>
  <c r="K21" i="2"/>
  <c r="L21" i="2"/>
  <c r="K22" i="2"/>
  <c r="L22" i="2"/>
  <c r="K23" i="2"/>
  <c r="L23" i="2"/>
  <c r="K25" i="2"/>
  <c r="L25" i="2"/>
  <c r="K26" i="2"/>
  <c r="L26" i="2"/>
  <c r="K27" i="2"/>
  <c r="L27" i="2"/>
  <c r="K29" i="2"/>
  <c r="L29" i="2"/>
  <c r="K31" i="2"/>
  <c r="L31" i="2"/>
  <c r="K33" i="2"/>
  <c r="L33" i="2"/>
  <c r="K19" i="2"/>
  <c r="L19" i="2"/>
  <c r="B1" i="2"/>
  <c r="N22" i="6"/>
  <c r="N24" i="6"/>
  <c r="N25" i="6"/>
  <c r="N26" i="6"/>
  <c r="N27" i="6"/>
  <c r="N29" i="6"/>
  <c r="N30" i="6"/>
  <c r="N31" i="6"/>
  <c r="N32" i="6"/>
  <c r="N33" i="6"/>
  <c r="N35" i="6"/>
  <c r="N37" i="6"/>
  <c r="N38" i="6"/>
  <c r="N39" i="6"/>
  <c r="N41" i="6"/>
  <c r="N42" i="6"/>
  <c r="N44" i="6"/>
  <c r="N46" i="6"/>
  <c r="N48" i="6"/>
  <c r="N49" i="6"/>
  <c r="N51" i="6"/>
  <c r="N52" i="6"/>
  <c r="N54" i="6"/>
  <c r="N55" i="6"/>
  <c r="N57" i="6"/>
  <c r="N59" i="6"/>
  <c r="N60" i="6"/>
  <c r="N62" i="6"/>
  <c r="N63" i="6"/>
  <c r="N65" i="6"/>
  <c r="N66" i="6"/>
  <c r="N68" i="6"/>
  <c r="N21" i="6"/>
  <c r="N20" i="6"/>
  <c r="N19" i="6"/>
  <c r="L22" i="6"/>
  <c r="M22" i="6"/>
  <c r="L24" i="6"/>
  <c r="M24" i="6"/>
  <c r="L25" i="6"/>
  <c r="M25" i="6"/>
  <c r="L26" i="6"/>
  <c r="M26" i="6"/>
  <c r="L27" i="6"/>
  <c r="M27" i="6"/>
  <c r="L29" i="6"/>
  <c r="M29" i="6"/>
  <c r="L30" i="6"/>
  <c r="M30" i="6"/>
  <c r="L31" i="6"/>
  <c r="M31" i="6"/>
  <c r="L32" i="6"/>
  <c r="M32" i="6"/>
  <c r="L33" i="6"/>
  <c r="M33" i="6"/>
  <c r="L35" i="6"/>
  <c r="M35" i="6"/>
  <c r="L37" i="6"/>
  <c r="M37" i="6"/>
  <c r="L38" i="6"/>
  <c r="M38" i="6"/>
  <c r="L39" i="6"/>
  <c r="M39" i="6"/>
  <c r="L41" i="6"/>
  <c r="M41" i="6"/>
  <c r="L42" i="6"/>
  <c r="M42" i="6"/>
  <c r="L44" i="6"/>
  <c r="M44" i="6"/>
  <c r="L46" i="6"/>
  <c r="M46" i="6"/>
  <c r="L48" i="6"/>
  <c r="M48" i="6"/>
  <c r="L49" i="6"/>
  <c r="M49" i="6"/>
  <c r="L51" i="6"/>
  <c r="M51" i="6"/>
  <c r="L52" i="6"/>
  <c r="M52" i="6"/>
  <c r="L54" i="6"/>
  <c r="M54" i="6"/>
  <c r="L55" i="6"/>
  <c r="M55" i="6"/>
  <c r="L57" i="6"/>
  <c r="M57" i="6"/>
  <c r="L59" i="6"/>
  <c r="M59" i="6"/>
  <c r="L60" i="6"/>
  <c r="M60" i="6"/>
  <c r="L62" i="6"/>
  <c r="M62" i="6"/>
  <c r="L63" i="6"/>
  <c r="M63" i="6"/>
  <c r="L65" i="6"/>
  <c r="M65" i="6"/>
  <c r="L66" i="6"/>
  <c r="M66" i="6"/>
  <c r="L68" i="6"/>
  <c r="M68" i="6"/>
  <c r="L21" i="6"/>
  <c r="M21" i="6"/>
  <c r="L20" i="6"/>
  <c r="M20" i="6"/>
  <c r="L19" i="6"/>
  <c r="M19" i="6"/>
  <c r="K5" i="22"/>
  <c r="L5" i="22"/>
  <c r="F32" i="22"/>
  <c r="H32" i="22"/>
  <c r="G32" i="22"/>
  <c r="F29" i="22"/>
  <c r="G29" i="22"/>
  <c r="H29" i="22"/>
  <c r="AV25" i="22"/>
  <c r="AV26" i="22"/>
  <c r="F26" i="22"/>
  <c r="H26" i="22"/>
  <c r="I26" i="22"/>
  <c r="AW26" i="22"/>
  <c r="G26" i="22"/>
  <c r="F25" i="22"/>
  <c r="AW25" i="22"/>
  <c r="G25" i="22"/>
  <c r="F22" i="22"/>
  <c r="G22" i="22"/>
  <c r="H22" i="22"/>
  <c r="H19" i="22"/>
  <c r="F19" i="22"/>
  <c r="G19" i="22"/>
  <c r="F16" i="22"/>
  <c r="H16" i="22"/>
  <c r="G16" i="22"/>
  <c r="N268" i="12"/>
  <c r="N267" i="12"/>
  <c r="N266" i="12"/>
  <c r="N265" i="12"/>
  <c r="N264" i="12"/>
  <c r="N263" i="12"/>
  <c r="N262" i="12"/>
  <c r="N261" i="12"/>
  <c r="N260" i="12"/>
  <c r="N259" i="12"/>
  <c r="N258" i="12"/>
  <c r="N256" i="12"/>
  <c r="N255" i="12"/>
  <c r="N254" i="12"/>
  <c r="N253" i="12"/>
  <c r="N252" i="12"/>
  <c r="N251" i="12"/>
  <c r="N250" i="12"/>
  <c r="N249" i="12"/>
  <c r="N248" i="12"/>
  <c r="N247" i="12"/>
  <c r="N246" i="12"/>
  <c r="N245" i="12"/>
  <c r="N244" i="12"/>
  <c r="N243" i="12"/>
  <c r="N242" i="12"/>
  <c r="N241" i="12"/>
  <c r="N240" i="12"/>
  <c r="N239" i="12"/>
  <c r="N238" i="12"/>
  <c r="N236" i="12"/>
  <c r="N235" i="12"/>
  <c r="N234" i="12"/>
  <c r="N233" i="12"/>
  <c r="N232" i="12"/>
  <c r="N231" i="12"/>
  <c r="N230" i="12"/>
  <c r="N229" i="12"/>
  <c r="N228" i="12"/>
  <c r="N227" i="12"/>
  <c r="N226" i="12"/>
  <c r="N225" i="12"/>
  <c r="N224" i="12"/>
  <c r="N223" i="12"/>
  <c r="N222" i="12"/>
  <c r="N221" i="12"/>
  <c r="N219" i="12"/>
  <c r="N218" i="12"/>
  <c r="N217" i="12"/>
  <c r="N216" i="12"/>
  <c r="N215" i="12"/>
  <c r="N214" i="12"/>
  <c r="N213" i="12"/>
  <c r="N212" i="12"/>
  <c r="N211" i="12"/>
  <c r="N210" i="12"/>
  <c r="N209" i="12"/>
  <c r="G209" i="12"/>
  <c r="N208" i="12"/>
  <c r="G208" i="12"/>
  <c r="N207" i="12"/>
  <c r="G207" i="12"/>
  <c r="N206" i="12"/>
  <c r="G206" i="12"/>
  <c r="N205" i="12"/>
  <c r="G205" i="12"/>
  <c r="N204" i="12"/>
  <c r="G204" i="12"/>
  <c r="G203" i="12"/>
  <c r="N202" i="12"/>
  <c r="G202" i="12"/>
  <c r="N201" i="12"/>
  <c r="G201" i="12"/>
  <c r="N200" i="12"/>
  <c r="G200" i="12"/>
  <c r="N199" i="12"/>
  <c r="G199" i="12"/>
  <c r="N198" i="12"/>
  <c r="G198" i="12"/>
  <c r="N197" i="12"/>
  <c r="G197" i="12"/>
  <c r="N196" i="12"/>
  <c r="G196" i="12"/>
  <c r="N195" i="12"/>
  <c r="G195" i="12"/>
  <c r="N194" i="12"/>
  <c r="G194" i="12"/>
  <c r="N193" i="12"/>
  <c r="G193" i="12"/>
  <c r="N192" i="12"/>
  <c r="G192" i="12"/>
  <c r="N191" i="12"/>
  <c r="G191" i="12"/>
  <c r="N190" i="12"/>
  <c r="G190" i="12"/>
  <c r="N189" i="12"/>
  <c r="G189" i="12"/>
  <c r="N188" i="12"/>
  <c r="G188" i="12"/>
  <c r="N187" i="12"/>
  <c r="G187" i="12"/>
  <c r="N186" i="12"/>
  <c r="G186" i="12"/>
  <c r="N185" i="12"/>
  <c r="G185" i="12"/>
  <c r="N184" i="12"/>
  <c r="G184" i="12"/>
  <c r="G183" i="12"/>
  <c r="N182" i="12"/>
  <c r="G182" i="12"/>
  <c r="N181" i="12"/>
  <c r="G181" i="12"/>
  <c r="N180" i="12"/>
  <c r="N179" i="12"/>
  <c r="G179" i="12"/>
  <c r="N178" i="12"/>
  <c r="G178" i="12"/>
  <c r="N177" i="12"/>
  <c r="G177" i="12"/>
  <c r="N176" i="12"/>
  <c r="G176" i="12"/>
  <c r="N175" i="12"/>
  <c r="G175" i="12"/>
  <c r="N174" i="12"/>
  <c r="G174" i="12"/>
  <c r="N173" i="12"/>
  <c r="G173" i="12"/>
  <c r="N172" i="12"/>
  <c r="G172" i="12"/>
  <c r="N171" i="12"/>
  <c r="G171" i="12"/>
  <c r="N170" i="12"/>
  <c r="G170" i="12"/>
  <c r="N169" i="12"/>
  <c r="G169" i="12"/>
  <c r="N168" i="12"/>
  <c r="G168" i="12"/>
  <c r="N167" i="12"/>
  <c r="G167" i="12"/>
  <c r="N166" i="12"/>
  <c r="G166" i="12"/>
  <c r="N165" i="12"/>
  <c r="G165" i="12"/>
  <c r="G164" i="12"/>
  <c r="N163" i="12"/>
  <c r="G163" i="12"/>
  <c r="N162" i="12"/>
  <c r="G162" i="12"/>
  <c r="N161" i="12"/>
  <c r="G161" i="12"/>
  <c r="N160" i="12"/>
  <c r="G160" i="12"/>
  <c r="N159" i="12"/>
  <c r="G159" i="12"/>
  <c r="N158" i="12"/>
  <c r="G158" i="12"/>
  <c r="N157" i="12"/>
  <c r="N156" i="12"/>
  <c r="G156" i="12"/>
  <c r="N155" i="12"/>
  <c r="G155" i="12"/>
  <c r="N154" i="12"/>
  <c r="G154" i="12"/>
  <c r="N153" i="12"/>
  <c r="G153" i="12"/>
  <c r="N152" i="12"/>
  <c r="G152" i="12"/>
  <c r="N151" i="12"/>
  <c r="G151" i="12"/>
  <c r="N150" i="12"/>
  <c r="G150" i="12"/>
  <c r="N149" i="12"/>
  <c r="G149" i="12"/>
  <c r="N148" i="12"/>
  <c r="G148" i="12"/>
  <c r="N147" i="12"/>
  <c r="G147" i="12"/>
  <c r="N146" i="12"/>
  <c r="G146" i="12"/>
  <c r="N145" i="12"/>
  <c r="G145" i="12"/>
  <c r="N144" i="12"/>
  <c r="G144" i="12"/>
  <c r="N143" i="12"/>
  <c r="G143" i="12"/>
  <c r="N142" i="12"/>
  <c r="G142" i="12"/>
  <c r="N141" i="12"/>
  <c r="G141" i="12"/>
  <c r="N140" i="12"/>
  <c r="G140" i="12"/>
  <c r="N139" i="12"/>
  <c r="G139" i="12"/>
  <c r="N138" i="12"/>
  <c r="G138" i="12"/>
  <c r="N137" i="12"/>
  <c r="G137" i="12"/>
  <c r="G136" i="12"/>
  <c r="N135" i="12"/>
  <c r="G135" i="12"/>
  <c r="N134" i="12"/>
  <c r="G134" i="12"/>
  <c r="N133" i="12"/>
  <c r="G133" i="12"/>
  <c r="N132" i="12"/>
  <c r="N131" i="12"/>
  <c r="G131" i="12"/>
  <c r="N130" i="12"/>
  <c r="G130" i="12"/>
  <c r="N129" i="12"/>
  <c r="G129" i="12"/>
  <c r="N128" i="12"/>
  <c r="G128" i="12"/>
  <c r="N127" i="12"/>
  <c r="G127" i="12"/>
  <c r="N126" i="12"/>
  <c r="G126" i="12"/>
  <c r="N125" i="12"/>
  <c r="G125" i="12"/>
  <c r="N124" i="12"/>
  <c r="G124" i="12"/>
  <c r="N123" i="12"/>
  <c r="G123" i="12"/>
  <c r="N122" i="12"/>
  <c r="G122" i="12"/>
  <c r="N121" i="12"/>
  <c r="G121" i="12"/>
  <c r="N120" i="12"/>
  <c r="G120" i="12"/>
  <c r="N119" i="12"/>
  <c r="G119" i="12"/>
  <c r="N118" i="12"/>
  <c r="G118" i="12"/>
  <c r="N117" i="12"/>
  <c r="G117" i="12"/>
  <c r="G116" i="12"/>
  <c r="N115" i="12"/>
  <c r="G115" i="12"/>
  <c r="N114" i="12"/>
  <c r="N113" i="12"/>
  <c r="G113" i="12"/>
  <c r="N112" i="12"/>
  <c r="G112" i="12"/>
  <c r="N111" i="12"/>
  <c r="G111" i="12"/>
  <c r="N110" i="12"/>
  <c r="G110" i="12"/>
  <c r="N109" i="12"/>
  <c r="G109" i="12"/>
  <c r="N108" i="12"/>
  <c r="G108" i="12"/>
  <c r="N107" i="12"/>
  <c r="G107" i="12"/>
  <c r="N106" i="12"/>
  <c r="G106" i="12"/>
  <c r="N105" i="12"/>
  <c r="G105" i="12"/>
  <c r="N104" i="12"/>
  <c r="G104" i="12"/>
  <c r="N103" i="12"/>
  <c r="G103" i="12"/>
  <c r="N102" i="12"/>
  <c r="G102" i="12"/>
  <c r="N101" i="12"/>
  <c r="N100" i="12"/>
  <c r="G100" i="12"/>
  <c r="N99" i="12"/>
  <c r="G99" i="12"/>
  <c r="N98" i="12"/>
  <c r="G98" i="12"/>
  <c r="N97" i="12"/>
  <c r="G97" i="12"/>
  <c r="N96" i="12"/>
  <c r="G96" i="12"/>
  <c r="N95" i="12"/>
  <c r="G95" i="12"/>
  <c r="N94" i="12"/>
  <c r="G94" i="12"/>
  <c r="N93" i="12"/>
  <c r="G93" i="12"/>
  <c r="N92" i="12"/>
  <c r="G92" i="12"/>
  <c r="N91" i="12"/>
  <c r="G91" i="12"/>
  <c r="G90" i="12"/>
  <c r="N89" i="12"/>
  <c r="G89" i="12"/>
  <c r="N88" i="12"/>
  <c r="G88" i="12"/>
  <c r="N87" i="12"/>
  <c r="G87" i="12"/>
  <c r="N86" i="12"/>
  <c r="N85" i="12"/>
  <c r="G85" i="12"/>
  <c r="N84" i="12"/>
  <c r="G84" i="12"/>
  <c r="N83" i="12"/>
  <c r="G83" i="12"/>
  <c r="N82" i="12"/>
  <c r="G82" i="12"/>
  <c r="N81" i="12"/>
  <c r="G81" i="12"/>
  <c r="N80" i="12"/>
  <c r="G80" i="12"/>
  <c r="N79" i="12"/>
  <c r="G79" i="12"/>
  <c r="N78" i="12"/>
  <c r="G78" i="12"/>
  <c r="N77" i="12"/>
  <c r="G77" i="12"/>
  <c r="N76" i="12"/>
  <c r="N75" i="12"/>
  <c r="G75" i="12"/>
  <c r="N74" i="12"/>
  <c r="G74" i="12"/>
  <c r="N73" i="12"/>
  <c r="G73" i="12"/>
  <c r="N72" i="12"/>
  <c r="G72" i="12"/>
  <c r="N71" i="12"/>
  <c r="G71" i="12"/>
  <c r="N70" i="12"/>
  <c r="G70" i="12"/>
  <c r="N69" i="12"/>
  <c r="G69" i="12"/>
  <c r="N68" i="12"/>
  <c r="G68" i="12"/>
  <c r="N67" i="12"/>
  <c r="G67" i="12"/>
  <c r="N66" i="12"/>
  <c r="G66" i="12"/>
  <c r="N65" i="12"/>
  <c r="G64" i="12"/>
  <c r="N63" i="12"/>
  <c r="G63" i="12"/>
  <c r="N62" i="12"/>
  <c r="G62" i="12"/>
  <c r="N61" i="12"/>
  <c r="G61" i="12"/>
  <c r="N60" i="12"/>
  <c r="G60" i="12"/>
  <c r="N59" i="12"/>
  <c r="N58" i="12"/>
  <c r="G58" i="12"/>
  <c r="N57" i="12"/>
  <c r="G57" i="12"/>
  <c r="N56" i="12"/>
  <c r="G56" i="12"/>
  <c r="N55" i="12"/>
  <c r="G55" i="12"/>
  <c r="N54" i="12"/>
  <c r="G54" i="12"/>
  <c r="N53" i="12"/>
  <c r="G53" i="12"/>
  <c r="N52" i="12"/>
  <c r="N51" i="12"/>
  <c r="G51" i="12"/>
  <c r="N50" i="12"/>
  <c r="G50" i="12"/>
  <c r="N49" i="12"/>
  <c r="G49" i="12"/>
  <c r="N48" i="12"/>
  <c r="G48" i="12"/>
  <c r="N47" i="12"/>
  <c r="G47" i="12"/>
  <c r="N46" i="12"/>
  <c r="N45" i="12"/>
  <c r="G45" i="12"/>
  <c r="N44" i="12"/>
  <c r="G44" i="12"/>
  <c r="N43" i="12"/>
  <c r="G43" i="12"/>
  <c r="N42" i="12"/>
  <c r="G42" i="12"/>
  <c r="N41" i="12"/>
  <c r="G41" i="12"/>
  <c r="N40" i="12"/>
  <c r="N39" i="12"/>
  <c r="G39" i="12"/>
  <c r="N38" i="12"/>
  <c r="G38" i="12"/>
  <c r="N37" i="12"/>
  <c r="G37" i="12"/>
  <c r="G36" i="12"/>
  <c r="N35" i="12"/>
  <c r="G35" i="12"/>
  <c r="N34" i="12"/>
  <c r="N33" i="12"/>
  <c r="G33" i="12"/>
  <c r="N32" i="12"/>
  <c r="G32" i="12"/>
  <c r="N31" i="12"/>
  <c r="G31" i="12"/>
  <c r="N30" i="12"/>
  <c r="G30" i="12"/>
  <c r="N29" i="12"/>
  <c r="G29" i="12"/>
  <c r="N28" i="12"/>
  <c r="N27" i="12"/>
  <c r="G27" i="12"/>
  <c r="N26" i="12"/>
  <c r="G26" i="12"/>
  <c r="N25" i="12"/>
  <c r="G25" i="12"/>
  <c r="N24" i="12"/>
  <c r="G24" i="12"/>
  <c r="N23" i="12"/>
  <c r="G23" i="12"/>
  <c r="N22" i="12"/>
  <c r="N21" i="12"/>
  <c r="G21" i="12"/>
  <c r="N20" i="12"/>
  <c r="G20" i="12"/>
  <c r="N19" i="12"/>
  <c r="G19" i="12"/>
  <c r="N18" i="12"/>
  <c r="N17" i="12"/>
  <c r="G17" i="12"/>
  <c r="N16" i="12"/>
  <c r="G16" i="12"/>
  <c r="N15" i="12"/>
  <c r="G15" i="12"/>
  <c r="N14" i="12"/>
  <c r="N13" i="12"/>
  <c r="G13" i="12"/>
  <c r="N12" i="12"/>
  <c r="G12" i="12"/>
  <c r="N11" i="12"/>
  <c r="G11" i="12"/>
  <c r="O5" i="12"/>
  <c r="Z5" i="12"/>
  <c r="P5" i="12"/>
  <c r="L4" i="21"/>
  <c r="M4" i="21"/>
  <c r="I41" i="21"/>
  <c r="H41" i="21"/>
  <c r="F41" i="21"/>
  <c r="I38" i="21"/>
  <c r="H38" i="21"/>
  <c r="F38" i="21"/>
  <c r="I35" i="21"/>
  <c r="H35" i="21"/>
  <c r="F35" i="21"/>
  <c r="I32" i="21"/>
  <c r="F32" i="21"/>
  <c r="H32" i="21"/>
  <c r="I29" i="21"/>
  <c r="H29" i="21"/>
  <c r="F29" i="21"/>
  <c r="I26" i="21"/>
  <c r="H26" i="21"/>
  <c r="F26" i="21"/>
  <c r="I23" i="21"/>
  <c r="H23" i="21"/>
  <c r="F23" i="21"/>
  <c r="I20" i="21"/>
  <c r="H20" i="21"/>
  <c r="F20" i="21"/>
  <c r="H17" i="21"/>
  <c r="F17" i="21"/>
  <c r="I17" i="21"/>
  <c r="N63" i="4"/>
  <c r="N62" i="4"/>
  <c r="N60" i="4"/>
  <c r="N59" i="4"/>
  <c r="N57" i="4"/>
  <c r="N56" i="4"/>
  <c r="N54" i="4"/>
  <c r="N53" i="4"/>
  <c r="N51" i="4"/>
  <c r="N50" i="4"/>
  <c r="N48" i="4"/>
  <c r="N47" i="4"/>
  <c r="N45" i="4"/>
  <c r="N44" i="4"/>
  <c r="N42" i="4"/>
  <c r="N41" i="4"/>
  <c r="N39" i="4"/>
  <c r="N38" i="4"/>
  <c r="N36" i="4"/>
  <c r="N35" i="4"/>
  <c r="N33" i="4"/>
  <c r="N32" i="4"/>
  <c r="N30" i="4"/>
  <c r="N29" i="4"/>
  <c r="N27" i="4"/>
  <c r="N26" i="4"/>
  <c r="N24" i="4"/>
  <c r="N23" i="4"/>
  <c r="N22" i="4"/>
  <c r="N20" i="4"/>
  <c r="N19" i="4"/>
  <c r="L63" i="4"/>
  <c r="M63" i="4"/>
  <c r="L62" i="4"/>
  <c r="M62" i="4"/>
  <c r="L60" i="4"/>
  <c r="M60" i="4"/>
  <c r="L59" i="4"/>
  <c r="M59" i="4"/>
  <c r="L57" i="4"/>
  <c r="M57" i="4"/>
  <c r="L56" i="4"/>
  <c r="M56" i="4"/>
  <c r="L54" i="4"/>
  <c r="M54" i="4"/>
  <c r="L53" i="4"/>
  <c r="M53" i="4"/>
  <c r="L51" i="4"/>
  <c r="M51" i="4"/>
  <c r="L50" i="4"/>
  <c r="M50" i="4"/>
  <c r="L48" i="4"/>
  <c r="M48" i="4"/>
  <c r="L47" i="4"/>
  <c r="M47" i="4"/>
  <c r="L45" i="4"/>
  <c r="M45" i="4"/>
  <c r="L44" i="4"/>
  <c r="M44" i="4"/>
  <c r="L42" i="4"/>
  <c r="M42" i="4"/>
  <c r="L41" i="4"/>
  <c r="M41" i="4"/>
  <c r="L39" i="4"/>
  <c r="M39" i="4"/>
  <c r="L38" i="4"/>
  <c r="M38" i="4"/>
  <c r="L36" i="4"/>
  <c r="M36" i="4"/>
  <c r="L35" i="4"/>
  <c r="M35" i="4"/>
  <c r="L33" i="4"/>
  <c r="M33" i="4"/>
  <c r="L32" i="4"/>
  <c r="M32" i="4"/>
  <c r="L30" i="4"/>
  <c r="M30" i="4"/>
  <c r="L29" i="4"/>
  <c r="M29" i="4"/>
  <c r="L27" i="4"/>
  <c r="M27" i="4"/>
  <c r="L26" i="4"/>
  <c r="M26" i="4"/>
  <c r="L24" i="4"/>
  <c r="M24" i="4"/>
  <c r="L23" i="4"/>
  <c r="M23" i="4"/>
  <c r="L22" i="4"/>
  <c r="M22" i="4"/>
  <c r="L20" i="4"/>
  <c r="M20" i="4"/>
  <c r="L19" i="4"/>
  <c r="M19" i="4"/>
  <c r="B1" i="4"/>
  <c r="N24" i="10"/>
  <c r="N25" i="10"/>
  <c r="N27" i="10"/>
  <c r="N28" i="10"/>
  <c r="N30" i="10"/>
  <c r="N31" i="10"/>
  <c r="N33" i="10"/>
  <c r="N34" i="10"/>
  <c r="N36" i="10"/>
  <c r="N37" i="10"/>
  <c r="N39" i="10"/>
  <c r="N40" i="10"/>
  <c r="N42" i="10"/>
  <c r="N43" i="10"/>
  <c r="N45" i="10"/>
  <c r="N46" i="10"/>
  <c r="N48" i="10"/>
  <c r="N49" i="10"/>
  <c r="N51" i="10"/>
  <c r="N52" i="10"/>
  <c r="N54" i="10"/>
  <c r="N55" i="10"/>
  <c r="N57" i="10"/>
  <c r="N58" i="10"/>
  <c r="N60" i="10"/>
  <c r="N22" i="10"/>
  <c r="N21" i="10"/>
  <c r="N20" i="10"/>
  <c r="N18" i="10"/>
  <c r="N17" i="10"/>
  <c r="L61" i="10"/>
  <c r="M61" i="10"/>
  <c r="L60" i="10"/>
  <c r="M60" i="10"/>
  <c r="L58" i="10"/>
  <c r="M58" i="10"/>
  <c r="L57" i="10"/>
  <c r="M57" i="10"/>
  <c r="L55" i="10"/>
  <c r="M55" i="10"/>
  <c r="L54" i="10"/>
  <c r="M54" i="10"/>
  <c r="L52" i="10"/>
  <c r="M52" i="10"/>
  <c r="L51" i="10"/>
  <c r="M51" i="10"/>
  <c r="L49" i="10"/>
  <c r="M49" i="10"/>
  <c r="L48" i="10"/>
  <c r="M48" i="10"/>
  <c r="L46" i="10"/>
  <c r="M46" i="10"/>
  <c r="L45" i="10"/>
  <c r="M45" i="10"/>
  <c r="L43" i="10"/>
  <c r="M43" i="10"/>
  <c r="L42" i="10"/>
  <c r="M42" i="10"/>
  <c r="L40" i="10"/>
  <c r="M40" i="10"/>
  <c r="L39" i="10"/>
  <c r="M39" i="10"/>
  <c r="L37" i="10"/>
  <c r="M37" i="10"/>
  <c r="L36" i="10"/>
  <c r="M36" i="10"/>
  <c r="L34" i="10"/>
  <c r="M34" i="10"/>
  <c r="L33" i="10"/>
  <c r="M33" i="10"/>
  <c r="L31" i="10"/>
  <c r="M31" i="10"/>
  <c r="L30" i="10"/>
  <c r="M30" i="10"/>
  <c r="L28" i="10"/>
  <c r="M28" i="10"/>
  <c r="L27" i="10"/>
  <c r="M27" i="10"/>
  <c r="L25" i="10"/>
  <c r="M25" i="10"/>
  <c r="L24" i="10"/>
  <c r="M24" i="10"/>
  <c r="L22" i="10"/>
  <c r="M22" i="10"/>
  <c r="L21" i="10"/>
  <c r="M21" i="10"/>
  <c r="L20" i="10"/>
  <c r="M20" i="10"/>
  <c r="L18" i="10"/>
  <c r="M18" i="10"/>
  <c r="L17" i="10"/>
  <c r="M17" i="10"/>
  <c r="B1" i="10"/>
  <c r="I24" i="29"/>
  <c r="J24" i="29"/>
  <c r="O32" i="29"/>
  <c r="R32" i="29"/>
  <c r="H29" i="29"/>
  <c r="P32" i="29"/>
  <c r="T100" i="17"/>
  <c r="S100" i="17"/>
  <c r="R100" i="17"/>
  <c r="Q100" i="17"/>
  <c r="P100" i="17"/>
  <c r="T99" i="17"/>
  <c r="S99" i="17"/>
  <c r="R99" i="17"/>
  <c r="Q99" i="17"/>
  <c r="T98" i="17"/>
  <c r="S98" i="17"/>
  <c r="R98" i="17"/>
  <c r="Q98" i="17"/>
  <c r="S97" i="17"/>
  <c r="R97" i="17"/>
  <c r="Q97" i="17"/>
  <c r="P97" i="17"/>
  <c r="T96" i="17"/>
  <c r="S96" i="17"/>
  <c r="R96" i="17"/>
  <c r="Q96" i="17"/>
  <c r="P96" i="17"/>
  <c r="T95" i="17"/>
  <c r="S95" i="17"/>
  <c r="R95" i="17"/>
  <c r="Q95" i="17"/>
  <c r="T94" i="17"/>
  <c r="S94" i="17"/>
  <c r="R94" i="17"/>
  <c r="Q94" i="17"/>
  <c r="E94" i="17"/>
  <c r="D94" i="17"/>
  <c r="C94" i="17"/>
  <c r="B94" i="17"/>
  <c r="A94" i="17"/>
  <c r="T93" i="17"/>
  <c r="S93" i="17"/>
  <c r="R93" i="17"/>
  <c r="Q93" i="17"/>
  <c r="J93" i="17"/>
  <c r="I93" i="17"/>
  <c r="H93" i="17"/>
  <c r="G93" i="17"/>
  <c r="F93" i="17"/>
  <c r="E93" i="17"/>
  <c r="D93" i="17"/>
  <c r="C93" i="17"/>
  <c r="B93" i="17"/>
  <c r="S92" i="17"/>
  <c r="R92" i="17"/>
  <c r="Q92" i="17"/>
  <c r="P92" i="17"/>
  <c r="O92" i="17"/>
  <c r="N92" i="17"/>
  <c r="M92" i="17"/>
  <c r="L92" i="17"/>
  <c r="K92" i="17"/>
  <c r="J92" i="17"/>
  <c r="I92" i="17"/>
  <c r="H92" i="17"/>
  <c r="G92" i="17"/>
  <c r="E92" i="17"/>
  <c r="D92" i="17"/>
  <c r="C92" i="17"/>
  <c r="B92" i="17"/>
  <c r="T91" i="17"/>
  <c r="S91" i="17"/>
  <c r="R91" i="17"/>
  <c r="Q91" i="17"/>
  <c r="P91" i="17"/>
  <c r="O91" i="17"/>
  <c r="N91" i="17"/>
  <c r="M91" i="17"/>
  <c r="L91" i="17"/>
  <c r="J91" i="17"/>
  <c r="I91" i="17"/>
  <c r="H91" i="17"/>
  <c r="G91" i="17"/>
  <c r="E91" i="17"/>
  <c r="D91" i="17"/>
  <c r="C91" i="17"/>
  <c r="B91" i="17"/>
  <c r="T90" i="17"/>
  <c r="S90" i="17"/>
  <c r="R90" i="17"/>
  <c r="Q90" i="17"/>
  <c r="O90" i="17"/>
  <c r="N90" i="17"/>
  <c r="M90" i="17"/>
  <c r="L90" i="17"/>
  <c r="J90" i="17"/>
  <c r="I90" i="17"/>
  <c r="H90" i="17"/>
  <c r="G90" i="17"/>
  <c r="C90" i="17"/>
  <c r="B90" i="17"/>
  <c r="A90" i="17"/>
  <c r="T89" i="17"/>
  <c r="S89" i="17"/>
  <c r="R89" i="17"/>
  <c r="Q89" i="17"/>
  <c r="O89" i="17"/>
  <c r="N89" i="17"/>
  <c r="M89" i="17"/>
  <c r="L89" i="17"/>
  <c r="H89" i="17"/>
  <c r="G89" i="17"/>
  <c r="F89" i="17"/>
  <c r="E89" i="17"/>
  <c r="D89" i="17"/>
  <c r="C89" i="17"/>
  <c r="B89" i="17"/>
  <c r="A89" i="17"/>
  <c r="T88" i="17"/>
  <c r="S88" i="17"/>
  <c r="R88" i="17"/>
  <c r="Q88" i="17"/>
  <c r="O88" i="17"/>
  <c r="N88" i="17"/>
  <c r="M88" i="17"/>
  <c r="L88" i="17"/>
  <c r="J88" i="17"/>
  <c r="I88" i="17"/>
  <c r="H88" i="17"/>
  <c r="G88" i="17"/>
  <c r="F88" i="17"/>
  <c r="E88" i="17"/>
  <c r="D88" i="17"/>
  <c r="C88" i="17"/>
  <c r="B88" i="17"/>
  <c r="T87" i="17"/>
  <c r="S87" i="17"/>
  <c r="R87" i="17"/>
  <c r="Q87" i="17"/>
  <c r="M87" i="17"/>
  <c r="L87" i="17"/>
  <c r="K87" i="17"/>
  <c r="J87" i="17"/>
  <c r="I87" i="17"/>
  <c r="H87" i="17"/>
  <c r="G87" i="17"/>
  <c r="E87" i="17"/>
  <c r="D87" i="17"/>
  <c r="C87" i="17"/>
  <c r="B87" i="17"/>
  <c r="R86" i="17"/>
  <c r="Q86" i="17"/>
  <c r="P86" i="17"/>
  <c r="O86" i="17"/>
  <c r="N86" i="17"/>
  <c r="M86" i="17"/>
  <c r="L86" i="17"/>
  <c r="K86" i="17"/>
  <c r="J86" i="17"/>
  <c r="I86" i="17"/>
  <c r="H86" i="17"/>
  <c r="G86" i="17"/>
  <c r="E86" i="17"/>
  <c r="D86" i="17"/>
  <c r="C86" i="17"/>
  <c r="B86" i="17"/>
  <c r="T85" i="17"/>
  <c r="S85" i="17"/>
  <c r="R85" i="17"/>
  <c r="Q85" i="17"/>
  <c r="P85" i="17"/>
  <c r="O85" i="17"/>
  <c r="N85" i="17"/>
  <c r="M85" i="17"/>
  <c r="L85" i="17"/>
  <c r="J85" i="17"/>
  <c r="I85" i="17"/>
  <c r="H85" i="17"/>
  <c r="G85" i="17"/>
  <c r="C85" i="17"/>
  <c r="B85" i="17"/>
  <c r="A85" i="17"/>
  <c r="T84" i="17"/>
  <c r="S84" i="17"/>
  <c r="R84" i="17"/>
  <c r="Q84" i="17"/>
  <c r="O84" i="17"/>
  <c r="N84" i="17"/>
  <c r="M84" i="17"/>
  <c r="L84" i="17"/>
  <c r="J84" i="17"/>
  <c r="I84" i="17"/>
  <c r="H84" i="17"/>
  <c r="G84" i="17"/>
  <c r="E84" i="17"/>
  <c r="D84" i="17"/>
  <c r="C84" i="17"/>
  <c r="B84" i="17"/>
  <c r="A84" i="17"/>
  <c r="T83" i="17"/>
  <c r="S83" i="17"/>
  <c r="R83" i="17"/>
  <c r="Q83" i="17"/>
  <c r="O83" i="17"/>
  <c r="N83" i="17"/>
  <c r="M83" i="17"/>
  <c r="L83" i="17"/>
  <c r="H83" i="17"/>
  <c r="G83" i="17"/>
  <c r="F83" i="17"/>
  <c r="E83" i="17"/>
  <c r="D83" i="17"/>
  <c r="C83" i="17"/>
  <c r="B83" i="17"/>
  <c r="T82" i="17"/>
  <c r="S82" i="17"/>
  <c r="R82" i="17"/>
  <c r="Q82" i="17"/>
  <c r="O82" i="17"/>
  <c r="N82" i="17"/>
  <c r="M82" i="17"/>
  <c r="L82" i="17"/>
  <c r="J82" i="17"/>
  <c r="I82" i="17"/>
  <c r="H82" i="17"/>
  <c r="G82" i="17"/>
  <c r="F82" i="17"/>
  <c r="E82" i="17"/>
  <c r="D82" i="17"/>
  <c r="C82" i="17"/>
  <c r="B82" i="17"/>
  <c r="T81" i="17"/>
  <c r="S81" i="17"/>
  <c r="R81" i="17"/>
  <c r="Q81" i="17"/>
  <c r="M81" i="17"/>
  <c r="L81" i="17"/>
  <c r="K81" i="17"/>
  <c r="J81" i="17"/>
  <c r="I81" i="17"/>
  <c r="H81" i="17"/>
  <c r="G81" i="17"/>
  <c r="E81" i="17"/>
  <c r="D81" i="17"/>
  <c r="C81" i="17"/>
  <c r="B81" i="17"/>
  <c r="R80" i="17"/>
  <c r="Q80" i="17"/>
  <c r="P80" i="17"/>
  <c r="O80" i="17"/>
  <c r="N80" i="17"/>
  <c r="M80" i="17"/>
  <c r="L80" i="17"/>
  <c r="K80" i="17"/>
  <c r="J80" i="17"/>
  <c r="I80" i="17"/>
  <c r="H80" i="17"/>
  <c r="G80" i="17"/>
  <c r="C80" i="17"/>
  <c r="B80" i="17"/>
  <c r="A80" i="17"/>
  <c r="T79" i="17"/>
  <c r="S79" i="17"/>
  <c r="R79" i="17"/>
  <c r="Q79" i="17"/>
  <c r="P79" i="17"/>
  <c r="O79" i="17"/>
  <c r="N79" i="17"/>
  <c r="M79" i="17"/>
  <c r="L79" i="17"/>
  <c r="J79" i="17"/>
  <c r="I79" i="17"/>
  <c r="H79" i="17"/>
  <c r="G79" i="17"/>
  <c r="E79" i="17"/>
  <c r="D79" i="17"/>
  <c r="C79" i="17"/>
  <c r="B79" i="17"/>
  <c r="A79" i="17"/>
  <c r="T78" i="17"/>
  <c r="S78" i="17"/>
  <c r="R78" i="17"/>
  <c r="Q78" i="17"/>
  <c r="O78" i="17"/>
  <c r="N78" i="17"/>
  <c r="M78" i="17"/>
  <c r="L78" i="17"/>
  <c r="J78" i="17"/>
  <c r="I78" i="17"/>
  <c r="H78" i="17"/>
  <c r="G78" i="17"/>
  <c r="E78" i="17"/>
  <c r="D78" i="17"/>
  <c r="C78" i="17"/>
  <c r="B78" i="17"/>
  <c r="T77" i="17"/>
  <c r="S77" i="17"/>
  <c r="R77" i="17"/>
  <c r="Q77" i="17"/>
  <c r="O77" i="17"/>
  <c r="N77" i="17"/>
  <c r="M77" i="17"/>
  <c r="L77" i="17"/>
  <c r="H77" i="17"/>
  <c r="G77" i="17"/>
  <c r="F77" i="17"/>
  <c r="E77" i="17"/>
  <c r="D77" i="17"/>
  <c r="C77" i="17"/>
  <c r="B77" i="17"/>
  <c r="T76" i="17"/>
  <c r="S76" i="17"/>
  <c r="R76" i="17"/>
  <c r="Q76" i="17"/>
  <c r="M76" i="17"/>
  <c r="L76" i="17"/>
  <c r="K76" i="17"/>
  <c r="J76" i="17"/>
  <c r="I76" i="17"/>
  <c r="H76" i="17"/>
  <c r="G76" i="17"/>
  <c r="F76" i="17"/>
  <c r="E76" i="17"/>
  <c r="D76" i="17"/>
  <c r="C76" i="17"/>
  <c r="B76" i="17"/>
  <c r="T75" i="17"/>
  <c r="S75" i="17"/>
  <c r="R75" i="17"/>
  <c r="Q75" i="17"/>
  <c r="O75" i="17"/>
  <c r="N75" i="17"/>
  <c r="M75" i="17"/>
  <c r="L75" i="17"/>
  <c r="K75" i="17"/>
  <c r="J75" i="17"/>
  <c r="I75" i="17"/>
  <c r="H75" i="17"/>
  <c r="G75" i="17"/>
  <c r="C75" i="17"/>
  <c r="B75" i="17"/>
  <c r="A75" i="17"/>
  <c r="T74" i="17"/>
  <c r="S74" i="17"/>
  <c r="R74" i="17"/>
  <c r="Q74" i="17"/>
  <c r="O74" i="17"/>
  <c r="N74" i="17"/>
  <c r="M74" i="17"/>
  <c r="L74" i="17"/>
  <c r="J74" i="17"/>
  <c r="I74" i="17"/>
  <c r="H74" i="17"/>
  <c r="G74" i="17"/>
  <c r="E74" i="17"/>
  <c r="D74" i="17"/>
  <c r="C74" i="17"/>
  <c r="B74" i="17"/>
  <c r="A74" i="17"/>
  <c r="R73" i="17"/>
  <c r="Q73" i="17"/>
  <c r="P73" i="17"/>
  <c r="O73" i="17"/>
  <c r="N73" i="17"/>
  <c r="M73" i="17"/>
  <c r="L73" i="17"/>
  <c r="J73" i="17"/>
  <c r="I73" i="17"/>
  <c r="H73" i="17"/>
  <c r="G73" i="17"/>
  <c r="E73" i="17"/>
  <c r="D73" i="17"/>
  <c r="C73" i="17"/>
  <c r="B73" i="17"/>
  <c r="T72" i="17"/>
  <c r="S72" i="17"/>
  <c r="R72" i="17"/>
  <c r="Q72" i="17"/>
  <c r="P72" i="17"/>
  <c r="O72" i="17"/>
  <c r="N72" i="17"/>
  <c r="M72" i="17"/>
  <c r="L72" i="17"/>
  <c r="J72" i="17"/>
  <c r="I72" i="17"/>
  <c r="H72" i="17"/>
  <c r="G72" i="17"/>
  <c r="E72" i="17"/>
  <c r="D72" i="17"/>
  <c r="C72" i="17"/>
  <c r="B72" i="17"/>
  <c r="T71" i="17"/>
  <c r="S71" i="17"/>
  <c r="R71" i="17"/>
  <c r="Q71" i="17"/>
  <c r="M71" i="17"/>
  <c r="L71" i="17"/>
  <c r="K71" i="17"/>
  <c r="H71" i="17"/>
  <c r="G71" i="17"/>
  <c r="F71" i="17"/>
  <c r="C71" i="17"/>
  <c r="B71" i="17"/>
  <c r="A71" i="17"/>
  <c r="T70" i="17"/>
  <c r="S70" i="17"/>
  <c r="R70" i="17"/>
  <c r="Q70" i="17"/>
  <c r="O70" i="17"/>
  <c r="N70" i="17"/>
  <c r="M70" i="17"/>
  <c r="L70" i="17"/>
  <c r="K70" i="17"/>
  <c r="J70" i="17"/>
  <c r="I70" i="17"/>
  <c r="H70" i="17"/>
  <c r="G70" i="17"/>
  <c r="F70" i="17"/>
  <c r="E70" i="17"/>
  <c r="D70" i="17"/>
  <c r="C70" i="17"/>
  <c r="B70" i="17"/>
  <c r="A70" i="17"/>
  <c r="T69" i="17"/>
  <c r="S69" i="17"/>
  <c r="R69" i="17"/>
  <c r="Q69" i="17"/>
  <c r="O69" i="17"/>
  <c r="N69" i="17"/>
  <c r="M69" i="17"/>
  <c r="L69" i="17"/>
  <c r="J69" i="17"/>
  <c r="I69" i="17"/>
  <c r="H69" i="17"/>
  <c r="G69" i="17"/>
  <c r="E69" i="17"/>
  <c r="D69" i="17"/>
  <c r="C69" i="17"/>
  <c r="B69" i="17"/>
  <c r="A69" i="17"/>
  <c r="T68" i="17"/>
  <c r="S68" i="17"/>
  <c r="R68" i="17"/>
  <c r="Q68" i="17"/>
  <c r="O68" i="17"/>
  <c r="N68" i="17"/>
  <c r="M68" i="17"/>
  <c r="L68" i="17"/>
  <c r="J68" i="17"/>
  <c r="I68" i="17"/>
  <c r="H68" i="17"/>
  <c r="G68" i="17"/>
  <c r="C68" i="17"/>
  <c r="B68" i="17"/>
  <c r="A68" i="17"/>
  <c r="T67" i="17"/>
  <c r="S67" i="17"/>
  <c r="R67" i="17"/>
  <c r="Q67" i="17"/>
  <c r="O67" i="17"/>
  <c r="N67" i="17"/>
  <c r="M67" i="17"/>
  <c r="L67" i="17"/>
  <c r="J67" i="17"/>
  <c r="I67" i="17"/>
  <c r="H67" i="17"/>
  <c r="G67" i="17"/>
  <c r="E67" i="17"/>
  <c r="D67" i="17"/>
  <c r="C67" i="17"/>
  <c r="B67" i="17"/>
  <c r="A67" i="17"/>
  <c r="R66" i="17"/>
  <c r="Q66" i="17"/>
  <c r="P66" i="17"/>
  <c r="M66" i="17"/>
  <c r="L66" i="17"/>
  <c r="K66" i="17"/>
  <c r="H66" i="17"/>
  <c r="G66" i="17"/>
  <c r="F66" i="17"/>
  <c r="C66" i="17"/>
  <c r="B66" i="17"/>
  <c r="A66" i="17"/>
  <c r="L250" i="11"/>
  <c r="M250" i="11"/>
  <c r="N250" i="11"/>
  <c r="M249" i="11"/>
  <c r="N249" i="11"/>
  <c r="L247" i="11"/>
  <c r="M247" i="11"/>
  <c r="N247" i="11"/>
  <c r="M246" i="11"/>
  <c r="N246" i="11"/>
  <c r="L249" i="11"/>
  <c r="L246" i="11"/>
  <c r="M244" i="11"/>
  <c r="N244" i="11"/>
  <c r="M243" i="11"/>
  <c r="N243" i="11"/>
  <c r="M242" i="11"/>
  <c r="L243" i="11"/>
  <c r="L244" i="11"/>
  <c r="N242" i="11"/>
  <c r="L242" i="11"/>
  <c r="L239" i="11"/>
  <c r="M239" i="11"/>
  <c r="N239" i="11"/>
  <c r="L240" i="11"/>
  <c r="M240" i="11"/>
  <c r="N240" i="11"/>
  <c r="M238" i="11"/>
  <c r="N238" i="11"/>
  <c r="L235" i="11"/>
  <c r="M235" i="11"/>
  <c r="N235" i="11"/>
  <c r="L236" i="11"/>
  <c r="M236" i="11"/>
  <c r="N236" i="11"/>
  <c r="M234" i="11"/>
  <c r="L229" i="11"/>
  <c r="M229" i="11"/>
  <c r="N229" i="11"/>
  <c r="L230" i="11"/>
  <c r="M230" i="11"/>
  <c r="N230" i="11"/>
  <c r="L231" i="11"/>
  <c r="M231" i="11"/>
  <c r="N231" i="11"/>
  <c r="L232" i="11"/>
  <c r="M232" i="11"/>
  <c r="N232" i="11"/>
  <c r="M228" i="11"/>
  <c r="N228" i="11"/>
  <c r="L224" i="11"/>
  <c r="M224" i="11"/>
  <c r="N224" i="11"/>
  <c r="L225" i="11"/>
  <c r="M225" i="11"/>
  <c r="N225" i="11"/>
  <c r="L226" i="11"/>
  <c r="M226" i="11"/>
  <c r="N226" i="11"/>
  <c r="M223" i="11"/>
  <c r="N223" i="11"/>
  <c r="L238" i="11"/>
  <c r="N234" i="11"/>
  <c r="L234" i="11"/>
  <c r="L228" i="11"/>
  <c r="L223" i="11"/>
  <c r="L219" i="11"/>
  <c r="M219" i="11"/>
  <c r="N219" i="11"/>
  <c r="L220" i="11"/>
  <c r="M220" i="11"/>
  <c r="N220" i="11"/>
  <c r="L221" i="11"/>
  <c r="M221" i="11"/>
  <c r="N221" i="11"/>
  <c r="M218" i="11"/>
  <c r="N218" i="11"/>
  <c r="L218" i="11"/>
  <c r="L214" i="11"/>
  <c r="M214" i="11"/>
  <c r="N214" i="11"/>
  <c r="L215" i="11"/>
  <c r="M215" i="11"/>
  <c r="N215" i="11"/>
  <c r="L216" i="11"/>
  <c r="M216" i="11"/>
  <c r="N216" i="11"/>
  <c r="M213" i="11"/>
  <c r="N213" i="11"/>
  <c r="L213" i="11"/>
  <c r="L208" i="11"/>
  <c r="M208" i="11"/>
  <c r="N208" i="11"/>
  <c r="L209" i="11"/>
  <c r="M209" i="11"/>
  <c r="N209" i="11"/>
  <c r="L210" i="11"/>
  <c r="M210" i="11"/>
  <c r="N210" i="11"/>
  <c r="L211" i="11"/>
  <c r="M211" i="11"/>
  <c r="N211" i="11"/>
  <c r="M207" i="11"/>
  <c r="N207" i="11"/>
  <c r="L207" i="11"/>
  <c r="L202" i="11"/>
  <c r="M202" i="11"/>
  <c r="N202" i="11"/>
  <c r="L203" i="11"/>
  <c r="M203" i="11"/>
  <c r="N203" i="11"/>
  <c r="L204" i="11"/>
  <c r="M204" i="11"/>
  <c r="N204" i="11"/>
  <c r="L205" i="11"/>
  <c r="M205" i="11"/>
  <c r="N205" i="11"/>
  <c r="M201" i="11"/>
  <c r="N201" i="11"/>
  <c r="L201" i="11"/>
  <c r="L199" i="11"/>
  <c r="M199" i="11"/>
  <c r="N199" i="11"/>
  <c r="M198" i="11"/>
  <c r="N198" i="11"/>
  <c r="L198" i="11"/>
  <c r="L193" i="11"/>
  <c r="M193" i="11"/>
  <c r="N193" i="11"/>
  <c r="L194" i="11"/>
  <c r="M194" i="11"/>
  <c r="N194" i="11"/>
  <c r="L195" i="11"/>
  <c r="M195" i="11"/>
  <c r="N195" i="11"/>
  <c r="L196" i="11"/>
  <c r="M196" i="11"/>
  <c r="N196" i="11"/>
  <c r="M192" i="11"/>
  <c r="N192" i="11"/>
  <c r="L192" i="11"/>
  <c r="L187" i="11"/>
  <c r="M187" i="11"/>
  <c r="N187" i="11"/>
  <c r="L188" i="11"/>
  <c r="M188" i="11"/>
  <c r="N188" i="11"/>
  <c r="L189" i="11"/>
  <c r="M189" i="11"/>
  <c r="N189" i="11"/>
  <c r="L190" i="11"/>
  <c r="M190" i="11"/>
  <c r="N190" i="11"/>
  <c r="M186" i="11"/>
  <c r="N186" i="11"/>
  <c r="L186" i="11"/>
  <c r="L181" i="11"/>
  <c r="M181" i="11"/>
  <c r="N181" i="11"/>
  <c r="L182" i="11"/>
  <c r="M182" i="11"/>
  <c r="N182" i="11"/>
  <c r="L183" i="11"/>
  <c r="M183" i="11"/>
  <c r="N183" i="11"/>
  <c r="L184" i="11"/>
  <c r="M184" i="11"/>
  <c r="N184" i="11"/>
  <c r="M180" i="11"/>
  <c r="N180" i="11"/>
  <c r="L180" i="11"/>
  <c r="L176" i="11"/>
  <c r="M176" i="11"/>
  <c r="N176" i="11"/>
  <c r="L177" i="11"/>
  <c r="M177" i="11"/>
  <c r="N177" i="11"/>
  <c r="L178" i="11"/>
  <c r="M178" i="11"/>
  <c r="N178" i="11"/>
  <c r="M175" i="11"/>
  <c r="N175" i="11"/>
  <c r="L175" i="11"/>
  <c r="L170" i="11"/>
  <c r="M170" i="11"/>
  <c r="N170" i="11"/>
  <c r="L171" i="11"/>
  <c r="M171" i="11"/>
  <c r="N171" i="11"/>
  <c r="L172" i="11"/>
  <c r="M172" i="11"/>
  <c r="N172" i="11"/>
  <c r="L173" i="11"/>
  <c r="M173" i="11"/>
  <c r="N173" i="11"/>
  <c r="M169" i="11"/>
  <c r="N169" i="11"/>
  <c r="L169" i="11"/>
  <c r="L163" i="11"/>
  <c r="M163" i="11"/>
  <c r="N163" i="11"/>
  <c r="L164" i="11"/>
  <c r="M164" i="11"/>
  <c r="N164" i="11"/>
  <c r="L165" i="11"/>
  <c r="M165" i="11"/>
  <c r="N165" i="11"/>
  <c r="L166" i="11"/>
  <c r="M166" i="11"/>
  <c r="N166" i="11"/>
  <c r="L167" i="11"/>
  <c r="M167" i="11"/>
  <c r="N167" i="11"/>
  <c r="M162" i="11"/>
  <c r="N162" i="11"/>
  <c r="L162" i="11"/>
  <c r="L156" i="11"/>
  <c r="M156" i="11"/>
  <c r="N156" i="11"/>
  <c r="L157" i="11"/>
  <c r="M157" i="11"/>
  <c r="N157" i="11"/>
  <c r="L158" i="11"/>
  <c r="M158" i="11"/>
  <c r="N158" i="11"/>
  <c r="L159" i="11"/>
  <c r="M159" i="11"/>
  <c r="N159" i="11"/>
  <c r="L160" i="11"/>
  <c r="M160" i="11"/>
  <c r="N160" i="11"/>
  <c r="M155" i="11"/>
  <c r="N155" i="11"/>
  <c r="L155" i="11"/>
  <c r="L150" i="11"/>
  <c r="M150" i="11"/>
  <c r="N150" i="11"/>
  <c r="L151" i="11"/>
  <c r="M151" i="11"/>
  <c r="N151" i="11"/>
  <c r="L152" i="11"/>
  <c r="M152" i="11"/>
  <c r="N152" i="11"/>
  <c r="L153" i="11"/>
  <c r="M153" i="11"/>
  <c r="N153" i="11"/>
  <c r="M149" i="11"/>
  <c r="N149" i="11"/>
  <c r="L149" i="11"/>
  <c r="L143" i="11"/>
  <c r="M143" i="11"/>
  <c r="N143" i="11"/>
  <c r="L144" i="11"/>
  <c r="M144" i="11"/>
  <c r="N144" i="11"/>
  <c r="L145" i="11"/>
  <c r="M145" i="11"/>
  <c r="N145" i="11"/>
  <c r="L146" i="11"/>
  <c r="M146" i="11"/>
  <c r="N146" i="11"/>
  <c r="L147" i="11"/>
  <c r="M147" i="11"/>
  <c r="N147" i="11"/>
  <c r="M142" i="11"/>
  <c r="N142" i="11"/>
  <c r="L142" i="11"/>
  <c r="L135" i="11"/>
  <c r="M135" i="11"/>
  <c r="N135" i="11"/>
  <c r="L136" i="11"/>
  <c r="M136" i="11"/>
  <c r="N136" i="11"/>
  <c r="L137" i="11"/>
  <c r="M137" i="11"/>
  <c r="N137" i="11"/>
  <c r="L138" i="11"/>
  <c r="M138" i="11"/>
  <c r="N138" i="11"/>
  <c r="L139" i="11"/>
  <c r="M139" i="11"/>
  <c r="N139" i="11"/>
  <c r="L140" i="11"/>
  <c r="M140" i="11"/>
  <c r="N140" i="11"/>
  <c r="M134" i="11"/>
  <c r="N134" i="11"/>
  <c r="L134" i="11"/>
  <c r="L127" i="11"/>
  <c r="M127" i="11"/>
  <c r="N127" i="11"/>
  <c r="L128" i="11"/>
  <c r="M128" i="11"/>
  <c r="N128" i="11"/>
  <c r="L129" i="11"/>
  <c r="M129" i="11"/>
  <c r="N129" i="11"/>
  <c r="L130" i="11"/>
  <c r="M130" i="11"/>
  <c r="N130" i="11"/>
  <c r="L131" i="11"/>
  <c r="M131" i="11"/>
  <c r="N131" i="11"/>
  <c r="L132" i="11"/>
  <c r="M132" i="11"/>
  <c r="N132" i="11"/>
  <c r="M126" i="11"/>
  <c r="N126" i="11"/>
  <c r="L126" i="11"/>
  <c r="L122" i="11"/>
  <c r="M122" i="11"/>
  <c r="N122" i="11"/>
  <c r="L123" i="11"/>
  <c r="M123" i="11"/>
  <c r="N123" i="11"/>
  <c r="L124" i="11"/>
  <c r="M124" i="11"/>
  <c r="N124" i="11"/>
  <c r="M121" i="11"/>
  <c r="N121" i="11"/>
  <c r="L121" i="11"/>
  <c r="L115" i="11"/>
  <c r="M115" i="11"/>
  <c r="N115" i="11"/>
  <c r="L116" i="11"/>
  <c r="M116" i="11"/>
  <c r="N116" i="11"/>
  <c r="L117" i="11"/>
  <c r="M117" i="11"/>
  <c r="N117" i="11"/>
  <c r="L118" i="11"/>
  <c r="M118" i="11"/>
  <c r="N118" i="11"/>
  <c r="L119" i="11"/>
  <c r="M119" i="11"/>
  <c r="N119" i="11"/>
  <c r="M114" i="11"/>
  <c r="N114" i="11"/>
  <c r="L114" i="11"/>
  <c r="L107" i="11"/>
  <c r="M107" i="11"/>
  <c r="N107" i="11"/>
  <c r="L108" i="11"/>
  <c r="M108" i="11"/>
  <c r="N108" i="11"/>
  <c r="L109" i="11"/>
  <c r="M109" i="11"/>
  <c r="N109" i="11"/>
  <c r="L110" i="11"/>
  <c r="M110" i="11"/>
  <c r="N110" i="11"/>
  <c r="L111" i="11"/>
  <c r="M111" i="11"/>
  <c r="N111" i="11"/>
  <c r="L112" i="11"/>
  <c r="M112" i="11"/>
  <c r="N112" i="11"/>
  <c r="M106" i="11"/>
  <c r="N106" i="11"/>
  <c r="L106" i="11"/>
  <c r="L99" i="11"/>
  <c r="M99" i="11"/>
  <c r="N99" i="11"/>
  <c r="L100" i="11"/>
  <c r="M100" i="11"/>
  <c r="N100" i="11"/>
  <c r="L101" i="11"/>
  <c r="M101" i="11"/>
  <c r="N101" i="11"/>
  <c r="L102" i="11"/>
  <c r="M102" i="11"/>
  <c r="N102" i="11"/>
  <c r="L103" i="11"/>
  <c r="M103" i="11"/>
  <c r="N103" i="11"/>
  <c r="L104" i="11"/>
  <c r="M104" i="11"/>
  <c r="N104" i="11"/>
  <c r="M98" i="11"/>
  <c r="N98" i="11"/>
  <c r="L98" i="11"/>
  <c r="L91" i="11"/>
  <c r="M91" i="11"/>
  <c r="N91" i="11"/>
  <c r="L92" i="11"/>
  <c r="M92" i="11"/>
  <c r="N92" i="11"/>
  <c r="L93" i="11"/>
  <c r="M93" i="11"/>
  <c r="N93" i="11"/>
  <c r="L94" i="11"/>
  <c r="M94" i="11"/>
  <c r="N94" i="11"/>
  <c r="L95" i="11"/>
  <c r="M95" i="11"/>
  <c r="N95" i="11"/>
  <c r="L96" i="11"/>
  <c r="M96" i="11"/>
  <c r="N96" i="11"/>
  <c r="M90" i="11"/>
  <c r="N90" i="11"/>
  <c r="L90" i="11"/>
  <c r="L88" i="11"/>
  <c r="M88" i="11"/>
  <c r="N88" i="11"/>
  <c r="M87" i="11"/>
  <c r="N87" i="11"/>
  <c r="L87" i="11"/>
  <c r="L80" i="11"/>
  <c r="M80" i="11"/>
  <c r="N80" i="11"/>
  <c r="L81" i="11"/>
  <c r="M81" i="11"/>
  <c r="N81" i="11"/>
  <c r="L82" i="11"/>
  <c r="M82" i="11"/>
  <c r="N82" i="11"/>
  <c r="L83" i="11"/>
  <c r="M83" i="11"/>
  <c r="N83" i="11"/>
  <c r="L84" i="11"/>
  <c r="M84" i="11"/>
  <c r="N84" i="11"/>
  <c r="L85" i="11"/>
  <c r="M85" i="11"/>
  <c r="N85" i="11"/>
  <c r="M79" i="11"/>
  <c r="N79" i="11"/>
  <c r="L79" i="11"/>
  <c r="L72" i="11"/>
  <c r="M72" i="11"/>
  <c r="N72" i="11"/>
  <c r="L73" i="11"/>
  <c r="M73" i="11"/>
  <c r="N73" i="11"/>
  <c r="L74" i="11"/>
  <c r="M74" i="11"/>
  <c r="N74" i="11"/>
  <c r="L75" i="11"/>
  <c r="M75" i="11"/>
  <c r="N75" i="11"/>
  <c r="L76" i="11"/>
  <c r="M76" i="11"/>
  <c r="N76" i="11"/>
  <c r="L77" i="11"/>
  <c r="M77" i="11"/>
  <c r="N77" i="11"/>
  <c r="M71" i="11"/>
  <c r="N71" i="11"/>
  <c r="L71" i="11"/>
  <c r="L64" i="11"/>
  <c r="M64" i="11"/>
  <c r="N64" i="11"/>
  <c r="L65" i="11"/>
  <c r="M65" i="11"/>
  <c r="N65" i="11"/>
  <c r="L66" i="11"/>
  <c r="M66" i="11"/>
  <c r="N66" i="11"/>
  <c r="L67" i="11"/>
  <c r="M67" i="11"/>
  <c r="N67" i="11"/>
  <c r="L68" i="11"/>
  <c r="M68" i="11"/>
  <c r="N68" i="11"/>
  <c r="L69" i="11"/>
  <c r="M69" i="11"/>
  <c r="N69" i="11"/>
  <c r="M63" i="11"/>
  <c r="N63" i="11"/>
  <c r="L63" i="11"/>
  <c r="L59" i="11"/>
  <c r="M59" i="11"/>
  <c r="N59" i="11"/>
  <c r="L60" i="11"/>
  <c r="M60" i="11"/>
  <c r="N60" i="11"/>
  <c r="L61" i="11"/>
  <c r="M61" i="11"/>
  <c r="N61" i="11"/>
  <c r="M58" i="11"/>
  <c r="N58" i="11"/>
  <c r="L58" i="11"/>
  <c r="L54" i="11"/>
  <c r="M54" i="11"/>
  <c r="N54" i="11"/>
  <c r="L55" i="11"/>
  <c r="M55" i="11"/>
  <c r="N55" i="11"/>
  <c r="L56" i="11"/>
  <c r="M56" i="11"/>
  <c r="N56" i="11"/>
  <c r="M53" i="11"/>
  <c r="N53" i="11"/>
  <c r="L53" i="11"/>
  <c r="L49" i="11"/>
  <c r="M49" i="11"/>
  <c r="N49" i="11"/>
  <c r="L50" i="11"/>
  <c r="M50" i="11"/>
  <c r="N50" i="11"/>
  <c r="L51" i="11"/>
  <c r="M51" i="11"/>
  <c r="N51" i="11"/>
  <c r="M48" i="11"/>
  <c r="N48" i="11"/>
  <c r="L48" i="11"/>
  <c r="L45" i="11"/>
  <c r="M45" i="11"/>
  <c r="N45" i="11"/>
  <c r="L46" i="11"/>
  <c r="M46" i="11"/>
  <c r="N46" i="11"/>
  <c r="M44" i="11"/>
  <c r="N44" i="11"/>
  <c r="L44" i="11"/>
  <c r="L41" i="11"/>
  <c r="M41" i="11"/>
  <c r="N41" i="11"/>
  <c r="L42" i="11"/>
  <c r="M42" i="11"/>
  <c r="N42" i="11"/>
  <c r="M40" i="11"/>
  <c r="N40" i="11"/>
  <c r="L40" i="11"/>
  <c r="L36" i="11"/>
  <c r="M36" i="11"/>
  <c r="N36" i="11"/>
  <c r="L37" i="11"/>
  <c r="M37" i="11"/>
  <c r="N37" i="11"/>
  <c r="L38" i="11"/>
  <c r="M38" i="11"/>
  <c r="N38" i="11"/>
  <c r="M35" i="11"/>
  <c r="N35" i="11"/>
  <c r="L35" i="11"/>
  <c r="L32" i="11"/>
  <c r="M32" i="11"/>
  <c r="N32" i="11"/>
  <c r="L33" i="11"/>
  <c r="M33" i="11"/>
  <c r="N33" i="11"/>
  <c r="M31" i="11"/>
  <c r="N31" i="11"/>
  <c r="L31" i="11"/>
  <c r="L28" i="11"/>
  <c r="M28" i="11"/>
  <c r="N28" i="11"/>
  <c r="L29" i="11"/>
  <c r="M29" i="11"/>
  <c r="N29" i="11"/>
  <c r="M27" i="11"/>
  <c r="N27" i="11"/>
  <c r="L27" i="11"/>
  <c r="L24" i="11"/>
  <c r="M24" i="11"/>
  <c r="N24" i="11"/>
  <c r="L25" i="11"/>
  <c r="M25" i="11"/>
  <c r="N25" i="11"/>
  <c r="M23" i="11"/>
  <c r="N23" i="11"/>
  <c r="L23" i="11"/>
  <c r="M21" i="11"/>
  <c r="N21" i="11"/>
  <c r="M20" i="11"/>
  <c r="N20" i="11"/>
  <c r="M19" i="11"/>
  <c r="N19" i="11"/>
  <c r="L21" i="11"/>
  <c r="L20" i="11"/>
  <c r="L19" i="11"/>
  <c r="E102" i="11"/>
  <c r="F102" i="11"/>
  <c r="G102" i="11"/>
  <c r="E103" i="11"/>
  <c r="F103" i="11"/>
  <c r="G103" i="11"/>
  <c r="F101" i="11"/>
  <c r="G101" i="11"/>
  <c r="E101" i="11"/>
  <c r="E98" i="11"/>
  <c r="F98" i="11"/>
  <c r="G98" i="11"/>
  <c r="E99" i="11"/>
  <c r="F99" i="11"/>
  <c r="G99" i="11"/>
  <c r="F97" i="11"/>
  <c r="G97" i="11"/>
  <c r="E97" i="11"/>
  <c r="E94" i="11"/>
  <c r="F94" i="11"/>
  <c r="G94" i="11"/>
  <c r="E95" i="11"/>
  <c r="F95" i="11"/>
  <c r="G95" i="11"/>
  <c r="F93" i="11"/>
  <c r="G93" i="11"/>
  <c r="E93" i="11"/>
  <c r="E90" i="11"/>
  <c r="F90" i="11"/>
  <c r="G90" i="11"/>
  <c r="E91" i="11"/>
  <c r="F91" i="11"/>
  <c r="G91" i="11"/>
  <c r="F89" i="11"/>
  <c r="G89" i="11"/>
  <c r="E89" i="11"/>
  <c r="E84" i="11"/>
  <c r="F84" i="11"/>
  <c r="G84" i="11"/>
  <c r="E85" i="11"/>
  <c r="F85" i="11"/>
  <c r="G85" i="11"/>
  <c r="E86" i="11"/>
  <c r="F86" i="11"/>
  <c r="G86" i="11"/>
  <c r="E87" i="11"/>
  <c r="F87" i="11"/>
  <c r="G87" i="11"/>
  <c r="F83" i="11"/>
  <c r="G83" i="11"/>
  <c r="E83" i="11"/>
  <c r="E81" i="11"/>
  <c r="F81" i="11"/>
  <c r="G81" i="11"/>
  <c r="F80" i="11"/>
  <c r="G80" i="11"/>
  <c r="E80" i="11"/>
  <c r="E75" i="11"/>
  <c r="F75" i="11"/>
  <c r="G75" i="11"/>
  <c r="E76" i="11"/>
  <c r="F76" i="11"/>
  <c r="G76" i="11"/>
  <c r="E77" i="11"/>
  <c r="F77" i="11"/>
  <c r="G77" i="11"/>
  <c r="E78" i="11"/>
  <c r="F78" i="11"/>
  <c r="G78" i="11"/>
  <c r="F74" i="11"/>
  <c r="G74" i="11"/>
  <c r="E74" i="11"/>
  <c r="E68" i="11"/>
  <c r="F68" i="11"/>
  <c r="G68" i="11"/>
  <c r="E69" i="11"/>
  <c r="F69" i="11"/>
  <c r="G69" i="11"/>
  <c r="E70" i="11"/>
  <c r="F70" i="11"/>
  <c r="G70" i="11"/>
  <c r="E71" i="11"/>
  <c r="F71" i="11"/>
  <c r="G71" i="11"/>
  <c r="E72" i="11"/>
  <c r="F72" i="11"/>
  <c r="G72" i="11"/>
  <c r="F67" i="11"/>
  <c r="G67" i="11"/>
  <c r="E67" i="11"/>
  <c r="F61" i="11"/>
  <c r="G61" i="11"/>
  <c r="F62" i="11"/>
  <c r="G62" i="11"/>
  <c r="F63" i="11"/>
  <c r="G63" i="11"/>
  <c r="F64" i="11"/>
  <c r="F65" i="11"/>
  <c r="G65" i="11"/>
  <c r="F60" i="11"/>
  <c r="E61" i="11"/>
  <c r="E62" i="11"/>
  <c r="E63" i="11"/>
  <c r="E64" i="11"/>
  <c r="G64" i="11"/>
  <c r="E65" i="11"/>
  <c r="G60" i="11"/>
  <c r="E60" i="11"/>
  <c r="E53" i="11"/>
  <c r="F53" i="11"/>
  <c r="G53" i="11"/>
  <c r="E54" i="11"/>
  <c r="F54" i="11"/>
  <c r="G54" i="11"/>
  <c r="E55" i="11"/>
  <c r="F55" i="11"/>
  <c r="G55" i="11"/>
  <c r="E56" i="11"/>
  <c r="F56" i="11"/>
  <c r="G56" i="11"/>
  <c r="E57" i="11"/>
  <c r="F57" i="11"/>
  <c r="G57" i="11"/>
  <c r="E58" i="11"/>
  <c r="F58" i="11"/>
  <c r="G58" i="11"/>
  <c r="F52" i="11"/>
  <c r="G52" i="11"/>
  <c r="E52" i="11"/>
  <c r="E45" i="11"/>
  <c r="F45" i="11"/>
  <c r="G45" i="11"/>
  <c r="E46" i="11"/>
  <c r="F46" i="11"/>
  <c r="G46" i="11"/>
  <c r="E47" i="11"/>
  <c r="F47" i="11"/>
  <c r="G47" i="11"/>
  <c r="E48" i="11"/>
  <c r="F48" i="11"/>
  <c r="G48" i="11"/>
  <c r="E49" i="11"/>
  <c r="F49" i="11"/>
  <c r="G49" i="11"/>
  <c r="E50" i="11"/>
  <c r="F50" i="11"/>
  <c r="G50" i="11"/>
  <c r="F44" i="11"/>
  <c r="G44" i="11"/>
  <c r="E44" i="11"/>
  <c r="E37" i="11"/>
  <c r="F37" i="11"/>
  <c r="G37" i="11"/>
  <c r="E38" i="11"/>
  <c r="F38" i="11"/>
  <c r="G38" i="11"/>
  <c r="E39" i="11"/>
  <c r="F39" i="11"/>
  <c r="G39" i="11"/>
  <c r="E40" i="11"/>
  <c r="F40" i="11"/>
  <c r="G40" i="11"/>
  <c r="E41" i="11"/>
  <c r="F41" i="11"/>
  <c r="G41" i="11"/>
  <c r="E42" i="11"/>
  <c r="F42" i="11"/>
  <c r="G42" i="11"/>
  <c r="F36" i="11"/>
  <c r="G36" i="11"/>
  <c r="E36" i="11"/>
  <c r="E30" i="11"/>
  <c r="F30" i="11"/>
  <c r="G30" i="11"/>
  <c r="E31" i="11"/>
  <c r="F31" i="11"/>
  <c r="G31" i="11"/>
  <c r="E32" i="11"/>
  <c r="F32" i="11"/>
  <c r="G32" i="11"/>
  <c r="E33" i="11"/>
  <c r="F33" i="11"/>
  <c r="G33" i="11"/>
  <c r="E34" i="11"/>
  <c r="F34" i="11"/>
  <c r="G34" i="11"/>
  <c r="F29" i="11"/>
  <c r="G29" i="11"/>
  <c r="E29" i="11"/>
  <c r="E25" i="11"/>
  <c r="F25" i="11"/>
  <c r="G25" i="11"/>
  <c r="E26" i="11"/>
  <c r="F26" i="11"/>
  <c r="G26" i="11"/>
  <c r="E27" i="11"/>
  <c r="F27" i="11"/>
  <c r="G27" i="11"/>
  <c r="F24" i="11"/>
  <c r="G24" i="11"/>
  <c r="E24" i="11"/>
  <c r="F21" i="11"/>
  <c r="G21" i="11"/>
  <c r="F22" i="11"/>
  <c r="G22" i="11"/>
  <c r="F20" i="11"/>
  <c r="G20" i="11"/>
  <c r="F19" i="11"/>
  <c r="G19" i="11"/>
  <c r="E21" i="11"/>
  <c r="E22" i="11"/>
  <c r="E20" i="11"/>
  <c r="E19" i="11"/>
  <c r="B3" i="11"/>
  <c r="B1" i="28"/>
  <c r="O25" i="28"/>
  <c r="T25" i="28"/>
  <c r="P25" i="28"/>
  <c r="U25" i="28"/>
  <c r="A29" i="28"/>
  <c r="O22" i="28"/>
  <c r="U22" i="28"/>
  <c r="A28" i="28"/>
  <c r="O18" i="28"/>
  <c r="H26" i="28"/>
  <c r="O17" i="28"/>
  <c r="H25" i="28"/>
  <c r="T22" i="28"/>
  <c r="R22" i="28"/>
  <c r="M362" i="1"/>
  <c r="M360" i="1"/>
  <c r="M359" i="1"/>
  <c r="M357" i="1"/>
  <c r="M356" i="1"/>
  <c r="M355" i="1"/>
  <c r="M353" i="1"/>
  <c r="M352" i="1"/>
  <c r="M351" i="1"/>
  <c r="M349" i="1"/>
  <c r="M348" i="1"/>
  <c r="M347" i="1"/>
  <c r="M345" i="1"/>
  <c r="M344" i="1"/>
  <c r="M342" i="1"/>
  <c r="M341" i="1"/>
  <c r="M339" i="1"/>
  <c r="M338" i="1"/>
  <c r="M337" i="1"/>
  <c r="M336" i="1"/>
  <c r="M335" i="1"/>
  <c r="M334" i="1"/>
  <c r="M332" i="1"/>
  <c r="M331" i="1"/>
  <c r="M330" i="1"/>
  <c r="M329" i="1"/>
  <c r="M327" i="1"/>
  <c r="M326" i="1"/>
  <c r="M325" i="1"/>
  <c r="M323" i="1"/>
  <c r="M322" i="1"/>
  <c r="M321" i="1"/>
  <c r="M319" i="1"/>
  <c r="M318" i="1"/>
  <c r="M317" i="1"/>
  <c r="M316" i="1"/>
  <c r="M315" i="1"/>
  <c r="M314" i="1"/>
  <c r="M313" i="1"/>
  <c r="M312" i="1"/>
  <c r="M310" i="1"/>
  <c r="M309" i="1"/>
  <c r="M308" i="1"/>
  <c r="M307" i="1"/>
  <c r="M305" i="1"/>
  <c r="M304" i="1"/>
  <c r="M303" i="1"/>
  <c r="M301" i="1"/>
  <c r="M300" i="1"/>
  <c r="M299" i="1"/>
  <c r="M297" i="1"/>
  <c r="M296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6" i="1"/>
  <c r="M275" i="1"/>
  <c r="M273" i="1"/>
  <c r="M272" i="1"/>
  <c r="M271" i="1"/>
  <c r="M269" i="1"/>
  <c r="M268" i="1"/>
  <c r="M267" i="1"/>
  <c r="M265" i="1"/>
  <c r="M264" i="1"/>
  <c r="M263" i="1"/>
  <c r="M262" i="1"/>
  <c r="M260" i="1"/>
  <c r="M259" i="1"/>
  <c r="M258" i="1"/>
  <c r="M257" i="1"/>
  <c r="M256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0" i="1"/>
  <c r="M239" i="1"/>
  <c r="M238" i="1"/>
  <c r="M237" i="1"/>
  <c r="M236" i="1"/>
  <c r="M235" i="1"/>
  <c r="M233" i="1"/>
  <c r="M232" i="1"/>
  <c r="M230" i="1"/>
  <c r="M229" i="1"/>
  <c r="M228" i="1"/>
  <c r="M227" i="1"/>
  <c r="M226" i="1"/>
  <c r="M224" i="1"/>
  <c r="M223" i="1"/>
  <c r="M222" i="1"/>
  <c r="M221" i="1"/>
  <c r="M219" i="1"/>
  <c r="M218" i="1"/>
  <c r="M217" i="1"/>
  <c r="M215" i="1"/>
  <c r="M214" i="1"/>
  <c r="M213" i="1"/>
  <c r="M212" i="1"/>
  <c r="M211" i="1"/>
  <c r="M209" i="1"/>
  <c r="M208" i="1"/>
  <c r="M207" i="1"/>
  <c r="M206" i="1"/>
  <c r="M205" i="1"/>
  <c r="M203" i="1"/>
  <c r="M202" i="1"/>
  <c r="M201" i="1"/>
  <c r="M200" i="1"/>
  <c r="M199" i="1"/>
  <c r="M198" i="1"/>
  <c r="M197" i="1"/>
  <c r="M196" i="1"/>
  <c r="M195" i="1"/>
  <c r="M194" i="1"/>
  <c r="M192" i="1"/>
  <c r="M191" i="1"/>
  <c r="M190" i="1"/>
  <c r="M188" i="1"/>
  <c r="M187" i="1"/>
  <c r="M186" i="1"/>
  <c r="M185" i="1"/>
  <c r="M184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6" i="1"/>
  <c r="M165" i="1"/>
  <c r="M163" i="1"/>
  <c r="M162" i="1"/>
  <c r="M161" i="1"/>
  <c r="M160" i="1"/>
  <c r="M159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39" i="1"/>
  <c r="M138" i="1"/>
  <c r="M137" i="1"/>
  <c r="M136" i="1"/>
  <c r="M135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17" i="1"/>
  <c r="M116" i="1"/>
  <c r="M115" i="1"/>
  <c r="M114" i="1"/>
  <c r="M113" i="1"/>
  <c r="M112" i="1"/>
  <c r="M111" i="1"/>
  <c r="M120" i="1"/>
  <c r="M119" i="1"/>
  <c r="M100" i="1"/>
  <c r="M99" i="1"/>
  <c r="M98" i="1"/>
  <c r="M97" i="1"/>
  <c r="M109" i="1"/>
  <c r="M108" i="1"/>
  <c r="M107" i="1"/>
  <c r="M106" i="1"/>
  <c r="M105" i="1"/>
  <c r="M104" i="1"/>
  <c r="M103" i="1"/>
  <c r="M102" i="1"/>
  <c r="M101" i="1"/>
  <c r="M95" i="1"/>
  <c r="M94" i="1"/>
  <c r="M93" i="1"/>
  <c r="M92" i="1"/>
  <c r="M91" i="1"/>
  <c r="M89" i="1"/>
  <c r="M88" i="1"/>
  <c r="M87" i="1"/>
  <c r="M86" i="1"/>
  <c r="M85" i="1"/>
  <c r="M84" i="1"/>
  <c r="M83" i="1"/>
  <c r="M78" i="1"/>
  <c r="M79" i="1"/>
  <c r="M80" i="1"/>
  <c r="M81" i="1"/>
  <c r="M82" i="1"/>
  <c r="M77" i="1"/>
  <c r="M68" i="1"/>
  <c r="M69" i="1"/>
  <c r="M70" i="1"/>
  <c r="M71" i="1"/>
  <c r="M72" i="1"/>
  <c r="M73" i="1"/>
  <c r="M74" i="1"/>
  <c r="M75" i="1"/>
  <c r="M67" i="1"/>
  <c r="M59" i="1"/>
  <c r="M60" i="1"/>
  <c r="M61" i="1"/>
  <c r="M62" i="1"/>
  <c r="M63" i="1"/>
  <c r="M64" i="1"/>
  <c r="M65" i="1"/>
  <c r="M58" i="1"/>
  <c r="M57" i="1"/>
  <c r="M56" i="1"/>
  <c r="M55" i="1"/>
  <c r="M54" i="1"/>
  <c r="M53" i="1"/>
  <c r="M52" i="1"/>
  <c r="M51" i="1"/>
  <c r="M50" i="1"/>
  <c r="M48" i="1"/>
  <c r="M47" i="1"/>
  <c r="M46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0" i="1"/>
  <c r="M29" i="1"/>
  <c r="M28" i="1"/>
  <c r="M27" i="1"/>
  <c r="M26" i="1"/>
  <c r="M25" i="1"/>
  <c r="M23" i="1"/>
  <c r="M22" i="1"/>
  <c r="M21" i="1"/>
  <c r="M20" i="1"/>
  <c r="K91" i="1"/>
  <c r="L91" i="1"/>
  <c r="K82" i="1"/>
  <c r="L82" i="1"/>
  <c r="K81" i="1"/>
  <c r="L81" i="1"/>
  <c r="K80" i="1"/>
  <c r="L80" i="1"/>
  <c r="K79" i="1"/>
  <c r="L79" i="1"/>
  <c r="K78" i="1"/>
  <c r="L78" i="1"/>
  <c r="K362" i="1"/>
  <c r="L362" i="1"/>
  <c r="K360" i="1"/>
  <c r="L360" i="1"/>
  <c r="K359" i="1"/>
  <c r="L359" i="1"/>
  <c r="K357" i="1"/>
  <c r="L357" i="1"/>
  <c r="K356" i="1"/>
  <c r="L356" i="1"/>
  <c r="K355" i="1"/>
  <c r="L355" i="1"/>
  <c r="K353" i="1"/>
  <c r="L353" i="1"/>
  <c r="K352" i="1"/>
  <c r="L352" i="1"/>
  <c r="K351" i="1"/>
  <c r="L351" i="1"/>
  <c r="K349" i="1"/>
  <c r="L349" i="1"/>
  <c r="K348" i="1"/>
  <c r="L348" i="1"/>
  <c r="K347" i="1"/>
  <c r="L347" i="1"/>
  <c r="K345" i="1"/>
  <c r="L345" i="1"/>
  <c r="K344" i="1"/>
  <c r="L344" i="1"/>
  <c r="K342" i="1"/>
  <c r="L342" i="1"/>
  <c r="K341" i="1"/>
  <c r="L341" i="1"/>
  <c r="K339" i="1"/>
  <c r="L339" i="1"/>
  <c r="K338" i="1"/>
  <c r="L338" i="1"/>
  <c r="K337" i="1"/>
  <c r="L337" i="1"/>
  <c r="K336" i="1"/>
  <c r="L336" i="1"/>
  <c r="K335" i="1"/>
  <c r="L335" i="1"/>
  <c r="K334" i="1"/>
  <c r="L334" i="1"/>
  <c r="K332" i="1"/>
  <c r="L332" i="1"/>
  <c r="K331" i="1"/>
  <c r="L331" i="1"/>
  <c r="K330" i="1"/>
  <c r="L330" i="1"/>
  <c r="K329" i="1"/>
  <c r="L329" i="1"/>
  <c r="K327" i="1"/>
  <c r="L327" i="1"/>
  <c r="K326" i="1"/>
  <c r="L326" i="1"/>
  <c r="K325" i="1"/>
  <c r="L325" i="1"/>
  <c r="K323" i="1"/>
  <c r="L323" i="1"/>
  <c r="K322" i="1"/>
  <c r="L322" i="1"/>
  <c r="K321" i="1"/>
  <c r="L321" i="1"/>
  <c r="K319" i="1"/>
  <c r="L319" i="1"/>
  <c r="K318" i="1"/>
  <c r="L318" i="1"/>
  <c r="K317" i="1"/>
  <c r="L317" i="1"/>
  <c r="K316" i="1"/>
  <c r="L316" i="1"/>
  <c r="K315" i="1"/>
  <c r="L315" i="1"/>
  <c r="K314" i="1"/>
  <c r="L314" i="1"/>
  <c r="K313" i="1"/>
  <c r="L313" i="1"/>
  <c r="K312" i="1"/>
  <c r="L312" i="1"/>
  <c r="K310" i="1"/>
  <c r="L310" i="1"/>
  <c r="K309" i="1"/>
  <c r="L309" i="1"/>
  <c r="K308" i="1"/>
  <c r="L308" i="1"/>
  <c r="K307" i="1"/>
  <c r="L307" i="1"/>
  <c r="K305" i="1"/>
  <c r="L305" i="1"/>
  <c r="K304" i="1"/>
  <c r="L304" i="1"/>
  <c r="K303" i="1"/>
  <c r="L303" i="1"/>
  <c r="K301" i="1"/>
  <c r="L301" i="1"/>
  <c r="K300" i="1"/>
  <c r="L300" i="1"/>
  <c r="K299" i="1"/>
  <c r="L299" i="1"/>
  <c r="K297" i="1"/>
  <c r="L297" i="1"/>
  <c r="K296" i="1"/>
  <c r="L296" i="1"/>
  <c r="K294" i="1"/>
  <c r="L294" i="1"/>
  <c r="K293" i="1"/>
  <c r="L293" i="1"/>
  <c r="K292" i="1"/>
  <c r="L292" i="1"/>
  <c r="K291" i="1"/>
  <c r="L291" i="1"/>
  <c r="K290" i="1"/>
  <c r="L290" i="1"/>
  <c r="K289" i="1"/>
  <c r="L289" i="1"/>
  <c r="K288" i="1"/>
  <c r="L288" i="1"/>
  <c r="K287" i="1"/>
  <c r="L287" i="1"/>
  <c r="K286" i="1"/>
  <c r="L286" i="1"/>
  <c r="K285" i="1"/>
  <c r="L285" i="1"/>
  <c r="K284" i="1"/>
  <c r="L284" i="1"/>
  <c r="K283" i="1"/>
  <c r="L283" i="1"/>
  <c r="K282" i="1"/>
  <c r="L282" i="1"/>
  <c r="K281" i="1"/>
  <c r="L281" i="1"/>
  <c r="K280" i="1"/>
  <c r="L280" i="1"/>
  <c r="K279" i="1"/>
  <c r="L279" i="1"/>
  <c r="K278" i="1"/>
  <c r="L278" i="1"/>
  <c r="K276" i="1"/>
  <c r="L276" i="1"/>
  <c r="K275" i="1"/>
  <c r="L275" i="1"/>
  <c r="K273" i="1"/>
  <c r="L273" i="1"/>
  <c r="K272" i="1"/>
  <c r="L272" i="1"/>
  <c r="K271" i="1"/>
  <c r="L271" i="1"/>
  <c r="K269" i="1"/>
  <c r="L269" i="1"/>
  <c r="K268" i="1"/>
  <c r="L268" i="1"/>
  <c r="K267" i="1"/>
  <c r="L267" i="1"/>
  <c r="K265" i="1"/>
  <c r="L265" i="1"/>
  <c r="K264" i="1"/>
  <c r="L264" i="1"/>
  <c r="K263" i="1"/>
  <c r="L263" i="1"/>
  <c r="K262" i="1"/>
  <c r="L262" i="1"/>
  <c r="K260" i="1"/>
  <c r="L260" i="1"/>
  <c r="K259" i="1"/>
  <c r="L259" i="1"/>
  <c r="K258" i="1"/>
  <c r="L258" i="1"/>
  <c r="K257" i="1"/>
  <c r="L257" i="1"/>
  <c r="K256" i="1"/>
  <c r="L256" i="1"/>
  <c r="K254" i="1"/>
  <c r="L254" i="1"/>
  <c r="K253" i="1"/>
  <c r="L253" i="1"/>
  <c r="K252" i="1"/>
  <c r="L252" i="1"/>
  <c r="K251" i="1"/>
  <c r="L251" i="1"/>
  <c r="K250" i="1"/>
  <c r="L250" i="1"/>
  <c r="K249" i="1"/>
  <c r="L249" i="1"/>
  <c r="K248" i="1"/>
  <c r="L248" i="1"/>
  <c r="K247" i="1"/>
  <c r="L247" i="1"/>
  <c r="K246" i="1"/>
  <c r="L246" i="1"/>
  <c r="K245" i="1"/>
  <c r="L245" i="1"/>
  <c r="K244" i="1"/>
  <c r="L244" i="1"/>
  <c r="K243" i="1"/>
  <c r="L243" i="1"/>
  <c r="K242" i="1"/>
  <c r="L242" i="1"/>
  <c r="K240" i="1"/>
  <c r="L240" i="1"/>
  <c r="K239" i="1"/>
  <c r="L239" i="1"/>
  <c r="K238" i="1"/>
  <c r="L238" i="1"/>
  <c r="K237" i="1"/>
  <c r="L237" i="1"/>
  <c r="K236" i="1"/>
  <c r="L236" i="1"/>
  <c r="K235" i="1"/>
  <c r="L235" i="1"/>
  <c r="K233" i="1"/>
  <c r="L233" i="1"/>
  <c r="K232" i="1"/>
  <c r="L232" i="1"/>
  <c r="K230" i="1"/>
  <c r="L230" i="1"/>
  <c r="K229" i="1"/>
  <c r="L229" i="1"/>
  <c r="K228" i="1"/>
  <c r="L228" i="1"/>
  <c r="K227" i="1"/>
  <c r="L227" i="1"/>
  <c r="K226" i="1"/>
  <c r="L226" i="1"/>
  <c r="K224" i="1"/>
  <c r="L224" i="1"/>
  <c r="K223" i="1"/>
  <c r="L223" i="1"/>
  <c r="K222" i="1"/>
  <c r="L222" i="1"/>
  <c r="K221" i="1"/>
  <c r="L221" i="1"/>
  <c r="K219" i="1"/>
  <c r="L219" i="1"/>
  <c r="K218" i="1"/>
  <c r="L218" i="1"/>
  <c r="K217" i="1"/>
  <c r="L217" i="1"/>
  <c r="K215" i="1"/>
  <c r="L215" i="1"/>
  <c r="K214" i="1"/>
  <c r="L214" i="1"/>
  <c r="K213" i="1"/>
  <c r="L213" i="1"/>
  <c r="K212" i="1"/>
  <c r="L212" i="1"/>
  <c r="K211" i="1"/>
  <c r="L211" i="1"/>
  <c r="K209" i="1"/>
  <c r="L209" i="1"/>
  <c r="K208" i="1"/>
  <c r="L208" i="1"/>
  <c r="K207" i="1"/>
  <c r="L207" i="1"/>
  <c r="K206" i="1"/>
  <c r="L206" i="1"/>
  <c r="K205" i="1"/>
  <c r="L205" i="1"/>
  <c r="K203" i="1"/>
  <c r="L203" i="1"/>
  <c r="K202" i="1"/>
  <c r="L202" i="1"/>
  <c r="K201" i="1"/>
  <c r="L201" i="1"/>
  <c r="K200" i="1"/>
  <c r="L200" i="1"/>
  <c r="K199" i="1"/>
  <c r="L199" i="1"/>
  <c r="K198" i="1"/>
  <c r="L198" i="1"/>
  <c r="K197" i="1"/>
  <c r="L197" i="1"/>
  <c r="K196" i="1"/>
  <c r="L196" i="1"/>
  <c r="K195" i="1"/>
  <c r="L195" i="1"/>
  <c r="K194" i="1"/>
  <c r="L194" i="1"/>
  <c r="K192" i="1"/>
  <c r="L192" i="1"/>
  <c r="K191" i="1"/>
  <c r="L191" i="1"/>
  <c r="K190" i="1"/>
  <c r="L190" i="1"/>
  <c r="K188" i="1"/>
  <c r="L188" i="1"/>
  <c r="K187" i="1"/>
  <c r="L187" i="1"/>
  <c r="K186" i="1"/>
  <c r="L186" i="1"/>
  <c r="K185" i="1"/>
  <c r="L185" i="1"/>
  <c r="K184" i="1"/>
  <c r="L184" i="1"/>
  <c r="K182" i="1"/>
  <c r="L182" i="1"/>
  <c r="K181" i="1"/>
  <c r="L181" i="1"/>
  <c r="K180" i="1"/>
  <c r="L180" i="1"/>
  <c r="K179" i="1"/>
  <c r="L179" i="1"/>
  <c r="K178" i="1"/>
  <c r="L178" i="1"/>
  <c r="K177" i="1"/>
  <c r="L177" i="1"/>
  <c r="K176" i="1"/>
  <c r="L176" i="1"/>
  <c r="K175" i="1"/>
  <c r="L175" i="1"/>
  <c r="K174" i="1"/>
  <c r="L174" i="1"/>
  <c r="K173" i="1"/>
  <c r="L173" i="1"/>
  <c r="K172" i="1"/>
  <c r="L172" i="1"/>
  <c r="K171" i="1"/>
  <c r="L171" i="1"/>
  <c r="K170" i="1"/>
  <c r="L170" i="1"/>
  <c r="K169" i="1"/>
  <c r="L169" i="1"/>
  <c r="K168" i="1"/>
  <c r="L168" i="1"/>
  <c r="K166" i="1"/>
  <c r="L166" i="1"/>
  <c r="K165" i="1"/>
  <c r="L165" i="1"/>
  <c r="K163" i="1"/>
  <c r="L163" i="1"/>
  <c r="K162" i="1"/>
  <c r="L162" i="1"/>
  <c r="K161" i="1"/>
  <c r="L161" i="1"/>
  <c r="K160" i="1"/>
  <c r="L160" i="1"/>
  <c r="K159" i="1"/>
  <c r="L159" i="1"/>
  <c r="K157" i="1"/>
  <c r="L157" i="1"/>
  <c r="K156" i="1"/>
  <c r="L156" i="1"/>
  <c r="K155" i="1"/>
  <c r="L155" i="1"/>
  <c r="K154" i="1"/>
  <c r="L154" i="1"/>
  <c r="K153" i="1"/>
  <c r="L153" i="1"/>
  <c r="K152" i="1"/>
  <c r="L152" i="1"/>
  <c r="K151" i="1"/>
  <c r="L151" i="1"/>
  <c r="K150" i="1"/>
  <c r="L150" i="1"/>
  <c r="K149" i="1"/>
  <c r="L149" i="1"/>
  <c r="K148" i="1"/>
  <c r="L148" i="1"/>
  <c r="K147" i="1"/>
  <c r="L147" i="1"/>
  <c r="K146" i="1"/>
  <c r="L146" i="1"/>
  <c r="K145" i="1"/>
  <c r="L145" i="1"/>
  <c r="K144" i="1"/>
  <c r="L144" i="1"/>
  <c r="K143" i="1"/>
  <c r="L143" i="1"/>
  <c r="K142" i="1"/>
  <c r="L142" i="1"/>
  <c r="K141" i="1"/>
  <c r="L141" i="1"/>
  <c r="K139" i="1"/>
  <c r="L139" i="1"/>
  <c r="K138" i="1"/>
  <c r="L138" i="1"/>
  <c r="K137" i="1"/>
  <c r="L137" i="1"/>
  <c r="K136" i="1"/>
  <c r="L136" i="1"/>
  <c r="K135" i="1"/>
  <c r="L135" i="1"/>
  <c r="K133" i="1"/>
  <c r="L133" i="1"/>
  <c r="K132" i="1"/>
  <c r="L132" i="1"/>
  <c r="K131" i="1"/>
  <c r="L131" i="1"/>
  <c r="K130" i="1"/>
  <c r="L130" i="1"/>
  <c r="K129" i="1"/>
  <c r="L129" i="1"/>
  <c r="K128" i="1"/>
  <c r="L128" i="1"/>
  <c r="K127" i="1"/>
  <c r="L127" i="1"/>
  <c r="K126" i="1"/>
  <c r="L126" i="1"/>
  <c r="K125" i="1"/>
  <c r="L125" i="1"/>
  <c r="K124" i="1"/>
  <c r="L124" i="1"/>
  <c r="K123" i="1"/>
  <c r="L123" i="1"/>
  <c r="K122" i="1"/>
  <c r="L122" i="1"/>
  <c r="K121" i="1"/>
  <c r="L121" i="1"/>
  <c r="K120" i="1"/>
  <c r="L120" i="1"/>
  <c r="K119" i="1"/>
  <c r="L119" i="1"/>
  <c r="K117" i="1"/>
  <c r="L117" i="1"/>
  <c r="K116" i="1"/>
  <c r="L116" i="1"/>
  <c r="K115" i="1"/>
  <c r="L115" i="1"/>
  <c r="K114" i="1"/>
  <c r="L114" i="1"/>
  <c r="K113" i="1"/>
  <c r="L113" i="1"/>
  <c r="K112" i="1"/>
  <c r="L112" i="1"/>
  <c r="K111" i="1"/>
  <c r="L111" i="1"/>
  <c r="K109" i="1"/>
  <c r="L109" i="1"/>
  <c r="K108" i="1"/>
  <c r="L108" i="1"/>
  <c r="K107" i="1"/>
  <c r="L107" i="1"/>
  <c r="K106" i="1"/>
  <c r="L106" i="1"/>
  <c r="K105" i="1"/>
  <c r="L105" i="1"/>
  <c r="K104" i="1"/>
  <c r="L104" i="1"/>
  <c r="K103" i="1"/>
  <c r="L103" i="1"/>
  <c r="K102" i="1"/>
  <c r="L102" i="1"/>
  <c r="K101" i="1"/>
  <c r="L101" i="1"/>
  <c r="K100" i="1"/>
  <c r="L100" i="1"/>
  <c r="K99" i="1"/>
  <c r="L99" i="1"/>
  <c r="K98" i="1"/>
  <c r="L98" i="1"/>
  <c r="K97" i="1"/>
  <c r="L97" i="1"/>
  <c r="K95" i="1"/>
  <c r="L95" i="1"/>
  <c r="K94" i="1"/>
  <c r="L94" i="1"/>
  <c r="K93" i="1"/>
  <c r="L93" i="1"/>
  <c r="K92" i="1"/>
  <c r="L92" i="1"/>
  <c r="K89" i="1"/>
  <c r="L89" i="1"/>
  <c r="K88" i="1"/>
  <c r="L88" i="1"/>
  <c r="K87" i="1"/>
  <c r="L87" i="1"/>
  <c r="K86" i="1"/>
  <c r="L86" i="1"/>
  <c r="K85" i="1"/>
  <c r="L85" i="1"/>
  <c r="K84" i="1"/>
  <c r="L84" i="1"/>
  <c r="K83" i="1"/>
  <c r="L83" i="1"/>
  <c r="K77" i="1"/>
  <c r="L77" i="1"/>
  <c r="K75" i="1"/>
  <c r="L75" i="1"/>
  <c r="K74" i="1"/>
  <c r="L74" i="1"/>
  <c r="K73" i="1"/>
  <c r="L73" i="1"/>
  <c r="K72" i="1"/>
  <c r="L72" i="1"/>
  <c r="K71" i="1"/>
  <c r="L71" i="1"/>
  <c r="K70" i="1"/>
  <c r="L70" i="1"/>
  <c r="K69" i="1"/>
  <c r="L69" i="1"/>
  <c r="K68" i="1"/>
  <c r="L68" i="1"/>
  <c r="K67" i="1"/>
  <c r="L67" i="1"/>
  <c r="K65" i="1"/>
  <c r="L65" i="1"/>
  <c r="K64" i="1"/>
  <c r="L64" i="1"/>
  <c r="K63" i="1"/>
  <c r="L63" i="1"/>
  <c r="K62" i="1"/>
  <c r="L62" i="1"/>
  <c r="K61" i="1"/>
  <c r="L61" i="1"/>
  <c r="K60" i="1"/>
  <c r="L60" i="1"/>
  <c r="K59" i="1"/>
  <c r="L59" i="1"/>
  <c r="K58" i="1"/>
  <c r="L58" i="1"/>
  <c r="K57" i="1"/>
  <c r="L57" i="1"/>
  <c r="K56" i="1"/>
  <c r="L56" i="1"/>
  <c r="K55" i="1"/>
  <c r="L55" i="1"/>
  <c r="K54" i="1"/>
  <c r="L54" i="1"/>
  <c r="K53" i="1"/>
  <c r="L53" i="1"/>
  <c r="K52" i="1"/>
  <c r="L52" i="1"/>
  <c r="K51" i="1"/>
  <c r="L51" i="1"/>
  <c r="K50" i="1"/>
  <c r="L50" i="1"/>
  <c r="K48" i="1"/>
  <c r="L48" i="1"/>
  <c r="K47" i="1"/>
  <c r="L47" i="1"/>
  <c r="K46" i="1"/>
  <c r="L46" i="1"/>
  <c r="K44" i="1"/>
  <c r="L44" i="1"/>
  <c r="K43" i="1"/>
  <c r="L43" i="1"/>
  <c r="K42" i="1"/>
  <c r="L42" i="1"/>
  <c r="K41" i="1"/>
  <c r="L41" i="1"/>
  <c r="K40" i="1"/>
  <c r="L40" i="1"/>
  <c r="K39" i="1"/>
  <c r="L39" i="1"/>
  <c r="K38" i="1"/>
  <c r="L38" i="1"/>
  <c r="K37" i="1"/>
  <c r="L37" i="1"/>
  <c r="K36" i="1"/>
  <c r="L36" i="1"/>
  <c r="K35" i="1"/>
  <c r="L35" i="1"/>
  <c r="K34" i="1"/>
  <c r="L34" i="1"/>
  <c r="K33" i="1"/>
  <c r="L33" i="1"/>
  <c r="K32" i="1"/>
  <c r="L32" i="1"/>
  <c r="K30" i="1"/>
  <c r="L30" i="1"/>
  <c r="K29" i="1"/>
  <c r="L29" i="1"/>
  <c r="K28" i="1"/>
  <c r="L28" i="1"/>
  <c r="K27" i="1"/>
  <c r="L27" i="1"/>
  <c r="K26" i="1"/>
  <c r="L26" i="1"/>
  <c r="K25" i="1"/>
  <c r="L25" i="1"/>
  <c r="K23" i="1"/>
  <c r="L23" i="1"/>
  <c r="K22" i="1"/>
  <c r="L22" i="1"/>
  <c r="K21" i="1"/>
  <c r="L21" i="1"/>
  <c r="K20" i="1"/>
  <c r="L20" i="1"/>
  <c r="B1" i="1"/>
  <c r="M22" i="9"/>
  <c r="M23" i="9"/>
  <c r="M24" i="9"/>
  <c r="M26" i="9"/>
  <c r="M27" i="9"/>
  <c r="M28" i="9"/>
  <c r="M29" i="9"/>
  <c r="M30" i="9"/>
  <c r="M31" i="9"/>
  <c r="M32" i="9"/>
  <c r="M33" i="9"/>
  <c r="M34" i="9"/>
  <c r="M36" i="9"/>
  <c r="M37" i="9"/>
  <c r="M38" i="9"/>
  <c r="M39" i="9"/>
  <c r="M40" i="9"/>
  <c r="M41" i="9"/>
  <c r="M42" i="9"/>
  <c r="M44" i="9"/>
  <c r="M45" i="9"/>
  <c r="M46" i="9"/>
  <c r="M47" i="9"/>
  <c r="M48" i="9"/>
  <c r="M50" i="9"/>
  <c r="M51" i="9"/>
  <c r="M52" i="9"/>
  <c r="M53" i="9"/>
  <c r="M55" i="9"/>
  <c r="M56" i="9"/>
  <c r="M57" i="9"/>
  <c r="M58" i="9"/>
  <c r="M59" i="9"/>
  <c r="M60" i="9"/>
  <c r="M62" i="9"/>
  <c r="M63" i="9"/>
  <c r="M64" i="9"/>
  <c r="M65" i="9"/>
  <c r="M66" i="9"/>
  <c r="M68" i="9"/>
  <c r="M69" i="9"/>
  <c r="M70" i="9"/>
  <c r="M71" i="9"/>
  <c r="M72" i="9"/>
  <c r="M74" i="9"/>
  <c r="M75" i="9"/>
  <c r="M76" i="9"/>
  <c r="M77" i="9"/>
  <c r="M78" i="9"/>
  <c r="M79" i="9"/>
  <c r="M81" i="9"/>
  <c r="M82" i="9"/>
  <c r="M83" i="9"/>
  <c r="M84" i="9"/>
  <c r="M85" i="9"/>
  <c r="M87" i="9"/>
  <c r="M88" i="9"/>
  <c r="M90" i="9"/>
  <c r="M91" i="9"/>
  <c r="M92" i="9"/>
  <c r="M93" i="9"/>
  <c r="M94" i="9"/>
  <c r="M95" i="9"/>
  <c r="M97" i="9"/>
  <c r="M98" i="9"/>
  <c r="M99" i="9"/>
  <c r="M100" i="9"/>
  <c r="M101" i="9"/>
  <c r="M103" i="9"/>
  <c r="M104" i="9"/>
  <c r="M105" i="9"/>
  <c r="M107" i="9"/>
  <c r="M108" i="9"/>
  <c r="M109" i="9"/>
  <c r="M110" i="9"/>
  <c r="M111" i="9"/>
  <c r="M112" i="9"/>
  <c r="M113" i="9"/>
  <c r="M115" i="9"/>
  <c r="M116" i="9"/>
  <c r="M117" i="9"/>
  <c r="M118" i="9"/>
  <c r="M119" i="9"/>
  <c r="M121" i="9"/>
  <c r="M122" i="9"/>
  <c r="M123" i="9"/>
  <c r="M125" i="9"/>
  <c r="M126" i="9"/>
  <c r="M127" i="9"/>
  <c r="M128" i="9"/>
  <c r="M130" i="9"/>
  <c r="M131" i="9"/>
  <c r="M132" i="9"/>
  <c r="M133" i="9"/>
  <c r="M134" i="9"/>
  <c r="M136" i="9"/>
  <c r="M137" i="9"/>
  <c r="M139" i="9"/>
  <c r="M140" i="9"/>
  <c r="M141" i="9"/>
  <c r="M142" i="9"/>
  <c r="M143" i="9"/>
  <c r="M144" i="9"/>
  <c r="M145" i="9"/>
  <c r="M146" i="9"/>
  <c r="M147" i="9"/>
  <c r="M148" i="9"/>
  <c r="M149" i="9"/>
  <c r="M150" i="9"/>
  <c r="M151" i="9"/>
  <c r="M152" i="9"/>
  <c r="M153" i="9"/>
  <c r="M154" i="9"/>
  <c r="M155" i="9"/>
  <c r="M156" i="9"/>
  <c r="M157" i="9"/>
  <c r="M159" i="9"/>
  <c r="M160" i="9"/>
  <c r="M161" i="9"/>
  <c r="M162" i="9"/>
  <c r="M163" i="9"/>
  <c r="M165" i="9"/>
  <c r="M166" i="9"/>
  <c r="M167" i="9"/>
  <c r="M168" i="9"/>
  <c r="M170" i="9"/>
  <c r="M171" i="9"/>
  <c r="M172" i="9"/>
  <c r="M174" i="9"/>
  <c r="M175" i="9"/>
  <c r="M176" i="9"/>
  <c r="M178" i="9"/>
  <c r="M179" i="9"/>
  <c r="M181" i="9"/>
  <c r="M182" i="9"/>
  <c r="M183" i="9"/>
  <c r="M184" i="9"/>
  <c r="M185" i="9"/>
  <c r="M186" i="9"/>
  <c r="M187" i="9"/>
  <c r="M188" i="9"/>
  <c r="M189" i="9"/>
  <c r="M190" i="9"/>
  <c r="M191" i="9"/>
  <c r="M192" i="9"/>
  <c r="M193" i="9"/>
  <c r="M194" i="9"/>
  <c r="M195" i="9"/>
  <c r="M196" i="9"/>
  <c r="M197" i="9"/>
  <c r="M198" i="9"/>
  <c r="M199" i="9"/>
  <c r="M200" i="9"/>
  <c r="M202" i="9"/>
  <c r="M203" i="9"/>
  <c r="M204" i="9"/>
  <c r="M206" i="9"/>
  <c r="M207" i="9"/>
  <c r="M208" i="9"/>
  <c r="M210" i="9"/>
  <c r="M211" i="9"/>
  <c r="M212" i="9"/>
  <c r="M213" i="9"/>
  <c r="M215" i="9"/>
  <c r="M216" i="9"/>
  <c r="M217" i="9"/>
  <c r="M218" i="9"/>
  <c r="M219" i="9"/>
  <c r="M220" i="9"/>
  <c r="M221" i="9"/>
  <c r="M222" i="9"/>
  <c r="M224" i="9"/>
  <c r="M225" i="9"/>
  <c r="M226" i="9"/>
  <c r="M228" i="9"/>
  <c r="M229" i="9"/>
  <c r="M230" i="9"/>
  <c r="M232" i="9"/>
  <c r="M233" i="9"/>
  <c r="M234" i="9"/>
  <c r="M235" i="9"/>
  <c r="M237" i="9"/>
  <c r="M238" i="9"/>
  <c r="M239" i="9"/>
  <c r="M240" i="9"/>
  <c r="M241" i="9"/>
  <c r="M242" i="9"/>
  <c r="M244" i="9"/>
  <c r="M245" i="9"/>
  <c r="M247" i="9"/>
  <c r="M248" i="9"/>
  <c r="M250" i="9"/>
  <c r="M251" i="9"/>
  <c r="M252" i="9"/>
  <c r="M254" i="9"/>
  <c r="M255" i="9"/>
  <c r="M256" i="9"/>
  <c r="M258" i="9"/>
  <c r="M259" i="9"/>
  <c r="M260" i="9"/>
  <c r="M262" i="9"/>
  <c r="M263" i="9"/>
  <c r="M265" i="9"/>
  <c r="M21" i="9"/>
  <c r="M20" i="9"/>
  <c r="M19" i="9"/>
  <c r="M18" i="9"/>
  <c r="K265" i="9"/>
  <c r="L265" i="9"/>
  <c r="K263" i="9"/>
  <c r="L263" i="9"/>
  <c r="K262" i="9"/>
  <c r="L262" i="9"/>
  <c r="K260" i="9"/>
  <c r="L260" i="9"/>
  <c r="K259" i="9"/>
  <c r="L259" i="9"/>
  <c r="K258" i="9"/>
  <c r="L258" i="9"/>
  <c r="K256" i="9"/>
  <c r="L256" i="9"/>
  <c r="K255" i="9"/>
  <c r="L255" i="9"/>
  <c r="K254" i="9"/>
  <c r="L254" i="9"/>
  <c r="K252" i="9"/>
  <c r="L252" i="9"/>
  <c r="K251" i="9"/>
  <c r="L251" i="9"/>
  <c r="K250" i="9"/>
  <c r="L250" i="9"/>
  <c r="K248" i="9"/>
  <c r="L248" i="9"/>
  <c r="K247" i="9"/>
  <c r="L247" i="9"/>
  <c r="K245" i="9"/>
  <c r="L245" i="9"/>
  <c r="K244" i="9"/>
  <c r="L244" i="9"/>
  <c r="K242" i="9"/>
  <c r="L242" i="9"/>
  <c r="K241" i="9"/>
  <c r="L241" i="9"/>
  <c r="K240" i="9"/>
  <c r="L240" i="9"/>
  <c r="K239" i="9"/>
  <c r="L239" i="9"/>
  <c r="K238" i="9"/>
  <c r="L238" i="9"/>
  <c r="K237" i="9"/>
  <c r="L237" i="9"/>
  <c r="K235" i="9"/>
  <c r="L235" i="9"/>
  <c r="K234" i="9"/>
  <c r="L234" i="9"/>
  <c r="K233" i="9"/>
  <c r="L233" i="9"/>
  <c r="K232" i="9"/>
  <c r="L232" i="9"/>
  <c r="K230" i="9"/>
  <c r="L230" i="9"/>
  <c r="K229" i="9"/>
  <c r="L229" i="9"/>
  <c r="K228" i="9"/>
  <c r="L228" i="9"/>
  <c r="K226" i="9"/>
  <c r="L226" i="9"/>
  <c r="K225" i="9"/>
  <c r="L225" i="9"/>
  <c r="K224" i="9"/>
  <c r="L224" i="9"/>
  <c r="K222" i="9"/>
  <c r="L222" i="9"/>
  <c r="K221" i="9"/>
  <c r="L221" i="9"/>
  <c r="K220" i="9"/>
  <c r="L220" i="9"/>
  <c r="K219" i="9"/>
  <c r="L219" i="9"/>
  <c r="K218" i="9"/>
  <c r="L218" i="9"/>
  <c r="K217" i="9"/>
  <c r="L217" i="9"/>
  <c r="K216" i="9"/>
  <c r="L216" i="9"/>
  <c r="K215" i="9"/>
  <c r="L215" i="9"/>
  <c r="K213" i="9"/>
  <c r="L213" i="9"/>
  <c r="K212" i="9"/>
  <c r="L212" i="9"/>
  <c r="K211" i="9"/>
  <c r="L211" i="9"/>
  <c r="K210" i="9"/>
  <c r="L210" i="9"/>
  <c r="K208" i="9"/>
  <c r="L208" i="9"/>
  <c r="K207" i="9"/>
  <c r="L207" i="9"/>
  <c r="K206" i="9"/>
  <c r="L206" i="9"/>
  <c r="K204" i="9"/>
  <c r="L204" i="9"/>
  <c r="K203" i="9"/>
  <c r="L203" i="9"/>
  <c r="K202" i="9"/>
  <c r="L202" i="9"/>
  <c r="K200" i="9"/>
  <c r="L200" i="9"/>
  <c r="K199" i="9"/>
  <c r="L199" i="9"/>
  <c r="K197" i="9"/>
  <c r="L197" i="9"/>
  <c r="K196" i="9"/>
  <c r="L196" i="9"/>
  <c r="K195" i="9"/>
  <c r="L195" i="9"/>
  <c r="K194" i="9"/>
  <c r="L194" i="9"/>
  <c r="K193" i="9"/>
  <c r="L193" i="9"/>
  <c r="K192" i="9"/>
  <c r="L192" i="9"/>
  <c r="K191" i="9"/>
  <c r="L191" i="9"/>
  <c r="K190" i="9"/>
  <c r="L190" i="9"/>
  <c r="K189" i="9"/>
  <c r="L189" i="9"/>
  <c r="K188" i="9"/>
  <c r="L188" i="9"/>
  <c r="K187" i="9"/>
  <c r="L187" i="9"/>
  <c r="K186" i="9"/>
  <c r="L186" i="9"/>
  <c r="K185" i="9"/>
  <c r="L185" i="9"/>
  <c r="K184" i="9"/>
  <c r="L184" i="9"/>
  <c r="K183" i="9"/>
  <c r="L183" i="9"/>
  <c r="K182" i="9"/>
  <c r="L182" i="9"/>
  <c r="K181" i="9"/>
  <c r="L181" i="9"/>
  <c r="K179" i="9"/>
  <c r="L179" i="9"/>
  <c r="K178" i="9"/>
  <c r="L178" i="9"/>
  <c r="K176" i="9"/>
  <c r="L176" i="9"/>
  <c r="K175" i="9"/>
  <c r="L175" i="9"/>
  <c r="K174" i="9"/>
  <c r="L174" i="9"/>
  <c r="K172" i="9"/>
  <c r="L172" i="9"/>
  <c r="K171" i="9"/>
  <c r="L171" i="9"/>
  <c r="K170" i="9"/>
  <c r="L170" i="9"/>
  <c r="K168" i="9"/>
  <c r="L168" i="9"/>
  <c r="K167" i="9"/>
  <c r="L167" i="9"/>
  <c r="K166" i="9"/>
  <c r="L166" i="9"/>
  <c r="K165" i="9"/>
  <c r="L165" i="9"/>
  <c r="K163" i="9"/>
  <c r="L163" i="9"/>
  <c r="K162" i="9"/>
  <c r="L162" i="9"/>
  <c r="K161" i="9"/>
  <c r="L161" i="9"/>
  <c r="K160" i="9"/>
  <c r="L160" i="9"/>
  <c r="K159" i="9"/>
  <c r="L159" i="9"/>
  <c r="K157" i="9"/>
  <c r="L157" i="9"/>
  <c r="K156" i="9"/>
  <c r="L156" i="9"/>
  <c r="K155" i="9"/>
  <c r="L155" i="9"/>
  <c r="K154" i="9"/>
  <c r="L154" i="9"/>
  <c r="K153" i="9"/>
  <c r="L153" i="9"/>
  <c r="K152" i="9"/>
  <c r="L152" i="9"/>
  <c r="K151" i="9"/>
  <c r="L151" i="9"/>
  <c r="K150" i="9"/>
  <c r="L150" i="9"/>
  <c r="K149" i="9"/>
  <c r="L149" i="9"/>
  <c r="K148" i="9"/>
  <c r="L148" i="9"/>
  <c r="K147" i="9"/>
  <c r="L147" i="9"/>
  <c r="K146" i="9"/>
  <c r="L146" i="9"/>
  <c r="K145" i="9"/>
  <c r="L145" i="9"/>
  <c r="K144" i="9"/>
  <c r="L144" i="9"/>
  <c r="K143" i="9"/>
  <c r="L143" i="9"/>
  <c r="K142" i="9"/>
  <c r="L142" i="9"/>
  <c r="K141" i="9"/>
  <c r="L141" i="9"/>
  <c r="K140" i="9"/>
  <c r="L140" i="9"/>
  <c r="K139" i="9"/>
  <c r="L139" i="9"/>
  <c r="K137" i="9"/>
  <c r="L137" i="9"/>
  <c r="K136" i="9"/>
  <c r="L136" i="9"/>
  <c r="K134" i="9"/>
  <c r="L134" i="9"/>
  <c r="K133" i="9"/>
  <c r="L133" i="9"/>
  <c r="K132" i="9"/>
  <c r="L132" i="9"/>
  <c r="K131" i="9"/>
  <c r="L131" i="9"/>
  <c r="K130" i="9"/>
  <c r="L130" i="9"/>
  <c r="K128" i="9"/>
  <c r="L128" i="9"/>
  <c r="K127" i="9"/>
  <c r="L127" i="9"/>
  <c r="K126" i="9"/>
  <c r="L126" i="9"/>
  <c r="K125" i="9"/>
  <c r="L125" i="9"/>
  <c r="K123" i="9"/>
  <c r="L123" i="9"/>
  <c r="K122" i="9"/>
  <c r="L122" i="9"/>
  <c r="K121" i="9"/>
  <c r="L121" i="9"/>
  <c r="K119" i="9"/>
  <c r="L119" i="9"/>
  <c r="K118" i="9"/>
  <c r="L118" i="9"/>
  <c r="K117" i="9"/>
  <c r="L117" i="9"/>
  <c r="K116" i="9"/>
  <c r="L116" i="9"/>
  <c r="K115" i="9"/>
  <c r="L115" i="9"/>
  <c r="K113" i="9"/>
  <c r="L113" i="9"/>
  <c r="K112" i="9"/>
  <c r="L112" i="9"/>
  <c r="K111" i="9"/>
  <c r="L111" i="9"/>
  <c r="K110" i="9"/>
  <c r="L110" i="9"/>
  <c r="K109" i="9"/>
  <c r="L109" i="9"/>
  <c r="K108" i="9"/>
  <c r="L108" i="9"/>
  <c r="K107" i="9"/>
  <c r="L107" i="9"/>
  <c r="K105" i="9"/>
  <c r="L105" i="9"/>
  <c r="K104" i="9"/>
  <c r="L104" i="9"/>
  <c r="K103" i="9"/>
  <c r="L103" i="9"/>
  <c r="K101" i="9"/>
  <c r="L101" i="9"/>
  <c r="K100" i="9"/>
  <c r="L100" i="9"/>
  <c r="K99" i="9"/>
  <c r="L99" i="9"/>
  <c r="K98" i="9"/>
  <c r="L98" i="9"/>
  <c r="K97" i="9"/>
  <c r="L97" i="9"/>
  <c r="K95" i="9"/>
  <c r="L95" i="9"/>
  <c r="K94" i="9"/>
  <c r="L94" i="9"/>
  <c r="K93" i="9"/>
  <c r="L93" i="9"/>
  <c r="K92" i="9"/>
  <c r="L92" i="9"/>
  <c r="K91" i="9"/>
  <c r="L91" i="9"/>
  <c r="K90" i="9"/>
  <c r="L90" i="9"/>
  <c r="K88" i="9"/>
  <c r="L88" i="9"/>
  <c r="K87" i="9"/>
  <c r="L87" i="9"/>
  <c r="K85" i="9"/>
  <c r="L85" i="9"/>
  <c r="K84" i="9"/>
  <c r="L84" i="9"/>
  <c r="K83" i="9"/>
  <c r="L83" i="9"/>
  <c r="K82" i="9"/>
  <c r="L82" i="9"/>
  <c r="K81" i="9"/>
  <c r="L81" i="9"/>
  <c r="K79" i="9"/>
  <c r="L79" i="9"/>
  <c r="K78" i="9"/>
  <c r="L78" i="9"/>
  <c r="K77" i="9"/>
  <c r="L77" i="9"/>
  <c r="K76" i="9"/>
  <c r="L76" i="9"/>
  <c r="K75" i="9"/>
  <c r="L75" i="9"/>
  <c r="K74" i="9"/>
  <c r="L74" i="9"/>
  <c r="K72" i="9"/>
  <c r="L72" i="9"/>
  <c r="K71" i="9"/>
  <c r="L71" i="9"/>
  <c r="K70" i="9"/>
  <c r="L70" i="9"/>
  <c r="K69" i="9"/>
  <c r="L69" i="9"/>
  <c r="K68" i="9"/>
  <c r="L68" i="9"/>
  <c r="K66" i="9"/>
  <c r="L66" i="9"/>
  <c r="K65" i="9"/>
  <c r="L65" i="9"/>
  <c r="K64" i="9"/>
  <c r="L64" i="9"/>
  <c r="K63" i="9"/>
  <c r="L63" i="9"/>
  <c r="K62" i="9"/>
  <c r="L62" i="9"/>
  <c r="K60" i="9"/>
  <c r="L60" i="9"/>
  <c r="K59" i="9"/>
  <c r="L59" i="9"/>
  <c r="K58" i="9"/>
  <c r="L58" i="9"/>
  <c r="K57" i="9"/>
  <c r="L57" i="9"/>
  <c r="K56" i="9"/>
  <c r="L56" i="9"/>
  <c r="K55" i="9"/>
  <c r="L55" i="9"/>
  <c r="K53" i="9"/>
  <c r="L53" i="9"/>
  <c r="K52" i="9"/>
  <c r="L52" i="9"/>
  <c r="K51" i="9"/>
  <c r="L51" i="9"/>
  <c r="K50" i="9"/>
  <c r="L50" i="9"/>
  <c r="K48" i="9"/>
  <c r="L48" i="9"/>
  <c r="K47" i="9"/>
  <c r="L47" i="9"/>
  <c r="K46" i="9"/>
  <c r="L46" i="9"/>
  <c r="K45" i="9"/>
  <c r="L45" i="9"/>
  <c r="K44" i="9"/>
  <c r="L44" i="9"/>
  <c r="K42" i="9"/>
  <c r="L42" i="9"/>
  <c r="K41" i="9"/>
  <c r="L41" i="9"/>
  <c r="K40" i="9"/>
  <c r="L40" i="9"/>
  <c r="K39" i="9"/>
  <c r="L39" i="9"/>
  <c r="K38" i="9"/>
  <c r="L38" i="9"/>
  <c r="K37" i="9"/>
  <c r="L37" i="9"/>
  <c r="K36" i="9"/>
  <c r="L36" i="9"/>
  <c r="K34" i="9"/>
  <c r="L34" i="9"/>
  <c r="K33" i="9"/>
  <c r="L33" i="9"/>
  <c r="K32" i="9"/>
  <c r="L32" i="9"/>
  <c r="K31" i="9"/>
  <c r="L31" i="9"/>
  <c r="K30" i="9"/>
  <c r="L30" i="9"/>
  <c r="K29" i="9"/>
  <c r="L29" i="9"/>
  <c r="K28" i="9"/>
  <c r="L28" i="9"/>
  <c r="K27" i="9"/>
  <c r="L27" i="9"/>
  <c r="K26" i="9"/>
  <c r="L26" i="9"/>
  <c r="K24" i="9"/>
  <c r="L24" i="9"/>
  <c r="K23" i="9"/>
  <c r="L23" i="9"/>
  <c r="K22" i="9"/>
  <c r="L22" i="9"/>
  <c r="K21" i="9"/>
  <c r="L21" i="9"/>
  <c r="K20" i="9"/>
  <c r="L20" i="9"/>
  <c r="K19" i="9"/>
  <c r="L19" i="9"/>
  <c r="K18" i="9"/>
  <c r="L18" i="9"/>
  <c r="B2" i="9"/>
  <c r="E107" i="24"/>
  <c r="M107" i="24"/>
  <c r="E98" i="24"/>
  <c r="M98" i="24"/>
  <c r="AL105" i="24"/>
  <c r="AM105" i="24"/>
  <c r="AL107" i="24"/>
  <c r="AM107" i="24"/>
  <c r="AL108" i="24"/>
  <c r="AM108" i="24"/>
  <c r="AL106" i="24"/>
  <c r="AM106" i="24"/>
  <c r="AL109" i="24"/>
  <c r="AL111" i="24"/>
  <c r="AM109" i="24"/>
  <c r="AL98" i="24"/>
  <c r="AL100" i="24"/>
  <c r="AL102" i="24"/>
  <c r="AL103" i="24"/>
  <c r="C113" i="24"/>
  <c r="C114" i="24"/>
  <c r="AL96" i="24"/>
  <c r="AM96" i="24"/>
  <c r="AL97" i="24"/>
  <c r="AM97" i="24"/>
  <c r="AL101" i="24"/>
  <c r="AL94" i="24"/>
  <c r="AM94" i="24"/>
  <c r="AL95" i="24"/>
  <c r="AM95" i="24"/>
  <c r="H43" i="24"/>
  <c r="H44" i="24"/>
  <c r="C73" i="24"/>
  <c r="C74" i="24"/>
  <c r="C39" i="24"/>
  <c r="C40" i="24"/>
  <c r="H35" i="24"/>
  <c r="H36" i="24"/>
  <c r="C41" i="24"/>
  <c r="C43" i="24"/>
  <c r="C53" i="24"/>
  <c r="C63" i="24"/>
  <c r="C88" i="24"/>
  <c r="H88" i="24"/>
  <c r="C90" i="24"/>
  <c r="H90" i="24"/>
  <c r="W27" i="24"/>
  <c r="AH28" i="24"/>
  <c r="AI28" i="24"/>
  <c r="AI29" i="24"/>
  <c r="Y27" i="24"/>
  <c r="X27" i="24"/>
  <c r="AH27" i="24"/>
  <c r="AB27" i="24"/>
  <c r="AI27" i="24"/>
  <c r="X3" i="24"/>
  <c r="Y7" i="24"/>
  <c r="AA7" i="24"/>
  <c r="AD3" i="24"/>
  <c r="AE3" i="24"/>
  <c r="AB3" i="24"/>
  <c r="Y3" i="24"/>
  <c r="X7" i="24"/>
  <c r="AD7" i="24"/>
  <c r="AE7" i="24"/>
  <c r="AB7" i="24"/>
  <c r="AC7" i="24"/>
  <c r="I10" i="24"/>
  <c r="J10" i="24"/>
  <c r="G10" i="24"/>
  <c r="H10" i="24"/>
  <c r="F10" i="24"/>
  <c r="I4" i="24"/>
  <c r="J4" i="24"/>
  <c r="K4" i="24"/>
  <c r="G4" i="24"/>
  <c r="H4" i="24"/>
  <c r="F4" i="24"/>
  <c r="AA3" i="24"/>
  <c r="H92" i="24"/>
  <c r="C92" i="24"/>
  <c r="H72" i="15"/>
  <c r="T70" i="15"/>
  <c r="X70" i="15"/>
  <c r="H75" i="15"/>
  <c r="U42" i="15"/>
  <c r="U56" i="15"/>
  <c r="K50" i="15"/>
  <c r="U45" i="15"/>
  <c r="V44" i="15"/>
  <c r="U46" i="15"/>
  <c r="K10" i="24"/>
  <c r="AA27" i="24"/>
  <c r="AD27" i="24"/>
  <c r="AM98" i="24"/>
  <c r="R25" i="28"/>
  <c r="Z6" i="12"/>
  <c r="AA6" i="12"/>
  <c r="K7" i="30"/>
  <c r="B5" i="30"/>
  <c r="V77" i="15"/>
  <c r="V78" i="15"/>
  <c r="U78" i="15"/>
  <c r="S106" i="15"/>
  <c r="S111" i="15"/>
  <c r="T111" i="15"/>
  <c r="T112" i="15"/>
  <c r="S112" i="15"/>
  <c r="G104" i="15"/>
  <c r="S137" i="15"/>
  <c r="V182" i="15"/>
  <c r="E1062" i="30"/>
  <c r="E1064" i="30"/>
  <c r="E1066" i="30"/>
  <c r="E1068" i="30"/>
  <c r="E1070" i="30"/>
  <c r="E1072" i="30"/>
  <c r="E1074" i="30"/>
  <c r="E1076" i="30"/>
  <c r="E1078" i="30"/>
  <c r="E1082" i="30"/>
  <c r="E1084" i="30"/>
  <c r="E1086" i="30"/>
  <c r="E1088" i="30"/>
  <c r="E1090" i="30"/>
  <c r="E1092" i="30"/>
  <c r="E1094" i="30"/>
  <c r="E1096" i="30"/>
  <c r="G38" i="15"/>
  <c r="H40" i="15"/>
  <c r="S48" i="15"/>
  <c r="S5" i="12"/>
  <c r="V5" i="12"/>
  <c r="I5" i="12"/>
  <c r="AA5" i="12"/>
  <c r="AA7" i="12"/>
  <c r="Q5" i="12"/>
  <c r="U5" i="12"/>
  <c r="H5" i="12"/>
  <c r="Y5" i="12"/>
  <c r="Y6" i="12"/>
  <c r="Y7" i="12"/>
  <c r="Y8" i="12"/>
  <c r="Y9" i="12"/>
  <c r="L4" i="12"/>
  <c r="L3" i="12"/>
  <c r="L2" i="12"/>
  <c r="T5" i="12"/>
  <c r="G5" i="12"/>
  <c r="AB5" i="12"/>
  <c r="F5" i="12"/>
  <c r="E19" i="24"/>
  <c r="Z27" i="24"/>
  <c r="E21" i="24"/>
  <c r="AL112" i="24"/>
  <c r="AL113" i="24"/>
  <c r="AL114" i="24"/>
  <c r="H113" i="24"/>
  <c r="H114" i="24"/>
  <c r="K53" i="15"/>
  <c r="V48" i="15"/>
  <c r="Y48" i="15"/>
  <c r="X48" i="15"/>
  <c r="H43" i="15"/>
  <c r="G27" i="24"/>
  <c r="H27" i="24"/>
  <c r="AC3" i="24"/>
  <c r="V17" i="15"/>
  <c r="Y17" i="15"/>
  <c r="H11" i="15"/>
  <c r="X17" i="15"/>
  <c r="X114" i="15"/>
  <c r="Y114" i="15"/>
  <c r="H108" i="15"/>
  <c r="V114" i="15"/>
  <c r="C44" i="15"/>
  <c r="AC27" i="24"/>
  <c r="S148" i="15"/>
  <c r="G150" i="15"/>
  <c r="G186" i="15"/>
  <c r="N174" i="15"/>
  <c r="O174" i="15"/>
  <c r="S184" i="15"/>
  <c r="G895" i="30"/>
  <c r="E895" i="30"/>
  <c r="G1061" i="30"/>
  <c r="E1061" i="30"/>
  <c r="G929" i="30"/>
  <c r="E929" i="30"/>
  <c r="G643" i="30"/>
  <c r="E643" i="30"/>
  <c r="G557" i="30"/>
  <c r="E557" i="30"/>
  <c r="G493" i="30"/>
  <c r="E493" i="30"/>
  <c r="G481" i="30"/>
  <c r="E481" i="30"/>
  <c r="G365" i="30"/>
  <c r="E365" i="30"/>
  <c r="G353" i="30"/>
  <c r="E353" i="30"/>
  <c r="G347" i="30"/>
  <c r="E347" i="30"/>
  <c r="G342" i="30"/>
  <c r="E342" i="30"/>
  <c r="O905" i="30"/>
  <c r="N905" i="30"/>
  <c r="O895" i="30"/>
  <c r="N895" i="30"/>
  <c r="O885" i="30"/>
  <c r="N885" i="30"/>
  <c r="N836" i="30"/>
  <c r="O836" i="30"/>
  <c r="O831" i="30"/>
  <c r="N831" i="30"/>
  <c r="O777" i="30"/>
  <c r="N777" i="30"/>
  <c r="O771" i="30"/>
  <c r="N771" i="30"/>
  <c r="O733" i="30"/>
  <c r="N733" i="30"/>
  <c r="O723" i="30"/>
  <c r="N723" i="30"/>
  <c r="O713" i="30"/>
  <c r="N713" i="30"/>
  <c r="O681" i="30"/>
  <c r="N681" i="30"/>
  <c r="O651" i="30"/>
  <c r="N651" i="30"/>
  <c r="N644" i="30"/>
  <c r="O644" i="30"/>
  <c r="O637" i="30"/>
  <c r="N637" i="30"/>
  <c r="N630" i="30"/>
  <c r="O630" i="30"/>
  <c r="N592" i="30"/>
  <c r="O592" i="30"/>
  <c r="N528" i="30"/>
  <c r="O528" i="30"/>
  <c r="O167" i="30"/>
  <c r="N167" i="30"/>
  <c r="O127" i="30"/>
  <c r="N127" i="30"/>
  <c r="O83" i="30"/>
  <c r="N83" i="30"/>
  <c r="O51" i="30"/>
  <c r="N51" i="30"/>
  <c r="R7" i="30"/>
  <c r="N11" i="30"/>
  <c r="O11" i="30"/>
  <c r="T106" i="15"/>
  <c r="T108" i="15"/>
  <c r="G116" i="15"/>
  <c r="Y70" i="15"/>
  <c r="C5" i="30"/>
  <c r="V70" i="15"/>
  <c r="G18" i="14"/>
  <c r="U83" i="15"/>
  <c r="V83" i="15"/>
  <c r="V85" i="15"/>
  <c r="U85" i="15"/>
  <c r="G475" i="30"/>
  <c r="G1083" i="30"/>
  <c r="E1083" i="30"/>
  <c r="G1048" i="30"/>
  <c r="E1048" i="30"/>
  <c r="E1034" i="30"/>
  <c r="G1034" i="30"/>
  <c r="E1017" i="30"/>
  <c r="G1017" i="30"/>
  <c r="G942" i="30"/>
  <c r="E942" i="30"/>
  <c r="G707" i="30"/>
  <c r="E707" i="30"/>
  <c r="G937" i="30"/>
  <c r="E937" i="30"/>
  <c r="U32" i="29"/>
  <c r="F30" i="29"/>
  <c r="G19" i="15"/>
  <c r="N7" i="15"/>
  <c r="O7" i="15"/>
  <c r="G1038" i="30"/>
  <c r="E1038" i="30"/>
  <c r="G978" i="30"/>
  <c r="E978" i="30"/>
  <c r="G941" i="30"/>
  <c r="E941" i="30"/>
  <c r="E1080" i="30"/>
  <c r="T32" i="29"/>
  <c r="M20" i="14"/>
  <c r="N20" i="14"/>
  <c r="V15" i="15"/>
  <c r="Y15" i="15"/>
  <c r="E417" i="30"/>
  <c r="G539" i="30"/>
  <c r="G881" i="30"/>
  <c r="E1069" i="30"/>
  <c r="G1069" i="30"/>
  <c r="E983" i="30"/>
  <c r="G983" i="30"/>
  <c r="G965" i="30"/>
  <c r="E965" i="30"/>
  <c r="E947" i="30"/>
  <c r="G947" i="30"/>
  <c r="G811" i="30"/>
  <c r="E811" i="30"/>
  <c r="G740" i="30"/>
  <c r="E740" i="30"/>
  <c r="G734" i="30"/>
  <c r="E734" i="30"/>
  <c r="G711" i="30"/>
  <c r="E711" i="30"/>
  <c r="G997" i="30"/>
  <c r="E997" i="30"/>
  <c r="G706" i="30"/>
  <c r="E706" i="30"/>
  <c r="G4" i="30"/>
  <c r="Y146" i="15"/>
  <c r="I25" i="22"/>
  <c r="H25" i="22"/>
  <c r="E429" i="30"/>
  <c r="G1077" i="30"/>
  <c r="E1077" i="30"/>
  <c r="G1020" i="30"/>
  <c r="E1020" i="30"/>
  <c r="G970" i="30"/>
  <c r="E970" i="30"/>
  <c r="G854" i="30"/>
  <c r="E854" i="30"/>
  <c r="G810" i="30"/>
  <c r="E810" i="30"/>
  <c r="E803" i="30"/>
  <c r="G803" i="30"/>
  <c r="E779" i="30"/>
  <c r="G779" i="30"/>
  <c r="G652" i="30"/>
  <c r="E652" i="30"/>
  <c r="G902" i="30"/>
  <c r="E902" i="30"/>
  <c r="E4" i="30"/>
  <c r="V72" i="15"/>
  <c r="V74" i="15"/>
  <c r="U74" i="15"/>
  <c r="G83" i="15"/>
  <c r="U81" i="15"/>
  <c r="V81" i="15"/>
  <c r="U86" i="15"/>
  <c r="V86" i="15"/>
  <c r="V88" i="15"/>
  <c r="U88" i="15"/>
  <c r="N66" i="30"/>
  <c r="E411" i="30"/>
  <c r="E1095" i="30"/>
  <c r="G1095" i="30"/>
  <c r="E1019" i="30"/>
  <c r="G1019" i="30"/>
  <c r="E1014" i="30"/>
  <c r="G1014" i="30"/>
  <c r="G875" i="30"/>
  <c r="E875" i="30"/>
  <c r="G838" i="30"/>
  <c r="E838" i="30"/>
  <c r="G831" i="30"/>
  <c r="E831" i="30"/>
  <c r="G817" i="30"/>
  <c r="E817" i="30"/>
  <c r="E1053" i="30"/>
  <c r="G1053" i="30"/>
  <c r="X146" i="15"/>
  <c r="M27" i="14"/>
  <c r="N27" i="14"/>
  <c r="N25" i="14"/>
  <c r="V82" i="15"/>
  <c r="U82" i="15"/>
  <c r="C76" i="15"/>
  <c r="T91" i="15"/>
  <c r="U91" i="15"/>
  <c r="E923" i="30"/>
  <c r="G1032" i="30"/>
  <c r="E1032" i="30"/>
  <c r="G1000" i="30"/>
  <c r="E1000" i="30"/>
  <c r="G987" i="30"/>
  <c r="E987" i="30"/>
  <c r="G918" i="30"/>
  <c r="E918" i="30"/>
  <c r="G874" i="30"/>
  <c r="E874" i="30"/>
  <c r="G867" i="30"/>
  <c r="E867" i="30"/>
  <c r="G859" i="30"/>
  <c r="E859" i="30"/>
  <c r="G1091" i="30"/>
  <c r="E1091" i="30"/>
  <c r="G1046" i="30"/>
  <c r="E1046" i="30"/>
  <c r="G1012" i="30"/>
  <c r="E1012" i="30"/>
  <c r="G994" i="30"/>
  <c r="E994" i="30"/>
  <c r="G988" i="30"/>
  <c r="E988" i="30"/>
  <c r="G982" i="30"/>
  <c r="E982" i="30"/>
  <c r="G930" i="30"/>
  <c r="E930" i="30"/>
  <c r="G924" i="30"/>
  <c r="E924" i="30"/>
  <c r="G910" i="30"/>
  <c r="E910" i="30"/>
  <c r="G896" i="30"/>
  <c r="E896" i="30"/>
  <c r="G882" i="30"/>
  <c r="E882" i="30"/>
  <c r="G860" i="30"/>
  <c r="E860" i="30"/>
  <c r="G846" i="30"/>
  <c r="E846" i="30"/>
  <c r="G832" i="30"/>
  <c r="E832" i="30"/>
  <c r="G818" i="30"/>
  <c r="E818" i="30"/>
  <c r="G796" i="30"/>
  <c r="E796" i="30"/>
  <c r="G790" i="30"/>
  <c r="E790" i="30"/>
  <c r="G780" i="30"/>
  <c r="E780" i="30"/>
  <c r="G712" i="30"/>
  <c r="E712" i="30"/>
  <c r="G684" i="30"/>
  <c r="E684" i="30"/>
  <c r="O709" i="30"/>
  <c r="N709" i="30"/>
  <c r="O631" i="30"/>
  <c r="N631" i="30"/>
  <c r="G25" i="14"/>
  <c r="E661" i="30"/>
  <c r="E839" i="30"/>
  <c r="G1075" i="30"/>
  <c r="E1075" i="30"/>
  <c r="G1003" i="30"/>
  <c r="E1003" i="30"/>
  <c r="G992" i="30"/>
  <c r="E992" i="30"/>
  <c r="G964" i="30"/>
  <c r="E964" i="30"/>
  <c r="G946" i="30"/>
  <c r="E946" i="30"/>
  <c r="G928" i="30"/>
  <c r="E928" i="30"/>
  <c r="G908" i="30"/>
  <c r="E908" i="30"/>
  <c r="G894" i="30"/>
  <c r="E894" i="30"/>
  <c r="G880" i="30"/>
  <c r="E880" i="30"/>
  <c r="G866" i="30"/>
  <c r="E866" i="30"/>
  <c r="G844" i="30"/>
  <c r="E844" i="30"/>
  <c r="G830" i="30"/>
  <c r="E830" i="30"/>
  <c r="G816" i="30"/>
  <c r="E816" i="30"/>
  <c r="G802" i="30"/>
  <c r="E802" i="30"/>
  <c r="G744" i="30"/>
  <c r="E744" i="30"/>
  <c r="G642" i="30"/>
  <c r="E642" i="30"/>
  <c r="G620" i="30"/>
  <c r="E620" i="30"/>
  <c r="G562" i="30"/>
  <c r="E562" i="30"/>
  <c r="G556" i="30"/>
  <c r="E556" i="30"/>
  <c r="G550" i="30"/>
  <c r="E550" i="30"/>
  <c r="G498" i="30"/>
  <c r="E498" i="30"/>
  <c r="G492" i="30"/>
  <c r="E492" i="30"/>
  <c r="G486" i="30"/>
  <c r="E486" i="30"/>
  <c r="G434" i="30"/>
  <c r="E434" i="30"/>
  <c r="G428" i="30"/>
  <c r="E428" i="30"/>
  <c r="G422" i="30"/>
  <c r="E422" i="30"/>
  <c r="G370" i="30"/>
  <c r="E370" i="30"/>
  <c r="G364" i="30"/>
  <c r="E364" i="30"/>
  <c r="G358" i="30"/>
  <c r="E358" i="30"/>
  <c r="O969" i="30"/>
  <c r="N969" i="30"/>
  <c r="O933" i="30"/>
  <c r="N933" i="30"/>
  <c r="O909" i="30"/>
  <c r="N909" i="30"/>
  <c r="O841" i="30"/>
  <c r="N841" i="30"/>
  <c r="O801" i="30"/>
  <c r="N801" i="30"/>
  <c r="O781" i="30"/>
  <c r="N781" i="30"/>
  <c r="O727" i="30"/>
  <c r="N727" i="30"/>
  <c r="O697" i="30"/>
  <c r="N697" i="30"/>
  <c r="O465" i="30"/>
  <c r="N465" i="30"/>
  <c r="O459" i="30"/>
  <c r="N459" i="30"/>
  <c r="O433" i="30"/>
  <c r="N433" i="30"/>
  <c r="O427" i="30"/>
  <c r="N427" i="30"/>
  <c r="O397" i="30"/>
  <c r="N397" i="30"/>
  <c r="O385" i="30"/>
  <c r="N385" i="30"/>
  <c r="O379" i="30"/>
  <c r="N379" i="30"/>
  <c r="O353" i="30"/>
  <c r="N353" i="30"/>
  <c r="O255" i="30"/>
  <c r="N255" i="30"/>
  <c r="O211" i="30"/>
  <c r="N211" i="30"/>
  <c r="N13" i="30"/>
  <c r="O13" i="30"/>
  <c r="O638" i="30"/>
  <c r="O652" i="30"/>
  <c r="E975" i="30"/>
  <c r="E977" i="30"/>
  <c r="N1005" i="30"/>
  <c r="G998" i="30"/>
  <c r="E998" i="30"/>
  <c r="G986" i="30"/>
  <c r="E986" i="30"/>
  <c r="G974" i="30"/>
  <c r="E974" i="30"/>
  <c r="G934" i="30"/>
  <c r="E934" i="30"/>
  <c r="G922" i="30"/>
  <c r="E922" i="30"/>
  <c r="G886" i="30"/>
  <c r="E886" i="30"/>
  <c r="G858" i="30"/>
  <c r="E858" i="30"/>
  <c r="G822" i="30"/>
  <c r="E822" i="30"/>
  <c r="G758" i="30"/>
  <c r="E758" i="30"/>
  <c r="G716" i="30"/>
  <c r="E716" i="30"/>
  <c r="G614" i="30"/>
  <c r="E614" i="30"/>
  <c r="E337" i="30"/>
  <c r="E739" i="30"/>
  <c r="E759" i="30"/>
  <c r="E903" i="30"/>
  <c r="G1085" i="30"/>
  <c r="G1063" i="30"/>
  <c r="G1059" i="30"/>
  <c r="E1059" i="30"/>
  <c r="G1006" i="30"/>
  <c r="E1006" i="30"/>
  <c r="G962" i="30"/>
  <c r="E962" i="30"/>
  <c r="G956" i="30"/>
  <c r="E956" i="30"/>
  <c r="G950" i="30"/>
  <c r="E950" i="30"/>
  <c r="G914" i="30"/>
  <c r="E914" i="30"/>
  <c r="G892" i="30"/>
  <c r="E892" i="30"/>
  <c r="G878" i="30"/>
  <c r="E878" i="30"/>
  <c r="G864" i="30"/>
  <c r="E864" i="30"/>
  <c r="G850" i="30"/>
  <c r="E850" i="30"/>
  <c r="G828" i="30"/>
  <c r="E828" i="30"/>
  <c r="G814" i="30"/>
  <c r="E814" i="30"/>
  <c r="G800" i="30"/>
  <c r="E800" i="30"/>
  <c r="G748" i="30"/>
  <c r="E748" i="30"/>
  <c r="G624" i="30"/>
  <c r="E624" i="30"/>
  <c r="E717" i="30"/>
  <c r="E951" i="30"/>
  <c r="E953" i="30"/>
  <c r="E971" i="30"/>
  <c r="G1051" i="30"/>
  <c r="E1051" i="30"/>
  <c r="G938" i="30"/>
  <c r="E938" i="30"/>
  <c r="G906" i="30"/>
  <c r="E906" i="30"/>
  <c r="G870" i="30"/>
  <c r="E870" i="30"/>
  <c r="G842" i="30"/>
  <c r="E842" i="30"/>
  <c r="G806" i="30"/>
  <c r="E806" i="30"/>
  <c r="G772" i="30"/>
  <c r="E772" i="30"/>
  <c r="G762" i="30"/>
  <c r="E762" i="30"/>
  <c r="E755" i="30"/>
  <c r="G1047" i="30"/>
  <c r="G1043" i="30"/>
  <c r="E1043" i="30"/>
  <c r="G1025" i="30"/>
  <c r="G1009" i="30"/>
  <c r="E1009" i="30"/>
  <c r="E1001" i="30"/>
  <c r="G1001" i="30"/>
  <c r="G996" i="30"/>
  <c r="E996" i="30"/>
  <c r="G960" i="30"/>
  <c r="E960" i="30"/>
  <c r="G932" i="30"/>
  <c r="E932" i="30"/>
  <c r="G912" i="30"/>
  <c r="E912" i="30"/>
  <c r="G898" i="30"/>
  <c r="E898" i="30"/>
  <c r="G876" i="30"/>
  <c r="E876" i="30"/>
  <c r="G862" i="30"/>
  <c r="E862" i="30"/>
  <c r="G848" i="30"/>
  <c r="E848" i="30"/>
  <c r="G834" i="30"/>
  <c r="E834" i="30"/>
  <c r="G812" i="30"/>
  <c r="E812" i="30"/>
  <c r="G798" i="30"/>
  <c r="E798" i="30"/>
  <c r="G776" i="30"/>
  <c r="E776" i="30"/>
  <c r="G680" i="30"/>
  <c r="E680" i="30"/>
  <c r="G674" i="30"/>
  <c r="E674" i="30"/>
  <c r="G1054" i="30"/>
  <c r="E1054" i="30"/>
  <c r="G1039" i="30"/>
  <c r="G1035" i="30"/>
  <c r="E1035" i="30"/>
  <c r="G1028" i="30"/>
  <c r="E1028" i="30"/>
  <c r="G966" i="30"/>
  <c r="E966" i="30"/>
  <c r="G954" i="30"/>
  <c r="E954" i="30"/>
  <c r="G890" i="30"/>
  <c r="E890" i="30"/>
  <c r="G826" i="30"/>
  <c r="E826" i="30"/>
  <c r="G766" i="30"/>
  <c r="E766" i="30"/>
  <c r="G656" i="30"/>
  <c r="E656" i="30"/>
  <c r="G1060" i="30"/>
  <c r="G1052" i="30"/>
  <c r="G1044" i="30"/>
  <c r="G1036" i="30"/>
  <c r="AA9" i="12"/>
  <c r="N138" i="15"/>
  <c r="O138" i="15"/>
  <c r="Y148" i="15"/>
  <c r="V148" i="15"/>
  <c r="X148" i="15"/>
  <c r="S108" i="15"/>
  <c r="N103" i="15"/>
  <c r="O103" i="15"/>
  <c r="H142" i="15"/>
  <c r="U58" i="15"/>
  <c r="V58" i="15"/>
  <c r="V60" i="15"/>
  <c r="V62" i="15"/>
  <c r="V63" i="15"/>
  <c r="G51" i="15"/>
  <c r="N38" i="15"/>
  <c r="O38" i="15"/>
  <c r="T19" i="15"/>
  <c r="T21" i="15"/>
  <c r="N5" i="30"/>
  <c r="O5" i="30"/>
  <c r="L5" i="30"/>
  <c r="V184" i="15"/>
  <c r="Y184" i="15"/>
  <c r="H178" i="15"/>
  <c r="X184" i="15"/>
  <c r="D5" i="12"/>
  <c r="R5" i="12"/>
  <c r="E5" i="12"/>
  <c r="N70" i="15"/>
  <c r="O70" i="15"/>
  <c r="T92" i="15"/>
  <c r="U92" i="15"/>
  <c r="T93" i="15"/>
  <c r="F92" i="15"/>
  <c r="T190" i="15"/>
  <c r="T186" i="15"/>
  <c r="T150" i="15"/>
  <c r="T154" i="15"/>
  <c r="T23" i="15"/>
  <c r="Y23" i="15"/>
  <c r="Y21" i="15"/>
  <c r="X19" i="15"/>
  <c r="Y19" i="15"/>
  <c r="V19" i="15"/>
  <c r="Y154" i="15"/>
  <c r="X154" i="15"/>
  <c r="V154" i="15"/>
  <c r="X150" i="15"/>
  <c r="V150" i="15"/>
  <c r="Y150" i="15"/>
  <c r="T152" i="15"/>
  <c r="T188" i="15"/>
  <c r="Y186" i="15"/>
  <c r="X186" i="15"/>
  <c r="V186" i="15"/>
  <c r="S23" i="15"/>
  <c r="S21" i="15"/>
  <c r="X190" i="15"/>
  <c r="Y190" i="15"/>
  <c r="V190" i="15"/>
  <c r="Y188" i="15"/>
  <c r="X188" i="15"/>
  <c r="V188" i="15"/>
  <c r="G170" i="15"/>
  <c r="L198" i="15"/>
  <c r="Y152" i="15"/>
  <c r="V152" i="15"/>
  <c r="G134" i="15"/>
  <c r="L162" i="15"/>
  <c r="X152" i="15"/>
  <c r="X21" i="15"/>
  <c r="C4" i="15"/>
  <c r="V21" i="15"/>
  <c r="V23" i="15"/>
  <c r="X23" i="15"/>
  <c r="L23" i="1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cEllis</author>
  </authors>
  <commentList>
    <comment ref="K5" authorId="0" shapeId="0" xr:uid="{2F1DF644-5D13-DD4E-BDC4-D2D6B8B11A94}">
      <text>
        <r>
          <rPr>
            <b/>
            <sz val="10"/>
            <color indexed="81"/>
            <rFont val="Tahoma"/>
            <family val="2"/>
          </rPr>
          <t xml:space="preserve">Enter Plate
Thickness
in </t>
        </r>
        <r>
          <rPr>
            <b/>
            <sz val="10"/>
            <color indexed="10"/>
            <rFont val="Tahoma"/>
            <family val="2"/>
          </rPr>
          <t>Inches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K10" authorId="0" shapeId="0" xr:uid="{0823AA2C-6063-D94B-B1B7-C53DA1E224AF}">
      <text>
        <r>
          <rPr>
            <b/>
            <sz val="10"/>
            <color indexed="81"/>
            <rFont val="Tahoma"/>
            <family val="2"/>
          </rPr>
          <t xml:space="preserve">Enter Plate
Thickness
in </t>
        </r>
        <r>
          <rPr>
            <b/>
            <sz val="10"/>
            <color indexed="10"/>
            <rFont val="Tahoma"/>
            <family val="2"/>
          </rPr>
          <t>Millimeters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18" authorId="0" shapeId="0" xr:uid="{C8F6CF4E-1929-A54C-932A-A1E8F02EA932}">
      <text>
        <r>
          <rPr>
            <b/>
            <sz val="10"/>
            <color indexed="81"/>
            <rFont val="Tahoma"/>
            <family val="2"/>
          </rPr>
          <t xml:space="preserve">Enter Girder Depth
in </t>
        </r>
        <r>
          <rPr>
            <b/>
            <sz val="10"/>
            <color indexed="10"/>
            <rFont val="Tahoma"/>
            <family val="2"/>
          </rPr>
          <t>Inches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C18" authorId="0" shapeId="0" xr:uid="{291ECAF3-5289-1D4E-8130-3F5DC51FE846}">
      <text>
        <r>
          <rPr>
            <b/>
            <sz val="10"/>
            <color indexed="81"/>
            <rFont val="Tahoma"/>
            <family val="2"/>
          </rPr>
          <t xml:space="preserve">Enter Web 
Thickness
In </t>
        </r>
        <r>
          <rPr>
            <b/>
            <sz val="10"/>
            <color indexed="10"/>
            <rFont val="Tahoma"/>
            <family val="2"/>
          </rPr>
          <t>Inches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D18" authorId="0" shapeId="0" xr:uid="{EC5A83DE-A0CB-274E-9EAE-37C7563CD629}">
      <text>
        <r>
          <rPr>
            <b/>
            <sz val="10"/>
            <color indexed="81"/>
            <rFont val="Tahoma"/>
            <family val="2"/>
          </rPr>
          <t xml:space="preserve">Enter Flange
Width
in </t>
        </r>
        <r>
          <rPr>
            <b/>
            <sz val="10"/>
            <color indexed="10"/>
            <rFont val="Tahoma"/>
            <family val="2"/>
          </rPr>
          <t>Inches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E18" authorId="0" shapeId="0" xr:uid="{A762FB18-CF26-4C43-925F-AFD70B427738}">
      <text>
        <r>
          <rPr>
            <b/>
            <sz val="10"/>
            <color indexed="81"/>
            <rFont val="Tahoma"/>
            <family val="2"/>
          </rPr>
          <t xml:space="preserve">Enter Flange
Thickness
in </t>
        </r>
        <r>
          <rPr>
            <b/>
            <sz val="10"/>
            <color indexed="10"/>
            <rFont val="Tahoma"/>
            <family val="2"/>
          </rPr>
          <t>Inches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18" authorId="0" shapeId="0" xr:uid="{7274CFDF-BA9F-6745-8285-6D6BF72E3EC6}">
      <text>
        <r>
          <rPr>
            <b/>
            <sz val="10"/>
            <color indexed="81"/>
            <rFont val="Tahoma"/>
            <family val="2"/>
          </rPr>
          <t>Enter Girder
Length
in</t>
        </r>
        <r>
          <rPr>
            <b/>
            <sz val="10"/>
            <color indexed="10"/>
            <rFont val="Tahoma"/>
            <family val="2"/>
          </rPr>
          <t xml:space="preserve"> Feet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25" authorId="0" shapeId="0" xr:uid="{C73881FC-EDFB-DD40-A32D-BB1532DBF408}">
      <text>
        <r>
          <rPr>
            <b/>
            <sz val="10"/>
            <color indexed="81"/>
            <rFont val="Tahoma"/>
            <family val="2"/>
          </rPr>
          <t xml:space="preserve">Enter Girder Depth in
</t>
        </r>
        <r>
          <rPr>
            <b/>
            <sz val="10"/>
            <color indexed="10"/>
            <rFont val="Tahoma"/>
            <family val="2"/>
          </rPr>
          <t>Millimeters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C25" authorId="0" shapeId="0" xr:uid="{5BD0D7FD-55F8-404E-851D-4C2F37751AF8}">
      <text>
        <r>
          <rPr>
            <b/>
            <sz val="10"/>
            <color indexed="81"/>
            <rFont val="Tahoma"/>
            <family val="2"/>
          </rPr>
          <t xml:space="preserve">Enter Web
Thickness in
</t>
        </r>
        <r>
          <rPr>
            <b/>
            <sz val="10"/>
            <color indexed="10"/>
            <rFont val="Tahoma"/>
            <family val="2"/>
          </rPr>
          <t>Millimeters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D25" authorId="0" shapeId="0" xr:uid="{D7298A46-72B8-F24D-99D4-494F0E65408E}">
      <text>
        <r>
          <rPr>
            <b/>
            <sz val="10"/>
            <color indexed="81"/>
            <rFont val="Tahoma"/>
            <family val="2"/>
          </rPr>
          <t xml:space="preserve">Enter Flange
Width in
</t>
        </r>
        <r>
          <rPr>
            <b/>
            <sz val="10"/>
            <color indexed="10"/>
            <rFont val="Tahoma"/>
            <family val="2"/>
          </rPr>
          <t>Millimeters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E25" authorId="0" shapeId="0" xr:uid="{61025967-DB83-254D-A9EC-B79875212701}">
      <text>
        <r>
          <rPr>
            <b/>
            <sz val="10"/>
            <color indexed="81"/>
            <rFont val="Tahoma"/>
            <family val="2"/>
          </rPr>
          <t xml:space="preserve">Enter Flange
Thickness in
</t>
        </r>
        <r>
          <rPr>
            <b/>
            <sz val="10"/>
            <color indexed="10"/>
            <rFont val="Tahoma"/>
            <family val="2"/>
          </rPr>
          <t>Millimeters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5" authorId="0" shapeId="0" xr:uid="{D48AC7E7-ABA1-F449-84BB-03922E685374}">
      <text>
        <r>
          <rPr>
            <b/>
            <sz val="10"/>
            <color indexed="81"/>
            <rFont val="Tahoma"/>
            <family val="2"/>
          </rPr>
          <t xml:space="preserve">Enter Girder
Length in
</t>
        </r>
        <r>
          <rPr>
            <b/>
            <sz val="10"/>
            <color indexed="10"/>
            <rFont val="Tahoma"/>
            <family val="2"/>
          </rPr>
          <t>Meters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cEllis</author>
  </authors>
  <commentList>
    <comment ref="H4" authorId="0" shapeId="0" xr:uid="{61D16228-5D39-6D4B-B15F-8A5E4FA81A6C}">
      <text>
        <r>
          <rPr>
            <b/>
            <sz val="12"/>
            <color indexed="12"/>
            <rFont val="Tahoma"/>
            <family val="2"/>
          </rPr>
          <t xml:space="preserve">Enter Length
in </t>
        </r>
        <r>
          <rPr>
            <b/>
            <sz val="12"/>
            <color indexed="10"/>
            <rFont val="Tahoma"/>
            <family val="2"/>
          </rPr>
          <t>Feet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C8" authorId="0" shapeId="0" xr:uid="{88FBD9E2-331F-1948-AB69-C82C22B0947A}">
      <text>
        <r>
          <rPr>
            <b/>
            <sz val="12"/>
            <color indexed="12"/>
            <rFont val="Tahoma"/>
            <family val="2"/>
          </rPr>
          <t>Enter Depth</t>
        </r>
        <r>
          <rPr>
            <b/>
            <sz val="12"/>
            <color indexed="81"/>
            <rFont val="Tahoma"/>
            <family val="2"/>
          </rPr>
          <t xml:space="preserve">
</t>
        </r>
        <r>
          <rPr>
            <b/>
            <sz val="12"/>
            <color indexed="12"/>
            <rFont val="Tahoma"/>
            <family val="2"/>
          </rPr>
          <t xml:space="preserve">in </t>
        </r>
        <r>
          <rPr>
            <b/>
            <sz val="12"/>
            <color indexed="10"/>
            <rFont val="Tahoma"/>
            <family val="2"/>
          </rPr>
          <t>Inches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L11" authorId="0" shapeId="0" xr:uid="{AF75ACE2-C6C1-8A45-B204-D3C5E3DEAB62}">
      <text>
        <r>
          <rPr>
            <b/>
            <sz val="12"/>
            <color indexed="12"/>
            <rFont val="Tahoma"/>
            <family val="2"/>
          </rPr>
          <t xml:space="preserve">Enter Column
Width
</t>
        </r>
        <r>
          <rPr>
            <b/>
            <sz val="12"/>
            <color indexed="10"/>
            <rFont val="Tahoma"/>
            <family val="2"/>
          </rPr>
          <t>Inches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I14" authorId="0" shapeId="0" xr:uid="{E643833B-237D-B946-B13D-F0C63F067DB9}">
      <text>
        <r>
          <rPr>
            <b/>
            <sz val="12"/>
            <color indexed="12"/>
            <rFont val="Tahoma"/>
            <family val="2"/>
          </rPr>
          <t xml:space="preserve">Enter Brace
Diameter
</t>
        </r>
        <r>
          <rPr>
            <b/>
            <sz val="12"/>
            <color indexed="10"/>
            <rFont val="Tahoma"/>
            <family val="2"/>
          </rPr>
          <t>Inches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N15" authorId="0" shapeId="0" xr:uid="{8AA9975B-E6B6-B745-90F4-3C8534538656}">
      <text>
        <r>
          <rPr>
            <b/>
            <sz val="12"/>
            <color indexed="12"/>
            <rFont val="Tahoma"/>
            <family val="2"/>
          </rPr>
          <t xml:space="preserve">Enter Depth
in
</t>
        </r>
        <r>
          <rPr>
            <b/>
            <sz val="12"/>
            <color indexed="10"/>
            <rFont val="Tahoma"/>
            <family val="2"/>
          </rPr>
          <t>Feet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D19" authorId="0" shapeId="0" xr:uid="{99292414-BBA8-DB4F-B6BD-88F515B5903A}">
      <text>
        <r>
          <rPr>
            <b/>
            <sz val="12"/>
            <color indexed="12"/>
            <rFont val="Tahoma"/>
            <family val="2"/>
          </rPr>
          <t xml:space="preserve">Enter Column
Width
</t>
        </r>
        <r>
          <rPr>
            <b/>
            <sz val="12"/>
            <color indexed="10"/>
            <rFont val="Tahoma"/>
            <family val="2"/>
          </rPr>
          <t>Inches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H34" authorId="0" shapeId="0" xr:uid="{E0874585-2290-104C-A973-FAE12CC3A35F}">
      <text>
        <r>
          <rPr>
            <b/>
            <sz val="12"/>
            <color indexed="12"/>
            <rFont val="Tahoma"/>
            <family val="2"/>
          </rPr>
          <t xml:space="preserve">Enter Length
in </t>
        </r>
        <r>
          <rPr>
            <b/>
            <sz val="12"/>
            <color indexed="10"/>
            <rFont val="Tahoma"/>
            <family val="2"/>
          </rPr>
          <t>Feet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D35" authorId="0" shapeId="0" xr:uid="{2578297F-0922-9349-AA9F-CC2A4A13157D}">
      <text>
        <r>
          <rPr>
            <b/>
            <sz val="12"/>
            <color indexed="12"/>
            <rFont val="Tahoma"/>
            <family val="2"/>
          </rPr>
          <t>Enter Offset</t>
        </r>
        <r>
          <rPr>
            <b/>
            <sz val="12"/>
            <color indexed="10"/>
            <rFont val="Tahoma"/>
            <family val="2"/>
          </rPr>
          <t xml:space="preserve">
</t>
        </r>
        <r>
          <rPr>
            <b/>
            <sz val="12"/>
            <color indexed="12"/>
            <rFont val="Tahoma"/>
            <family val="2"/>
          </rPr>
          <t>in</t>
        </r>
        <r>
          <rPr>
            <b/>
            <sz val="12"/>
            <color indexed="10"/>
            <rFont val="Tahoma"/>
            <family val="2"/>
          </rPr>
          <t xml:space="preserve"> Inches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C40" authorId="0" shapeId="0" xr:uid="{11982C86-5E6A-1249-BA4D-D3B132AA7CD0}">
      <text>
        <r>
          <rPr>
            <b/>
            <sz val="12"/>
            <color indexed="12"/>
            <rFont val="Tahoma"/>
            <family val="2"/>
          </rPr>
          <t>Enter Depth</t>
        </r>
        <r>
          <rPr>
            <b/>
            <sz val="12"/>
            <color indexed="81"/>
            <rFont val="Tahoma"/>
            <family val="2"/>
          </rPr>
          <t xml:space="preserve">
</t>
        </r>
        <r>
          <rPr>
            <b/>
            <sz val="12"/>
            <color indexed="12"/>
            <rFont val="Tahoma"/>
            <family val="2"/>
          </rPr>
          <t>in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10"/>
            <rFont val="Tahoma"/>
            <family val="2"/>
          </rPr>
          <t>Inches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I46" authorId="0" shapeId="0" xr:uid="{1AF072D7-839A-C84F-8F5E-0681C684A53E}">
      <text>
        <r>
          <rPr>
            <b/>
            <sz val="12"/>
            <color indexed="12"/>
            <rFont val="Tahoma"/>
            <family val="2"/>
          </rPr>
          <t xml:space="preserve">Enter Brace
Diameter
</t>
        </r>
        <r>
          <rPr>
            <b/>
            <sz val="12"/>
            <color indexed="10"/>
            <rFont val="Tahoma"/>
            <family val="2"/>
          </rPr>
          <t>Inches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N47" authorId="0" shapeId="0" xr:uid="{0E5F75DF-1334-CB49-B5FC-90EA45DE4EAF}">
      <text>
        <r>
          <rPr>
            <b/>
            <sz val="12"/>
            <color indexed="12"/>
            <rFont val="Tahoma"/>
            <family val="2"/>
          </rPr>
          <t xml:space="preserve">Enter Depth
in
</t>
        </r>
        <r>
          <rPr>
            <b/>
            <sz val="12"/>
            <color indexed="10"/>
            <rFont val="Tahoma"/>
            <family val="2"/>
          </rPr>
          <t>Feet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D50" authorId="0" shapeId="0" xr:uid="{690612D0-9C43-FE44-85F9-27E64302E524}">
      <text>
        <r>
          <rPr>
            <b/>
            <sz val="12"/>
            <color indexed="10"/>
            <rFont val="Tahoma"/>
            <family val="2"/>
          </rPr>
          <t>Warning !!
Formula</t>
        </r>
      </text>
    </comment>
    <comment ref="M59" authorId="0" shapeId="0" xr:uid="{5ECD0515-A041-0142-8E83-5BB58EBE43CE}">
      <text>
        <r>
          <rPr>
            <b/>
            <sz val="12"/>
            <color indexed="12"/>
            <rFont val="Tahoma"/>
            <family val="2"/>
          </rPr>
          <t xml:space="preserve">Enter Offset
in </t>
        </r>
        <r>
          <rPr>
            <b/>
            <sz val="12"/>
            <color indexed="10"/>
            <rFont val="Tahoma"/>
            <family val="2"/>
          </rPr>
          <t>Inches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H66" authorId="0" shapeId="0" xr:uid="{A2AF7DDC-7E26-A348-9E60-20D0F85D2E0D}">
      <text>
        <r>
          <rPr>
            <b/>
            <sz val="12"/>
            <color indexed="12"/>
            <rFont val="Tahoma"/>
            <family val="2"/>
          </rPr>
          <t xml:space="preserve">Enter Length
in </t>
        </r>
        <r>
          <rPr>
            <b/>
            <sz val="12"/>
            <color indexed="10"/>
            <rFont val="Tahoma"/>
            <family val="2"/>
          </rPr>
          <t>Feet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D67" authorId="0" shapeId="0" xr:uid="{F51991DB-07FE-2048-B386-CCC7E414B05E}">
      <text>
        <r>
          <rPr>
            <b/>
            <sz val="12"/>
            <color indexed="12"/>
            <rFont val="Tahoma"/>
            <family val="2"/>
          </rPr>
          <t>Enter Offset</t>
        </r>
        <r>
          <rPr>
            <b/>
            <sz val="12"/>
            <color indexed="10"/>
            <rFont val="Tahoma"/>
            <family val="2"/>
          </rPr>
          <t xml:space="preserve">
</t>
        </r>
        <r>
          <rPr>
            <b/>
            <sz val="12"/>
            <color indexed="12"/>
            <rFont val="Tahoma"/>
            <family val="2"/>
          </rPr>
          <t>in</t>
        </r>
        <r>
          <rPr>
            <b/>
            <sz val="12"/>
            <color indexed="10"/>
            <rFont val="Tahoma"/>
            <family val="2"/>
          </rPr>
          <t xml:space="preserve"> Inches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70" authorId="0" shapeId="0" xr:uid="{13E4AA03-6460-B040-88D6-BFE992E7E767}">
      <text>
        <r>
          <rPr>
            <b/>
            <sz val="12"/>
            <color indexed="10"/>
            <rFont val="Tahoma"/>
            <family val="2"/>
          </rPr>
          <t>Warning !!
Formula</t>
        </r>
      </text>
    </comment>
    <comment ref="C72" authorId="0" shapeId="0" xr:uid="{13923BF2-5514-9D41-9578-8A32F3B95DF7}">
      <text>
        <r>
          <rPr>
            <b/>
            <sz val="12"/>
            <color indexed="12"/>
            <rFont val="Tahoma"/>
            <family val="2"/>
          </rPr>
          <t>Enter Depth</t>
        </r>
        <r>
          <rPr>
            <b/>
            <sz val="12"/>
            <color indexed="81"/>
            <rFont val="Tahoma"/>
            <family val="2"/>
          </rPr>
          <t xml:space="preserve">
</t>
        </r>
        <r>
          <rPr>
            <b/>
            <sz val="12"/>
            <color indexed="12"/>
            <rFont val="Tahoma"/>
            <family val="2"/>
          </rPr>
          <t>in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10"/>
            <rFont val="Tahoma"/>
            <family val="2"/>
          </rPr>
          <t>Inches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I78" authorId="0" shapeId="0" xr:uid="{A83B2D31-07D2-E247-B6BC-DDC978E3A40E}">
      <text>
        <r>
          <rPr>
            <b/>
            <sz val="12"/>
            <color indexed="12"/>
            <rFont val="Tahoma"/>
            <family val="2"/>
          </rPr>
          <t xml:space="preserve">Enter Brace
Diameter
</t>
        </r>
        <r>
          <rPr>
            <b/>
            <sz val="12"/>
            <color indexed="10"/>
            <rFont val="Tahoma"/>
            <family val="2"/>
          </rPr>
          <t>Inches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N79" authorId="0" shapeId="0" xr:uid="{6ADAFC10-825A-884E-926F-26A40093E1A5}">
      <text>
        <r>
          <rPr>
            <b/>
            <sz val="12"/>
            <color indexed="12"/>
            <rFont val="Tahoma"/>
            <family val="2"/>
          </rPr>
          <t xml:space="preserve">Enter Depth
in
</t>
        </r>
        <r>
          <rPr>
            <b/>
            <sz val="12"/>
            <color indexed="10"/>
            <rFont val="Tahoma"/>
            <family val="2"/>
          </rPr>
          <t>Feet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L82" authorId="0" shapeId="0" xr:uid="{CA3A3757-0866-D045-81D4-5A501BC0C32F}">
      <text>
        <r>
          <rPr>
            <b/>
            <sz val="12"/>
            <color indexed="12"/>
            <rFont val="Tahoma"/>
            <family val="2"/>
          </rPr>
          <t xml:space="preserve">Enter Columun
Width in
</t>
        </r>
        <r>
          <rPr>
            <b/>
            <sz val="12"/>
            <color indexed="10"/>
            <rFont val="Tahoma"/>
            <family val="2"/>
          </rPr>
          <t>Inches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H99" authorId="0" shapeId="0" xr:uid="{A3C8F326-076D-3E4B-954A-8731CB307B35}">
      <text>
        <r>
          <rPr>
            <b/>
            <sz val="12"/>
            <color indexed="12"/>
            <rFont val="Tahoma"/>
            <family val="2"/>
          </rPr>
          <t xml:space="preserve">Enter Length
in </t>
        </r>
        <r>
          <rPr>
            <b/>
            <sz val="12"/>
            <color indexed="10"/>
            <rFont val="Tahoma"/>
            <family val="2"/>
          </rPr>
          <t>Feet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C105" authorId="0" shapeId="0" xr:uid="{87882EEE-FA0C-2447-BE47-8BFDFC2813BC}">
      <text>
        <r>
          <rPr>
            <b/>
            <sz val="12"/>
            <color indexed="12"/>
            <rFont val="Tahoma"/>
            <family val="2"/>
          </rPr>
          <t>Enter Depth</t>
        </r>
        <r>
          <rPr>
            <b/>
            <sz val="12"/>
            <color indexed="81"/>
            <rFont val="Tahoma"/>
            <family val="2"/>
          </rPr>
          <t xml:space="preserve">
</t>
        </r>
        <r>
          <rPr>
            <b/>
            <sz val="12"/>
            <color indexed="12"/>
            <rFont val="Tahoma"/>
            <family val="2"/>
          </rPr>
          <t>in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10"/>
            <rFont val="Tahoma"/>
            <family val="2"/>
          </rPr>
          <t>Inches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I111" authorId="0" shapeId="0" xr:uid="{36723471-3079-4E43-8D5F-E47E238C710F}">
      <text>
        <r>
          <rPr>
            <b/>
            <sz val="12"/>
            <color indexed="12"/>
            <rFont val="Tahoma"/>
            <family val="2"/>
          </rPr>
          <t xml:space="preserve">Enter Brace
Diameter
</t>
        </r>
        <r>
          <rPr>
            <b/>
            <sz val="12"/>
            <color indexed="10"/>
            <rFont val="Tahoma"/>
            <family val="2"/>
          </rPr>
          <t>Inches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N112" authorId="0" shapeId="0" xr:uid="{F49836EC-D234-334E-906E-1F76BE8359F7}">
      <text>
        <r>
          <rPr>
            <b/>
            <sz val="12"/>
            <color indexed="12"/>
            <rFont val="Tahoma"/>
            <family val="2"/>
          </rPr>
          <t xml:space="preserve">Enter Depth
in
</t>
        </r>
        <r>
          <rPr>
            <b/>
            <sz val="12"/>
            <color indexed="10"/>
            <rFont val="Tahoma"/>
            <family val="2"/>
          </rPr>
          <t>Feet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L115" authorId="0" shapeId="0" xr:uid="{A10469FD-641F-1F4A-8B36-DAD89C4E2A07}">
      <text>
        <r>
          <rPr>
            <b/>
            <sz val="12"/>
            <color indexed="12"/>
            <rFont val="Tahoma"/>
            <family val="2"/>
          </rPr>
          <t xml:space="preserve">Enter Columun
Width in
</t>
        </r>
        <r>
          <rPr>
            <b/>
            <sz val="12"/>
            <color indexed="10"/>
            <rFont val="Tahoma"/>
            <family val="2"/>
          </rPr>
          <t>Inches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cEllis</author>
  </authors>
  <commentList>
    <comment ref="B5" authorId="0" shapeId="0" xr:uid="{AB3978F3-4EF5-A947-94CE-346F7490E017}">
      <text>
        <r>
          <rPr>
            <b/>
            <sz val="10"/>
            <color indexed="81"/>
            <rFont val="Tahoma"/>
            <family val="2"/>
          </rPr>
          <t xml:space="preserve">Enter Pipe
Diameter
in </t>
        </r>
        <r>
          <rPr>
            <b/>
            <sz val="10"/>
            <color indexed="10"/>
            <rFont val="Tahoma"/>
            <family val="2"/>
          </rPr>
          <t>Inches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C5" authorId="0" shapeId="0" xr:uid="{565C5CE9-5F17-BA45-A5FB-8583AD83A816}">
      <text>
        <r>
          <rPr>
            <b/>
            <sz val="10"/>
            <color indexed="81"/>
            <rFont val="Tahoma"/>
            <family val="2"/>
          </rPr>
          <t>Enter Pipe Wall
Thickness
in</t>
        </r>
        <r>
          <rPr>
            <b/>
            <sz val="10"/>
            <color indexed="10"/>
            <rFont val="Tahoma"/>
            <family val="2"/>
          </rPr>
          <t xml:space="preserve"> Inches</t>
        </r>
        <r>
          <rPr>
            <b/>
            <sz val="10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CELLIS</author>
  </authors>
  <commentList>
    <comment ref="G24" authorId="0" shapeId="0" xr:uid="{7DA71C48-E83C-1640-BA64-60D3498B9124}">
      <text>
        <r>
          <rPr>
            <b/>
            <sz val="8"/>
            <color indexed="81"/>
            <rFont val="Tahoma"/>
            <family val="2"/>
          </rPr>
          <t>CELLIS: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2"/>
            <rFont val="Tahoma"/>
            <family val="2"/>
          </rPr>
          <t>Enter ID in Inches</t>
        </r>
      </text>
    </comment>
  </commentList>
</comments>
</file>

<file path=xl/sharedStrings.xml><?xml version="1.0" encoding="utf-8"?>
<sst xmlns="http://schemas.openxmlformats.org/spreadsheetml/2006/main" count="7861" uniqueCount="1897">
  <si>
    <t>16-1 1/4</t>
  </si>
  <si>
    <t>16-32</t>
  </si>
  <si>
    <t>20-1 1/4</t>
  </si>
  <si>
    <t>20-32</t>
  </si>
  <si>
    <t>20-1 3/8</t>
  </si>
  <si>
    <t>20-35</t>
  </si>
  <si>
    <t>4 - 3/4</t>
  </si>
  <si>
    <t>4 - 19</t>
  </si>
  <si>
    <t>4 -7/8</t>
  </si>
  <si>
    <t>4 -22</t>
  </si>
  <si>
    <t>12-7/8</t>
  </si>
  <si>
    <t>12-22</t>
  </si>
  <si>
    <t>24-1 3/8</t>
  </si>
  <si>
    <t>24-35</t>
  </si>
  <si>
    <t>24-1 5/8</t>
  </si>
  <si>
    <t>24-41</t>
  </si>
  <si>
    <t>8-1</t>
  </si>
  <si>
    <t>8-25</t>
  </si>
  <si>
    <t>16-1 3/8</t>
  </si>
  <si>
    <t>16-35</t>
  </si>
  <si>
    <t>20-1 1/2</t>
  </si>
  <si>
    <t>20-38</t>
  </si>
  <si>
    <t>24-1 1/2</t>
  </si>
  <si>
    <t>24-38</t>
  </si>
  <si>
    <t>24-1 7/8</t>
  </si>
  <si>
    <t>24-48</t>
  </si>
  <si>
    <t>8-1 1/8</t>
  </si>
  <si>
    <t>8-29</t>
  </si>
  <si>
    <t>12-1 1/4</t>
  </si>
  <si>
    <t>12-32</t>
  </si>
  <si>
    <t>20-1 5/8</t>
  </si>
  <si>
    <t>20-41</t>
  </si>
  <si>
    <t>20-1 3/4</t>
  </si>
  <si>
    <t>20-44</t>
  </si>
  <si>
    <t>24-1 3/4</t>
  </si>
  <si>
    <t>24-44</t>
  </si>
  <si>
    <t>24-2</t>
  </si>
  <si>
    <t>24-51</t>
  </si>
  <si>
    <t>4 - 7/8</t>
  </si>
  <si>
    <t>4 - 22</t>
  </si>
  <si>
    <t>4 - 1</t>
  </si>
  <si>
    <t>4 - 25</t>
  </si>
  <si>
    <t>4 -1 1/8</t>
  </si>
  <si>
    <t>4 -29</t>
  </si>
  <si>
    <t>8-1 1/4</t>
  </si>
  <si>
    <t>8-32</t>
  </si>
  <si>
    <t>8-1 3/8</t>
  </si>
  <si>
    <t>8-35</t>
  </si>
  <si>
    <t>12-1 1/2</t>
  </si>
  <si>
    <t>12-38</t>
  </si>
  <si>
    <t>16-1 1/2</t>
  </si>
  <si>
    <t>16-38</t>
  </si>
  <si>
    <t>20-2</t>
  </si>
  <si>
    <t>20-51</t>
  </si>
  <si>
    <t>24-2 1/8</t>
  </si>
  <si>
    <t>24-54</t>
  </si>
  <si>
    <t>24-2 5/8</t>
  </si>
  <si>
    <t>24-67</t>
  </si>
  <si>
    <t>8-1 5/8</t>
  </si>
  <si>
    <t>8-41</t>
  </si>
  <si>
    <t>12-1 3/4</t>
  </si>
  <si>
    <t>12-44</t>
  </si>
  <si>
    <t>12-2</t>
  </si>
  <si>
    <t>12-51</t>
  </si>
  <si>
    <t>16-2 1/8</t>
  </si>
  <si>
    <t>16-54</t>
  </si>
  <si>
    <t>16-2 3/8</t>
  </si>
  <si>
    <t>16-60</t>
  </si>
  <si>
    <t>16 - 2 5/8</t>
  </si>
  <si>
    <t>16 - 67</t>
  </si>
  <si>
    <t>16- 2 7/8</t>
  </si>
  <si>
    <t>16- 73</t>
  </si>
  <si>
    <t>16-3 1/8</t>
  </si>
  <si>
    <t>16-79</t>
  </si>
  <si>
    <t>16 -3 5/8</t>
  </si>
  <si>
    <t>16 -92</t>
  </si>
  <si>
    <r>
      <t>150</t>
    </r>
    <r>
      <rPr>
        <b/>
        <sz val="10"/>
        <rFont val="Arial"/>
        <family val="2"/>
      </rPr>
      <t xml:space="preserve"> LB. FLANGES - </t>
    </r>
    <r>
      <rPr>
        <b/>
        <sz val="10"/>
        <color indexed="10"/>
        <rFont val="Arial"/>
        <family val="2"/>
      </rPr>
      <t>INCHES</t>
    </r>
  </si>
  <si>
    <r>
      <t>150</t>
    </r>
    <r>
      <rPr>
        <b/>
        <sz val="10"/>
        <rFont val="Arial"/>
        <family val="2"/>
      </rPr>
      <t xml:space="preserve"> LB. FLANGES - </t>
    </r>
    <r>
      <rPr>
        <b/>
        <sz val="10"/>
        <color indexed="10"/>
        <rFont val="Arial"/>
        <family val="2"/>
      </rPr>
      <t>MILLIMETERS</t>
    </r>
  </si>
  <si>
    <r>
      <t>300</t>
    </r>
    <r>
      <rPr>
        <b/>
        <sz val="10"/>
        <rFont val="Arial"/>
        <family val="2"/>
      </rPr>
      <t xml:space="preserve"> LB. FLANGES - </t>
    </r>
    <r>
      <rPr>
        <b/>
        <sz val="10"/>
        <color indexed="10"/>
        <rFont val="Arial"/>
        <family val="2"/>
      </rPr>
      <t>INCHES</t>
    </r>
  </si>
  <si>
    <r>
      <t xml:space="preserve">300 </t>
    </r>
    <r>
      <rPr>
        <b/>
        <sz val="10"/>
        <rFont val="Arial"/>
        <family val="2"/>
      </rPr>
      <t xml:space="preserve">LB. FLANGES - </t>
    </r>
    <r>
      <rPr>
        <b/>
        <sz val="10"/>
        <color indexed="10"/>
        <rFont val="Arial"/>
        <family val="2"/>
      </rPr>
      <t>MILLIMETERS</t>
    </r>
  </si>
  <si>
    <r>
      <t>400</t>
    </r>
    <r>
      <rPr>
        <b/>
        <sz val="10"/>
        <rFont val="Arial"/>
        <family val="2"/>
      </rPr>
      <t xml:space="preserve"> LB. FLANGES - </t>
    </r>
    <r>
      <rPr>
        <b/>
        <sz val="10"/>
        <color indexed="10"/>
        <rFont val="Arial"/>
        <family val="2"/>
      </rPr>
      <t>INCHES</t>
    </r>
  </si>
  <si>
    <r>
      <t>400</t>
    </r>
    <r>
      <rPr>
        <b/>
        <sz val="10"/>
        <rFont val="Arial"/>
        <family val="2"/>
      </rPr>
      <t xml:space="preserve"> LB. FLANGES - </t>
    </r>
    <r>
      <rPr>
        <b/>
        <sz val="10"/>
        <color indexed="10"/>
        <rFont val="Arial"/>
        <family val="2"/>
      </rPr>
      <t>MILLIMETERS</t>
    </r>
  </si>
  <si>
    <r>
      <t>600</t>
    </r>
    <r>
      <rPr>
        <b/>
        <sz val="10"/>
        <rFont val="Arial"/>
        <family val="2"/>
      </rPr>
      <t xml:space="preserve"> LB. FLANGES - </t>
    </r>
    <r>
      <rPr>
        <b/>
        <sz val="10"/>
        <color indexed="10"/>
        <rFont val="Arial"/>
        <family val="2"/>
      </rPr>
      <t>INCHES</t>
    </r>
  </si>
  <si>
    <r>
      <t>600</t>
    </r>
    <r>
      <rPr>
        <b/>
        <sz val="10"/>
        <rFont val="Arial"/>
        <family val="2"/>
      </rPr>
      <t xml:space="preserve"> LB. FLANGES - </t>
    </r>
    <r>
      <rPr>
        <b/>
        <sz val="10"/>
        <color indexed="10"/>
        <rFont val="Arial"/>
        <family val="2"/>
      </rPr>
      <t>MILLIMETERS</t>
    </r>
  </si>
  <si>
    <r>
      <t>900</t>
    </r>
    <r>
      <rPr>
        <b/>
        <sz val="10"/>
        <rFont val="Arial"/>
        <family val="2"/>
      </rPr>
      <t xml:space="preserve"> LB. FLANGES - </t>
    </r>
    <r>
      <rPr>
        <b/>
        <sz val="10"/>
        <color indexed="10"/>
        <rFont val="Arial"/>
        <family val="2"/>
      </rPr>
      <t>INCHES</t>
    </r>
  </si>
  <si>
    <r>
      <t>900</t>
    </r>
    <r>
      <rPr>
        <b/>
        <sz val="10"/>
        <rFont val="Arial"/>
        <family val="2"/>
      </rPr>
      <t xml:space="preserve"> LB. FLANGES - </t>
    </r>
    <r>
      <rPr>
        <b/>
        <sz val="10"/>
        <color indexed="10"/>
        <rFont val="Arial"/>
        <family val="2"/>
      </rPr>
      <t>MILLIMETERS</t>
    </r>
  </si>
  <si>
    <r>
      <t>1500</t>
    </r>
    <r>
      <rPr>
        <b/>
        <sz val="10"/>
        <rFont val="Arial"/>
        <family val="2"/>
      </rPr>
      <t xml:space="preserve"> LB. FLANGES - </t>
    </r>
    <r>
      <rPr>
        <b/>
        <sz val="10"/>
        <color indexed="10"/>
        <rFont val="Arial"/>
        <family val="2"/>
      </rPr>
      <t>INCHES</t>
    </r>
  </si>
  <si>
    <r>
      <t>1500</t>
    </r>
    <r>
      <rPr>
        <b/>
        <sz val="10"/>
        <rFont val="Arial"/>
        <family val="2"/>
      </rPr>
      <t xml:space="preserve"> LB. FLANGES - </t>
    </r>
    <r>
      <rPr>
        <b/>
        <sz val="10"/>
        <color indexed="10"/>
        <rFont val="Arial"/>
        <family val="2"/>
      </rPr>
      <t>MILLIMETERS</t>
    </r>
  </si>
  <si>
    <r>
      <t xml:space="preserve">        </t>
    </r>
    <r>
      <rPr>
        <b/>
        <sz val="12"/>
        <color indexed="10"/>
        <rFont val="Arial"/>
        <family val="2"/>
      </rPr>
      <t>**</t>
    </r>
    <r>
      <rPr>
        <b/>
        <sz val="12"/>
        <rFont val="Arial"/>
        <family val="2"/>
      </rPr>
      <t xml:space="preserve">Y  </t>
    </r>
    <r>
      <rPr>
        <b/>
        <sz val="8"/>
        <rFont val="Arial"/>
        <family val="2"/>
      </rPr>
      <t>(See Note Above)</t>
    </r>
  </si>
  <si>
    <r>
      <t>**</t>
    </r>
    <r>
      <rPr>
        <sz val="10"/>
        <rFont val="Arial"/>
        <family val="2"/>
      </rPr>
      <t xml:space="preserve"> The </t>
    </r>
    <r>
      <rPr>
        <b/>
        <sz val="10"/>
        <rFont val="Arial"/>
        <family val="2"/>
      </rPr>
      <t>1/4"</t>
    </r>
    <r>
      <rPr>
        <sz val="10"/>
        <rFont val="Arial"/>
        <family val="2"/>
      </rPr>
      <t xml:space="preserve"> raised face is not included in the thickness "</t>
    </r>
    <r>
      <rPr>
        <b/>
        <sz val="10"/>
        <rFont val="Arial"/>
        <family val="2"/>
      </rPr>
      <t>Y</t>
    </r>
    <r>
      <rPr>
        <sz val="10"/>
        <rFont val="Arial"/>
        <family val="2"/>
      </rPr>
      <t>" or "</t>
    </r>
    <r>
      <rPr>
        <b/>
        <sz val="10"/>
        <rFont val="Arial"/>
        <family val="2"/>
      </rPr>
      <t>C</t>
    </r>
    <r>
      <rPr>
        <sz val="10"/>
        <rFont val="Arial"/>
        <family val="2"/>
      </rPr>
      <t>"</t>
    </r>
  </si>
  <si>
    <r>
      <t>**</t>
    </r>
    <r>
      <rPr>
        <sz val="10"/>
        <rFont val="Arial"/>
        <family val="2"/>
      </rPr>
      <t xml:space="preserve"> The </t>
    </r>
    <r>
      <rPr>
        <b/>
        <sz val="10"/>
        <rFont val="Arial"/>
        <family val="2"/>
      </rPr>
      <t>6mm</t>
    </r>
    <r>
      <rPr>
        <sz val="10"/>
        <rFont val="Arial"/>
        <family val="2"/>
      </rPr>
      <t xml:space="preserve"> raised face is not included in the thickness "</t>
    </r>
    <r>
      <rPr>
        <b/>
        <sz val="10"/>
        <rFont val="Arial"/>
        <family val="2"/>
      </rPr>
      <t>Y</t>
    </r>
    <r>
      <rPr>
        <sz val="10"/>
        <rFont val="Arial"/>
        <family val="2"/>
      </rPr>
      <t>" or "</t>
    </r>
    <r>
      <rPr>
        <b/>
        <sz val="10"/>
        <rFont val="Arial"/>
        <family val="2"/>
      </rPr>
      <t>C</t>
    </r>
    <r>
      <rPr>
        <sz val="10"/>
        <rFont val="Arial"/>
        <family val="2"/>
      </rPr>
      <t>"</t>
    </r>
  </si>
  <si>
    <r>
      <t>**</t>
    </r>
    <r>
      <rPr>
        <sz val="10"/>
        <rFont val="Arial"/>
        <family val="2"/>
      </rPr>
      <t xml:space="preserve"> The </t>
    </r>
    <r>
      <rPr>
        <b/>
        <sz val="10"/>
        <rFont val="Arial"/>
        <family val="2"/>
      </rPr>
      <t xml:space="preserve">1/4" </t>
    </r>
    <r>
      <rPr>
        <sz val="10"/>
        <rFont val="Arial"/>
        <family val="2"/>
      </rPr>
      <t>raised face is not included in the thickness "</t>
    </r>
    <r>
      <rPr>
        <b/>
        <sz val="10"/>
        <rFont val="Arial"/>
        <family val="2"/>
      </rPr>
      <t>Y</t>
    </r>
    <r>
      <rPr>
        <sz val="10"/>
        <rFont val="Arial"/>
        <family val="2"/>
      </rPr>
      <t>" or "</t>
    </r>
    <r>
      <rPr>
        <b/>
        <sz val="10"/>
        <rFont val="Arial"/>
        <family val="2"/>
      </rPr>
      <t>C</t>
    </r>
    <r>
      <rPr>
        <sz val="10"/>
        <rFont val="Arial"/>
        <family val="2"/>
      </rPr>
      <t>"</t>
    </r>
  </si>
  <si>
    <t xml:space="preserve"> millimeters</t>
  </si>
  <si>
    <t xml:space="preserve">      INCHES</t>
  </si>
  <si>
    <t>c</t>
  </si>
  <si>
    <t>a</t>
  </si>
  <si>
    <t>b</t>
  </si>
  <si>
    <t>Right Triangle</t>
  </si>
  <si>
    <t xml:space="preserve">             Known</t>
  </si>
  <si>
    <t xml:space="preserve">       Values Key in</t>
  </si>
  <si>
    <t>Formulas</t>
  </si>
  <si>
    <t xml:space="preserve">  Key In</t>
  </si>
  <si>
    <t>Angles are in Degrees</t>
  </si>
  <si>
    <t>Oblique Triangles</t>
  </si>
  <si>
    <t>Solutions</t>
  </si>
  <si>
    <t xml:space="preserve">           Known</t>
  </si>
  <si>
    <t xml:space="preserve">             Solutions</t>
  </si>
  <si>
    <t>Converter</t>
  </si>
  <si>
    <t>Feet + Inches =  Total in Feet</t>
  </si>
  <si>
    <t>Total Feet</t>
  </si>
  <si>
    <t xml:space="preserve">       Key In</t>
  </si>
  <si>
    <t xml:space="preserve">          Key In</t>
  </si>
  <si>
    <t xml:space="preserve"> Key In</t>
  </si>
  <si>
    <t>Qty.</t>
  </si>
  <si>
    <t>Width</t>
  </si>
  <si>
    <r>
      <t xml:space="preserve">Structural Plate Weight </t>
    </r>
    <r>
      <rPr>
        <b/>
        <sz val="12"/>
        <color indexed="10"/>
        <rFont val="Arial"/>
        <family val="2"/>
      </rPr>
      <t>(Metric)</t>
    </r>
  </si>
  <si>
    <r>
      <t xml:space="preserve">Structural Plate Weight </t>
    </r>
    <r>
      <rPr>
        <b/>
        <sz val="12"/>
        <color indexed="10"/>
        <rFont val="Arial"/>
        <family val="2"/>
      </rPr>
      <t>(English)</t>
    </r>
  </si>
  <si>
    <t xml:space="preserve">Bolt Length w/ </t>
  </si>
  <si>
    <r>
      <t>1</t>
    </r>
    <r>
      <rPr>
        <b/>
        <sz val="10"/>
        <rFont val="Arial"/>
        <family val="2"/>
      </rPr>
      <t>-Lg.</t>
    </r>
  </si>
  <si>
    <r>
      <t>2</t>
    </r>
    <r>
      <rPr>
        <b/>
        <sz val="10"/>
        <rFont val="Arial"/>
        <family val="2"/>
      </rPr>
      <t>-Lg.</t>
    </r>
  </si>
  <si>
    <r>
      <t>1</t>
    </r>
    <r>
      <rPr>
        <b/>
        <i/>
        <sz val="10"/>
        <rFont val="Arial"/>
        <family val="2"/>
      </rPr>
      <t>-With F.W.</t>
    </r>
  </si>
  <si>
    <r>
      <t>2</t>
    </r>
    <r>
      <rPr>
        <b/>
        <i/>
        <sz val="10"/>
        <rFont val="Arial"/>
        <family val="2"/>
      </rPr>
      <t>-With Bevel Washer</t>
    </r>
  </si>
  <si>
    <t>O.D. Inches</t>
  </si>
  <si>
    <t>Wall Thk. Inches</t>
  </si>
  <si>
    <t>Kg/Meter</t>
  </si>
  <si>
    <t>Lbs/Ft.</t>
  </si>
  <si>
    <t>Depth Inches</t>
  </si>
  <si>
    <t xml:space="preserve"> Steel Angle Properties - CG's &amp; Lbs/Ft</t>
  </si>
  <si>
    <t xml:space="preserve"> Round Bar (dia in millimeters) - Lbs/Ft</t>
  </si>
  <si>
    <t>Height      =</t>
  </si>
  <si>
    <t xml:space="preserve"> inches</t>
  </si>
  <si>
    <t>Diameter   =</t>
  </si>
  <si>
    <t xml:space="preserve"> mm</t>
  </si>
  <si>
    <t>Width      =</t>
  </si>
  <si>
    <t>Lbs/Ft     =</t>
  </si>
  <si>
    <t>Thickness =</t>
  </si>
  <si>
    <t xml:space="preserve"> Round Bar (dia in inches) - Lbs/Ft</t>
  </si>
  <si>
    <t>Xcg         =</t>
  </si>
  <si>
    <t>Ycg         =</t>
  </si>
  <si>
    <t xml:space="preserve"> Steel Plate Properties - Lbs/Ft</t>
  </si>
  <si>
    <t>Conversions - Metric / U.S.</t>
  </si>
  <si>
    <t>pounds X  0.45359 = kilograms</t>
  </si>
  <si>
    <t>kilograms X  2.2046 = pounds</t>
  </si>
  <si>
    <t>inches X  25.4 = millimeters</t>
  </si>
  <si>
    <t>millimeters X  0.03937 = inches</t>
  </si>
  <si>
    <t>feet X  0.3048 = meters</t>
  </si>
  <si>
    <t>meters X  3.28084 = feet</t>
  </si>
  <si>
    <t>cubic feet X  0.02832 = cubic meters</t>
  </si>
  <si>
    <t>cubic meters X  35.3107 = cubic feet</t>
  </si>
  <si>
    <t>kilograms/meter X 0.6720 = pounds/foot</t>
  </si>
  <si>
    <t xml:space="preserve"> Steel Pipe Properties - Lbs/Ft</t>
  </si>
  <si>
    <t>pounds/foot X 1.4881 = kilograms/meter</t>
  </si>
  <si>
    <t>Outside Dia =</t>
  </si>
  <si>
    <t>Miscellaneous - Metric / U.S.</t>
  </si>
  <si>
    <t>Wall Thck =</t>
  </si>
  <si>
    <t>Steel = 7850 kilograms per cubic meter</t>
  </si>
  <si>
    <t>Steel = 490 pounds per cubic foot</t>
  </si>
  <si>
    <t xml:space="preserve"> Steel Angle Properties - CG's &amp; Kgs/M</t>
  </si>
  <si>
    <t xml:space="preserve"> Steel Tee Properties - CG's &amp; Kgs/M</t>
  </si>
  <si>
    <t>Flange      =</t>
  </si>
  <si>
    <t xml:space="preserve">    Kg/M       =</t>
  </si>
  <si>
    <t>millimeters</t>
  </si>
  <si>
    <t>Kg/M      =</t>
  </si>
  <si>
    <t>Diameters</t>
  </si>
  <si>
    <t>d1=</t>
  </si>
  <si>
    <t>d2=</t>
  </si>
  <si>
    <t>D1=</t>
  </si>
  <si>
    <t>D2=</t>
  </si>
  <si>
    <t>H=</t>
  </si>
  <si>
    <t>Lbs     =</t>
  </si>
  <si>
    <t>Kg      =</t>
  </si>
  <si>
    <r>
      <t xml:space="preserve"> Steel Cone Weight (English Units - </t>
    </r>
    <r>
      <rPr>
        <b/>
        <sz val="10"/>
        <color indexed="10"/>
        <rFont val="Arial"/>
        <family val="2"/>
      </rPr>
      <t>Inches</t>
    </r>
    <r>
      <rPr>
        <b/>
        <sz val="10"/>
        <color indexed="12"/>
        <rFont val="Arial"/>
        <family val="2"/>
      </rPr>
      <t>)</t>
    </r>
  </si>
  <si>
    <r>
      <t xml:space="preserve"> Steel Cone Weight (Metric Units -</t>
    </r>
    <r>
      <rPr>
        <b/>
        <sz val="10"/>
        <color indexed="10"/>
        <rFont val="Arial"/>
        <family val="2"/>
      </rPr>
      <t>millimeters</t>
    </r>
    <r>
      <rPr>
        <b/>
        <sz val="10"/>
        <color indexed="12"/>
        <rFont val="Arial"/>
        <family val="2"/>
      </rPr>
      <t>)</t>
    </r>
  </si>
  <si>
    <t>The slope of surfaces of bolted parts in contact with the bolt head and nut shall not exceed 1:20 with respect to plane normal to the bolt</t>
  </si>
  <si>
    <t>axis. Bolted steel parts shall not be separated by gaskets and shall fit solidly together after bolts are tightened. Holes may be be punched,</t>
  </si>
  <si>
    <t>the nominal bolt diameter.</t>
  </si>
  <si>
    <r>
      <t>Oversized Holes</t>
    </r>
    <r>
      <rPr>
        <sz val="10"/>
        <color indexed="12"/>
        <rFont val="Arial"/>
        <family val="2"/>
      </rPr>
      <t xml:space="preserve"> </t>
    </r>
    <r>
      <rPr>
        <sz val="10"/>
        <rFont val="Arial"/>
        <family val="2"/>
      </rPr>
      <t xml:space="preserve">may have nominal diameters up to: </t>
    </r>
    <r>
      <rPr>
        <b/>
        <sz val="10"/>
        <rFont val="Arial"/>
        <family val="2"/>
      </rPr>
      <t>3/16"</t>
    </r>
    <r>
      <rPr>
        <sz val="10"/>
        <rFont val="Arial"/>
        <family val="2"/>
      </rPr>
      <t xml:space="preserve"> larger than bolts </t>
    </r>
    <r>
      <rPr>
        <b/>
        <sz val="10"/>
        <rFont val="Arial"/>
        <family val="2"/>
      </rPr>
      <t>7/8"</t>
    </r>
    <r>
      <rPr>
        <sz val="10"/>
        <rFont val="Arial"/>
        <family val="2"/>
      </rPr>
      <t xml:space="preserve"> and less in diameter, </t>
    </r>
    <r>
      <rPr>
        <b/>
        <sz val="10"/>
        <rFont val="Arial"/>
        <family val="2"/>
      </rPr>
      <t>1/4"</t>
    </r>
    <r>
      <rPr>
        <sz val="10"/>
        <rFont val="Arial"/>
        <family val="2"/>
      </rPr>
      <t xml:space="preserve"> for </t>
    </r>
    <r>
      <rPr>
        <b/>
        <sz val="10"/>
        <rFont val="Arial"/>
        <family val="2"/>
      </rPr>
      <t>1"</t>
    </r>
    <r>
      <rPr>
        <sz val="10"/>
        <rFont val="Arial"/>
        <family val="2"/>
      </rPr>
      <t xml:space="preserve"> in diameter</t>
    </r>
  </si>
  <si>
    <r>
      <t xml:space="preserve">and </t>
    </r>
    <r>
      <rPr>
        <b/>
        <sz val="10"/>
        <rFont val="Arial"/>
        <family val="2"/>
      </rPr>
      <t>5/16"</t>
    </r>
    <r>
      <rPr>
        <sz val="10"/>
        <rFont val="Arial"/>
        <family val="2"/>
      </rPr>
      <t xml:space="preserve"> larger than bolts </t>
    </r>
    <r>
      <rPr>
        <b/>
        <sz val="10"/>
        <rFont val="Arial"/>
        <family val="2"/>
      </rPr>
      <t>1-1/8"</t>
    </r>
    <r>
      <rPr>
        <sz val="10"/>
        <rFont val="Arial"/>
        <family val="2"/>
      </rPr>
      <t xml:space="preserve"> and greater in diameter. Haredened washers shall be installed over oversized holes in an outer ply.</t>
    </r>
  </si>
  <si>
    <t>1/2"</t>
  </si>
  <si>
    <t>5/8"</t>
  </si>
  <si>
    <t>3/4"</t>
  </si>
  <si>
    <t>7/8"</t>
  </si>
  <si>
    <t>1"</t>
  </si>
  <si>
    <t>1-1/8"</t>
  </si>
  <si>
    <t>1-1/4"</t>
  </si>
  <si>
    <t>1-3/8"</t>
  </si>
  <si>
    <t>1-1/2"</t>
  </si>
  <si>
    <t>&gt;1-1/2"</t>
  </si>
  <si>
    <t>Oversize</t>
  </si>
  <si>
    <t>Short</t>
  </si>
  <si>
    <t>Slotted</t>
  </si>
  <si>
    <t>Long</t>
  </si>
  <si>
    <t>13/16"</t>
  </si>
  <si>
    <t>15/16"</t>
  </si>
  <si>
    <t>1-1/16"</t>
  </si>
  <si>
    <t>1-7/16"</t>
  </si>
  <si>
    <t>1-9/16"</t>
  </si>
  <si>
    <t>1-11/16"</t>
  </si>
  <si>
    <t>1-13/16"</t>
  </si>
  <si>
    <t>d+5/16"</t>
  </si>
  <si>
    <t>9/16"x11/16"</t>
  </si>
  <si>
    <t>11/16"x7/8"</t>
  </si>
  <si>
    <t>13/16"x1"</t>
  </si>
  <si>
    <t>15/16"x1-1/8"</t>
  </si>
  <si>
    <t>1-1/16"x1-5/16"</t>
  </si>
  <si>
    <t>1-3/16"x1-1/2"</t>
  </si>
  <si>
    <t>1-5/16"x1-5/8"</t>
  </si>
  <si>
    <t>1-7/16"x1-3/4"</t>
  </si>
  <si>
    <t>1-9/16"x1-7/8"</t>
  </si>
  <si>
    <t>(d+1/16")x(d+3/8")</t>
  </si>
  <si>
    <t>9/16"x1-1/4"</t>
  </si>
  <si>
    <t>11/16"x1-9/16"</t>
  </si>
  <si>
    <t>13/16"x1-7/8"</t>
  </si>
  <si>
    <t>15/16"x2-3/16"</t>
  </si>
  <si>
    <t>1-1/16"x2-1/2"</t>
  </si>
  <si>
    <t>1-3/16"x2-13/16"</t>
  </si>
  <si>
    <t>1-5/16"x3-1/8"</t>
  </si>
  <si>
    <t>1-7/16"x3-7/16"</t>
  </si>
  <si>
    <t>1-9/16"x3-3/4"</t>
  </si>
  <si>
    <t>&gt;38</t>
  </si>
  <si>
    <t>&gt;46</t>
  </si>
  <si>
    <t>14x17</t>
  </si>
  <si>
    <t>17x22</t>
  </si>
  <si>
    <t>21x25</t>
  </si>
  <si>
    <t>24x29</t>
  </si>
  <si>
    <t>27x33</t>
  </si>
  <si>
    <t>30x38</t>
  </si>
  <si>
    <t>33x41</t>
  </si>
  <si>
    <t>37x44</t>
  </si>
  <si>
    <t>40x58</t>
  </si>
  <si>
    <t>(d+2)x(d+9)</t>
  </si>
  <si>
    <t>14x32</t>
  </si>
  <si>
    <t>17x40</t>
  </si>
  <si>
    <t>21x48</t>
  </si>
  <si>
    <t>24x56</t>
  </si>
  <si>
    <t>27x64</t>
  </si>
  <si>
    <t>30x71</t>
  </si>
  <si>
    <t>33x79</t>
  </si>
  <si>
    <t>37x87</t>
  </si>
  <si>
    <t>40x95</t>
  </si>
  <si>
    <t>(d+2)x(2.5xd)</t>
  </si>
  <si>
    <t>(d+1/16")x(2.5xd)</t>
  </si>
  <si>
    <t>Bolted Parts (ASTM A325 &amp; A490 BOLTS)</t>
  </si>
  <si>
    <t>Minimum Bolt Spacing</t>
  </si>
  <si>
    <r>
      <t xml:space="preserve">The distance between centers of standard, oversized, or slotted fasteners shall be not less than </t>
    </r>
    <r>
      <rPr>
        <b/>
        <sz val="10"/>
        <rFont val="Arial"/>
        <family val="2"/>
      </rPr>
      <t>2 2/3d</t>
    </r>
    <r>
      <rPr>
        <sz val="10"/>
        <rFont val="Arial"/>
        <family val="2"/>
      </rPr>
      <t xml:space="preserve"> where </t>
    </r>
    <r>
      <rPr>
        <b/>
        <sz val="10"/>
        <rFont val="Arial"/>
        <family val="2"/>
      </rPr>
      <t>"d"</t>
    </r>
    <r>
      <rPr>
        <sz val="10"/>
        <rFont val="Arial"/>
        <family val="2"/>
      </rPr>
      <t xml:space="preserve"> is the nominal</t>
    </r>
  </si>
  <si>
    <r>
      <t xml:space="preserve">diameter of the fastener, inches. </t>
    </r>
    <r>
      <rPr>
        <b/>
        <sz val="10"/>
        <color indexed="10"/>
        <rFont val="Arial"/>
        <family val="2"/>
      </rPr>
      <t>A distance of 3d is preferred.</t>
    </r>
  </si>
  <si>
    <t>(Center of Standard Hole to Edge of Connected Part)</t>
  </si>
  <si>
    <r>
      <t xml:space="preserve">Minimum Edge Distance Table </t>
    </r>
    <r>
      <rPr>
        <b/>
        <i/>
        <u/>
        <sz val="12"/>
        <color indexed="10"/>
        <rFont val="Arial"/>
        <family val="2"/>
      </rPr>
      <t>Inches</t>
    </r>
  </si>
  <si>
    <t>&gt;1-1/4"</t>
  </si>
  <si>
    <t>Edges</t>
  </si>
  <si>
    <t>@</t>
  </si>
  <si>
    <t>Sheared</t>
  </si>
  <si>
    <t>2"</t>
  </si>
  <si>
    <t>2-1/4"</t>
  </si>
  <si>
    <r>
      <t xml:space="preserve">1-3/4" </t>
    </r>
    <r>
      <rPr>
        <b/>
        <sz val="12"/>
        <color indexed="10"/>
        <rFont val="Arial"/>
        <family val="2"/>
      </rPr>
      <t>*</t>
    </r>
  </si>
  <si>
    <r>
      <t>1-1/2"</t>
    </r>
    <r>
      <rPr>
        <b/>
        <sz val="10"/>
        <color indexed="10"/>
        <rFont val="Arial"/>
        <family val="2"/>
      </rPr>
      <t xml:space="preserve"> </t>
    </r>
    <r>
      <rPr>
        <b/>
        <sz val="12"/>
        <color indexed="10"/>
        <rFont val="Arial"/>
        <family val="2"/>
      </rPr>
      <t>*</t>
    </r>
  </si>
  <si>
    <t xml:space="preserve">    '@' Rolled Edges of</t>
  </si>
  <si>
    <t xml:space="preserve">    Plates, Shapes or Bars</t>
  </si>
  <si>
    <t xml:space="preserve">    or Gas Cut Edges</t>
  </si>
  <si>
    <t>1-5/8"</t>
  </si>
  <si>
    <t xml:space="preserve">     These may be 1-1/4" @ the ends of beam connection angles</t>
  </si>
  <si>
    <t xml:space="preserve">Bolt Length </t>
  </si>
  <si>
    <r>
      <t xml:space="preserve">for manufacturing tolerances to provide for full thread engagement of heavy hex nut, when installed. </t>
    </r>
    <r>
      <rPr>
        <b/>
        <i/>
        <u/>
        <sz val="10"/>
        <color indexed="17"/>
        <rFont val="Arial"/>
        <family val="2"/>
      </rPr>
      <t>For each hardened flat washer that is used</t>
    </r>
  </si>
  <si>
    <t xml:space="preserve">      Specify thread length when using Double Nuts</t>
  </si>
  <si>
    <t xml:space="preserve">             Single Nut</t>
  </si>
  <si>
    <t>11/16"</t>
  </si>
  <si>
    <t>1-3/4"</t>
  </si>
  <si>
    <t>1-7/8"</t>
  </si>
  <si>
    <t xml:space="preserve">             Double Nut</t>
  </si>
  <si>
    <t>1-3/16"</t>
  </si>
  <si>
    <t>2-5/8"</t>
  </si>
  <si>
    <t>2-7/8"</t>
  </si>
  <si>
    <t>3-1/8"</t>
  </si>
  <si>
    <t>3-3/8"</t>
  </si>
  <si>
    <t>2-1/8"</t>
  </si>
  <si>
    <t>2-3/8"</t>
  </si>
  <si>
    <t>2-3/4"</t>
  </si>
  <si>
    <t>3-1/4"</t>
  </si>
  <si>
    <t>3-5/8"</t>
  </si>
  <si>
    <t>3-3/4"</t>
  </si>
  <si>
    <t>Thread</t>
  </si>
  <si>
    <r>
      <t xml:space="preserve">In order to determine the required bolt length, the value in the table below should be added to the </t>
    </r>
    <r>
      <rPr>
        <b/>
        <i/>
        <sz val="10"/>
        <color indexed="10"/>
        <rFont val="Arial"/>
        <family val="2"/>
      </rPr>
      <t>Grip</t>
    </r>
    <r>
      <rPr>
        <b/>
        <i/>
        <sz val="10"/>
        <color indexed="17"/>
        <rFont val="Arial"/>
        <family val="2"/>
      </rPr>
      <t xml:space="preserve"> </t>
    </r>
    <r>
      <rPr>
        <b/>
        <i/>
        <sz val="10"/>
        <rFont val="Arial"/>
        <family val="2"/>
      </rPr>
      <t>(I.e., the total thickness of all connected</t>
    </r>
  </si>
  <si>
    <r>
      <t>material, exclusive of washers)</t>
    </r>
    <r>
      <rPr>
        <b/>
        <i/>
        <sz val="10"/>
        <color indexed="17"/>
        <rFont val="Arial"/>
        <family val="2"/>
      </rPr>
      <t xml:space="preserve"> or enter the Grip in the Calculator above for single nut with washer. The values are generalized with due allowance</t>
    </r>
  </si>
  <si>
    <r>
      <t xml:space="preserve">Enter Grip </t>
    </r>
    <r>
      <rPr>
        <b/>
        <sz val="10"/>
        <color indexed="10"/>
        <rFont val="Arial"/>
        <family val="2"/>
      </rPr>
      <t>millimeters</t>
    </r>
  </si>
  <si>
    <r>
      <t xml:space="preserve">Enter Grip </t>
    </r>
    <r>
      <rPr>
        <b/>
        <sz val="10"/>
        <color indexed="10"/>
        <rFont val="Arial"/>
        <family val="2"/>
      </rPr>
      <t>Inches</t>
    </r>
  </si>
  <si>
    <t>Single Nut &amp; Single Washer Calculator</t>
  </si>
  <si>
    <r>
      <t xml:space="preserve">add </t>
    </r>
    <r>
      <rPr>
        <b/>
        <i/>
        <u/>
        <sz val="10"/>
        <color indexed="10"/>
        <rFont val="Arial"/>
        <family val="2"/>
      </rPr>
      <t>5/32-inch</t>
    </r>
    <r>
      <rPr>
        <b/>
        <i/>
        <u/>
        <sz val="10"/>
        <color indexed="17"/>
        <rFont val="Arial"/>
        <family val="2"/>
      </rPr>
      <t xml:space="preserve">, and for each bevel washer add </t>
    </r>
    <r>
      <rPr>
        <b/>
        <i/>
        <u/>
        <sz val="10"/>
        <color indexed="10"/>
        <rFont val="Arial"/>
        <family val="2"/>
      </rPr>
      <t>5/16-inch</t>
    </r>
    <r>
      <rPr>
        <b/>
        <i/>
        <u/>
        <sz val="10"/>
        <color indexed="17"/>
        <rFont val="Arial"/>
        <family val="2"/>
      </rPr>
      <t xml:space="preserve">. The length is determined by use of the table/calculator should be </t>
    </r>
    <r>
      <rPr>
        <b/>
        <i/>
        <u/>
        <sz val="10"/>
        <color indexed="10"/>
        <rFont val="Arial"/>
        <family val="2"/>
      </rPr>
      <t>adjusted to the</t>
    </r>
    <r>
      <rPr>
        <b/>
        <i/>
        <u/>
        <sz val="10"/>
        <color indexed="17"/>
        <rFont val="Arial"/>
        <family val="2"/>
      </rPr>
      <t xml:space="preserve"> </t>
    </r>
    <r>
      <rPr>
        <b/>
        <i/>
        <u/>
        <sz val="10"/>
        <color indexed="10"/>
        <rFont val="Arial"/>
        <family val="2"/>
      </rPr>
      <t>next 1/4-inch.</t>
    </r>
  </si>
  <si>
    <t>Bolt Size</t>
  </si>
  <si>
    <t>Width across</t>
  </si>
  <si>
    <t>Height</t>
  </si>
  <si>
    <r>
      <t xml:space="preserve">flats </t>
    </r>
    <r>
      <rPr>
        <b/>
        <sz val="10"/>
        <color indexed="12"/>
        <rFont val="Arial"/>
        <family val="2"/>
      </rPr>
      <t>F</t>
    </r>
  </si>
  <si>
    <t xml:space="preserve">                 Bolt Dimensions. Inches</t>
  </si>
  <si>
    <t xml:space="preserve">               Heavy Hex Structural Bolts</t>
  </si>
  <si>
    <t xml:space="preserve">      Heavy Hex Nuts</t>
  </si>
  <si>
    <r>
      <t xml:space="preserve">flats </t>
    </r>
    <r>
      <rPr>
        <b/>
        <sz val="10"/>
        <color indexed="12"/>
        <rFont val="Arial"/>
        <family val="2"/>
      </rPr>
      <t>W</t>
    </r>
  </si>
  <si>
    <t xml:space="preserve">  Nut Dimensions, Inches</t>
  </si>
  <si>
    <t>Diameter</t>
  </si>
  <si>
    <t>Min.</t>
  </si>
  <si>
    <t xml:space="preserve">                Thickness</t>
  </si>
  <si>
    <r>
      <t xml:space="preserve">of </t>
    </r>
    <r>
      <rPr>
        <b/>
        <sz val="10"/>
        <color indexed="12"/>
        <rFont val="Arial"/>
        <family val="2"/>
      </rPr>
      <t>Hole</t>
    </r>
  </si>
  <si>
    <r>
      <t xml:space="preserve">                             </t>
    </r>
    <r>
      <rPr>
        <b/>
        <sz val="12"/>
        <color indexed="12"/>
        <rFont val="Arial"/>
        <family val="2"/>
      </rPr>
      <t>Circular Washers</t>
    </r>
  </si>
  <si>
    <t>Mean</t>
  </si>
  <si>
    <t>Slope or</t>
  </si>
  <si>
    <t>Taper in</t>
  </si>
  <si>
    <t>3"</t>
  </si>
  <si>
    <t>Minimum</t>
  </si>
  <si>
    <t>Side</t>
  </si>
  <si>
    <t>Dimension</t>
  </si>
  <si>
    <t xml:space="preserve">         Sq. or Rect. Bevel Washers</t>
  </si>
  <si>
    <t>1:6'</t>
  </si>
  <si>
    <t xml:space="preserve">     A490 bolts and galvanized A325 bolts shall not be reused. Retightening previous tightening of adjacent bolts</t>
  </si>
  <si>
    <t>shall not be considered as reuse.</t>
  </si>
  <si>
    <r>
      <t xml:space="preserve">sub-punched and reamed, or drilled, as required by applicable code or specification. </t>
    </r>
    <r>
      <rPr>
        <b/>
        <i/>
        <sz val="10"/>
        <color indexed="10"/>
        <rFont val="Arial"/>
        <family val="2"/>
      </rPr>
      <t xml:space="preserve">Standard holes shall have a diameter </t>
    </r>
    <r>
      <rPr>
        <b/>
        <i/>
        <sz val="10"/>
        <color indexed="12"/>
        <rFont val="Arial"/>
        <family val="2"/>
      </rPr>
      <t>1/16"</t>
    </r>
    <r>
      <rPr>
        <b/>
        <i/>
        <sz val="10"/>
        <color indexed="10"/>
        <rFont val="Arial"/>
        <family val="2"/>
      </rPr>
      <t xml:space="preserve"> in excess of</t>
    </r>
  </si>
  <si>
    <t>Under</t>
  </si>
  <si>
    <t>Head</t>
  </si>
  <si>
    <t>Weight of ASTM A325 or A490 high strength bolts</t>
  </si>
  <si>
    <t>4"</t>
  </si>
  <si>
    <t>6"</t>
  </si>
  <si>
    <t>For Each</t>
  </si>
  <si>
    <t>100 F.W.</t>
  </si>
  <si>
    <t>Add</t>
  </si>
  <si>
    <t>Bevel</t>
  </si>
  <si>
    <t>Washers</t>
  </si>
  <si>
    <t>&gt;32</t>
  </si>
  <si>
    <t>1.75x Dia.</t>
  </si>
  <si>
    <t>1.25x Dia.</t>
  </si>
  <si>
    <t xml:space="preserve">     These may be 32 @ the ends of beam connection angles</t>
  </si>
  <si>
    <t xml:space="preserve">         Thread Length</t>
  </si>
  <si>
    <t xml:space="preserve">              Double</t>
  </si>
  <si>
    <t xml:space="preserve">                 Nut</t>
  </si>
  <si>
    <t xml:space="preserve">       To determine required Bolt</t>
  </si>
  <si>
    <t xml:space="preserve">            Length Add to Grip</t>
  </si>
  <si>
    <t xml:space="preserve">     To determine required Bolt</t>
  </si>
  <si>
    <t xml:space="preserve">          Length Add to Grip</t>
  </si>
  <si>
    <r>
      <t xml:space="preserve">Minimum Edge Distance Table </t>
    </r>
    <r>
      <rPr>
        <b/>
        <i/>
        <u/>
        <sz val="12"/>
        <color indexed="10"/>
        <rFont val="Arial"/>
        <family val="2"/>
      </rPr>
      <t>millimeters</t>
    </r>
  </si>
  <si>
    <t>Per inch</t>
  </si>
  <si>
    <t>additional</t>
  </si>
  <si>
    <r>
      <t xml:space="preserve">        Max. Holes Size (Nominal)</t>
    </r>
    <r>
      <rPr>
        <b/>
        <sz val="10"/>
        <color indexed="10"/>
        <rFont val="Arial"/>
        <family val="2"/>
      </rPr>
      <t xml:space="preserve"> Inches</t>
    </r>
  </si>
  <si>
    <r>
      <t xml:space="preserve">  Max. Holes Size (Nominal) </t>
    </r>
    <r>
      <rPr>
        <b/>
        <sz val="10"/>
        <color indexed="10"/>
        <rFont val="Arial"/>
        <family val="2"/>
      </rPr>
      <t>millimeters</t>
    </r>
  </si>
  <si>
    <t>Alowable</t>
  </si>
  <si>
    <t>Deflection</t>
  </si>
  <si>
    <t>8"</t>
  </si>
  <si>
    <t>10"</t>
  </si>
  <si>
    <t>12"</t>
  </si>
  <si>
    <t>14"</t>
  </si>
  <si>
    <t>16"</t>
  </si>
  <si>
    <t>18"</t>
  </si>
  <si>
    <t>20"</t>
  </si>
  <si>
    <t>24"</t>
  </si>
  <si>
    <t>Based on using carbon steel pipe (A53-GR B) filled with water</t>
  </si>
  <si>
    <t>Spans are based on insulated and uninsulated lines below 650 Deg. F</t>
  </si>
  <si>
    <t>Dish Radius</t>
  </si>
  <si>
    <t>Inside Depth</t>
  </si>
  <si>
    <t>Knuckle Radius</t>
  </si>
  <si>
    <t>Note</t>
  </si>
  <si>
    <t>All Dimensions</t>
  </si>
  <si>
    <t>I.D./4</t>
  </si>
  <si>
    <t>with vendor drawings</t>
  </si>
  <si>
    <t>Verify all dimension</t>
  </si>
  <si>
    <t>Approximate area for nozzle attachment</t>
  </si>
  <si>
    <t>Start of Knuckle Radius</t>
  </si>
  <si>
    <t>O.D</t>
  </si>
  <si>
    <t>"R1"</t>
  </si>
  <si>
    <t>"R2"</t>
  </si>
  <si>
    <t>IDD</t>
  </si>
  <si>
    <t>Not all wall thicknesses are shown. Interpolate</t>
  </si>
  <si>
    <t>for approximate inside depth O.D. dish IDD</t>
  </si>
  <si>
    <r>
      <t xml:space="preserve">are in </t>
    </r>
    <r>
      <rPr>
        <b/>
        <sz val="10"/>
        <color indexed="12"/>
        <rFont val="Arial"/>
        <family val="2"/>
      </rPr>
      <t>Inches</t>
    </r>
    <r>
      <rPr>
        <b/>
        <sz val="10"/>
        <color indexed="10"/>
        <rFont val="Arial"/>
        <family val="2"/>
      </rPr>
      <t xml:space="preserve"> (mm)</t>
    </r>
  </si>
  <si>
    <t>26"</t>
  </si>
  <si>
    <t>28"</t>
  </si>
  <si>
    <r>
      <t>"R1"</t>
    </r>
    <r>
      <rPr>
        <b/>
        <sz val="10"/>
        <color indexed="10"/>
        <rFont val="Arial"/>
        <family val="2"/>
      </rPr>
      <t>(mm)</t>
    </r>
  </si>
  <si>
    <r>
      <t>"R2"</t>
    </r>
    <r>
      <rPr>
        <b/>
        <sz val="10"/>
        <color indexed="10"/>
        <rFont val="Arial"/>
        <family val="2"/>
      </rPr>
      <t>(mm)</t>
    </r>
  </si>
  <si>
    <r>
      <t>IDD</t>
    </r>
    <r>
      <rPr>
        <b/>
        <sz val="10"/>
        <color indexed="10"/>
        <rFont val="Arial"/>
        <family val="2"/>
      </rPr>
      <t>(mm)</t>
    </r>
  </si>
  <si>
    <t>30"</t>
  </si>
  <si>
    <t>32"</t>
  </si>
  <si>
    <t>36"</t>
  </si>
  <si>
    <t>38"</t>
  </si>
  <si>
    <t>40"</t>
  </si>
  <si>
    <t>42"</t>
  </si>
  <si>
    <t>60"</t>
  </si>
  <si>
    <t>"T"</t>
  </si>
  <si>
    <r>
      <t xml:space="preserve">"T" </t>
    </r>
    <r>
      <rPr>
        <b/>
        <sz val="10"/>
        <color indexed="10"/>
        <rFont val="Arial"/>
        <family val="2"/>
      </rPr>
      <t>(mm)</t>
    </r>
  </si>
  <si>
    <t>54"</t>
  </si>
  <si>
    <t>66"</t>
  </si>
  <si>
    <t>72"</t>
  </si>
  <si>
    <t>78"</t>
  </si>
  <si>
    <t>84"</t>
  </si>
  <si>
    <t>90"</t>
  </si>
  <si>
    <t>96"</t>
  </si>
  <si>
    <r>
      <t xml:space="preserve">Millimeters </t>
    </r>
    <r>
      <rPr>
        <b/>
        <sz val="10"/>
        <rFont val="Arial"/>
        <family val="2"/>
      </rPr>
      <t>(Flanged &amp; Dished Head Table)</t>
    </r>
  </si>
  <si>
    <r>
      <t xml:space="preserve">Inches </t>
    </r>
    <r>
      <rPr>
        <b/>
        <sz val="10"/>
        <rFont val="Arial"/>
        <family val="2"/>
      </rPr>
      <t>(Flanged &amp; Dished Head Table)</t>
    </r>
  </si>
  <si>
    <t>102"</t>
  </si>
  <si>
    <t>108"</t>
  </si>
  <si>
    <t>120"</t>
  </si>
  <si>
    <t>114"</t>
  </si>
  <si>
    <t>126"</t>
  </si>
  <si>
    <t>132"</t>
  </si>
  <si>
    <t>138"</t>
  </si>
  <si>
    <t>144"</t>
  </si>
  <si>
    <t>156"</t>
  </si>
  <si>
    <t>168"</t>
  </si>
  <si>
    <t>192"</t>
  </si>
  <si>
    <t>204"</t>
  </si>
  <si>
    <t>216"</t>
  </si>
  <si>
    <t>228"</t>
  </si>
  <si>
    <t>240"</t>
  </si>
  <si>
    <r>
      <t xml:space="preserve">Millimeters </t>
    </r>
    <r>
      <rPr>
        <b/>
        <sz val="10"/>
        <rFont val="Arial"/>
        <family val="2"/>
      </rPr>
      <t>(Flanged &amp; Dished Head ASME Table)</t>
    </r>
  </si>
  <si>
    <r>
      <t xml:space="preserve">Inches </t>
    </r>
    <r>
      <rPr>
        <b/>
        <sz val="10"/>
        <rFont val="Arial"/>
        <family val="2"/>
      </rPr>
      <t>(Flanged &amp; Dished Head ASME Table)</t>
    </r>
  </si>
  <si>
    <t>ASME</t>
  </si>
  <si>
    <t>210"</t>
  </si>
  <si>
    <r>
      <t xml:space="preserve">Ft- In </t>
    </r>
    <r>
      <rPr>
        <b/>
        <sz val="10"/>
        <color indexed="10"/>
        <rFont val="Arial"/>
        <family val="2"/>
      </rPr>
      <t>(mm)</t>
    </r>
  </si>
  <si>
    <r>
      <t xml:space="preserve">10'-0" </t>
    </r>
    <r>
      <rPr>
        <b/>
        <sz val="10"/>
        <color indexed="10"/>
        <rFont val="Arial"/>
        <family val="2"/>
      </rPr>
      <t>(3048)</t>
    </r>
  </si>
  <si>
    <r>
      <t xml:space="preserve">Inches </t>
    </r>
    <r>
      <rPr>
        <b/>
        <sz val="10"/>
        <color indexed="10"/>
        <rFont val="Arial"/>
        <family val="2"/>
      </rPr>
      <t>(mm)</t>
    </r>
  </si>
  <si>
    <r>
      <t xml:space="preserve">3/8" </t>
    </r>
    <r>
      <rPr>
        <b/>
        <sz val="10"/>
        <color indexed="10"/>
        <rFont val="Arial"/>
        <family val="2"/>
      </rPr>
      <t>(10)</t>
    </r>
  </si>
  <si>
    <r>
      <t xml:space="preserve">55'-0" </t>
    </r>
    <r>
      <rPr>
        <b/>
        <sz val="10"/>
        <color indexed="10"/>
        <rFont val="Arial"/>
        <family val="2"/>
      </rPr>
      <t>(16764)</t>
    </r>
  </si>
  <si>
    <r>
      <t xml:space="preserve">1/2" </t>
    </r>
    <r>
      <rPr>
        <b/>
        <sz val="10"/>
        <color indexed="10"/>
        <rFont val="Arial"/>
        <family val="2"/>
      </rPr>
      <t>(13)</t>
    </r>
  </si>
  <si>
    <r>
      <t xml:space="preserve">3/4" </t>
    </r>
    <r>
      <rPr>
        <b/>
        <sz val="10"/>
        <color indexed="10"/>
        <rFont val="Arial"/>
        <family val="2"/>
      </rPr>
      <t>(19)</t>
    </r>
  </si>
  <si>
    <r>
      <t xml:space="preserve">1" </t>
    </r>
    <r>
      <rPr>
        <b/>
        <sz val="10"/>
        <color indexed="10"/>
        <rFont val="Arial"/>
        <family val="2"/>
      </rPr>
      <t>(25)</t>
    </r>
  </si>
  <si>
    <r>
      <t xml:space="preserve">13'-0" </t>
    </r>
    <r>
      <rPr>
        <b/>
        <sz val="10"/>
        <color indexed="10"/>
        <rFont val="Arial"/>
        <family val="2"/>
      </rPr>
      <t>(3962)</t>
    </r>
  </si>
  <si>
    <r>
      <t xml:space="preserve">17'-0" </t>
    </r>
    <r>
      <rPr>
        <b/>
        <sz val="10"/>
        <color indexed="10"/>
        <rFont val="Arial"/>
        <family val="2"/>
      </rPr>
      <t>(5182)</t>
    </r>
  </si>
  <si>
    <r>
      <t xml:space="preserve">19'-0" </t>
    </r>
    <r>
      <rPr>
        <b/>
        <sz val="10"/>
        <color indexed="10"/>
        <rFont val="Arial"/>
        <family val="2"/>
      </rPr>
      <t>(5791)</t>
    </r>
  </si>
  <si>
    <r>
      <t xml:space="preserve">7'-0" </t>
    </r>
    <r>
      <rPr>
        <b/>
        <sz val="10"/>
        <color indexed="10"/>
        <rFont val="Arial"/>
        <family val="2"/>
      </rPr>
      <t>(2134)</t>
    </r>
  </si>
  <si>
    <r>
      <t xml:space="preserve">8'-0" </t>
    </r>
    <r>
      <rPr>
        <b/>
        <sz val="10"/>
        <color indexed="10"/>
        <rFont val="Arial"/>
        <family val="2"/>
      </rPr>
      <t>(2438)</t>
    </r>
  </si>
  <si>
    <r>
      <t xml:space="preserve">9'-0" </t>
    </r>
    <r>
      <rPr>
        <b/>
        <sz val="10"/>
        <color indexed="10"/>
        <rFont val="Arial"/>
        <family val="2"/>
      </rPr>
      <t>(2743)</t>
    </r>
  </si>
  <si>
    <r>
      <t xml:space="preserve">11'-0" </t>
    </r>
    <r>
      <rPr>
        <b/>
        <sz val="10"/>
        <color indexed="10"/>
        <rFont val="Arial"/>
        <family val="2"/>
      </rPr>
      <t>(3353)</t>
    </r>
  </si>
  <si>
    <r>
      <t xml:space="preserve">12'-0" </t>
    </r>
    <r>
      <rPr>
        <b/>
        <sz val="10"/>
        <color indexed="10"/>
        <rFont val="Arial"/>
        <family val="2"/>
      </rPr>
      <t>(3658)</t>
    </r>
  </si>
  <si>
    <r>
      <t xml:space="preserve">14'-0" </t>
    </r>
    <r>
      <rPr>
        <b/>
        <sz val="10"/>
        <color indexed="10"/>
        <rFont val="Arial"/>
        <family val="2"/>
      </rPr>
      <t>(4267)</t>
    </r>
  </si>
  <si>
    <r>
      <t xml:space="preserve">20'-0" </t>
    </r>
    <r>
      <rPr>
        <b/>
        <sz val="10"/>
        <color indexed="10"/>
        <rFont val="Arial"/>
        <family val="2"/>
      </rPr>
      <t>(6096)</t>
    </r>
  </si>
  <si>
    <r>
      <t xml:space="preserve">15'-0" </t>
    </r>
    <r>
      <rPr>
        <b/>
        <sz val="10"/>
        <color indexed="10"/>
        <rFont val="Arial"/>
        <family val="2"/>
      </rPr>
      <t>(4572)</t>
    </r>
  </si>
  <si>
    <r>
      <t xml:space="preserve">25'-0" </t>
    </r>
    <r>
      <rPr>
        <b/>
        <sz val="10"/>
        <color indexed="10"/>
        <rFont val="Arial"/>
        <family val="2"/>
      </rPr>
      <t>(7620)</t>
    </r>
  </si>
  <si>
    <r>
      <t xml:space="preserve">16'-0" </t>
    </r>
    <r>
      <rPr>
        <b/>
        <sz val="10"/>
        <color indexed="10"/>
        <rFont val="Arial"/>
        <family val="2"/>
      </rPr>
      <t>(4877)</t>
    </r>
  </si>
  <si>
    <r>
      <t xml:space="preserve">18'-0" </t>
    </r>
    <r>
      <rPr>
        <b/>
        <sz val="10"/>
        <color indexed="10"/>
        <rFont val="Arial"/>
        <family val="2"/>
      </rPr>
      <t>(5486)</t>
    </r>
  </si>
  <si>
    <r>
      <t xml:space="preserve">27'-0" </t>
    </r>
    <r>
      <rPr>
        <b/>
        <sz val="10"/>
        <color indexed="10"/>
        <rFont val="Arial"/>
        <family val="2"/>
      </rPr>
      <t>(8230)</t>
    </r>
  </si>
  <si>
    <r>
      <t xml:space="preserve">33'-0" </t>
    </r>
    <r>
      <rPr>
        <b/>
        <sz val="10"/>
        <color indexed="10"/>
        <rFont val="Arial"/>
        <family val="2"/>
      </rPr>
      <t>(10058)</t>
    </r>
  </si>
  <si>
    <r>
      <t xml:space="preserve">22'-0" </t>
    </r>
    <r>
      <rPr>
        <b/>
        <sz val="10"/>
        <color indexed="10"/>
        <rFont val="Arial"/>
        <family val="2"/>
      </rPr>
      <t>(6706)</t>
    </r>
  </si>
  <si>
    <r>
      <t xml:space="preserve">36'-0" </t>
    </r>
    <r>
      <rPr>
        <b/>
        <sz val="10"/>
        <color indexed="10"/>
        <rFont val="Arial"/>
        <family val="2"/>
      </rPr>
      <t>(10973)</t>
    </r>
  </si>
  <si>
    <r>
      <t xml:space="preserve">24'-0" </t>
    </r>
    <r>
      <rPr>
        <b/>
        <sz val="10"/>
        <color indexed="10"/>
        <rFont val="Arial"/>
        <family val="2"/>
      </rPr>
      <t>(7315)</t>
    </r>
  </si>
  <si>
    <r>
      <t xml:space="preserve">38'-0" </t>
    </r>
    <r>
      <rPr>
        <b/>
        <sz val="10"/>
        <color indexed="10"/>
        <rFont val="Arial"/>
        <family val="2"/>
      </rPr>
      <t>(11582)</t>
    </r>
  </si>
  <si>
    <r>
      <t xml:space="preserve">29'-0" </t>
    </r>
    <r>
      <rPr>
        <b/>
        <sz val="10"/>
        <color indexed="10"/>
        <rFont val="Arial"/>
        <family val="2"/>
      </rPr>
      <t>(8839)</t>
    </r>
  </si>
  <si>
    <r>
      <t xml:space="preserve">41'-0" </t>
    </r>
    <r>
      <rPr>
        <b/>
        <sz val="10"/>
        <color indexed="10"/>
        <rFont val="Arial"/>
        <family val="2"/>
      </rPr>
      <t>(12497)</t>
    </r>
  </si>
  <si>
    <r>
      <t xml:space="preserve">31'-0" </t>
    </r>
    <r>
      <rPr>
        <b/>
        <sz val="10"/>
        <color indexed="10"/>
        <rFont val="Arial"/>
        <family val="2"/>
      </rPr>
      <t>(9449)</t>
    </r>
  </si>
  <si>
    <r>
      <t xml:space="preserve">40'-0" </t>
    </r>
    <r>
      <rPr>
        <b/>
        <sz val="10"/>
        <color indexed="10"/>
        <rFont val="Arial"/>
        <family val="2"/>
      </rPr>
      <t>(12192)</t>
    </r>
  </si>
  <si>
    <r>
      <t xml:space="preserve">26'-0" </t>
    </r>
    <r>
      <rPr>
        <b/>
        <sz val="10"/>
        <color indexed="10"/>
        <rFont val="Arial"/>
        <family val="2"/>
      </rPr>
      <t>(7925)</t>
    </r>
  </si>
  <si>
    <r>
      <t xml:space="preserve">30'-0" </t>
    </r>
    <r>
      <rPr>
        <b/>
        <sz val="10"/>
        <color indexed="10"/>
        <rFont val="Arial"/>
        <family val="2"/>
      </rPr>
      <t>(9144)</t>
    </r>
  </si>
  <si>
    <r>
      <t xml:space="preserve">44'-0" </t>
    </r>
    <r>
      <rPr>
        <b/>
        <sz val="10"/>
        <color indexed="10"/>
        <rFont val="Arial"/>
        <family val="2"/>
      </rPr>
      <t>(13411)</t>
    </r>
  </si>
  <si>
    <r>
      <t xml:space="preserve">42'-0" </t>
    </r>
    <r>
      <rPr>
        <b/>
        <sz val="10"/>
        <color indexed="10"/>
        <rFont val="Arial"/>
        <family val="2"/>
      </rPr>
      <t>(12802)</t>
    </r>
  </si>
  <si>
    <r>
      <t xml:space="preserve">46'-0" </t>
    </r>
    <r>
      <rPr>
        <b/>
        <sz val="10"/>
        <color indexed="10"/>
        <rFont val="Arial"/>
        <family val="2"/>
      </rPr>
      <t>(14021)</t>
    </r>
  </si>
  <si>
    <r>
      <t xml:space="preserve">34'-0" </t>
    </r>
    <r>
      <rPr>
        <b/>
        <sz val="10"/>
        <color indexed="10"/>
        <rFont val="Arial"/>
        <family val="2"/>
      </rPr>
      <t>(10363)</t>
    </r>
  </si>
  <si>
    <r>
      <t xml:space="preserve">28'-0" </t>
    </r>
    <r>
      <rPr>
        <b/>
        <sz val="10"/>
        <color indexed="10"/>
        <rFont val="Arial"/>
        <family val="2"/>
      </rPr>
      <t>(8534)</t>
    </r>
  </si>
  <si>
    <r>
      <t xml:space="preserve">48'-0" </t>
    </r>
    <r>
      <rPr>
        <b/>
        <sz val="10"/>
        <color indexed="10"/>
        <rFont val="Arial"/>
        <family val="2"/>
      </rPr>
      <t>(14630)</t>
    </r>
  </si>
  <si>
    <r>
      <t xml:space="preserve">45'-0" </t>
    </r>
    <r>
      <rPr>
        <b/>
        <sz val="10"/>
        <color indexed="10"/>
        <rFont val="Arial"/>
        <family val="2"/>
      </rPr>
      <t>(13716)</t>
    </r>
  </si>
  <si>
    <r>
      <t xml:space="preserve">50'-0" </t>
    </r>
    <r>
      <rPr>
        <b/>
        <sz val="10"/>
        <color indexed="10"/>
        <rFont val="Arial"/>
        <family val="2"/>
      </rPr>
      <t>(15240)</t>
    </r>
  </si>
  <si>
    <r>
      <t xml:space="preserve">47'-0" </t>
    </r>
    <r>
      <rPr>
        <b/>
        <sz val="10"/>
        <color indexed="10"/>
        <rFont val="Arial"/>
        <family val="2"/>
      </rPr>
      <t>(14326)</t>
    </r>
  </si>
  <si>
    <r>
      <t xml:space="preserve">52'-0" </t>
    </r>
    <r>
      <rPr>
        <b/>
        <sz val="10"/>
        <color indexed="10"/>
        <rFont val="Arial"/>
        <family val="2"/>
      </rPr>
      <t>(15850)</t>
    </r>
  </si>
  <si>
    <r>
      <t xml:space="preserve">39'-0" </t>
    </r>
    <r>
      <rPr>
        <b/>
        <sz val="10"/>
        <color indexed="10"/>
        <rFont val="Arial"/>
        <family val="2"/>
      </rPr>
      <t>(11887)</t>
    </r>
  </si>
  <si>
    <r>
      <t xml:space="preserve">49'-0" </t>
    </r>
    <r>
      <rPr>
        <b/>
        <sz val="10"/>
        <color indexed="10"/>
        <rFont val="Arial"/>
        <family val="2"/>
      </rPr>
      <t>(14935)</t>
    </r>
  </si>
  <si>
    <r>
      <t xml:space="preserve">32'-0" </t>
    </r>
    <r>
      <rPr>
        <b/>
        <sz val="10"/>
        <color indexed="10"/>
        <rFont val="Arial"/>
        <family val="2"/>
      </rPr>
      <t>(9754)</t>
    </r>
  </si>
  <si>
    <r>
      <t xml:space="preserve">37'-0" </t>
    </r>
    <r>
      <rPr>
        <b/>
        <sz val="10"/>
        <color indexed="10"/>
        <rFont val="Arial"/>
        <family val="2"/>
      </rPr>
      <t>(11278)</t>
    </r>
  </si>
  <si>
    <r>
      <t xml:space="preserve">1-1/8" </t>
    </r>
    <r>
      <rPr>
        <b/>
        <sz val="10"/>
        <color indexed="10"/>
        <rFont val="Arial"/>
        <family val="2"/>
      </rPr>
      <t>(29)</t>
    </r>
  </si>
  <si>
    <r>
      <t xml:space="preserve">1-3/8" </t>
    </r>
    <r>
      <rPr>
        <b/>
        <sz val="10"/>
        <color indexed="10"/>
        <rFont val="Arial"/>
        <family val="2"/>
      </rPr>
      <t>(35)</t>
    </r>
  </si>
  <si>
    <r>
      <t xml:space="preserve">1-5/8" </t>
    </r>
    <r>
      <rPr>
        <b/>
        <sz val="10"/>
        <color indexed="10"/>
        <rFont val="Arial"/>
        <family val="2"/>
      </rPr>
      <t>(41)</t>
    </r>
  </si>
  <si>
    <r>
      <t xml:space="preserve">1-7/8" </t>
    </r>
    <r>
      <rPr>
        <b/>
        <sz val="10"/>
        <color indexed="10"/>
        <rFont val="Arial"/>
        <family val="2"/>
      </rPr>
      <t>(48)</t>
    </r>
  </si>
  <si>
    <r>
      <t xml:space="preserve">2-1/8" </t>
    </r>
    <r>
      <rPr>
        <b/>
        <sz val="10"/>
        <color indexed="10"/>
        <rFont val="Arial"/>
        <family val="2"/>
      </rPr>
      <t>(54)</t>
    </r>
  </si>
  <si>
    <r>
      <t xml:space="preserve">2-3/8" </t>
    </r>
    <r>
      <rPr>
        <b/>
        <sz val="10"/>
        <color indexed="10"/>
        <rFont val="Arial"/>
        <family val="2"/>
      </rPr>
      <t>(60)</t>
    </r>
  </si>
  <si>
    <r>
      <t xml:space="preserve">2-5/8" </t>
    </r>
    <r>
      <rPr>
        <b/>
        <sz val="10"/>
        <color indexed="10"/>
        <rFont val="Arial"/>
        <family val="2"/>
      </rPr>
      <t>(67)</t>
    </r>
  </si>
  <si>
    <r>
      <t xml:space="preserve">2-7/8" </t>
    </r>
    <r>
      <rPr>
        <b/>
        <sz val="10"/>
        <color indexed="10"/>
        <rFont val="Arial"/>
        <family val="2"/>
      </rPr>
      <t>(73)</t>
    </r>
  </si>
  <si>
    <r>
      <t xml:space="preserve">3-1/8" </t>
    </r>
    <r>
      <rPr>
        <b/>
        <sz val="10"/>
        <color indexed="10"/>
        <rFont val="Arial"/>
        <family val="2"/>
      </rPr>
      <t>(79)</t>
    </r>
  </si>
  <si>
    <r>
      <t xml:space="preserve">3-3/8" </t>
    </r>
    <r>
      <rPr>
        <b/>
        <sz val="10"/>
        <color indexed="10"/>
        <rFont val="Arial"/>
        <family val="2"/>
      </rPr>
      <t>(86)</t>
    </r>
  </si>
  <si>
    <r>
      <t xml:space="preserve">7/8" </t>
    </r>
    <r>
      <rPr>
        <b/>
        <sz val="10"/>
        <color indexed="10"/>
        <rFont val="Arial"/>
        <family val="2"/>
      </rPr>
      <t>(22)</t>
    </r>
  </si>
  <si>
    <r>
      <t xml:space="preserve">1-1/4" </t>
    </r>
    <r>
      <rPr>
        <b/>
        <sz val="10"/>
        <color indexed="10"/>
        <rFont val="Arial"/>
        <family val="2"/>
      </rPr>
      <t>(32)</t>
    </r>
  </si>
  <si>
    <r>
      <t xml:space="preserve">1-1/2" </t>
    </r>
    <r>
      <rPr>
        <b/>
        <sz val="10"/>
        <color indexed="10"/>
        <rFont val="Arial"/>
        <family val="2"/>
      </rPr>
      <t>(38)</t>
    </r>
  </si>
  <si>
    <r>
      <t xml:space="preserve">1-3/4" </t>
    </r>
    <r>
      <rPr>
        <b/>
        <sz val="10"/>
        <color indexed="10"/>
        <rFont val="Arial"/>
        <family val="2"/>
      </rPr>
      <t>(44)</t>
    </r>
  </si>
  <si>
    <r>
      <t xml:space="preserve">5/8" </t>
    </r>
    <r>
      <rPr>
        <b/>
        <sz val="10"/>
        <color indexed="10"/>
        <rFont val="Arial"/>
        <family val="2"/>
      </rPr>
      <t>(16)</t>
    </r>
  </si>
  <si>
    <r>
      <t xml:space="preserve">3" </t>
    </r>
    <r>
      <rPr>
        <b/>
        <sz val="10"/>
        <color indexed="10"/>
        <rFont val="Arial"/>
        <family val="2"/>
      </rPr>
      <t>(76)</t>
    </r>
  </si>
  <si>
    <r>
      <t xml:space="preserve">3-1/4" </t>
    </r>
    <r>
      <rPr>
        <b/>
        <sz val="10"/>
        <color indexed="10"/>
        <rFont val="Arial"/>
        <family val="2"/>
      </rPr>
      <t>(83)</t>
    </r>
  </si>
  <si>
    <r>
      <t xml:space="preserve">3-7/8" </t>
    </r>
    <r>
      <rPr>
        <b/>
        <sz val="10"/>
        <color indexed="10"/>
        <rFont val="Arial"/>
        <family val="2"/>
      </rPr>
      <t>(98)</t>
    </r>
  </si>
  <si>
    <r>
      <t xml:space="preserve">4-3/8" </t>
    </r>
    <r>
      <rPr>
        <b/>
        <sz val="10"/>
        <color indexed="10"/>
        <rFont val="Arial"/>
        <family val="2"/>
      </rPr>
      <t>(111)</t>
    </r>
  </si>
  <si>
    <r>
      <t xml:space="preserve">4-7/8" </t>
    </r>
    <r>
      <rPr>
        <b/>
        <sz val="10"/>
        <color indexed="10"/>
        <rFont val="Arial"/>
        <family val="2"/>
      </rPr>
      <t>(124)</t>
    </r>
  </si>
  <si>
    <r>
      <t>1-5/8"</t>
    </r>
    <r>
      <rPr>
        <b/>
        <sz val="10"/>
        <color indexed="10"/>
        <rFont val="Arial"/>
        <family val="2"/>
      </rPr>
      <t xml:space="preserve"> (41)</t>
    </r>
  </si>
  <si>
    <r>
      <t xml:space="preserve">2-1/4" </t>
    </r>
    <r>
      <rPr>
        <b/>
        <sz val="10"/>
        <color indexed="10"/>
        <rFont val="Arial"/>
        <family val="2"/>
      </rPr>
      <t>(57)</t>
    </r>
  </si>
  <si>
    <r>
      <t xml:space="preserve">2-1/2" </t>
    </r>
    <r>
      <rPr>
        <b/>
        <sz val="10"/>
        <color indexed="10"/>
        <rFont val="Arial"/>
        <family val="2"/>
      </rPr>
      <t>(64)</t>
    </r>
  </si>
  <si>
    <r>
      <t xml:space="preserve">2-3/4" </t>
    </r>
    <r>
      <rPr>
        <b/>
        <sz val="10"/>
        <color indexed="10"/>
        <rFont val="Arial"/>
        <family val="2"/>
      </rPr>
      <t>(70)</t>
    </r>
  </si>
  <si>
    <r>
      <t xml:space="preserve">2" </t>
    </r>
    <r>
      <rPr>
        <b/>
        <sz val="10"/>
        <color indexed="10"/>
        <rFont val="Arial"/>
        <family val="2"/>
      </rPr>
      <t>(51)</t>
    </r>
  </si>
  <si>
    <r>
      <t xml:space="preserve">1-1/16" </t>
    </r>
    <r>
      <rPr>
        <b/>
        <sz val="10"/>
        <color indexed="10"/>
        <rFont val="Arial"/>
        <family val="2"/>
      </rPr>
      <t>(27)</t>
    </r>
  </si>
  <si>
    <r>
      <t xml:space="preserve">1-7/16" </t>
    </r>
    <r>
      <rPr>
        <b/>
        <sz val="10"/>
        <color indexed="10"/>
        <rFont val="Arial"/>
        <family val="2"/>
      </rPr>
      <t>(37)</t>
    </r>
  </si>
  <si>
    <r>
      <t xml:space="preserve">1-13/16" </t>
    </r>
    <r>
      <rPr>
        <b/>
        <sz val="10"/>
        <color indexed="10"/>
        <rFont val="Arial"/>
        <family val="2"/>
      </rPr>
      <t>(46)</t>
    </r>
  </si>
  <si>
    <r>
      <t xml:space="preserve">2-3/16" </t>
    </r>
    <r>
      <rPr>
        <b/>
        <sz val="10"/>
        <color indexed="10"/>
        <rFont val="Arial"/>
        <family val="2"/>
      </rPr>
      <t>(56)</t>
    </r>
  </si>
  <si>
    <r>
      <t xml:space="preserve">5/16" </t>
    </r>
    <r>
      <rPr>
        <b/>
        <sz val="10"/>
        <color indexed="10"/>
        <rFont val="Arial"/>
        <family val="2"/>
      </rPr>
      <t>(8)</t>
    </r>
  </si>
  <si>
    <r>
      <t xml:space="preserve">25/64" </t>
    </r>
    <r>
      <rPr>
        <b/>
        <sz val="10"/>
        <color indexed="10"/>
        <rFont val="Arial"/>
        <family val="2"/>
      </rPr>
      <t>(10)</t>
    </r>
  </si>
  <si>
    <r>
      <t xml:space="preserve">15/32" </t>
    </r>
    <r>
      <rPr>
        <b/>
        <sz val="10"/>
        <color indexed="10"/>
        <rFont val="Arial"/>
        <family val="2"/>
      </rPr>
      <t>(12)</t>
    </r>
  </si>
  <si>
    <r>
      <t xml:space="preserve">35/64" </t>
    </r>
    <r>
      <rPr>
        <b/>
        <sz val="10"/>
        <color indexed="10"/>
        <rFont val="Arial"/>
        <family val="2"/>
      </rPr>
      <t>(14)</t>
    </r>
  </si>
  <si>
    <r>
      <t xml:space="preserve">39/64" </t>
    </r>
    <r>
      <rPr>
        <b/>
        <sz val="10"/>
        <color indexed="10"/>
        <rFont val="Arial"/>
        <family val="2"/>
      </rPr>
      <t>(15)</t>
    </r>
  </si>
  <si>
    <r>
      <t xml:space="preserve">11/16" </t>
    </r>
    <r>
      <rPr>
        <b/>
        <sz val="10"/>
        <color indexed="10"/>
        <rFont val="Arial"/>
        <family val="2"/>
      </rPr>
      <t>(17)</t>
    </r>
  </si>
  <si>
    <r>
      <t xml:space="preserve">25/32" </t>
    </r>
    <r>
      <rPr>
        <b/>
        <sz val="10"/>
        <color indexed="10"/>
        <rFont val="Arial"/>
        <family val="2"/>
      </rPr>
      <t>(20)</t>
    </r>
  </si>
  <si>
    <r>
      <t xml:space="preserve">27/32" </t>
    </r>
    <r>
      <rPr>
        <b/>
        <sz val="10"/>
        <color indexed="10"/>
        <rFont val="Arial"/>
        <family val="2"/>
      </rPr>
      <t>(21)</t>
    </r>
  </si>
  <si>
    <r>
      <t xml:space="preserve">15/16" </t>
    </r>
    <r>
      <rPr>
        <b/>
        <sz val="10"/>
        <color indexed="10"/>
        <rFont val="Arial"/>
        <family val="2"/>
      </rPr>
      <t>(24)</t>
    </r>
  </si>
  <si>
    <r>
      <t xml:space="preserve">31/64" </t>
    </r>
    <r>
      <rPr>
        <b/>
        <sz val="10"/>
        <color indexed="10"/>
        <rFont val="Arial"/>
        <family val="2"/>
      </rPr>
      <t>(12)</t>
    </r>
  </si>
  <si>
    <r>
      <t xml:space="preserve">47/64" </t>
    </r>
    <r>
      <rPr>
        <b/>
        <sz val="10"/>
        <color indexed="10"/>
        <rFont val="Arial"/>
        <family val="2"/>
      </rPr>
      <t>(19)</t>
    </r>
  </si>
  <si>
    <r>
      <t xml:space="preserve">55/64" </t>
    </r>
    <r>
      <rPr>
        <b/>
        <sz val="10"/>
        <color indexed="10"/>
        <rFont val="Arial"/>
        <family val="2"/>
      </rPr>
      <t>(22)</t>
    </r>
  </si>
  <si>
    <r>
      <t xml:space="preserve">63/64" </t>
    </r>
    <r>
      <rPr>
        <b/>
        <sz val="10"/>
        <color indexed="10"/>
        <rFont val="Arial"/>
        <family val="2"/>
      </rPr>
      <t>(25)</t>
    </r>
  </si>
  <si>
    <r>
      <t xml:space="preserve">1-7/64" </t>
    </r>
    <r>
      <rPr>
        <b/>
        <sz val="10"/>
        <color indexed="10"/>
        <rFont val="Arial"/>
        <family val="2"/>
      </rPr>
      <t>(37)</t>
    </r>
  </si>
  <si>
    <r>
      <t xml:space="preserve">1-7/32" </t>
    </r>
    <r>
      <rPr>
        <b/>
        <sz val="10"/>
        <color indexed="10"/>
        <rFont val="Arial"/>
        <family val="2"/>
      </rPr>
      <t>(31)</t>
    </r>
  </si>
  <si>
    <r>
      <t xml:space="preserve">1-11/32" </t>
    </r>
    <r>
      <rPr>
        <b/>
        <sz val="10"/>
        <color indexed="10"/>
        <rFont val="Arial"/>
        <family val="2"/>
      </rPr>
      <t>(34)</t>
    </r>
  </si>
  <si>
    <r>
      <t xml:space="preserve">1-15/32" </t>
    </r>
    <r>
      <rPr>
        <b/>
        <sz val="10"/>
        <color indexed="10"/>
        <rFont val="Arial"/>
        <family val="2"/>
      </rPr>
      <t>(37)</t>
    </r>
  </si>
  <si>
    <r>
      <t xml:space="preserve">1/4" </t>
    </r>
    <r>
      <rPr>
        <b/>
        <sz val="10"/>
        <color indexed="10"/>
        <rFont val="Arial"/>
        <family val="2"/>
      </rPr>
      <t>(6)</t>
    </r>
  </si>
  <si>
    <r>
      <t xml:space="preserve">Inches </t>
    </r>
    <r>
      <rPr>
        <b/>
        <sz val="8"/>
        <color indexed="10"/>
        <rFont val="Arial"/>
        <family val="2"/>
      </rPr>
      <t>(mm)</t>
    </r>
  </si>
  <si>
    <r>
      <t xml:space="preserve">1-5/16" </t>
    </r>
    <r>
      <rPr>
        <b/>
        <sz val="10"/>
        <color indexed="10"/>
        <rFont val="Arial"/>
        <family val="2"/>
      </rPr>
      <t>(33)</t>
    </r>
  </si>
  <si>
    <r>
      <t xml:space="preserve">17/32" </t>
    </r>
    <r>
      <rPr>
        <b/>
        <sz val="10"/>
        <color indexed="10"/>
        <rFont val="Arial"/>
        <family val="2"/>
      </rPr>
      <t>(13)</t>
    </r>
  </si>
  <si>
    <r>
      <t xml:space="preserve">13/16" </t>
    </r>
    <r>
      <rPr>
        <b/>
        <sz val="10"/>
        <color indexed="10"/>
        <rFont val="Arial"/>
        <family val="2"/>
      </rPr>
      <t>(21)</t>
    </r>
  </si>
  <si>
    <r>
      <t xml:space="preserve">0.097 </t>
    </r>
    <r>
      <rPr>
        <b/>
        <sz val="10"/>
        <color indexed="10"/>
        <rFont val="Arial"/>
        <family val="2"/>
      </rPr>
      <t>(2)</t>
    </r>
  </si>
  <si>
    <r>
      <t xml:space="preserve">0.177 </t>
    </r>
    <r>
      <rPr>
        <b/>
        <sz val="10"/>
        <color indexed="10"/>
        <rFont val="Arial"/>
        <family val="2"/>
      </rPr>
      <t>(4)</t>
    </r>
  </si>
  <si>
    <r>
      <t xml:space="preserve">0.122 </t>
    </r>
    <r>
      <rPr>
        <b/>
        <sz val="10"/>
        <color indexed="10"/>
        <rFont val="Arial"/>
        <family val="2"/>
      </rPr>
      <t>(3)</t>
    </r>
  </si>
  <si>
    <r>
      <t xml:space="preserve">0.136 </t>
    </r>
    <r>
      <rPr>
        <b/>
        <sz val="10"/>
        <color indexed="10"/>
        <rFont val="Arial"/>
        <family val="2"/>
      </rPr>
      <t>(3)</t>
    </r>
  </si>
  <si>
    <r>
      <t xml:space="preserve">Heavy Hex Structural Bolts with Hex Nut in Pounds </t>
    </r>
    <r>
      <rPr>
        <b/>
        <sz val="12"/>
        <color indexed="10"/>
        <rFont val="Arial"/>
        <family val="2"/>
      </rPr>
      <t>(Kg)</t>
    </r>
    <r>
      <rPr>
        <b/>
        <sz val="12"/>
        <rFont val="Arial"/>
        <family val="2"/>
      </rPr>
      <t xml:space="preserve"> per 100</t>
    </r>
  </si>
  <si>
    <r>
      <t xml:space="preserve">3-1/2" </t>
    </r>
    <r>
      <rPr>
        <b/>
        <sz val="10"/>
        <color indexed="10"/>
        <rFont val="Arial"/>
        <family val="2"/>
      </rPr>
      <t>(89)</t>
    </r>
  </si>
  <si>
    <r>
      <t xml:space="preserve">3-3/4" </t>
    </r>
    <r>
      <rPr>
        <b/>
        <sz val="10"/>
        <color indexed="10"/>
        <rFont val="Arial"/>
        <family val="2"/>
      </rPr>
      <t>(95)</t>
    </r>
  </si>
  <si>
    <r>
      <t xml:space="preserve">4" </t>
    </r>
    <r>
      <rPr>
        <b/>
        <sz val="10"/>
        <color indexed="10"/>
        <rFont val="Arial"/>
        <family val="2"/>
      </rPr>
      <t>(102)</t>
    </r>
  </si>
  <si>
    <r>
      <t xml:space="preserve">4-1/4" </t>
    </r>
    <r>
      <rPr>
        <b/>
        <sz val="10"/>
        <color indexed="10"/>
        <rFont val="Arial"/>
        <family val="2"/>
      </rPr>
      <t>(108)</t>
    </r>
  </si>
  <si>
    <r>
      <t xml:space="preserve">4-1/2" </t>
    </r>
    <r>
      <rPr>
        <b/>
        <sz val="10"/>
        <color indexed="10"/>
        <rFont val="Arial"/>
        <family val="2"/>
      </rPr>
      <t>(114)</t>
    </r>
  </si>
  <si>
    <r>
      <t xml:space="preserve">4-3/4" </t>
    </r>
    <r>
      <rPr>
        <b/>
        <sz val="10"/>
        <color indexed="10"/>
        <rFont val="Arial"/>
        <family val="2"/>
      </rPr>
      <t>(121)</t>
    </r>
  </si>
  <si>
    <r>
      <t xml:space="preserve">5" </t>
    </r>
    <r>
      <rPr>
        <b/>
        <sz val="10"/>
        <color indexed="10"/>
        <rFont val="Arial"/>
        <family val="2"/>
      </rPr>
      <t>(127)</t>
    </r>
  </si>
  <si>
    <r>
      <t xml:space="preserve">5-1/4" </t>
    </r>
    <r>
      <rPr>
        <b/>
        <sz val="10"/>
        <color indexed="10"/>
        <rFont val="Arial"/>
        <family val="2"/>
      </rPr>
      <t>(133)</t>
    </r>
  </si>
  <si>
    <r>
      <t xml:space="preserve">5-1/2" </t>
    </r>
    <r>
      <rPr>
        <b/>
        <sz val="10"/>
        <color indexed="10"/>
        <rFont val="Arial"/>
        <family val="2"/>
      </rPr>
      <t>(140)</t>
    </r>
  </si>
  <si>
    <r>
      <t xml:space="preserve">5-3/4" </t>
    </r>
    <r>
      <rPr>
        <b/>
        <sz val="10"/>
        <color indexed="10"/>
        <rFont val="Arial"/>
        <family val="2"/>
      </rPr>
      <t>(146)</t>
    </r>
  </si>
  <si>
    <r>
      <t xml:space="preserve">6" </t>
    </r>
    <r>
      <rPr>
        <b/>
        <sz val="10"/>
        <color indexed="10"/>
        <rFont val="Arial"/>
        <family val="2"/>
      </rPr>
      <t>(152)</t>
    </r>
  </si>
  <si>
    <r>
      <t xml:space="preserve">17.8 </t>
    </r>
    <r>
      <rPr>
        <b/>
        <sz val="10"/>
        <color indexed="10"/>
        <rFont val="Arial"/>
        <family val="2"/>
      </rPr>
      <t>(8.07)</t>
    </r>
  </si>
  <si>
    <r>
      <t xml:space="preserve">19.2 </t>
    </r>
    <r>
      <rPr>
        <b/>
        <sz val="10"/>
        <color indexed="10"/>
        <rFont val="Arial"/>
        <family val="2"/>
      </rPr>
      <t>(8.71)</t>
    </r>
  </si>
  <si>
    <r>
      <t xml:space="preserve">16.5 </t>
    </r>
    <r>
      <rPr>
        <b/>
        <sz val="10"/>
        <color indexed="10"/>
        <rFont val="Arial"/>
        <family val="2"/>
      </rPr>
      <t>(7.48)</t>
    </r>
  </si>
  <si>
    <r>
      <t xml:space="preserve">20.5 </t>
    </r>
    <r>
      <rPr>
        <b/>
        <sz val="10"/>
        <color indexed="10"/>
        <rFont val="Arial"/>
        <family val="2"/>
      </rPr>
      <t>(9.29)</t>
    </r>
  </si>
  <si>
    <r>
      <t xml:space="preserve">21.9 </t>
    </r>
    <r>
      <rPr>
        <b/>
        <sz val="10"/>
        <color indexed="10"/>
        <rFont val="Arial"/>
        <family val="2"/>
      </rPr>
      <t>(9.93)</t>
    </r>
  </si>
  <si>
    <r>
      <t xml:space="preserve">23.3 </t>
    </r>
    <r>
      <rPr>
        <b/>
        <sz val="10"/>
        <color indexed="10"/>
        <rFont val="Arial"/>
        <family val="2"/>
      </rPr>
      <t>(10.57)</t>
    </r>
  </si>
  <si>
    <r>
      <t xml:space="preserve">24.7 </t>
    </r>
    <r>
      <rPr>
        <b/>
        <sz val="10"/>
        <color indexed="10"/>
        <rFont val="Arial"/>
        <family val="2"/>
      </rPr>
      <t>(11.2)</t>
    </r>
  </si>
  <si>
    <r>
      <t xml:space="preserve">26.1 </t>
    </r>
    <r>
      <rPr>
        <b/>
        <sz val="10"/>
        <color indexed="10"/>
        <rFont val="Arial"/>
        <family val="2"/>
      </rPr>
      <t>(11.84)</t>
    </r>
  </si>
  <si>
    <r>
      <t xml:space="preserve">27.4 </t>
    </r>
    <r>
      <rPr>
        <b/>
        <sz val="10"/>
        <color indexed="10"/>
        <rFont val="Arial"/>
        <family val="2"/>
      </rPr>
      <t>(12.43)</t>
    </r>
  </si>
  <si>
    <r>
      <t xml:space="preserve">28.8 </t>
    </r>
    <r>
      <rPr>
        <b/>
        <sz val="10"/>
        <color indexed="10"/>
        <rFont val="Arial"/>
        <family val="2"/>
      </rPr>
      <t>(13.06)</t>
    </r>
  </si>
  <si>
    <r>
      <t xml:space="preserve">31.6 </t>
    </r>
    <r>
      <rPr>
        <b/>
        <sz val="10"/>
        <color indexed="10"/>
        <rFont val="Arial"/>
        <family val="2"/>
      </rPr>
      <t>(14.33)</t>
    </r>
  </si>
  <si>
    <r>
      <t xml:space="preserve">33 </t>
    </r>
    <r>
      <rPr>
        <b/>
        <sz val="10"/>
        <color indexed="10"/>
        <rFont val="Arial"/>
        <family val="2"/>
      </rPr>
      <t>(14.97)</t>
    </r>
  </si>
  <si>
    <r>
      <t xml:space="preserve">34.3 </t>
    </r>
    <r>
      <rPr>
        <b/>
        <sz val="10"/>
        <color indexed="10"/>
        <rFont val="Arial"/>
        <family val="2"/>
      </rPr>
      <t>(15.56)</t>
    </r>
  </si>
  <si>
    <r>
      <t xml:space="preserve">35.7 </t>
    </r>
    <r>
      <rPr>
        <b/>
        <sz val="10"/>
        <color indexed="10"/>
        <rFont val="Arial"/>
        <family val="2"/>
      </rPr>
      <t>(16.19)</t>
    </r>
  </si>
  <si>
    <r>
      <t xml:space="preserve">37.1 </t>
    </r>
    <r>
      <rPr>
        <b/>
        <sz val="10"/>
        <color indexed="10"/>
        <rFont val="Arial"/>
        <family val="2"/>
      </rPr>
      <t>(16.83)</t>
    </r>
  </si>
  <si>
    <r>
      <t xml:space="preserve">38.5 </t>
    </r>
    <r>
      <rPr>
        <b/>
        <sz val="10"/>
        <color indexed="10"/>
        <rFont val="Arial"/>
        <family val="2"/>
      </rPr>
      <t>(17.46)</t>
    </r>
  </si>
  <si>
    <r>
      <t xml:space="preserve">41.2 </t>
    </r>
    <r>
      <rPr>
        <b/>
        <sz val="10"/>
        <color indexed="10"/>
        <rFont val="Arial"/>
        <family val="2"/>
      </rPr>
      <t>(18.69)</t>
    </r>
  </si>
  <si>
    <r>
      <t xml:space="preserve">42.6 </t>
    </r>
    <r>
      <rPr>
        <b/>
        <sz val="10"/>
        <color indexed="10"/>
        <rFont val="Arial"/>
        <family val="2"/>
      </rPr>
      <t>(19.32)</t>
    </r>
  </si>
  <si>
    <r>
      <t xml:space="preserve">44 </t>
    </r>
    <r>
      <rPr>
        <b/>
        <sz val="10"/>
        <color indexed="10"/>
        <rFont val="Arial"/>
        <family val="2"/>
      </rPr>
      <t>(19.96)</t>
    </r>
  </si>
  <si>
    <r>
      <t xml:space="preserve">29.4 </t>
    </r>
    <r>
      <rPr>
        <b/>
        <sz val="10"/>
        <color indexed="10"/>
        <rFont val="Arial"/>
        <family val="2"/>
      </rPr>
      <t>(13.34)</t>
    </r>
  </si>
  <si>
    <r>
      <t xml:space="preserve">31.1 </t>
    </r>
    <r>
      <rPr>
        <b/>
        <sz val="10"/>
        <color indexed="10"/>
        <rFont val="Arial"/>
        <family val="2"/>
      </rPr>
      <t>(14.11)</t>
    </r>
  </si>
  <si>
    <r>
      <t xml:space="preserve">33.1 </t>
    </r>
    <r>
      <rPr>
        <b/>
        <sz val="10"/>
        <color indexed="10"/>
        <rFont val="Arial"/>
        <family val="2"/>
      </rPr>
      <t>(15.01)</t>
    </r>
  </si>
  <si>
    <r>
      <t xml:space="preserve">35.3 </t>
    </r>
    <r>
      <rPr>
        <b/>
        <sz val="10"/>
        <color indexed="10"/>
        <rFont val="Arial"/>
        <family val="2"/>
      </rPr>
      <t>(16.01)</t>
    </r>
  </si>
  <si>
    <r>
      <t xml:space="preserve">37.4 </t>
    </r>
    <r>
      <rPr>
        <b/>
        <sz val="10"/>
        <color indexed="10"/>
        <rFont val="Arial"/>
        <family val="2"/>
      </rPr>
      <t>(16.96)</t>
    </r>
  </si>
  <si>
    <r>
      <t xml:space="preserve">39.8 </t>
    </r>
    <r>
      <rPr>
        <b/>
        <sz val="10"/>
        <color indexed="10"/>
        <rFont val="Arial"/>
        <family val="2"/>
      </rPr>
      <t>(18.05)</t>
    </r>
  </si>
  <si>
    <r>
      <t xml:space="preserve">41.7 </t>
    </r>
    <r>
      <rPr>
        <b/>
        <sz val="10"/>
        <color indexed="10"/>
        <rFont val="Arial"/>
        <family val="2"/>
      </rPr>
      <t>(18.91)</t>
    </r>
  </si>
  <si>
    <r>
      <t xml:space="preserve">43.9 </t>
    </r>
    <r>
      <rPr>
        <b/>
        <sz val="10"/>
        <color indexed="10"/>
        <rFont val="Arial"/>
        <family val="2"/>
      </rPr>
      <t>(19.91)</t>
    </r>
  </si>
  <si>
    <r>
      <t xml:space="preserve">46.1 </t>
    </r>
    <r>
      <rPr>
        <b/>
        <sz val="10"/>
        <color indexed="10"/>
        <rFont val="Arial"/>
        <family val="2"/>
      </rPr>
      <t>(20.91)</t>
    </r>
  </si>
  <si>
    <r>
      <t xml:space="preserve">48.2 </t>
    </r>
    <r>
      <rPr>
        <b/>
        <sz val="10"/>
        <color indexed="10"/>
        <rFont val="Arial"/>
        <family val="2"/>
      </rPr>
      <t>(21.86)</t>
    </r>
  </si>
  <si>
    <r>
      <t xml:space="preserve">50.4 </t>
    </r>
    <r>
      <rPr>
        <b/>
        <sz val="10"/>
        <color indexed="10"/>
        <rFont val="Arial"/>
        <family val="2"/>
      </rPr>
      <t>(22.86)</t>
    </r>
  </si>
  <si>
    <r>
      <t xml:space="preserve">52.5 </t>
    </r>
    <r>
      <rPr>
        <b/>
        <sz val="10"/>
        <color indexed="10"/>
        <rFont val="Arial"/>
        <family val="2"/>
      </rPr>
      <t>(23.81)</t>
    </r>
  </si>
  <si>
    <r>
      <t xml:space="preserve">54.7 </t>
    </r>
    <r>
      <rPr>
        <b/>
        <sz val="10"/>
        <color indexed="10"/>
        <rFont val="Arial"/>
        <family val="2"/>
      </rPr>
      <t>(24.81)</t>
    </r>
  </si>
  <si>
    <r>
      <t xml:space="preserve">56.9 </t>
    </r>
    <r>
      <rPr>
        <b/>
        <sz val="10"/>
        <color indexed="10"/>
        <rFont val="Arial"/>
        <family val="2"/>
      </rPr>
      <t>(25.81)</t>
    </r>
  </si>
  <si>
    <r>
      <t xml:space="preserve">59 </t>
    </r>
    <r>
      <rPr>
        <b/>
        <sz val="10"/>
        <color indexed="10"/>
        <rFont val="Arial"/>
        <family val="2"/>
      </rPr>
      <t>(26.76)</t>
    </r>
  </si>
  <si>
    <r>
      <t xml:space="preserve">61.2 </t>
    </r>
    <r>
      <rPr>
        <b/>
        <sz val="10"/>
        <color indexed="10"/>
        <rFont val="Arial"/>
        <family val="2"/>
      </rPr>
      <t>(27.76)</t>
    </r>
  </si>
  <si>
    <r>
      <t xml:space="preserve">63.3 </t>
    </r>
    <r>
      <rPr>
        <b/>
        <sz val="10"/>
        <color indexed="10"/>
        <rFont val="Arial"/>
        <family val="2"/>
      </rPr>
      <t>(28.71)</t>
    </r>
  </si>
  <si>
    <r>
      <t xml:space="preserve">65.5 </t>
    </r>
    <r>
      <rPr>
        <b/>
        <sz val="10"/>
        <color indexed="10"/>
        <rFont val="Arial"/>
        <family val="2"/>
      </rPr>
      <t>(29.71)</t>
    </r>
  </si>
  <si>
    <r>
      <t xml:space="preserve">67.7 </t>
    </r>
    <r>
      <rPr>
        <b/>
        <sz val="10"/>
        <color indexed="10"/>
        <rFont val="Arial"/>
        <family val="2"/>
      </rPr>
      <t>(30.71)</t>
    </r>
  </si>
  <si>
    <r>
      <t xml:space="preserve">69.8 </t>
    </r>
    <r>
      <rPr>
        <b/>
        <sz val="10"/>
        <color indexed="10"/>
        <rFont val="Arial"/>
        <family val="2"/>
      </rPr>
      <t>(31.66)</t>
    </r>
  </si>
  <si>
    <r>
      <t xml:space="preserve">71.9 </t>
    </r>
    <r>
      <rPr>
        <b/>
        <sz val="10"/>
        <color indexed="10"/>
        <rFont val="Arial"/>
        <family val="2"/>
      </rPr>
      <t>(32.61)</t>
    </r>
  </si>
  <si>
    <r>
      <t xml:space="preserve">47 </t>
    </r>
    <r>
      <rPr>
        <b/>
        <sz val="10"/>
        <color indexed="10"/>
        <rFont val="Arial"/>
        <family val="2"/>
      </rPr>
      <t>(21.32)</t>
    </r>
  </si>
  <si>
    <r>
      <t xml:space="preserve">49.6 </t>
    </r>
    <r>
      <rPr>
        <b/>
        <sz val="10"/>
        <color indexed="10"/>
        <rFont val="Arial"/>
        <family val="2"/>
      </rPr>
      <t>(22.5)</t>
    </r>
  </si>
  <si>
    <r>
      <t xml:space="preserve">52.2 </t>
    </r>
    <r>
      <rPr>
        <b/>
        <sz val="10"/>
        <color indexed="10"/>
        <rFont val="Arial"/>
        <family val="2"/>
      </rPr>
      <t>(23.68)</t>
    </r>
  </si>
  <si>
    <r>
      <t xml:space="preserve">55.3 </t>
    </r>
    <r>
      <rPr>
        <b/>
        <sz val="10"/>
        <color indexed="10"/>
        <rFont val="Arial"/>
        <family val="2"/>
      </rPr>
      <t>(25.08)</t>
    </r>
  </si>
  <si>
    <r>
      <t xml:space="preserve">58.4 </t>
    </r>
    <r>
      <rPr>
        <b/>
        <sz val="10"/>
        <color indexed="10"/>
        <rFont val="Arial"/>
        <family val="2"/>
      </rPr>
      <t>(26.5)</t>
    </r>
  </si>
  <si>
    <r>
      <t xml:space="preserve">61.6 </t>
    </r>
    <r>
      <rPr>
        <b/>
        <sz val="10"/>
        <color indexed="10"/>
        <rFont val="Arial"/>
        <family val="2"/>
      </rPr>
      <t>(27.94)</t>
    </r>
  </si>
  <si>
    <r>
      <t xml:space="preserve">64.7 </t>
    </r>
    <r>
      <rPr>
        <b/>
        <sz val="10"/>
        <color indexed="10"/>
        <rFont val="Arial"/>
        <family val="2"/>
      </rPr>
      <t>(29.35)</t>
    </r>
  </si>
  <si>
    <r>
      <t xml:space="preserve">67.8 </t>
    </r>
    <r>
      <rPr>
        <b/>
        <sz val="10"/>
        <color indexed="10"/>
        <rFont val="Arial"/>
        <family val="2"/>
      </rPr>
      <t>(30.75)</t>
    </r>
  </si>
  <si>
    <r>
      <t xml:space="preserve">70.9 </t>
    </r>
    <r>
      <rPr>
        <b/>
        <sz val="10"/>
        <color indexed="10"/>
        <rFont val="Arial"/>
        <family val="2"/>
      </rPr>
      <t>(32.16)</t>
    </r>
  </si>
  <si>
    <r>
      <t xml:space="preserve">74 </t>
    </r>
    <r>
      <rPr>
        <b/>
        <sz val="10"/>
        <color indexed="10"/>
        <rFont val="Arial"/>
        <family val="2"/>
      </rPr>
      <t>(33.57)</t>
    </r>
  </si>
  <si>
    <r>
      <t xml:space="preserve">77.1 </t>
    </r>
    <r>
      <rPr>
        <b/>
        <sz val="10"/>
        <color indexed="10"/>
        <rFont val="Arial"/>
        <family val="2"/>
      </rPr>
      <t>(34.97)</t>
    </r>
  </si>
  <si>
    <r>
      <t xml:space="preserve">80.2 </t>
    </r>
    <r>
      <rPr>
        <b/>
        <sz val="10"/>
        <color indexed="10"/>
        <rFont val="Arial"/>
        <family val="2"/>
      </rPr>
      <t>(36.38)</t>
    </r>
  </si>
  <si>
    <r>
      <t xml:space="preserve">83.3 </t>
    </r>
    <r>
      <rPr>
        <b/>
        <sz val="10"/>
        <color indexed="10"/>
        <rFont val="Arial"/>
        <family val="2"/>
      </rPr>
      <t>(37.78)</t>
    </r>
  </si>
  <si>
    <r>
      <t xml:space="preserve">86.4 </t>
    </r>
    <r>
      <rPr>
        <b/>
        <sz val="10"/>
        <color indexed="10"/>
        <rFont val="Arial"/>
        <family val="2"/>
      </rPr>
      <t>(39.19)</t>
    </r>
  </si>
  <si>
    <r>
      <t xml:space="preserve">89.5 </t>
    </r>
    <r>
      <rPr>
        <b/>
        <sz val="10"/>
        <color indexed="10"/>
        <rFont val="Arial"/>
        <family val="2"/>
      </rPr>
      <t>(40.6)</t>
    </r>
  </si>
  <si>
    <r>
      <t xml:space="preserve">92.7 </t>
    </r>
    <r>
      <rPr>
        <b/>
        <sz val="10"/>
        <color indexed="10"/>
        <rFont val="Arial"/>
        <family val="2"/>
      </rPr>
      <t>(42.05)</t>
    </r>
  </si>
  <si>
    <r>
      <t xml:space="preserve">95.8 </t>
    </r>
    <r>
      <rPr>
        <b/>
        <sz val="10"/>
        <color indexed="10"/>
        <rFont val="Arial"/>
        <family val="2"/>
      </rPr>
      <t>(43.45)</t>
    </r>
  </si>
  <si>
    <r>
      <t xml:space="preserve">98.9 </t>
    </r>
    <r>
      <rPr>
        <b/>
        <sz val="10"/>
        <color indexed="10"/>
        <rFont val="Arial"/>
        <family val="2"/>
      </rPr>
      <t>(44.86)</t>
    </r>
  </si>
  <si>
    <r>
      <t xml:space="preserve">102 </t>
    </r>
    <r>
      <rPr>
        <b/>
        <sz val="10"/>
        <color indexed="10"/>
        <rFont val="Arial"/>
        <family val="2"/>
      </rPr>
      <t>(46.27)</t>
    </r>
  </si>
  <si>
    <r>
      <t xml:space="preserve">105 </t>
    </r>
    <r>
      <rPr>
        <b/>
        <sz val="10"/>
        <color indexed="10"/>
        <rFont val="Arial"/>
        <family val="2"/>
      </rPr>
      <t>(47.63)</t>
    </r>
  </si>
  <si>
    <r>
      <t xml:space="preserve">108 </t>
    </r>
    <r>
      <rPr>
        <b/>
        <sz val="10"/>
        <color indexed="10"/>
        <rFont val="Arial"/>
        <family val="2"/>
      </rPr>
      <t>(48.99)</t>
    </r>
  </si>
  <si>
    <r>
      <t xml:space="preserve">5.5 </t>
    </r>
    <r>
      <rPr>
        <b/>
        <sz val="10"/>
        <color indexed="10"/>
        <rFont val="Arial"/>
        <family val="2"/>
      </rPr>
      <t>(2.49)</t>
    </r>
  </si>
  <si>
    <r>
      <t xml:space="preserve">8.6 </t>
    </r>
    <r>
      <rPr>
        <b/>
        <sz val="10"/>
        <color indexed="10"/>
        <rFont val="Arial"/>
        <family val="2"/>
      </rPr>
      <t>(3.9)</t>
    </r>
  </si>
  <si>
    <r>
      <t xml:space="preserve">12.4 </t>
    </r>
    <r>
      <rPr>
        <b/>
        <sz val="10"/>
        <color indexed="10"/>
        <rFont val="Arial"/>
        <family val="2"/>
      </rPr>
      <t>(5.62)</t>
    </r>
  </si>
  <si>
    <r>
      <t xml:space="preserve">74.4 </t>
    </r>
    <r>
      <rPr>
        <b/>
        <sz val="10"/>
        <color indexed="10"/>
        <rFont val="Arial"/>
        <family val="2"/>
      </rPr>
      <t>(33.75)</t>
    </r>
  </si>
  <si>
    <r>
      <t xml:space="preserve">78 </t>
    </r>
    <r>
      <rPr>
        <b/>
        <sz val="10"/>
        <color indexed="10"/>
        <rFont val="Arial"/>
        <family val="2"/>
      </rPr>
      <t>(35.38)</t>
    </r>
  </si>
  <si>
    <r>
      <t xml:space="preserve">81.9 </t>
    </r>
    <r>
      <rPr>
        <b/>
        <sz val="10"/>
        <color indexed="10"/>
        <rFont val="Arial"/>
        <family val="2"/>
      </rPr>
      <t>(37.15)</t>
    </r>
  </si>
  <si>
    <r>
      <t xml:space="preserve">86.1 </t>
    </r>
    <r>
      <rPr>
        <b/>
        <sz val="10"/>
        <color indexed="10"/>
        <rFont val="Arial"/>
        <family val="2"/>
      </rPr>
      <t>(39.05)</t>
    </r>
  </si>
  <si>
    <r>
      <t xml:space="preserve">90.3 </t>
    </r>
    <r>
      <rPr>
        <b/>
        <sz val="10"/>
        <color indexed="10"/>
        <rFont val="Arial"/>
        <family val="2"/>
      </rPr>
      <t>(40.96)</t>
    </r>
  </si>
  <si>
    <r>
      <t xml:space="preserve">94.6 </t>
    </r>
    <r>
      <rPr>
        <b/>
        <sz val="10"/>
        <color indexed="10"/>
        <rFont val="Arial"/>
        <family val="2"/>
      </rPr>
      <t>(42.91)</t>
    </r>
  </si>
  <si>
    <r>
      <t xml:space="preserve">98.8 </t>
    </r>
    <r>
      <rPr>
        <b/>
        <sz val="10"/>
        <color indexed="10"/>
        <rFont val="Arial"/>
        <family val="2"/>
      </rPr>
      <t>(44.81)</t>
    </r>
  </si>
  <si>
    <r>
      <t xml:space="preserve">103 </t>
    </r>
    <r>
      <rPr>
        <b/>
        <sz val="10"/>
        <color indexed="10"/>
        <rFont val="Arial"/>
        <family val="2"/>
      </rPr>
      <t>(46.72)</t>
    </r>
  </si>
  <si>
    <r>
      <t xml:space="preserve">107 </t>
    </r>
    <r>
      <rPr>
        <b/>
        <sz val="10"/>
        <color indexed="10"/>
        <rFont val="Arial"/>
        <family val="2"/>
      </rPr>
      <t>(48.53)</t>
    </r>
  </si>
  <si>
    <r>
      <t xml:space="preserve">111 </t>
    </r>
    <r>
      <rPr>
        <b/>
        <sz val="10"/>
        <color indexed="10"/>
        <rFont val="Arial"/>
        <family val="2"/>
      </rPr>
      <t>(50.35)</t>
    </r>
  </si>
  <si>
    <r>
      <t xml:space="preserve">116 </t>
    </r>
    <r>
      <rPr>
        <b/>
        <sz val="10"/>
        <color indexed="10"/>
        <rFont val="Arial"/>
        <family val="2"/>
      </rPr>
      <t>(52.62)</t>
    </r>
  </si>
  <si>
    <r>
      <t xml:space="preserve">120 </t>
    </r>
    <r>
      <rPr>
        <b/>
        <sz val="10"/>
        <color indexed="10"/>
        <rFont val="Arial"/>
        <family val="2"/>
      </rPr>
      <t>(54.43)</t>
    </r>
  </si>
  <si>
    <r>
      <t xml:space="preserve">124 </t>
    </r>
    <r>
      <rPr>
        <b/>
        <sz val="10"/>
        <color indexed="10"/>
        <rFont val="Arial"/>
        <family val="2"/>
      </rPr>
      <t>(56.25)</t>
    </r>
  </si>
  <si>
    <r>
      <t xml:space="preserve">128 </t>
    </r>
    <r>
      <rPr>
        <b/>
        <sz val="10"/>
        <color indexed="10"/>
        <rFont val="Arial"/>
        <family val="2"/>
      </rPr>
      <t>(58.06)</t>
    </r>
  </si>
  <si>
    <r>
      <t xml:space="preserve">133 </t>
    </r>
    <r>
      <rPr>
        <b/>
        <sz val="10"/>
        <color indexed="10"/>
        <rFont val="Arial"/>
        <family val="2"/>
      </rPr>
      <t>(60.33)</t>
    </r>
  </si>
  <si>
    <r>
      <t xml:space="preserve">137 </t>
    </r>
    <r>
      <rPr>
        <b/>
        <sz val="10"/>
        <color indexed="10"/>
        <rFont val="Arial"/>
        <family val="2"/>
      </rPr>
      <t>(62.14)</t>
    </r>
  </si>
  <si>
    <r>
      <t xml:space="preserve">141 </t>
    </r>
    <r>
      <rPr>
        <b/>
        <sz val="10"/>
        <color indexed="10"/>
        <rFont val="Arial"/>
        <family val="2"/>
      </rPr>
      <t>(63.96)</t>
    </r>
  </si>
  <si>
    <r>
      <t xml:space="preserve">146 </t>
    </r>
    <r>
      <rPr>
        <b/>
        <sz val="10"/>
        <color indexed="10"/>
        <rFont val="Arial"/>
        <family val="2"/>
      </rPr>
      <t>(66.22)</t>
    </r>
  </si>
  <si>
    <r>
      <t xml:space="preserve">150 </t>
    </r>
    <r>
      <rPr>
        <b/>
        <sz val="10"/>
        <color indexed="10"/>
        <rFont val="Arial"/>
        <family val="2"/>
      </rPr>
      <t>(68.04)</t>
    </r>
  </si>
  <si>
    <r>
      <t xml:space="preserve">154 </t>
    </r>
    <r>
      <rPr>
        <b/>
        <sz val="10"/>
        <color indexed="10"/>
        <rFont val="Arial"/>
        <family val="2"/>
      </rPr>
      <t>(69.85)</t>
    </r>
  </si>
  <si>
    <r>
      <t xml:space="preserve">16.9 </t>
    </r>
    <r>
      <rPr>
        <b/>
        <sz val="10"/>
        <color indexed="10"/>
        <rFont val="Arial"/>
        <family val="2"/>
      </rPr>
      <t>(7.67)</t>
    </r>
  </si>
  <si>
    <r>
      <t xml:space="preserve">104 </t>
    </r>
    <r>
      <rPr>
        <b/>
        <sz val="10"/>
        <color indexed="10"/>
        <rFont val="Arial"/>
        <family val="2"/>
      </rPr>
      <t>(47.17)</t>
    </r>
  </si>
  <si>
    <r>
      <t xml:space="preserve">109 </t>
    </r>
    <r>
      <rPr>
        <b/>
        <sz val="10"/>
        <color indexed="10"/>
        <rFont val="Arial"/>
        <family val="2"/>
      </rPr>
      <t>(49.44)</t>
    </r>
  </si>
  <si>
    <r>
      <t xml:space="preserve">114 </t>
    </r>
    <r>
      <rPr>
        <b/>
        <sz val="10"/>
        <color indexed="10"/>
        <rFont val="Arial"/>
        <family val="2"/>
      </rPr>
      <t>(51.71)</t>
    </r>
  </si>
  <si>
    <r>
      <t xml:space="preserve">119 </t>
    </r>
    <r>
      <rPr>
        <b/>
        <sz val="10"/>
        <color indexed="10"/>
        <rFont val="Arial"/>
        <family val="2"/>
      </rPr>
      <t>(53.98)</t>
    </r>
  </si>
  <si>
    <r>
      <t xml:space="preserve">130 </t>
    </r>
    <r>
      <rPr>
        <b/>
        <sz val="10"/>
        <color indexed="10"/>
        <rFont val="Arial"/>
        <family val="2"/>
      </rPr>
      <t>(58.97)</t>
    </r>
  </si>
  <si>
    <r>
      <t xml:space="preserve">135 </t>
    </r>
    <r>
      <rPr>
        <b/>
        <sz val="10"/>
        <color indexed="10"/>
        <rFont val="Arial"/>
        <family val="2"/>
      </rPr>
      <t>(61.23)</t>
    </r>
  </si>
  <si>
    <r>
      <t xml:space="preserve">151 </t>
    </r>
    <r>
      <rPr>
        <b/>
        <sz val="10"/>
        <color indexed="10"/>
        <rFont val="Arial"/>
        <family val="2"/>
      </rPr>
      <t>(68.49)</t>
    </r>
  </si>
  <si>
    <r>
      <t xml:space="preserve">157 </t>
    </r>
    <r>
      <rPr>
        <b/>
        <sz val="10"/>
        <color indexed="10"/>
        <rFont val="Arial"/>
        <family val="2"/>
      </rPr>
      <t>(71.21)</t>
    </r>
  </si>
  <si>
    <r>
      <t xml:space="preserve">162 </t>
    </r>
    <r>
      <rPr>
        <b/>
        <sz val="10"/>
        <color indexed="10"/>
        <rFont val="Arial"/>
        <family val="2"/>
      </rPr>
      <t>(73.48)</t>
    </r>
  </si>
  <si>
    <r>
      <t xml:space="preserve">168 </t>
    </r>
    <r>
      <rPr>
        <b/>
        <sz val="10"/>
        <color indexed="10"/>
        <rFont val="Arial"/>
        <family val="2"/>
      </rPr>
      <t>(76.2)</t>
    </r>
  </si>
  <si>
    <r>
      <t xml:space="preserve">173 </t>
    </r>
    <r>
      <rPr>
        <b/>
        <sz val="10"/>
        <color indexed="10"/>
        <rFont val="Arial"/>
        <family val="2"/>
      </rPr>
      <t>(78.47)</t>
    </r>
  </si>
  <si>
    <r>
      <t xml:space="preserve">179 </t>
    </r>
    <r>
      <rPr>
        <b/>
        <sz val="10"/>
        <color indexed="10"/>
        <rFont val="Arial"/>
        <family val="2"/>
      </rPr>
      <t>(81.19)</t>
    </r>
  </si>
  <si>
    <r>
      <t xml:space="preserve">184 </t>
    </r>
    <r>
      <rPr>
        <b/>
        <sz val="10"/>
        <color indexed="10"/>
        <rFont val="Arial"/>
        <family val="2"/>
      </rPr>
      <t>(83.46)</t>
    </r>
  </si>
  <si>
    <r>
      <t xml:space="preserve">190 </t>
    </r>
    <r>
      <rPr>
        <b/>
        <sz val="10"/>
        <color indexed="10"/>
        <rFont val="Arial"/>
        <family val="2"/>
      </rPr>
      <t>(86.18)</t>
    </r>
  </si>
  <si>
    <r>
      <t xml:space="preserve">196 </t>
    </r>
    <r>
      <rPr>
        <b/>
        <sz val="10"/>
        <color indexed="10"/>
        <rFont val="Arial"/>
        <family val="2"/>
      </rPr>
      <t>(88.9)</t>
    </r>
  </si>
  <si>
    <r>
      <t xml:space="preserve">201 </t>
    </r>
    <r>
      <rPr>
        <b/>
        <sz val="10"/>
        <color indexed="10"/>
        <rFont val="Arial"/>
        <family val="2"/>
      </rPr>
      <t>(91.17)</t>
    </r>
  </si>
  <si>
    <r>
      <t xml:space="preserve">207 </t>
    </r>
    <r>
      <rPr>
        <b/>
        <sz val="10"/>
        <color indexed="10"/>
        <rFont val="Arial"/>
        <family val="2"/>
      </rPr>
      <t>(93.89)</t>
    </r>
  </si>
  <si>
    <r>
      <t xml:space="preserve">22.1 </t>
    </r>
    <r>
      <rPr>
        <b/>
        <sz val="10"/>
        <color indexed="10"/>
        <rFont val="Arial"/>
        <family val="2"/>
      </rPr>
      <t>(10.02)</t>
    </r>
  </si>
  <si>
    <r>
      <t xml:space="preserve">148 </t>
    </r>
    <r>
      <rPr>
        <b/>
        <sz val="10"/>
        <color indexed="10"/>
        <rFont val="Arial"/>
        <family val="2"/>
      </rPr>
      <t>(67.13)</t>
    </r>
  </si>
  <si>
    <r>
      <t xml:space="preserve">160 </t>
    </r>
    <r>
      <rPr>
        <b/>
        <sz val="10"/>
        <color indexed="10"/>
        <rFont val="Arial"/>
        <family val="2"/>
      </rPr>
      <t>(72.57)</t>
    </r>
  </si>
  <si>
    <r>
      <t xml:space="preserve">167 </t>
    </r>
    <r>
      <rPr>
        <b/>
        <sz val="10"/>
        <color indexed="10"/>
        <rFont val="Arial"/>
        <family val="2"/>
      </rPr>
      <t>(75.75)</t>
    </r>
  </si>
  <si>
    <r>
      <t xml:space="preserve">174 </t>
    </r>
    <r>
      <rPr>
        <b/>
        <sz val="10"/>
        <color indexed="10"/>
        <rFont val="Arial"/>
        <family val="2"/>
      </rPr>
      <t>(78.93)</t>
    </r>
  </si>
  <si>
    <r>
      <t xml:space="preserve">181 </t>
    </r>
    <r>
      <rPr>
        <b/>
        <sz val="10"/>
        <color indexed="10"/>
        <rFont val="Arial"/>
        <family val="2"/>
      </rPr>
      <t>(82.10)</t>
    </r>
  </si>
  <si>
    <r>
      <t xml:space="preserve">188 </t>
    </r>
    <r>
      <rPr>
        <b/>
        <sz val="10"/>
        <color indexed="10"/>
        <rFont val="Arial"/>
        <family val="2"/>
      </rPr>
      <t>(85.28)</t>
    </r>
  </si>
  <si>
    <r>
      <t xml:space="preserve">195 </t>
    </r>
    <r>
      <rPr>
        <b/>
        <sz val="10"/>
        <color indexed="10"/>
        <rFont val="Arial"/>
        <family val="2"/>
      </rPr>
      <t>(88.45)</t>
    </r>
  </si>
  <si>
    <r>
      <t xml:space="preserve">202 </t>
    </r>
    <r>
      <rPr>
        <b/>
        <sz val="10"/>
        <color indexed="10"/>
        <rFont val="Arial"/>
        <family val="2"/>
      </rPr>
      <t>(91.63)</t>
    </r>
  </si>
  <si>
    <r>
      <t xml:space="preserve">209 </t>
    </r>
    <r>
      <rPr>
        <b/>
        <sz val="10"/>
        <color indexed="10"/>
        <rFont val="Arial"/>
        <family val="2"/>
      </rPr>
      <t>(94.80)</t>
    </r>
  </si>
  <si>
    <r>
      <t xml:space="preserve">216 </t>
    </r>
    <r>
      <rPr>
        <b/>
        <sz val="10"/>
        <color indexed="10"/>
        <rFont val="Arial"/>
        <family val="2"/>
      </rPr>
      <t>(97.98)</t>
    </r>
  </si>
  <si>
    <r>
      <t xml:space="preserve">223 </t>
    </r>
    <r>
      <rPr>
        <b/>
        <sz val="10"/>
        <color indexed="10"/>
        <rFont val="Arial"/>
        <family val="2"/>
      </rPr>
      <t>(101.15)</t>
    </r>
  </si>
  <si>
    <r>
      <t xml:space="preserve">39.9 </t>
    </r>
    <r>
      <rPr>
        <b/>
        <sz val="10"/>
        <color indexed="10"/>
        <rFont val="Arial"/>
        <family val="2"/>
      </rPr>
      <t>(18.10)</t>
    </r>
  </si>
  <si>
    <r>
      <t xml:space="preserve">30.2 </t>
    </r>
    <r>
      <rPr>
        <b/>
        <sz val="10"/>
        <color indexed="10"/>
        <rFont val="Arial"/>
        <family val="2"/>
      </rPr>
      <t>(13.70)</t>
    </r>
  </si>
  <si>
    <r>
      <t xml:space="preserve">230 </t>
    </r>
    <r>
      <rPr>
        <b/>
        <sz val="10"/>
        <color indexed="10"/>
        <rFont val="Arial"/>
        <family val="2"/>
      </rPr>
      <t>(104.33)</t>
    </r>
  </si>
  <si>
    <r>
      <t xml:space="preserve">237 </t>
    </r>
    <r>
      <rPr>
        <b/>
        <sz val="10"/>
        <color indexed="10"/>
        <rFont val="Arial"/>
        <family val="2"/>
      </rPr>
      <t>(107.50)</t>
    </r>
  </si>
  <si>
    <r>
      <t xml:space="preserve">244 </t>
    </r>
    <r>
      <rPr>
        <b/>
        <sz val="10"/>
        <color indexed="10"/>
        <rFont val="Arial"/>
        <family val="2"/>
      </rPr>
      <t>(110.68)</t>
    </r>
  </si>
  <si>
    <r>
      <t xml:space="preserve">251 </t>
    </r>
    <r>
      <rPr>
        <b/>
        <sz val="10"/>
        <color indexed="10"/>
        <rFont val="Arial"/>
        <family val="2"/>
      </rPr>
      <t>(113.85)</t>
    </r>
  </si>
  <si>
    <r>
      <t xml:space="preserve">258 </t>
    </r>
    <r>
      <rPr>
        <b/>
        <sz val="10"/>
        <color indexed="10"/>
        <rFont val="Arial"/>
        <family val="2"/>
      </rPr>
      <t>(117.03)</t>
    </r>
  </si>
  <si>
    <r>
      <t xml:space="preserve">265 </t>
    </r>
    <r>
      <rPr>
        <b/>
        <sz val="10"/>
        <color indexed="10"/>
        <rFont val="Arial"/>
        <family val="2"/>
      </rPr>
      <t>(120.20)</t>
    </r>
  </si>
  <si>
    <r>
      <t xml:space="preserve">272 </t>
    </r>
    <r>
      <rPr>
        <b/>
        <sz val="10"/>
        <color indexed="10"/>
        <rFont val="Arial"/>
        <family val="2"/>
      </rPr>
      <t>(123.38)</t>
    </r>
  </si>
  <si>
    <r>
      <t xml:space="preserve">28 </t>
    </r>
    <r>
      <rPr>
        <b/>
        <sz val="10"/>
        <color indexed="10"/>
        <rFont val="Arial"/>
        <family val="2"/>
      </rPr>
      <t>(12.70)</t>
    </r>
  </si>
  <si>
    <r>
      <t xml:space="preserve">197 </t>
    </r>
    <r>
      <rPr>
        <b/>
        <sz val="10"/>
        <color indexed="10"/>
        <rFont val="Arial"/>
        <family val="2"/>
      </rPr>
      <t>(89.36)</t>
    </r>
  </si>
  <si>
    <r>
      <t xml:space="preserve">205 </t>
    </r>
    <r>
      <rPr>
        <b/>
        <sz val="10"/>
        <color indexed="10"/>
        <rFont val="Arial"/>
        <family val="2"/>
      </rPr>
      <t>(92.99)</t>
    </r>
  </si>
  <si>
    <r>
      <t xml:space="preserve">212 </t>
    </r>
    <r>
      <rPr>
        <b/>
        <sz val="10"/>
        <color indexed="10"/>
        <rFont val="Arial"/>
        <family val="2"/>
      </rPr>
      <t>(96.16)</t>
    </r>
  </si>
  <si>
    <r>
      <t xml:space="preserve">220 </t>
    </r>
    <r>
      <rPr>
        <b/>
        <sz val="10"/>
        <color indexed="10"/>
        <rFont val="Arial"/>
        <family val="2"/>
      </rPr>
      <t>(99.79)</t>
    </r>
  </si>
  <si>
    <r>
      <t xml:space="preserve">229 </t>
    </r>
    <r>
      <rPr>
        <b/>
        <sz val="10"/>
        <color indexed="10"/>
        <rFont val="Arial"/>
        <family val="2"/>
      </rPr>
      <t>(103.87)</t>
    </r>
  </si>
  <si>
    <r>
      <t xml:space="preserve">540 </t>
    </r>
    <r>
      <rPr>
        <b/>
        <sz val="10"/>
        <color indexed="10"/>
        <rFont val="Arial"/>
        <family val="2"/>
      </rPr>
      <t>(244.94)</t>
    </r>
  </si>
  <si>
    <r>
      <t xml:space="preserve">246 </t>
    </r>
    <r>
      <rPr>
        <b/>
        <sz val="10"/>
        <color indexed="10"/>
        <rFont val="Arial"/>
        <family val="2"/>
      </rPr>
      <t>(111.58)</t>
    </r>
  </si>
  <si>
    <r>
      <t xml:space="preserve">255 </t>
    </r>
    <r>
      <rPr>
        <b/>
        <sz val="10"/>
        <color indexed="10"/>
        <rFont val="Arial"/>
        <family val="2"/>
      </rPr>
      <t>(115.67)</t>
    </r>
  </si>
  <si>
    <r>
      <t xml:space="preserve">263 </t>
    </r>
    <r>
      <rPr>
        <b/>
        <sz val="10"/>
        <color indexed="10"/>
        <rFont val="Arial"/>
        <family val="2"/>
      </rPr>
      <t>(119.29)</t>
    </r>
  </si>
  <si>
    <r>
      <t xml:space="preserve">280 </t>
    </r>
    <r>
      <rPr>
        <b/>
        <sz val="10"/>
        <color indexed="10"/>
        <rFont val="Arial"/>
        <family val="2"/>
      </rPr>
      <t>(127.01)</t>
    </r>
  </si>
  <si>
    <r>
      <t xml:space="preserve">289 </t>
    </r>
    <r>
      <rPr>
        <b/>
        <sz val="10"/>
        <color indexed="10"/>
        <rFont val="Arial"/>
        <family val="2"/>
      </rPr>
      <t>(131.09)</t>
    </r>
  </si>
  <si>
    <r>
      <t xml:space="preserve">298 </t>
    </r>
    <r>
      <rPr>
        <b/>
        <sz val="10"/>
        <color indexed="10"/>
        <rFont val="Arial"/>
        <family val="2"/>
      </rPr>
      <t>(135.17)</t>
    </r>
  </si>
  <si>
    <r>
      <t xml:space="preserve">306 </t>
    </r>
    <r>
      <rPr>
        <b/>
        <sz val="10"/>
        <color indexed="10"/>
        <rFont val="Arial"/>
        <family val="2"/>
      </rPr>
      <t>(138.80)</t>
    </r>
  </si>
  <si>
    <r>
      <t xml:space="preserve">315 </t>
    </r>
    <r>
      <rPr>
        <b/>
        <sz val="10"/>
        <color indexed="10"/>
        <rFont val="Arial"/>
        <family val="2"/>
      </rPr>
      <t>(142.88)</t>
    </r>
  </si>
  <si>
    <r>
      <t xml:space="preserve">324 </t>
    </r>
    <r>
      <rPr>
        <b/>
        <sz val="10"/>
        <color indexed="10"/>
        <rFont val="Arial"/>
        <family val="2"/>
      </rPr>
      <t>(146.96)</t>
    </r>
  </si>
  <si>
    <r>
      <t xml:space="preserve">332 </t>
    </r>
    <r>
      <rPr>
        <b/>
        <sz val="10"/>
        <color indexed="10"/>
        <rFont val="Arial"/>
        <family val="2"/>
      </rPr>
      <t>(15.59)</t>
    </r>
  </si>
  <si>
    <r>
      <t xml:space="preserve">341 </t>
    </r>
    <r>
      <rPr>
        <b/>
        <sz val="10"/>
        <color indexed="10"/>
        <rFont val="Arial"/>
        <family val="2"/>
      </rPr>
      <t>(154.68)</t>
    </r>
  </si>
  <si>
    <r>
      <t xml:space="preserve">349 </t>
    </r>
    <r>
      <rPr>
        <b/>
        <sz val="10"/>
        <color indexed="10"/>
        <rFont val="Arial"/>
        <family val="2"/>
      </rPr>
      <t>(158.30</t>
    </r>
  </si>
  <si>
    <r>
      <t xml:space="preserve">261 </t>
    </r>
    <r>
      <rPr>
        <b/>
        <sz val="10"/>
        <color indexed="10"/>
        <rFont val="Arial"/>
        <family val="2"/>
      </rPr>
      <t>(118.39)</t>
    </r>
  </si>
  <si>
    <r>
      <t xml:space="preserve">270 </t>
    </r>
    <r>
      <rPr>
        <b/>
        <sz val="10"/>
        <color indexed="10"/>
        <rFont val="Arial"/>
        <family val="2"/>
      </rPr>
      <t>(122.47)</t>
    </r>
  </si>
  <si>
    <r>
      <t xml:space="preserve">279 </t>
    </r>
    <r>
      <rPr>
        <b/>
        <sz val="10"/>
        <color indexed="10"/>
        <rFont val="Arial"/>
        <family val="2"/>
      </rPr>
      <t>(126.55)</t>
    </r>
  </si>
  <si>
    <r>
      <t xml:space="preserve">290 </t>
    </r>
    <r>
      <rPr>
        <b/>
        <sz val="10"/>
        <color indexed="10"/>
        <rFont val="Arial"/>
        <family val="2"/>
      </rPr>
      <t>(131.54)</t>
    </r>
  </si>
  <si>
    <r>
      <t xml:space="preserve">300 </t>
    </r>
    <r>
      <rPr>
        <b/>
        <sz val="10"/>
        <color indexed="10"/>
        <rFont val="Arial"/>
        <family val="2"/>
      </rPr>
      <t>(136.08)</t>
    </r>
  </si>
  <si>
    <r>
      <t xml:space="preserve">310 </t>
    </r>
    <r>
      <rPr>
        <b/>
        <sz val="10"/>
        <color indexed="10"/>
        <rFont val="Arial"/>
        <family val="2"/>
      </rPr>
      <t>(140.61)</t>
    </r>
  </si>
  <si>
    <r>
      <t xml:space="preserve">321 </t>
    </r>
    <r>
      <rPr>
        <b/>
        <sz val="10"/>
        <color indexed="10"/>
        <rFont val="Arial"/>
        <family val="2"/>
      </rPr>
      <t>(145.60)</t>
    </r>
  </si>
  <si>
    <r>
      <t xml:space="preserve">332 </t>
    </r>
    <r>
      <rPr>
        <b/>
        <sz val="10"/>
        <color indexed="10"/>
        <rFont val="Arial"/>
        <family val="2"/>
      </rPr>
      <t>(150.59)</t>
    </r>
  </si>
  <si>
    <r>
      <t xml:space="preserve">342 </t>
    </r>
    <r>
      <rPr>
        <b/>
        <sz val="10"/>
        <color indexed="10"/>
        <rFont val="Arial"/>
        <family val="2"/>
      </rPr>
      <t>(155.13)</t>
    </r>
  </si>
  <si>
    <r>
      <t xml:space="preserve">353 </t>
    </r>
    <r>
      <rPr>
        <b/>
        <sz val="10"/>
        <color indexed="10"/>
        <rFont val="Arial"/>
        <family val="2"/>
      </rPr>
      <t>(160.12)</t>
    </r>
  </si>
  <si>
    <r>
      <t xml:space="preserve">363 </t>
    </r>
    <r>
      <rPr>
        <b/>
        <sz val="10"/>
        <color indexed="10"/>
        <rFont val="Arial"/>
        <family val="2"/>
      </rPr>
      <t>(164.65)</t>
    </r>
  </si>
  <si>
    <r>
      <t xml:space="preserve">374 </t>
    </r>
    <r>
      <rPr>
        <b/>
        <sz val="10"/>
        <color indexed="10"/>
        <rFont val="Arial"/>
        <family val="2"/>
      </rPr>
      <t>(169.64)</t>
    </r>
  </si>
  <si>
    <r>
      <t xml:space="preserve">384 </t>
    </r>
    <r>
      <rPr>
        <b/>
        <sz val="10"/>
        <color indexed="10"/>
        <rFont val="Arial"/>
        <family val="2"/>
      </rPr>
      <t>(174.18)</t>
    </r>
  </si>
  <si>
    <r>
      <t xml:space="preserve">395 </t>
    </r>
    <r>
      <rPr>
        <b/>
        <sz val="10"/>
        <color indexed="10"/>
        <rFont val="Arial"/>
        <family val="2"/>
      </rPr>
      <t>(179.17)</t>
    </r>
  </si>
  <si>
    <r>
      <t xml:space="preserve">405 </t>
    </r>
    <r>
      <rPr>
        <b/>
        <sz val="10"/>
        <color indexed="10"/>
        <rFont val="Arial"/>
        <family val="2"/>
      </rPr>
      <t>(183.70)</t>
    </r>
  </si>
  <si>
    <r>
      <t xml:space="preserve">416 </t>
    </r>
    <r>
      <rPr>
        <b/>
        <sz val="10"/>
        <color indexed="10"/>
        <rFont val="Arial"/>
        <family val="2"/>
      </rPr>
      <t>(188.69)</t>
    </r>
  </si>
  <si>
    <r>
      <t xml:space="preserve">426 </t>
    </r>
    <r>
      <rPr>
        <b/>
        <sz val="10"/>
        <color indexed="10"/>
        <rFont val="Arial"/>
        <family val="2"/>
      </rPr>
      <t>(193.23)</t>
    </r>
  </si>
  <si>
    <r>
      <t xml:space="preserve">437 </t>
    </r>
    <r>
      <rPr>
        <b/>
        <sz val="10"/>
        <color indexed="10"/>
        <rFont val="Arial"/>
        <family val="2"/>
      </rPr>
      <t>(198.22)</t>
    </r>
  </si>
  <si>
    <r>
      <t xml:space="preserve">333 </t>
    </r>
    <r>
      <rPr>
        <b/>
        <sz val="10"/>
        <color indexed="10"/>
        <rFont val="Arial"/>
        <family val="2"/>
      </rPr>
      <t>(151.05)</t>
    </r>
  </si>
  <si>
    <r>
      <t xml:space="preserve">344 </t>
    </r>
    <r>
      <rPr>
        <b/>
        <sz val="10"/>
        <color indexed="10"/>
        <rFont val="Arial"/>
        <family val="2"/>
      </rPr>
      <t>(156.04)</t>
    </r>
  </si>
  <si>
    <r>
      <t xml:space="preserve">355 </t>
    </r>
    <r>
      <rPr>
        <b/>
        <sz val="10"/>
        <color indexed="10"/>
        <rFont val="Arial"/>
        <family val="2"/>
      </rPr>
      <t>(161.03)</t>
    </r>
  </si>
  <si>
    <r>
      <t xml:space="preserve">366 </t>
    </r>
    <r>
      <rPr>
        <b/>
        <sz val="10"/>
        <color indexed="10"/>
        <rFont val="Arial"/>
        <family val="2"/>
      </rPr>
      <t>(166.01)</t>
    </r>
  </si>
  <si>
    <r>
      <t xml:space="preserve">379 </t>
    </r>
    <r>
      <rPr>
        <b/>
        <sz val="10"/>
        <color indexed="10"/>
        <rFont val="Arial"/>
        <family val="2"/>
      </rPr>
      <t>(171.91)</t>
    </r>
  </si>
  <si>
    <r>
      <t xml:space="preserve">391 </t>
    </r>
    <r>
      <rPr>
        <b/>
        <sz val="10"/>
        <color indexed="10"/>
        <rFont val="Arial"/>
        <family val="2"/>
      </rPr>
      <t>(177.35)</t>
    </r>
  </si>
  <si>
    <r>
      <t xml:space="preserve">403 </t>
    </r>
    <r>
      <rPr>
        <b/>
        <sz val="10"/>
        <color indexed="10"/>
        <rFont val="Arial"/>
        <family val="2"/>
      </rPr>
      <t>(182.80)</t>
    </r>
  </si>
  <si>
    <r>
      <t xml:space="preserve">428 </t>
    </r>
    <r>
      <rPr>
        <b/>
        <sz val="10"/>
        <color indexed="10"/>
        <rFont val="Arial"/>
        <family val="2"/>
      </rPr>
      <t>(194.14)</t>
    </r>
  </si>
  <si>
    <r>
      <t xml:space="preserve">441 </t>
    </r>
    <r>
      <rPr>
        <b/>
        <sz val="10"/>
        <color indexed="10"/>
        <rFont val="Arial"/>
        <family val="2"/>
      </rPr>
      <t>(200.03)</t>
    </r>
  </si>
  <si>
    <r>
      <t xml:space="preserve">453 </t>
    </r>
    <r>
      <rPr>
        <b/>
        <sz val="10"/>
        <color indexed="10"/>
        <rFont val="Arial"/>
        <family val="2"/>
      </rPr>
      <t>(205.48)</t>
    </r>
  </si>
  <si>
    <r>
      <t xml:space="preserve">465 </t>
    </r>
    <r>
      <rPr>
        <b/>
        <sz val="10"/>
        <color indexed="10"/>
        <rFont val="Arial"/>
        <family val="2"/>
      </rPr>
      <t>(210.92)</t>
    </r>
  </si>
  <si>
    <r>
      <t xml:space="preserve">478 </t>
    </r>
    <r>
      <rPr>
        <b/>
        <sz val="10"/>
        <color indexed="10"/>
        <rFont val="Arial"/>
        <family val="2"/>
      </rPr>
      <t>(216.82)</t>
    </r>
  </si>
  <si>
    <r>
      <t xml:space="preserve">490 </t>
    </r>
    <r>
      <rPr>
        <b/>
        <sz val="10"/>
        <color indexed="10"/>
        <rFont val="Arial"/>
        <family val="2"/>
      </rPr>
      <t>(222.26)</t>
    </r>
  </si>
  <si>
    <r>
      <t xml:space="preserve">503 </t>
    </r>
    <r>
      <rPr>
        <b/>
        <sz val="10"/>
        <color indexed="10"/>
        <rFont val="Arial"/>
        <family val="2"/>
      </rPr>
      <t>(228.16)</t>
    </r>
  </si>
  <si>
    <r>
      <t xml:space="preserve">515 </t>
    </r>
    <r>
      <rPr>
        <b/>
        <sz val="10"/>
        <color indexed="10"/>
        <rFont val="Arial"/>
        <family val="2"/>
      </rPr>
      <t>(233.60)</t>
    </r>
  </si>
  <si>
    <r>
      <t xml:space="preserve">527 </t>
    </r>
    <r>
      <rPr>
        <b/>
        <sz val="10"/>
        <color indexed="10"/>
        <rFont val="Arial"/>
        <family val="2"/>
      </rPr>
      <t>(239.04)</t>
    </r>
  </si>
  <si>
    <r>
      <t xml:space="preserve">34.4 </t>
    </r>
    <r>
      <rPr>
        <b/>
        <sz val="10"/>
        <color indexed="10"/>
        <rFont val="Arial"/>
        <family val="2"/>
      </rPr>
      <t>(15.60)</t>
    </r>
  </si>
  <si>
    <r>
      <t xml:space="preserve">42.5 </t>
    </r>
    <r>
      <rPr>
        <b/>
        <sz val="10"/>
        <color indexed="10"/>
        <rFont val="Arial"/>
        <family val="2"/>
      </rPr>
      <t>(19.28)</t>
    </r>
  </si>
  <si>
    <r>
      <t xml:space="preserve">49.7 </t>
    </r>
    <r>
      <rPr>
        <b/>
        <sz val="10"/>
        <color indexed="10"/>
        <rFont val="Arial"/>
        <family val="2"/>
      </rPr>
      <t>(22.54)</t>
    </r>
  </si>
  <si>
    <r>
      <t xml:space="preserve">2.1 </t>
    </r>
    <r>
      <rPr>
        <b/>
        <sz val="10"/>
        <color indexed="10"/>
        <rFont val="Arial"/>
        <family val="2"/>
      </rPr>
      <t>(0.95)</t>
    </r>
  </si>
  <si>
    <r>
      <t xml:space="preserve">3.6 </t>
    </r>
    <r>
      <rPr>
        <b/>
        <sz val="10"/>
        <color indexed="10"/>
        <rFont val="Arial"/>
        <family val="2"/>
      </rPr>
      <t>(1.63)</t>
    </r>
  </si>
  <si>
    <r>
      <t xml:space="preserve">4.8 </t>
    </r>
    <r>
      <rPr>
        <b/>
        <sz val="10"/>
        <color indexed="10"/>
        <rFont val="Arial"/>
        <family val="2"/>
      </rPr>
      <t>(2.18)</t>
    </r>
  </si>
  <si>
    <r>
      <t xml:space="preserve">7 </t>
    </r>
    <r>
      <rPr>
        <b/>
        <sz val="10"/>
        <color indexed="10"/>
        <rFont val="Arial"/>
        <family val="2"/>
      </rPr>
      <t>(3.18)</t>
    </r>
  </si>
  <si>
    <r>
      <t xml:space="preserve">9.4 </t>
    </r>
    <r>
      <rPr>
        <b/>
        <sz val="10"/>
        <color indexed="10"/>
        <rFont val="Arial"/>
        <family val="2"/>
      </rPr>
      <t>(4.26)</t>
    </r>
  </si>
  <si>
    <r>
      <t xml:space="preserve">11.3 </t>
    </r>
    <r>
      <rPr>
        <b/>
        <sz val="10"/>
        <color indexed="10"/>
        <rFont val="Arial"/>
        <family val="2"/>
      </rPr>
      <t>(5.13)</t>
    </r>
  </si>
  <si>
    <r>
      <t xml:space="preserve">13.8 </t>
    </r>
    <r>
      <rPr>
        <b/>
        <sz val="10"/>
        <color indexed="10"/>
        <rFont val="Arial"/>
        <family val="2"/>
      </rPr>
      <t>(6.26)</t>
    </r>
  </si>
  <si>
    <r>
      <t xml:space="preserve">16.8 </t>
    </r>
    <r>
      <rPr>
        <b/>
        <sz val="10"/>
        <color indexed="10"/>
        <rFont val="Arial"/>
        <family val="2"/>
      </rPr>
      <t>(7.62)</t>
    </r>
  </si>
  <si>
    <r>
      <t xml:space="preserve">20 </t>
    </r>
    <r>
      <rPr>
        <b/>
        <sz val="10"/>
        <color indexed="10"/>
        <rFont val="Arial"/>
        <family val="2"/>
      </rPr>
      <t>(9.07)</t>
    </r>
  </si>
  <si>
    <r>
      <t xml:space="preserve">23.1 </t>
    </r>
    <r>
      <rPr>
        <b/>
        <sz val="10"/>
        <color indexed="10"/>
        <rFont val="Arial"/>
        <family val="2"/>
      </rPr>
      <t>(10.48)</t>
    </r>
  </si>
  <si>
    <r>
      <t xml:space="preserve">22.4 </t>
    </r>
    <r>
      <rPr>
        <b/>
        <sz val="10"/>
        <color indexed="10"/>
        <rFont val="Arial"/>
        <family val="2"/>
      </rPr>
      <t>(10.16)</t>
    </r>
  </si>
  <si>
    <r>
      <t xml:space="preserve">21 </t>
    </r>
    <r>
      <rPr>
        <b/>
        <sz val="10"/>
        <color indexed="10"/>
        <rFont val="Arial"/>
        <family val="2"/>
      </rPr>
      <t>(9.53)</t>
    </r>
  </si>
  <si>
    <r>
      <t xml:space="preserve">20.2 </t>
    </r>
    <r>
      <rPr>
        <b/>
        <sz val="10"/>
        <color indexed="10"/>
        <rFont val="Arial"/>
        <family val="2"/>
      </rPr>
      <t>(9.16)</t>
    </r>
  </si>
  <si>
    <r>
      <t xml:space="preserve">34 </t>
    </r>
    <r>
      <rPr>
        <b/>
        <sz val="10"/>
        <color indexed="10"/>
        <rFont val="Arial"/>
        <family val="2"/>
      </rPr>
      <t>(15.42)</t>
    </r>
  </si>
  <si>
    <t>Section Modulus =</t>
  </si>
  <si>
    <t>Moment of Inertia =</t>
  </si>
  <si>
    <t>Raduis of Gyration=</t>
  </si>
  <si>
    <t>R</t>
  </si>
  <si>
    <t>610mm</t>
  </si>
  <si>
    <t>1829mm</t>
  </si>
  <si>
    <t>432mm</t>
  </si>
  <si>
    <t>Degrees</t>
  </si>
  <si>
    <t>Max. Brkt. Spa.</t>
  </si>
  <si>
    <t>Key In Platf. Width</t>
  </si>
  <si>
    <t>Vertical Vessel Platform Max. Bracket Spacing</t>
  </si>
  <si>
    <t>Key In Clr.</t>
  </si>
  <si>
    <t>76mm to 102mm</t>
  </si>
  <si>
    <t>Key In Radius</t>
  </si>
  <si>
    <t>Horizontal Run</t>
  </si>
  <si>
    <t>Stringer</t>
  </si>
  <si>
    <r>
      <t xml:space="preserve">Less Than </t>
    </r>
    <r>
      <rPr>
        <b/>
        <sz val="10"/>
        <color indexed="12"/>
        <rFont val="Arial"/>
        <family val="2"/>
      </rPr>
      <t>10 Feet</t>
    </r>
    <r>
      <rPr>
        <sz val="10"/>
        <rFont val="Arial"/>
        <family val="2"/>
      </rPr>
      <t xml:space="preserve"> </t>
    </r>
    <r>
      <rPr>
        <b/>
        <sz val="10"/>
        <color indexed="10"/>
        <rFont val="Arial"/>
        <family val="2"/>
      </rPr>
      <t>(3048mm)</t>
    </r>
  </si>
  <si>
    <t>C8 or C10</t>
  </si>
  <si>
    <t>C10X15.3 Min.</t>
  </si>
  <si>
    <r>
      <t xml:space="preserve">      obstructions are encountered - </t>
    </r>
    <r>
      <rPr>
        <sz val="10"/>
        <rFont val="Arial"/>
        <family val="2"/>
      </rPr>
      <t xml:space="preserve">See Detail </t>
    </r>
    <r>
      <rPr>
        <i/>
        <sz val="10"/>
        <color indexed="12"/>
        <rFont val="Arial"/>
        <family val="2"/>
      </rPr>
      <t xml:space="preserve">Clearance for Unavoidable Obstruction </t>
    </r>
  </si>
  <si>
    <r>
      <t xml:space="preserve">      </t>
    </r>
    <r>
      <rPr>
        <i/>
        <sz val="10"/>
        <color indexed="12"/>
        <rFont val="Arial"/>
        <family val="2"/>
      </rPr>
      <t xml:space="preserve">at rear of ladder </t>
    </r>
    <r>
      <rPr>
        <sz val="10"/>
        <rFont val="Arial"/>
        <family val="2"/>
      </rPr>
      <t>(Below).</t>
    </r>
  </si>
  <si>
    <r>
      <t xml:space="preserve">16. Cages shall extend a minimum of </t>
    </r>
    <r>
      <rPr>
        <sz val="10"/>
        <color indexed="12"/>
        <rFont val="Arial"/>
        <family val="2"/>
      </rPr>
      <t>3'-6"</t>
    </r>
    <r>
      <rPr>
        <sz val="10"/>
        <rFont val="Arial"/>
        <family val="2"/>
      </rPr>
      <t xml:space="preserve"> </t>
    </r>
    <r>
      <rPr>
        <sz val="10"/>
        <color indexed="10"/>
        <rFont val="Arial"/>
        <family val="2"/>
      </rPr>
      <t>(1067mm)</t>
    </r>
    <r>
      <rPr>
        <sz val="10"/>
        <rFont val="Arial"/>
        <family val="2"/>
      </rPr>
      <t xml:space="preserve"> above the top of landing,</t>
    </r>
  </si>
  <si>
    <t xml:space="preserve">         See Standards for member sizes &amp; additional details</t>
  </si>
  <si>
    <r>
      <t>10 to 20 Feet</t>
    </r>
    <r>
      <rPr>
        <sz val="10"/>
        <rFont val="Arial"/>
        <family val="2"/>
      </rPr>
      <t xml:space="preserve"> </t>
    </r>
    <r>
      <rPr>
        <b/>
        <sz val="10"/>
        <color indexed="10"/>
        <rFont val="Arial"/>
        <family val="2"/>
      </rPr>
      <t>(3048 to 6096mm)</t>
    </r>
  </si>
  <si>
    <r>
      <t>20 Feet</t>
    </r>
    <r>
      <rPr>
        <sz val="10"/>
        <rFont val="Arial"/>
        <family val="2"/>
      </rPr>
      <t xml:space="preserve"> </t>
    </r>
    <r>
      <rPr>
        <b/>
        <sz val="10"/>
        <color indexed="10"/>
        <rFont val="Arial"/>
        <family val="2"/>
      </rPr>
      <t>(6096mm)</t>
    </r>
    <r>
      <rPr>
        <sz val="10"/>
        <rFont val="Arial"/>
        <family val="2"/>
      </rPr>
      <t xml:space="preserve"> or More</t>
    </r>
  </si>
  <si>
    <t>C12 Min.</t>
  </si>
  <si>
    <t>2. Sway Bracing should be provided on all stairs with horizontal work point to work point</t>
  </si>
  <si>
    <r>
      <t xml:space="preserve"> </t>
    </r>
    <r>
      <rPr>
        <b/>
        <sz val="10"/>
        <rFont val="Arial"/>
        <family val="2"/>
      </rPr>
      <t xml:space="preserve">  of </t>
    </r>
    <r>
      <rPr>
        <b/>
        <sz val="10"/>
        <color indexed="12"/>
        <rFont val="Arial"/>
        <family val="2"/>
      </rPr>
      <t>15 Feet</t>
    </r>
    <r>
      <rPr>
        <b/>
        <sz val="10"/>
        <rFont val="Arial"/>
        <family val="2"/>
      </rPr>
      <t xml:space="preserve"> </t>
    </r>
    <r>
      <rPr>
        <b/>
        <sz val="10"/>
        <color indexed="10"/>
        <rFont val="Arial"/>
        <family val="2"/>
      </rPr>
      <t>(4572mm)</t>
    </r>
    <r>
      <rPr>
        <b/>
        <sz val="10"/>
        <rFont val="Arial"/>
        <family val="2"/>
      </rPr>
      <t xml:space="preserve"> or more and all stairs with fiberglass treads.</t>
    </r>
  </si>
  <si>
    <t>3. Stair angles greater than 45 degrees should always be avoided if possible.</t>
  </si>
  <si>
    <t>5. Any uniform combination of rise/tread dimensions may be used that will result in a stairway at the angle to</t>
  </si>
  <si>
    <t>Stair Design Notes</t>
  </si>
  <si>
    <r>
      <t xml:space="preserve">   </t>
    </r>
    <r>
      <rPr>
        <b/>
        <sz val="10"/>
        <rFont val="Arial"/>
        <family val="2"/>
      </rPr>
      <t xml:space="preserve">within the permissible range, stating the angle to the horizontal produced by each combination. </t>
    </r>
    <r>
      <rPr>
        <b/>
        <i/>
        <u/>
        <sz val="10"/>
        <rFont val="Arial"/>
        <family val="2"/>
      </rPr>
      <t>However, the</t>
    </r>
  </si>
  <si>
    <t>Work Point to Work Point</t>
  </si>
  <si>
    <r>
      <t xml:space="preserve">4. Stringer back to back dimension is typically </t>
    </r>
    <r>
      <rPr>
        <b/>
        <sz val="10"/>
        <color indexed="12"/>
        <rFont val="Arial"/>
        <family val="2"/>
      </rPr>
      <t>3'-0"</t>
    </r>
    <r>
      <rPr>
        <b/>
        <sz val="10"/>
        <rFont val="Arial"/>
        <family val="2"/>
      </rPr>
      <t xml:space="preserve"> </t>
    </r>
    <r>
      <rPr>
        <b/>
        <sz val="10"/>
        <color indexed="10"/>
        <rFont val="Arial"/>
        <family val="2"/>
      </rPr>
      <t>(914mm)</t>
    </r>
    <r>
      <rPr>
        <b/>
        <sz val="10"/>
        <rFont val="Arial"/>
        <family val="2"/>
      </rPr>
      <t xml:space="preserve"> unless otherwise specified.</t>
    </r>
  </si>
  <si>
    <t xml:space="preserve">   horizontal within the permissible range. The table below gives rise/tread dimensions which will produce a stairway</t>
  </si>
  <si>
    <t>Angle</t>
  </si>
  <si>
    <t>To</t>
  </si>
  <si>
    <t>Horz.</t>
  </si>
  <si>
    <t>Rise</t>
  </si>
  <si>
    <t>Tread</t>
  </si>
  <si>
    <r>
      <t>Inches</t>
    </r>
    <r>
      <rPr>
        <b/>
        <sz val="10"/>
        <rFont val="Arial"/>
        <family val="2"/>
      </rPr>
      <t xml:space="preserve"> </t>
    </r>
    <r>
      <rPr>
        <b/>
        <sz val="10"/>
        <color indexed="10"/>
        <rFont val="Arial"/>
        <family val="2"/>
      </rPr>
      <t>(mm)</t>
    </r>
  </si>
  <si>
    <r>
      <t>6-1/2"</t>
    </r>
    <r>
      <rPr>
        <sz val="10"/>
        <rFont val="Arial"/>
        <family val="2"/>
      </rPr>
      <t xml:space="preserve"> </t>
    </r>
    <r>
      <rPr>
        <b/>
        <sz val="10"/>
        <color indexed="10"/>
        <rFont val="Arial"/>
        <family val="2"/>
      </rPr>
      <t>(165)</t>
    </r>
  </si>
  <si>
    <r>
      <t>11"</t>
    </r>
    <r>
      <rPr>
        <sz val="10"/>
        <rFont val="Arial"/>
        <family val="2"/>
      </rPr>
      <t xml:space="preserve"> </t>
    </r>
    <r>
      <rPr>
        <b/>
        <sz val="10"/>
        <color indexed="10"/>
        <rFont val="Arial"/>
        <family val="2"/>
      </rPr>
      <t>(279)</t>
    </r>
  </si>
  <si>
    <r>
      <t xml:space="preserve">10-3/4" </t>
    </r>
    <r>
      <rPr>
        <b/>
        <sz val="10"/>
        <color indexed="10"/>
        <rFont val="Arial"/>
        <family val="2"/>
      </rPr>
      <t>(273)</t>
    </r>
  </si>
  <si>
    <r>
      <t xml:space="preserve">7" </t>
    </r>
    <r>
      <rPr>
        <b/>
        <sz val="10"/>
        <color indexed="10"/>
        <rFont val="Arial"/>
        <family val="2"/>
      </rPr>
      <t>(178)</t>
    </r>
  </si>
  <si>
    <r>
      <t xml:space="preserve">10-1/2" </t>
    </r>
    <r>
      <rPr>
        <b/>
        <sz val="10"/>
        <color indexed="10"/>
        <rFont val="Arial"/>
        <family val="2"/>
      </rPr>
      <t>(267)</t>
    </r>
  </si>
  <si>
    <r>
      <t xml:space="preserve">7-1/4" </t>
    </r>
    <r>
      <rPr>
        <b/>
        <sz val="10"/>
        <color indexed="10"/>
        <rFont val="Arial"/>
        <family val="2"/>
      </rPr>
      <t>(184)</t>
    </r>
  </si>
  <si>
    <r>
      <t xml:space="preserve">10-1/4" </t>
    </r>
    <r>
      <rPr>
        <b/>
        <sz val="10"/>
        <color indexed="10"/>
        <rFont val="Arial"/>
        <family val="2"/>
      </rPr>
      <t>(260)</t>
    </r>
  </si>
  <si>
    <r>
      <t xml:space="preserve">7-1/2" </t>
    </r>
    <r>
      <rPr>
        <b/>
        <sz val="10"/>
        <color indexed="10"/>
        <rFont val="Arial"/>
        <family val="2"/>
      </rPr>
      <t>(190)</t>
    </r>
  </si>
  <si>
    <r>
      <t xml:space="preserve">10" </t>
    </r>
    <r>
      <rPr>
        <b/>
        <sz val="10"/>
        <color indexed="10"/>
        <rFont val="Arial"/>
        <family val="2"/>
      </rPr>
      <t>(254)</t>
    </r>
  </si>
  <si>
    <r>
      <t xml:space="preserve">7-3/4" </t>
    </r>
    <r>
      <rPr>
        <b/>
        <sz val="10"/>
        <color indexed="10"/>
        <rFont val="Arial"/>
        <family val="2"/>
      </rPr>
      <t>(197)</t>
    </r>
  </si>
  <si>
    <r>
      <t xml:space="preserve">9-3/4" </t>
    </r>
    <r>
      <rPr>
        <b/>
        <sz val="10"/>
        <color indexed="10"/>
        <rFont val="Arial"/>
        <family val="2"/>
      </rPr>
      <t>(248)</t>
    </r>
  </si>
  <si>
    <r>
      <t xml:space="preserve">8" </t>
    </r>
    <r>
      <rPr>
        <b/>
        <sz val="10"/>
        <color indexed="10"/>
        <rFont val="Arial"/>
        <family val="2"/>
      </rPr>
      <t>(203)</t>
    </r>
  </si>
  <si>
    <r>
      <t xml:space="preserve">9-1/2" </t>
    </r>
    <r>
      <rPr>
        <b/>
        <sz val="10"/>
        <color indexed="10"/>
        <rFont val="Arial"/>
        <family val="2"/>
      </rPr>
      <t>(241)</t>
    </r>
  </si>
  <si>
    <r>
      <t xml:space="preserve">8-1/4" </t>
    </r>
    <r>
      <rPr>
        <b/>
        <sz val="10"/>
        <color indexed="10"/>
        <rFont val="Arial"/>
        <family val="2"/>
      </rPr>
      <t>(210)</t>
    </r>
  </si>
  <si>
    <r>
      <t xml:space="preserve">9-1/4" </t>
    </r>
    <r>
      <rPr>
        <b/>
        <sz val="10"/>
        <color indexed="10"/>
        <rFont val="Arial"/>
        <family val="2"/>
      </rPr>
      <t>(235)</t>
    </r>
  </si>
  <si>
    <r>
      <t xml:space="preserve">8-1/2" </t>
    </r>
    <r>
      <rPr>
        <b/>
        <sz val="10"/>
        <color indexed="10"/>
        <rFont val="Arial"/>
        <family val="2"/>
      </rPr>
      <t>(216)</t>
    </r>
  </si>
  <si>
    <r>
      <t xml:space="preserve">9" </t>
    </r>
    <r>
      <rPr>
        <b/>
        <sz val="10"/>
        <color indexed="10"/>
        <rFont val="Arial"/>
        <family val="2"/>
      </rPr>
      <t>(229)</t>
    </r>
  </si>
  <si>
    <r>
      <t xml:space="preserve">8-3/4" </t>
    </r>
    <r>
      <rPr>
        <b/>
        <sz val="10"/>
        <color indexed="10"/>
        <rFont val="Arial"/>
        <family val="2"/>
      </rPr>
      <t>(222)</t>
    </r>
  </si>
  <si>
    <r>
      <t xml:space="preserve">  </t>
    </r>
    <r>
      <rPr>
        <b/>
        <sz val="10"/>
        <rFont val="Arial"/>
        <family val="2"/>
      </rPr>
      <t xml:space="preserve"> from the leading edge of the tread. </t>
    </r>
  </si>
  <si>
    <r>
      <t xml:space="preserve">6. Vertical clearance above any stair to an overhead obstruction shall be at least </t>
    </r>
    <r>
      <rPr>
        <b/>
        <sz val="10"/>
        <color indexed="12"/>
        <rFont val="Arial"/>
        <family val="2"/>
      </rPr>
      <t>7 FEET</t>
    </r>
    <r>
      <rPr>
        <b/>
        <sz val="10"/>
        <rFont val="Arial"/>
        <family val="2"/>
      </rPr>
      <t xml:space="preserve"> </t>
    </r>
    <r>
      <rPr>
        <b/>
        <sz val="10"/>
        <color indexed="10"/>
        <rFont val="Arial"/>
        <family val="2"/>
      </rPr>
      <t>(2134mm)</t>
    </r>
    <r>
      <rPr>
        <b/>
        <sz val="10"/>
        <rFont val="Arial"/>
        <family val="2"/>
      </rPr>
      <t xml:space="preserve"> measured</t>
    </r>
  </si>
  <si>
    <r>
      <t xml:space="preserve">6-3/4" </t>
    </r>
    <r>
      <rPr>
        <b/>
        <sz val="10"/>
        <color indexed="10"/>
        <rFont val="Arial"/>
        <family val="2"/>
      </rPr>
      <t>(172)</t>
    </r>
  </si>
  <si>
    <r>
      <t>Password :</t>
    </r>
    <r>
      <rPr>
        <sz val="10"/>
        <rFont val="Arial"/>
        <family val="2"/>
      </rPr>
      <t xml:space="preserve"> </t>
    </r>
    <r>
      <rPr>
        <b/>
        <sz val="8"/>
        <color indexed="10"/>
        <rFont val="Arial"/>
        <family val="2"/>
      </rPr>
      <t>ABB</t>
    </r>
  </si>
  <si>
    <t>Millimeters</t>
  </si>
  <si>
    <t>Key in Feet &amp; Inches Below</t>
  </si>
  <si>
    <t>Key in Millimeters Below</t>
  </si>
  <si>
    <t>FEET</t>
  </si>
  <si>
    <t>Brace Length w/ 2" Clr. (Metric)</t>
  </si>
  <si>
    <t>Brace Length w/ 50mm Clr. (Metric)</t>
  </si>
  <si>
    <r>
      <t>Note:</t>
    </r>
    <r>
      <rPr>
        <i/>
        <sz val="10"/>
        <rFont val="Arial"/>
        <family val="2"/>
      </rPr>
      <t>Use Client Standards if project required</t>
    </r>
  </si>
  <si>
    <t>1. The minimum design live load shall be a single concentrated</t>
  </si>
  <si>
    <t>2. The number and position of additional concentrated live-load units</t>
  </si>
  <si>
    <t xml:space="preserve">    shall be considered in the design.</t>
  </si>
  <si>
    <t xml:space="preserve">     of an elevated platform edge.</t>
  </si>
  <si>
    <t xml:space="preserve">     bars to platform handrail.</t>
  </si>
  <si>
    <t>5. The side access ladder is the preferred to the step through (Front) access style.</t>
  </si>
  <si>
    <t xml:space="preserve">     to be at bottom rung to landing.</t>
  </si>
  <si>
    <r>
      <t xml:space="preserve">     nearest permanent object on the climbing side of the ladder shall be </t>
    </r>
    <r>
      <rPr>
        <sz val="10"/>
        <color indexed="12"/>
        <rFont val="Arial"/>
        <family val="2"/>
      </rPr>
      <t>36 inches</t>
    </r>
    <r>
      <rPr>
        <sz val="10"/>
        <rFont val="Arial"/>
        <family val="2"/>
      </rPr>
      <t xml:space="preserve"> </t>
    </r>
    <r>
      <rPr>
        <sz val="10"/>
        <color indexed="10"/>
        <rFont val="Arial"/>
        <family val="2"/>
      </rPr>
      <t>(914mm)</t>
    </r>
  </si>
  <si>
    <r>
      <t xml:space="preserve">3.  All ladders </t>
    </r>
    <r>
      <rPr>
        <sz val="10"/>
        <color indexed="12"/>
        <rFont val="Arial"/>
        <family val="2"/>
      </rPr>
      <t>20 Fee</t>
    </r>
    <r>
      <rPr>
        <sz val="10"/>
        <rFont val="Arial"/>
        <family val="2"/>
      </rPr>
      <t xml:space="preserve">t </t>
    </r>
    <r>
      <rPr>
        <sz val="10"/>
        <color indexed="10"/>
        <rFont val="Arial"/>
        <family val="2"/>
      </rPr>
      <t>(6096mm)</t>
    </r>
    <r>
      <rPr>
        <sz val="10"/>
        <rFont val="Arial"/>
        <family val="2"/>
      </rPr>
      <t xml:space="preserve"> or more in length shall be equipped with safety cage.</t>
    </r>
  </si>
  <si>
    <t xml:space="preserve">    or floor level shall be equipped with drop bar or safety gate attached as follows:</t>
  </si>
  <si>
    <r>
      <t xml:space="preserve">      landing shall not be more than </t>
    </r>
    <r>
      <rPr>
        <sz val="10"/>
        <color indexed="12"/>
        <rFont val="Arial"/>
        <family val="2"/>
      </rPr>
      <t>12 inches</t>
    </r>
    <r>
      <rPr>
        <sz val="10"/>
        <rFont val="Arial"/>
        <family val="2"/>
      </rPr>
      <t xml:space="preserve"> </t>
    </r>
    <r>
      <rPr>
        <sz val="10"/>
        <color indexed="10"/>
        <rFont val="Arial"/>
        <family val="2"/>
      </rPr>
      <t>(305mm)</t>
    </r>
    <r>
      <rPr>
        <sz val="10"/>
        <rFont val="Arial"/>
        <family val="2"/>
      </rPr>
      <t xml:space="preserve"> or less than </t>
    </r>
    <r>
      <rPr>
        <sz val="10"/>
        <color indexed="12"/>
        <rFont val="Arial"/>
        <family val="2"/>
      </rPr>
      <t>2-1/2 Inches</t>
    </r>
    <r>
      <rPr>
        <sz val="10"/>
        <rFont val="Arial"/>
        <family val="2"/>
      </rPr>
      <t xml:space="preserve"> </t>
    </r>
    <r>
      <rPr>
        <sz val="10"/>
        <color indexed="10"/>
        <rFont val="Arial"/>
        <family val="2"/>
      </rPr>
      <t>(64mm)</t>
    </r>
  </si>
  <si>
    <t>Fixed Ladder Design Notes:</t>
  </si>
  <si>
    <t xml:space="preserve">     centerline of rungs of the ladder. Vertical bar spacing shall be located  at a maximum</t>
  </si>
  <si>
    <r>
      <t xml:space="preserve">19. Cages shall not extend less than </t>
    </r>
    <r>
      <rPr>
        <sz val="10"/>
        <color indexed="12"/>
        <rFont val="Arial"/>
        <family val="2"/>
      </rPr>
      <t>27"</t>
    </r>
    <r>
      <rPr>
        <sz val="10"/>
        <rFont val="Arial"/>
        <family val="2"/>
      </rPr>
      <t xml:space="preserve"> </t>
    </r>
    <r>
      <rPr>
        <sz val="10"/>
        <color indexed="10"/>
        <rFont val="Arial"/>
        <family val="2"/>
      </rPr>
      <t>(686mm)</t>
    </r>
    <r>
      <rPr>
        <sz val="10"/>
        <rFont val="Arial"/>
        <family val="2"/>
      </rPr>
      <t xml:space="preserve"> nor more than </t>
    </r>
    <r>
      <rPr>
        <sz val="10"/>
        <color indexed="12"/>
        <rFont val="Arial"/>
        <family val="2"/>
      </rPr>
      <t>28"</t>
    </r>
    <r>
      <rPr>
        <sz val="10"/>
        <rFont val="Arial"/>
        <family val="2"/>
      </rPr>
      <t xml:space="preserve"> </t>
    </r>
    <r>
      <rPr>
        <sz val="10"/>
        <color indexed="10"/>
        <rFont val="Arial"/>
        <family val="2"/>
      </rPr>
      <t>(711mm)</t>
    </r>
    <r>
      <rPr>
        <sz val="10"/>
        <rFont val="Arial"/>
        <family val="2"/>
      </rPr>
      <t xml:space="preserve"> from the</t>
    </r>
  </si>
  <si>
    <r>
      <t xml:space="preserve">     spacing of 40 degrees around the circumference of the cage - aprox. </t>
    </r>
    <r>
      <rPr>
        <sz val="10"/>
        <color indexed="12"/>
        <rFont val="Arial"/>
        <family val="2"/>
      </rPr>
      <t>9-1/2"</t>
    </r>
    <r>
      <rPr>
        <sz val="10"/>
        <color indexed="10"/>
        <rFont val="Arial"/>
        <family val="2"/>
      </rPr>
      <t xml:space="preserve"> (241mm)</t>
    </r>
    <r>
      <rPr>
        <sz val="10"/>
        <rFont val="Arial"/>
        <family val="2"/>
      </rPr>
      <t xml:space="preserve"> c/c</t>
    </r>
  </si>
  <si>
    <t xml:space="preserve">     shall be uniformed throughout the length of the ladder. Any Spacing adjustments</t>
  </si>
  <si>
    <t xml:space="preserve">        * Side access ladders opens at ladder side with safety gate.</t>
  </si>
  <si>
    <t xml:space="preserve">        * Side access ladders hinged at ladder side with drop bar.</t>
  </si>
  <si>
    <t xml:space="preserve">     center line of the ladder in the climbing space.</t>
  </si>
  <si>
    <r>
      <t xml:space="preserve">     load of </t>
    </r>
    <r>
      <rPr>
        <sz val="10"/>
        <color indexed="12"/>
        <rFont val="Arial"/>
        <family val="2"/>
      </rPr>
      <t>200</t>
    </r>
    <r>
      <rPr>
        <sz val="10"/>
        <rFont val="Arial"/>
        <family val="2"/>
      </rPr>
      <t xml:space="preserve"> pounds </t>
    </r>
    <r>
      <rPr>
        <sz val="10"/>
        <color indexed="10"/>
        <rFont val="Arial"/>
        <family val="2"/>
      </rPr>
      <t>(91Kg)</t>
    </r>
    <r>
      <rPr>
        <sz val="10"/>
        <rFont val="Arial"/>
        <family val="2"/>
      </rPr>
      <t>.</t>
    </r>
  </si>
  <si>
    <r>
      <t xml:space="preserve">    of </t>
    </r>
    <r>
      <rPr>
        <sz val="10"/>
        <color indexed="12"/>
        <rFont val="Arial"/>
        <family val="2"/>
      </rPr>
      <t>200</t>
    </r>
    <r>
      <rPr>
        <sz val="10"/>
        <rFont val="Arial"/>
        <family val="2"/>
      </rPr>
      <t xml:space="preserve"> pounds </t>
    </r>
    <r>
      <rPr>
        <sz val="10"/>
        <color indexed="10"/>
        <rFont val="Arial"/>
        <family val="2"/>
      </rPr>
      <t>(91 Kg)</t>
    </r>
    <r>
      <rPr>
        <sz val="10"/>
        <rFont val="Arial"/>
        <family val="2"/>
      </rPr>
      <t xml:space="preserve"> each as determined from anticipated usage of ladder</t>
    </r>
  </si>
  <si>
    <r>
      <t xml:space="preserve">     Cages shall also be required where the ladder face is within </t>
    </r>
    <r>
      <rPr>
        <sz val="10"/>
        <color indexed="12"/>
        <rFont val="Arial"/>
        <family val="2"/>
      </rPr>
      <t>4'-0"</t>
    </r>
    <r>
      <rPr>
        <sz val="10"/>
        <rFont val="Arial"/>
        <family val="2"/>
      </rPr>
      <t xml:space="preserve"> </t>
    </r>
    <r>
      <rPr>
        <sz val="10"/>
        <color indexed="10"/>
        <rFont val="Arial"/>
        <family val="2"/>
      </rPr>
      <t>(1219mm)</t>
    </r>
  </si>
  <si>
    <r>
      <t xml:space="preserve">4.  Where ladder face is within </t>
    </r>
    <r>
      <rPr>
        <sz val="10"/>
        <color indexed="12"/>
        <rFont val="Arial"/>
        <family val="2"/>
      </rPr>
      <t>4'-0"</t>
    </r>
    <r>
      <rPr>
        <sz val="10"/>
        <rFont val="Arial"/>
        <family val="2"/>
      </rPr>
      <t xml:space="preserve"> </t>
    </r>
    <r>
      <rPr>
        <sz val="10"/>
        <color indexed="10"/>
        <rFont val="Arial"/>
        <family val="2"/>
      </rPr>
      <t>(1219mm)</t>
    </r>
    <r>
      <rPr>
        <sz val="10"/>
        <rFont val="Arial"/>
        <family val="2"/>
      </rPr>
      <t xml:space="preserve"> of platform edge extend vertical cage</t>
    </r>
  </si>
  <si>
    <r>
      <t xml:space="preserve">6. All fixed ladders serving elevations </t>
    </r>
    <r>
      <rPr>
        <sz val="10"/>
        <color indexed="12"/>
        <rFont val="Arial"/>
        <family val="2"/>
      </rPr>
      <t>2'-6"</t>
    </r>
    <r>
      <rPr>
        <sz val="10"/>
        <rFont val="Arial"/>
        <family val="2"/>
      </rPr>
      <t xml:space="preserve"> </t>
    </r>
    <r>
      <rPr>
        <sz val="10"/>
        <color indexed="10"/>
        <rFont val="Arial"/>
        <family val="2"/>
      </rPr>
      <t>(762mm)</t>
    </r>
    <r>
      <rPr>
        <sz val="10"/>
        <rFont val="Arial"/>
        <family val="2"/>
      </rPr>
      <t xml:space="preserve"> or more above ground, platform</t>
    </r>
  </si>
  <si>
    <r>
      <t xml:space="preserve">7.  The distance between rungs shall not exceed </t>
    </r>
    <r>
      <rPr>
        <sz val="10"/>
        <color indexed="12"/>
        <rFont val="Arial"/>
        <family val="2"/>
      </rPr>
      <t>12 inches</t>
    </r>
    <r>
      <rPr>
        <sz val="10"/>
        <rFont val="Arial"/>
        <family val="2"/>
      </rPr>
      <t xml:space="preserve"> </t>
    </r>
    <r>
      <rPr>
        <sz val="10"/>
        <color indexed="10"/>
        <rFont val="Arial"/>
        <family val="2"/>
      </rPr>
      <t>(305mm)</t>
    </r>
    <r>
      <rPr>
        <sz val="10"/>
        <rFont val="Arial"/>
        <family val="2"/>
      </rPr>
      <t xml:space="preserve"> and shall</t>
    </r>
  </si>
  <si>
    <r>
      <t xml:space="preserve">8.  The maximum distance between landings shall not exceed </t>
    </r>
    <r>
      <rPr>
        <sz val="10"/>
        <color indexed="12"/>
        <rFont val="Arial"/>
        <family val="2"/>
      </rPr>
      <t>30'-0"</t>
    </r>
    <r>
      <rPr>
        <sz val="10"/>
        <rFont val="Arial"/>
        <family val="2"/>
      </rPr>
      <t xml:space="preserve"> </t>
    </r>
    <r>
      <rPr>
        <sz val="10"/>
        <color indexed="10"/>
        <rFont val="Arial"/>
        <family val="2"/>
      </rPr>
      <t>(9144mm).</t>
    </r>
  </si>
  <si>
    <r>
      <t xml:space="preserve">9.  All rungs shall have a minimum diameter of </t>
    </r>
    <r>
      <rPr>
        <sz val="10"/>
        <color indexed="12"/>
        <rFont val="Arial"/>
        <family val="2"/>
      </rPr>
      <t>3/4"</t>
    </r>
    <r>
      <rPr>
        <sz val="10"/>
        <rFont val="Arial"/>
        <family val="2"/>
      </rPr>
      <t xml:space="preserve"> </t>
    </r>
    <r>
      <rPr>
        <sz val="10"/>
        <color indexed="10"/>
        <rFont val="Arial"/>
        <family val="2"/>
      </rPr>
      <t xml:space="preserve">(20mm) </t>
    </r>
    <r>
      <rPr>
        <sz val="10"/>
        <rFont val="Arial"/>
        <family val="2"/>
      </rPr>
      <t>except ladders formed</t>
    </r>
  </si>
  <si>
    <r>
      <t xml:space="preserve">    </t>
    </r>
    <r>
      <rPr>
        <sz val="10"/>
        <rFont val="Arial"/>
        <family val="2"/>
      </rPr>
      <t xml:space="preserve">by individual metal rungs imbedded in concrete use a </t>
    </r>
    <r>
      <rPr>
        <sz val="10"/>
        <color indexed="12"/>
        <rFont val="Arial"/>
        <family val="2"/>
      </rPr>
      <t>1"</t>
    </r>
    <r>
      <rPr>
        <sz val="10"/>
        <color indexed="10"/>
        <rFont val="Arial"/>
        <family val="2"/>
      </rPr>
      <t>(25mm)</t>
    </r>
    <r>
      <rPr>
        <sz val="10"/>
        <rFont val="Arial"/>
        <family val="2"/>
      </rPr>
      <t xml:space="preserve"> diameter bar minimum.</t>
    </r>
  </si>
  <si>
    <r>
      <t xml:space="preserve">     for a pitch of 76 degrees and </t>
    </r>
    <r>
      <rPr>
        <sz val="10"/>
        <color indexed="12"/>
        <rFont val="Arial"/>
        <family val="2"/>
      </rPr>
      <t>30 inches</t>
    </r>
    <r>
      <rPr>
        <sz val="10"/>
        <rFont val="Arial"/>
        <family val="2"/>
      </rPr>
      <t xml:space="preserve"> </t>
    </r>
    <r>
      <rPr>
        <sz val="10"/>
        <color indexed="10"/>
        <rFont val="Arial"/>
        <family val="2"/>
      </rPr>
      <t>(762mm)</t>
    </r>
    <r>
      <rPr>
        <sz val="10"/>
        <rFont val="Arial"/>
        <family val="2"/>
      </rPr>
      <t xml:space="preserve"> for a pitch of 90 degrees.</t>
    </r>
  </si>
  <si>
    <r>
      <t xml:space="preserve">      of the ladder shall not be less than </t>
    </r>
    <r>
      <rPr>
        <sz val="10"/>
        <color indexed="12"/>
        <rFont val="Arial"/>
        <family val="2"/>
      </rPr>
      <t>7 inches</t>
    </r>
    <r>
      <rPr>
        <sz val="10"/>
        <rFont val="Arial"/>
        <family val="2"/>
      </rPr>
      <t xml:space="preserve"> </t>
    </r>
    <r>
      <rPr>
        <sz val="10"/>
        <color indexed="10"/>
        <rFont val="Arial"/>
        <family val="2"/>
      </rPr>
      <t xml:space="preserve">(178mm) </t>
    </r>
    <r>
      <rPr>
        <sz val="10"/>
        <rFont val="Arial"/>
        <family val="2"/>
      </rPr>
      <t>except that when unavoidable</t>
    </r>
  </si>
  <si>
    <r>
      <t>2-1/2 inches</t>
    </r>
    <r>
      <rPr>
        <sz val="10"/>
        <rFont val="Arial"/>
        <family val="2"/>
      </rPr>
      <t xml:space="preserve"> </t>
    </r>
    <r>
      <rPr>
        <sz val="10"/>
        <color indexed="10"/>
        <rFont val="Arial"/>
        <family val="2"/>
      </rPr>
      <t>(64mm)</t>
    </r>
  </si>
  <si>
    <r>
      <t xml:space="preserve">      </t>
    </r>
    <r>
      <rPr>
        <sz val="10"/>
        <rFont val="Arial"/>
        <family val="2"/>
      </rPr>
      <t>for front access ladders.</t>
    </r>
  </si>
  <si>
    <t xml:space="preserve">      that, where no cage or ladder safety device is provided, landing platforms shall be</t>
  </si>
  <si>
    <r>
      <t xml:space="preserve">      provided for each </t>
    </r>
    <r>
      <rPr>
        <sz val="10"/>
        <color indexed="12"/>
        <rFont val="Arial"/>
        <family val="2"/>
      </rPr>
      <t>20 Feet</t>
    </r>
    <r>
      <rPr>
        <sz val="10"/>
        <rFont val="Arial"/>
        <family val="2"/>
      </rPr>
      <t xml:space="preserve"> </t>
    </r>
    <r>
      <rPr>
        <sz val="10"/>
        <color indexed="10"/>
        <rFont val="Arial"/>
        <family val="2"/>
      </rPr>
      <t>(6096mm)</t>
    </r>
    <r>
      <rPr>
        <sz val="10"/>
        <rFont val="Arial"/>
        <family val="2"/>
      </rPr>
      <t xml:space="preserve"> of height or fraction thereof.</t>
    </r>
  </si>
  <si>
    <r>
      <t xml:space="preserve">      platforms shall be provided for each </t>
    </r>
    <r>
      <rPr>
        <sz val="10"/>
        <color indexed="12"/>
        <rFont val="Arial"/>
        <family val="2"/>
      </rPr>
      <t>30 Feet</t>
    </r>
    <r>
      <rPr>
        <sz val="10"/>
        <rFont val="Arial"/>
        <family val="2"/>
      </rPr>
      <t xml:space="preserve"> </t>
    </r>
    <r>
      <rPr>
        <sz val="10"/>
        <color indexed="10"/>
        <rFont val="Arial"/>
        <family val="2"/>
      </rPr>
      <t>(9144mm)</t>
    </r>
    <r>
      <rPr>
        <sz val="10"/>
        <rFont val="Arial"/>
        <family val="2"/>
      </rPr>
      <t xml:space="preserve"> or fraction thereof, except</t>
    </r>
  </si>
  <si>
    <t xml:space="preserve">      unless other acceptable protection is provided.</t>
  </si>
  <si>
    <r>
      <t xml:space="preserve">      nor more than </t>
    </r>
    <r>
      <rPr>
        <sz val="10"/>
        <color indexed="12"/>
        <rFont val="Arial"/>
        <family val="2"/>
      </rPr>
      <t xml:space="preserve">8 Feet </t>
    </r>
    <r>
      <rPr>
        <sz val="10"/>
        <color indexed="10"/>
        <rFont val="Arial"/>
        <family val="2"/>
      </rPr>
      <t xml:space="preserve">(2438mm) </t>
    </r>
    <r>
      <rPr>
        <sz val="10"/>
        <rFont val="Arial"/>
        <family val="2"/>
      </rPr>
      <t>above the base of the ladder or landing.</t>
    </r>
  </si>
  <si>
    <t xml:space="preserve">11. On fixed ladders, the perpendicular distance from the center line of rungs to the </t>
  </si>
  <si>
    <r>
      <t xml:space="preserve">12. A clear width of at least </t>
    </r>
    <r>
      <rPr>
        <sz val="10"/>
        <color indexed="12"/>
        <rFont val="Arial"/>
        <family val="2"/>
      </rPr>
      <t>15 inches</t>
    </r>
    <r>
      <rPr>
        <sz val="10"/>
        <rFont val="Arial"/>
        <family val="2"/>
      </rPr>
      <t xml:space="preserve"> </t>
    </r>
    <r>
      <rPr>
        <sz val="10"/>
        <color indexed="10"/>
        <rFont val="Arial"/>
        <family val="2"/>
      </rPr>
      <t>(381mm)</t>
    </r>
    <r>
      <rPr>
        <sz val="10"/>
        <rFont val="Arial"/>
        <family val="2"/>
      </rPr>
      <t xml:space="preserve"> shall be provided each way from the</t>
    </r>
  </si>
  <si>
    <t>13. The distance from the center line of rungs to the nearest permanent object in back</t>
  </si>
  <si>
    <t>14. The step-across distance from the nearest edge of ladder to the nearest edge of</t>
  </si>
  <si>
    <r>
      <t xml:space="preserve">17.  Bottom Cages shall extend down the ladder to a point not less than </t>
    </r>
    <r>
      <rPr>
        <sz val="10"/>
        <color indexed="12"/>
        <rFont val="Arial"/>
        <family val="2"/>
      </rPr>
      <t>7 Feet</t>
    </r>
    <r>
      <rPr>
        <sz val="10"/>
        <rFont val="Arial"/>
        <family val="2"/>
      </rPr>
      <t xml:space="preserve"> </t>
    </r>
    <r>
      <rPr>
        <sz val="10"/>
        <color indexed="10"/>
        <rFont val="Arial"/>
        <family val="2"/>
      </rPr>
      <t>(2134mm)</t>
    </r>
  </si>
  <si>
    <r>
      <t xml:space="preserve">10. The minimum clear length of rungs shall be </t>
    </r>
    <r>
      <rPr>
        <sz val="10"/>
        <color indexed="12"/>
        <rFont val="Arial"/>
        <family val="2"/>
      </rPr>
      <t>16 inches</t>
    </r>
    <r>
      <rPr>
        <sz val="10"/>
        <rFont val="Arial"/>
        <family val="2"/>
      </rPr>
      <t xml:space="preserve"> </t>
    </r>
    <r>
      <rPr>
        <sz val="10"/>
        <color indexed="10"/>
        <rFont val="Arial"/>
        <family val="2"/>
      </rPr>
      <t>(406mm).</t>
    </r>
  </si>
  <si>
    <r>
      <t xml:space="preserve">15.  When ladders are used to ascend to heights exceeding </t>
    </r>
    <r>
      <rPr>
        <sz val="10"/>
        <color indexed="12"/>
        <rFont val="Arial"/>
        <family val="2"/>
      </rPr>
      <t>20 Feet</t>
    </r>
    <r>
      <rPr>
        <sz val="10"/>
        <rFont val="Arial"/>
        <family val="2"/>
      </rPr>
      <t xml:space="preserve"> </t>
    </r>
    <r>
      <rPr>
        <sz val="10"/>
        <color indexed="10"/>
        <rFont val="Arial"/>
        <family val="2"/>
      </rPr>
      <t>(6096mm</t>
    </r>
    <r>
      <rPr>
        <sz val="10"/>
        <rFont val="Arial"/>
        <family val="2"/>
      </rPr>
      <t>) landings</t>
    </r>
  </si>
  <si>
    <t>18. Set top of rung flush with top of landing walking surface</t>
  </si>
  <si>
    <r>
      <t xml:space="preserve">The addition of riser plus tread equals </t>
    </r>
    <r>
      <rPr>
        <b/>
        <i/>
        <sz val="10"/>
        <color indexed="12"/>
        <rFont val="Arial"/>
        <family val="2"/>
      </rPr>
      <t>17-1/2"</t>
    </r>
    <r>
      <rPr>
        <i/>
        <sz val="10"/>
        <rFont val="Arial"/>
        <family val="2"/>
      </rPr>
      <t xml:space="preserve"> </t>
    </r>
    <r>
      <rPr>
        <b/>
        <i/>
        <sz val="10"/>
        <color indexed="10"/>
        <rFont val="Arial"/>
        <family val="2"/>
      </rPr>
      <t>(444mm)</t>
    </r>
  </si>
  <si>
    <r>
      <t xml:space="preserve">  rise/tread combination are not limited to those given in the table below. </t>
    </r>
    <r>
      <rPr>
        <b/>
        <i/>
        <u/>
        <sz val="10"/>
        <color indexed="10"/>
        <rFont val="Arial"/>
        <family val="2"/>
      </rPr>
      <t>Odd tread spacing should always occur at the bottom step</t>
    </r>
  </si>
  <si>
    <r>
      <t>6'-0"</t>
    </r>
    <r>
      <rPr>
        <b/>
        <sz val="10"/>
        <rFont val="Arial"/>
        <family val="2"/>
      </rPr>
      <t xml:space="preserve"> Max. C/C Brkt. On O.S. Rad./Edge</t>
    </r>
  </si>
  <si>
    <r>
      <t>2'-0"</t>
    </r>
    <r>
      <rPr>
        <b/>
        <sz val="10"/>
        <rFont val="Arial"/>
        <family val="2"/>
      </rPr>
      <t xml:space="preserve"> Max. Cantilever on O.S. Rad./Edge</t>
    </r>
  </si>
  <si>
    <r>
      <t>1'-5"</t>
    </r>
    <r>
      <rPr>
        <b/>
        <sz val="10"/>
        <rFont val="Arial"/>
        <family val="2"/>
      </rPr>
      <t xml:space="preserve"> CL Ladder to Platform on O.S. Rad.</t>
    </r>
  </si>
  <si>
    <t>O.S. Radius of Vessel plus Insulation (Key In)</t>
  </si>
  <si>
    <t>Platform Width (Key In)</t>
  </si>
  <si>
    <t>Clearance between vessel &amp; platform - 3" min-4" Max. (Key in)</t>
  </si>
  <si>
    <t>1. Fixed stairs stringer size Should be determined as follows (unless specified by engineer) :</t>
  </si>
  <si>
    <t>Angle Degrees</t>
  </si>
  <si>
    <t>Length WP to WP</t>
  </si>
  <si>
    <t>Beam</t>
  </si>
  <si>
    <t>Size</t>
  </si>
  <si>
    <t>Depth</t>
  </si>
  <si>
    <t>Flange</t>
  </si>
  <si>
    <t>Bolt Gage</t>
  </si>
  <si>
    <t>W36x300</t>
  </si>
  <si>
    <t xml:space="preserve"> </t>
  </si>
  <si>
    <t>W36x280</t>
  </si>
  <si>
    <t>W36x260</t>
  </si>
  <si>
    <t>W36x245</t>
  </si>
  <si>
    <t>W36x230</t>
  </si>
  <si>
    <t>d</t>
  </si>
  <si>
    <t>Web Thk.</t>
  </si>
  <si>
    <t>tw</t>
  </si>
  <si>
    <t>Flg. Width</t>
  </si>
  <si>
    <t>Flg. Thk.</t>
  </si>
  <si>
    <t>k</t>
  </si>
  <si>
    <t>k1</t>
  </si>
  <si>
    <t>W36x210</t>
  </si>
  <si>
    <t>W36x194</t>
  </si>
  <si>
    <t>W36x182</t>
  </si>
  <si>
    <t>W36x170</t>
  </si>
  <si>
    <t>W36x160</t>
  </si>
  <si>
    <t>W36x150</t>
  </si>
  <si>
    <t>W36x135</t>
  </si>
  <si>
    <t>W33x241</t>
  </si>
  <si>
    <t>W33x221</t>
  </si>
  <si>
    <t>W33x201</t>
  </si>
  <si>
    <t>W33x152</t>
  </si>
  <si>
    <t>W33x141</t>
  </si>
  <si>
    <t>W33x130</t>
  </si>
  <si>
    <t>W33x118</t>
  </si>
  <si>
    <t>W30x211</t>
  </si>
  <si>
    <t>W30x191</t>
  </si>
  <si>
    <t>W30x173</t>
  </si>
  <si>
    <t>W30x132</t>
  </si>
  <si>
    <t>W30x124</t>
  </si>
  <si>
    <t>W30x116</t>
  </si>
  <si>
    <t>W30x108</t>
  </si>
  <si>
    <t>W30x99</t>
  </si>
  <si>
    <t>W27x178</t>
  </si>
  <si>
    <t>W27x161</t>
  </si>
  <si>
    <t>W27x146</t>
  </si>
  <si>
    <t>W27x114</t>
  </si>
  <si>
    <t>W27x102</t>
  </si>
  <si>
    <t>W27x94</t>
  </si>
  <si>
    <t>W27x84</t>
  </si>
  <si>
    <t>W24x162</t>
  </si>
  <si>
    <t>tf</t>
  </si>
  <si>
    <t>W24x146</t>
  </si>
  <si>
    <t>W24x131</t>
  </si>
  <si>
    <t>W24x117</t>
  </si>
  <si>
    <t>W24x104</t>
  </si>
  <si>
    <t>W24x94</t>
  </si>
  <si>
    <t>W24x84</t>
  </si>
  <si>
    <t>W24x76</t>
  </si>
  <si>
    <t>W24x68</t>
  </si>
  <si>
    <t>W24x62</t>
  </si>
  <si>
    <t>W24x55</t>
  </si>
  <si>
    <t xml:space="preserve"> W21x147</t>
  </si>
  <si>
    <t>W21x132</t>
  </si>
  <si>
    <t>W21x122</t>
  </si>
  <si>
    <t>W21x111</t>
  </si>
  <si>
    <t>W21x101</t>
  </si>
  <si>
    <t>W21x93</t>
  </si>
  <si>
    <t>W21x73</t>
  </si>
  <si>
    <t>W21x68</t>
  </si>
  <si>
    <t>W21x62</t>
  </si>
  <si>
    <t>W21x57</t>
  </si>
  <si>
    <t>W21x50</t>
  </si>
  <si>
    <t>W21x44</t>
  </si>
  <si>
    <t>W21x83</t>
  </si>
  <si>
    <t>W18x119</t>
  </si>
  <si>
    <t>W18x106</t>
  </si>
  <si>
    <t>W18x97</t>
  </si>
  <si>
    <t>W18x86</t>
  </si>
  <si>
    <t>W18x76</t>
  </si>
  <si>
    <t>W18x71</t>
  </si>
  <si>
    <t>W18x65</t>
  </si>
  <si>
    <t>W18x60</t>
  </si>
  <si>
    <t>W18x55</t>
  </si>
  <si>
    <t>W18x50</t>
  </si>
  <si>
    <t>W18x46</t>
  </si>
  <si>
    <t>W18x40</t>
  </si>
  <si>
    <t>W18x35</t>
  </si>
  <si>
    <t>W16x100</t>
  </si>
  <si>
    <t>W16x89</t>
  </si>
  <si>
    <t>W16x77</t>
  </si>
  <si>
    <t>W16x67</t>
  </si>
  <si>
    <t>W16x57</t>
  </si>
  <si>
    <t>W16x50</t>
  </si>
  <si>
    <t>W16x45</t>
  </si>
  <si>
    <t>W16x40</t>
  </si>
  <si>
    <t>W16x36</t>
  </si>
  <si>
    <t>W16x31</t>
  </si>
  <si>
    <t>W16x26</t>
  </si>
  <si>
    <t>W14x730</t>
  </si>
  <si>
    <t>W14x665</t>
  </si>
  <si>
    <t>W14x605</t>
  </si>
  <si>
    <t>W14x550</t>
  </si>
  <si>
    <t>W14x500</t>
  </si>
  <si>
    <t>W14x455</t>
  </si>
  <si>
    <t>W14x426</t>
  </si>
  <si>
    <t>W14x398</t>
  </si>
  <si>
    <t>W14x370</t>
  </si>
  <si>
    <t>W14x342</t>
  </si>
  <si>
    <t>W14x311</t>
  </si>
  <si>
    <t>W14x283</t>
  </si>
  <si>
    <t>W14x257</t>
  </si>
  <si>
    <t>W14x233</t>
  </si>
  <si>
    <t>W14x211</t>
  </si>
  <si>
    <t>W14x193</t>
  </si>
  <si>
    <t>W14x176</t>
  </si>
  <si>
    <t>W14x159</t>
  </si>
  <si>
    <t>W14x145</t>
  </si>
  <si>
    <t>na</t>
  </si>
  <si>
    <t>W14x132</t>
  </si>
  <si>
    <t>W14x120</t>
  </si>
  <si>
    <t>W14x109</t>
  </si>
  <si>
    <t>W14x99</t>
  </si>
  <si>
    <t>W14x90</t>
  </si>
  <si>
    <t>W14x82</t>
  </si>
  <si>
    <t>W14x74</t>
  </si>
  <si>
    <t>W14x68</t>
  </si>
  <si>
    <t>W14x61</t>
  </si>
  <si>
    <t>W14x53</t>
  </si>
  <si>
    <t>W14x48</t>
  </si>
  <si>
    <t>W14x43</t>
  </si>
  <si>
    <t>W14x38</t>
  </si>
  <si>
    <t>W14x34</t>
  </si>
  <si>
    <t>W14x30</t>
  </si>
  <si>
    <t>W14x26</t>
  </si>
  <si>
    <t>W14x22</t>
  </si>
  <si>
    <t>W12x336</t>
  </si>
  <si>
    <t>W12x305</t>
  </si>
  <si>
    <t>W12x279</t>
  </si>
  <si>
    <t>W12x252</t>
  </si>
  <si>
    <t>W12x230</t>
  </si>
  <si>
    <t>W12x210</t>
  </si>
  <si>
    <t>W12x190</t>
  </si>
  <si>
    <t>W12x170</t>
  </si>
  <si>
    <t>W12x152</t>
  </si>
  <si>
    <t>W12x136</t>
  </si>
  <si>
    <t>W12x120</t>
  </si>
  <si>
    <t>W12x106</t>
  </si>
  <si>
    <t>W12x96</t>
  </si>
  <si>
    <t>W12x87</t>
  </si>
  <si>
    <t>W12x79</t>
  </si>
  <si>
    <t>W12x72</t>
  </si>
  <si>
    <t>W12x65</t>
  </si>
  <si>
    <t>W12x58</t>
  </si>
  <si>
    <t>W12x53</t>
  </si>
  <si>
    <t>W12x50</t>
  </si>
  <si>
    <t>W12x45</t>
  </si>
  <si>
    <t>W12x40</t>
  </si>
  <si>
    <t>W12x35</t>
  </si>
  <si>
    <t>W12x30</t>
  </si>
  <si>
    <t>W12x26</t>
  </si>
  <si>
    <t>W12x22</t>
  </si>
  <si>
    <t>W12x16</t>
  </si>
  <si>
    <t>W12x14</t>
  </si>
  <si>
    <t>W12x19</t>
  </si>
  <si>
    <t>W10x112</t>
  </si>
  <si>
    <t>W10x100</t>
  </si>
  <si>
    <t>W10x88</t>
  </si>
  <si>
    <t>W10x77</t>
  </si>
  <si>
    <t>W10x68</t>
  </si>
  <si>
    <t>W10x60</t>
  </si>
  <si>
    <t>W10x54</t>
  </si>
  <si>
    <t>W10x49</t>
  </si>
  <si>
    <t>W10x45</t>
  </si>
  <si>
    <t>W10x39</t>
  </si>
  <si>
    <t>W10x33</t>
  </si>
  <si>
    <t>W10x30</t>
  </si>
  <si>
    <t>W10x26</t>
  </si>
  <si>
    <t>W10x22</t>
  </si>
  <si>
    <t>W10x19</t>
  </si>
  <si>
    <t>W10x17</t>
  </si>
  <si>
    <t>W10x15</t>
  </si>
  <si>
    <t>W10x12</t>
  </si>
  <si>
    <t>W8x67</t>
  </si>
  <si>
    <t>W8x58</t>
  </si>
  <si>
    <t>W8x48</t>
  </si>
  <si>
    <t>W8x40</t>
  </si>
  <si>
    <t>W8x35</t>
  </si>
  <si>
    <t>W8x31</t>
  </si>
  <si>
    <t>W8x28</t>
  </si>
  <si>
    <t>W8x24</t>
  </si>
  <si>
    <t>W8x21</t>
  </si>
  <si>
    <t>W8x18</t>
  </si>
  <si>
    <t>W8x15</t>
  </si>
  <si>
    <t>W8x13</t>
  </si>
  <si>
    <t>W8x10</t>
  </si>
  <si>
    <t>W6x25</t>
  </si>
  <si>
    <t>W6x20</t>
  </si>
  <si>
    <t>W6x15</t>
  </si>
  <si>
    <t>W6x16</t>
  </si>
  <si>
    <t>W6x12</t>
  </si>
  <si>
    <t>W6x9</t>
  </si>
  <si>
    <t>W5x19</t>
  </si>
  <si>
    <t>W5x16</t>
  </si>
  <si>
    <t>W4x13</t>
  </si>
  <si>
    <t>bf</t>
  </si>
  <si>
    <t>Web</t>
  </si>
  <si>
    <t>M Shapes</t>
  </si>
  <si>
    <t>W Shapes</t>
  </si>
  <si>
    <t>M14x18</t>
  </si>
  <si>
    <t>Max</t>
  </si>
  <si>
    <t>Bolt</t>
  </si>
  <si>
    <t>M12x11.8</t>
  </si>
  <si>
    <t>-</t>
  </si>
  <si>
    <t>M10x9</t>
  </si>
  <si>
    <t>M8x6.5</t>
  </si>
  <si>
    <t>M6x4.4</t>
  </si>
  <si>
    <t>M5x18.9</t>
  </si>
  <si>
    <t>S Shapes</t>
  </si>
  <si>
    <t>S24x121</t>
  </si>
  <si>
    <t>S24x106</t>
  </si>
  <si>
    <t>Grip</t>
  </si>
  <si>
    <t>S24x100</t>
  </si>
  <si>
    <t>S24x90</t>
  </si>
  <si>
    <t>S24x80</t>
  </si>
  <si>
    <t>S20x96</t>
  </si>
  <si>
    <t>S20x86</t>
  </si>
  <si>
    <t>S20x75</t>
  </si>
  <si>
    <t>S20x66</t>
  </si>
  <si>
    <t>S18x70</t>
  </si>
  <si>
    <t>S18x54.7</t>
  </si>
  <si>
    <t>S15x50</t>
  </si>
  <si>
    <t>S15x42.9</t>
  </si>
  <si>
    <t>S12x50</t>
  </si>
  <si>
    <t>S12x40.8</t>
  </si>
  <si>
    <t>S12x35</t>
  </si>
  <si>
    <t>S12x31.8</t>
  </si>
  <si>
    <t>S10x35</t>
  </si>
  <si>
    <t>S10x25.4</t>
  </si>
  <si>
    <t>S8x23</t>
  </si>
  <si>
    <t>S8x18.4</t>
  </si>
  <si>
    <t>S7x20</t>
  </si>
  <si>
    <t>S7x15.3</t>
  </si>
  <si>
    <t>S6x17.25</t>
  </si>
  <si>
    <t>S6x12.5</t>
  </si>
  <si>
    <t>S5x14.75</t>
  </si>
  <si>
    <t>S5x10</t>
  </si>
  <si>
    <t>S4x9.5</t>
  </si>
  <si>
    <t>S4x7.7</t>
  </si>
  <si>
    <t>S3x7.5</t>
  </si>
  <si>
    <t>S3x5.7</t>
  </si>
  <si>
    <t>HP Shapes</t>
  </si>
  <si>
    <t>HP14x117</t>
  </si>
  <si>
    <t>HP14x102</t>
  </si>
  <si>
    <t>HP14x89</t>
  </si>
  <si>
    <t>HP14x73</t>
  </si>
  <si>
    <t>HP13x100</t>
  </si>
  <si>
    <t>HP13x87</t>
  </si>
  <si>
    <t>HP13x73</t>
  </si>
  <si>
    <t>HP13x60</t>
  </si>
  <si>
    <t>HP12x84</t>
  </si>
  <si>
    <t>HP12x74</t>
  </si>
  <si>
    <t>HP12x63</t>
  </si>
  <si>
    <t>HP12x53</t>
  </si>
  <si>
    <t>HP10x57</t>
  </si>
  <si>
    <t>HP10x42</t>
  </si>
  <si>
    <t>HP8x36</t>
  </si>
  <si>
    <t>*Flg. Thk.</t>
  </si>
  <si>
    <t>Channel</t>
  </si>
  <si>
    <t>Max.</t>
  </si>
  <si>
    <t>C15x50</t>
  </si>
  <si>
    <t>C15x40</t>
  </si>
  <si>
    <t>C15x33.9</t>
  </si>
  <si>
    <t>C12x30</t>
  </si>
  <si>
    <t>C12x25</t>
  </si>
  <si>
    <t>C12x20.7</t>
  </si>
  <si>
    <t>C10x25</t>
  </si>
  <si>
    <t>C10x20</t>
  </si>
  <si>
    <t>C10x15.3</t>
  </si>
  <si>
    <t>C9x20</t>
  </si>
  <si>
    <t>C9x15</t>
  </si>
  <si>
    <t>C9x13.4</t>
  </si>
  <si>
    <t>C8x18.75</t>
  </si>
  <si>
    <t>C8x13.75</t>
  </si>
  <si>
    <t>C8x11.5</t>
  </si>
  <si>
    <t>C7x14.75</t>
  </si>
  <si>
    <t>C7x12.25</t>
  </si>
  <si>
    <t>C7x9.8</t>
  </si>
  <si>
    <t>C6x13</t>
  </si>
  <si>
    <t>C6x10.5</t>
  </si>
  <si>
    <t>C6x8.2</t>
  </si>
  <si>
    <t>C5x9</t>
  </si>
  <si>
    <t>C5x6.7</t>
  </si>
  <si>
    <t>C4x7.25</t>
  </si>
  <si>
    <t>C4x5.4</t>
  </si>
  <si>
    <t>C3x6</t>
  </si>
  <si>
    <t>C3x5</t>
  </si>
  <si>
    <t>C3x4.1</t>
  </si>
  <si>
    <t>C10X30</t>
  </si>
  <si>
    <t xml:space="preserve">  </t>
  </si>
  <si>
    <t>Avg. Flg. Thk.</t>
  </si>
  <si>
    <t>Channels</t>
  </si>
  <si>
    <t>Miscellaneous</t>
  </si>
  <si>
    <t>MC9x25.4</t>
  </si>
  <si>
    <t>Standard</t>
  </si>
  <si>
    <t>MC18x58</t>
  </si>
  <si>
    <t>MC18x51.9</t>
  </si>
  <si>
    <t>MC18x45.8</t>
  </si>
  <si>
    <t>MC18x42.7</t>
  </si>
  <si>
    <t>MC13x50</t>
  </si>
  <si>
    <t>MC13x40</t>
  </si>
  <si>
    <t>MC13x35</t>
  </si>
  <si>
    <t>MC13x31.8</t>
  </si>
  <si>
    <t>MC12x50</t>
  </si>
  <si>
    <t>MC12x45</t>
  </si>
  <si>
    <t>MC12x40</t>
  </si>
  <si>
    <t>MC12x35</t>
  </si>
  <si>
    <t>MC12x10.6</t>
  </si>
  <si>
    <t>MC10x41.1</t>
  </si>
  <si>
    <t>MC10x33.6</t>
  </si>
  <si>
    <t>MC10x28.5</t>
  </si>
  <si>
    <t>MC10x8.4</t>
  </si>
  <si>
    <t>MC10x6.5</t>
  </si>
  <si>
    <t>MC9x23.9</t>
  </si>
  <si>
    <t>MC8x22.8</t>
  </si>
  <si>
    <t>MC8x18.7</t>
  </si>
  <si>
    <t>MC8x8.5</t>
  </si>
  <si>
    <t>MC7x22.7</t>
  </si>
  <si>
    <t>MC7x19.1</t>
  </si>
  <si>
    <t>MC6x16.3</t>
  </si>
  <si>
    <t>MC6x15.1</t>
  </si>
  <si>
    <t>MC6x12</t>
  </si>
  <si>
    <t>MC8x20</t>
  </si>
  <si>
    <t>MC6x18</t>
  </si>
  <si>
    <t>MC6x15.3</t>
  </si>
  <si>
    <t>L9x4</t>
  </si>
  <si>
    <t>Thk.</t>
  </si>
  <si>
    <t>Angles in shaded rows may not be readily available</t>
  </si>
  <si>
    <t>L8x8</t>
  </si>
  <si>
    <t>L8x6</t>
  </si>
  <si>
    <t>L8x4</t>
  </si>
  <si>
    <t>L7x4</t>
  </si>
  <si>
    <t>L6x6</t>
  </si>
  <si>
    <t>L6x4</t>
  </si>
  <si>
    <t>L6x3 1/2</t>
  </si>
  <si>
    <t>L5x5</t>
  </si>
  <si>
    <t>L5x3 1/2</t>
  </si>
  <si>
    <t>L4x4</t>
  </si>
  <si>
    <t>L4x3 1/2</t>
  </si>
  <si>
    <t>L4x3</t>
  </si>
  <si>
    <t>L3 1/2x3 1/2</t>
  </si>
  <si>
    <t>L3 1/2x3</t>
  </si>
  <si>
    <t>L3 1/2x2 1/2</t>
  </si>
  <si>
    <t>L3x3</t>
  </si>
  <si>
    <t>L3x2 1/2</t>
  </si>
  <si>
    <t>L3x2</t>
  </si>
  <si>
    <t>L2 1/2x2 1/2</t>
  </si>
  <si>
    <t>L2 1/2x2</t>
  </si>
  <si>
    <t>L2x2</t>
  </si>
  <si>
    <t>WT18x150</t>
  </si>
  <si>
    <t>WT18x140</t>
  </si>
  <si>
    <t>WT18x130</t>
  </si>
  <si>
    <t>WT18x122.5</t>
  </si>
  <si>
    <t>WT18x115</t>
  </si>
  <si>
    <t>WT18x105</t>
  </si>
  <si>
    <t>WT18x97</t>
  </si>
  <si>
    <t>WT18x91</t>
  </si>
  <si>
    <t>WT18x85</t>
  </si>
  <si>
    <t>WT18x80</t>
  </si>
  <si>
    <t>WT18x75</t>
  </si>
  <si>
    <t>WT18x67.5</t>
  </si>
  <si>
    <t>WT16.5x120.5</t>
  </si>
  <si>
    <t>WT16.5x110.5</t>
  </si>
  <si>
    <t>WT16.5x100.5</t>
  </si>
  <si>
    <t>WT16.5x76</t>
  </si>
  <si>
    <t>WT16.5x70.5</t>
  </si>
  <si>
    <t>WT16.5x65</t>
  </si>
  <si>
    <t>WT16.5x59</t>
  </si>
  <si>
    <t>WT15x105.5</t>
  </si>
  <si>
    <t>WT15x95.5</t>
  </si>
  <si>
    <t>WT15x86.5</t>
  </si>
  <si>
    <t>WT15x66</t>
  </si>
  <si>
    <t>WT15x62</t>
  </si>
  <si>
    <t>WT15x58</t>
  </si>
  <si>
    <t>WT15x54</t>
  </si>
  <si>
    <t>WT15x49.5</t>
  </si>
  <si>
    <t>WT13.5x89</t>
  </si>
  <si>
    <t>WT13.5x80.5</t>
  </si>
  <si>
    <t>WT13.5x73</t>
  </si>
  <si>
    <t>WT13.5x57</t>
  </si>
  <si>
    <t>WT13.5x51</t>
  </si>
  <si>
    <t>WT13.5x47</t>
  </si>
  <si>
    <t>WT13.5x42</t>
  </si>
  <si>
    <t>WT12x81</t>
  </si>
  <si>
    <t>WT12x73</t>
  </si>
  <si>
    <t>WT12x65.5</t>
  </si>
  <si>
    <t>WT12x58.5</t>
  </si>
  <si>
    <t>WT12x52</t>
  </si>
  <si>
    <t>WT12x47</t>
  </si>
  <si>
    <t>WT12x42</t>
  </si>
  <si>
    <t>WT12x38</t>
  </si>
  <si>
    <t>WT12x34</t>
  </si>
  <si>
    <t>WT12x31</t>
  </si>
  <si>
    <t>WT12x27.5</t>
  </si>
  <si>
    <t>WT10.5x73.5</t>
  </si>
  <si>
    <t>WT10.5x66</t>
  </si>
  <si>
    <t>WT10.5x61</t>
  </si>
  <si>
    <t>WT10.5x55.5</t>
  </si>
  <si>
    <t>WT10.5x50.5</t>
  </si>
  <si>
    <t>WT10.5x46.5</t>
  </si>
  <si>
    <t>WT10.5x41.5</t>
  </si>
  <si>
    <t>WT10.5x36.5</t>
  </si>
  <si>
    <t>WT10.5x34</t>
  </si>
  <si>
    <t>WT10.5x31</t>
  </si>
  <si>
    <t>WT10.5x28.5</t>
  </si>
  <si>
    <t>WT10.5x25</t>
  </si>
  <si>
    <t>WT10.5x22</t>
  </si>
  <si>
    <t>WT9x59.5</t>
  </si>
  <si>
    <t>WT9x53</t>
  </si>
  <si>
    <t>WT9x48.5</t>
  </si>
  <si>
    <t>WT9x43</t>
  </si>
  <si>
    <t>WT9x38</t>
  </si>
  <si>
    <t>WT9x35.5</t>
  </si>
  <si>
    <t>WT9x32.5</t>
  </si>
  <si>
    <t>WT9x30</t>
  </si>
  <si>
    <t>WT9x27.5</t>
  </si>
  <si>
    <t>WT9x25</t>
  </si>
  <si>
    <t>WT9x23</t>
  </si>
  <si>
    <t>WT9x20</t>
  </si>
  <si>
    <t>WT9x17.5</t>
  </si>
  <si>
    <t>WT8x50</t>
  </si>
  <si>
    <t>WT8x44.5</t>
  </si>
  <si>
    <t>WT8x38.5</t>
  </si>
  <si>
    <t>WT8x33.5</t>
  </si>
  <si>
    <t>WT8x28.5</t>
  </si>
  <si>
    <t>WT8x25</t>
  </si>
  <si>
    <t>WT8x22.5</t>
  </si>
  <si>
    <t>WT8x20</t>
  </si>
  <si>
    <t>WT8x18</t>
  </si>
  <si>
    <t>WT8x15.5</t>
  </si>
  <si>
    <t>WT8x13</t>
  </si>
  <si>
    <t>WT7x365</t>
  </si>
  <si>
    <t>WT7x332.5</t>
  </si>
  <si>
    <t>WT7x302.5</t>
  </si>
  <si>
    <t>WT7x275</t>
  </si>
  <si>
    <t>WT7x250</t>
  </si>
  <si>
    <t>WT7x227.5</t>
  </si>
  <si>
    <t>WT7x213</t>
  </si>
  <si>
    <t>WT7x199</t>
  </si>
  <si>
    <t>WT7x185</t>
  </si>
  <si>
    <t>WT7x171</t>
  </si>
  <si>
    <t>WT7x155.5</t>
  </si>
  <si>
    <t>WT7x141.5</t>
  </si>
  <si>
    <t>WT7x128.5</t>
  </si>
  <si>
    <t>WT7x116.5</t>
  </si>
  <si>
    <t>WT7x105.5</t>
  </si>
  <si>
    <t>WT7x96.5</t>
  </si>
  <si>
    <t>WT7x88</t>
  </si>
  <si>
    <t>WT7x79.5</t>
  </si>
  <si>
    <t>WT7x72.5</t>
  </si>
  <si>
    <t>WT7x66</t>
  </si>
  <si>
    <t>WT7x60</t>
  </si>
  <si>
    <t>WT7x54.5</t>
  </si>
  <si>
    <t>WT7x49.5</t>
  </si>
  <si>
    <t>WT7x45</t>
  </si>
  <si>
    <t>WT7x41</t>
  </si>
  <si>
    <t>WT7x37</t>
  </si>
  <si>
    <t>WT7x34</t>
  </si>
  <si>
    <t>WT7x30.5</t>
  </si>
  <si>
    <t>WT7x26.5</t>
  </si>
  <si>
    <t>WT7x24</t>
  </si>
  <si>
    <t>WT7x21.5</t>
  </si>
  <si>
    <t>WT7x19</t>
  </si>
  <si>
    <t>WT7x17</t>
  </si>
  <si>
    <t>WT7x15</t>
  </si>
  <si>
    <t>WT7x13</t>
  </si>
  <si>
    <t>WT7x11</t>
  </si>
  <si>
    <t>WT6x168</t>
  </si>
  <si>
    <t>WT6x152.5</t>
  </si>
  <si>
    <t>WT6x139.5</t>
  </si>
  <si>
    <t>WT6x126</t>
  </si>
  <si>
    <t>WT6x115</t>
  </si>
  <si>
    <t>WT6x105</t>
  </si>
  <si>
    <t>WT6x95</t>
  </si>
  <si>
    <t>WT6x85</t>
  </si>
  <si>
    <t>WT6x76</t>
  </si>
  <si>
    <t>WT6x68</t>
  </si>
  <si>
    <t>WT6x60</t>
  </si>
  <si>
    <t>WT6x53</t>
  </si>
  <si>
    <t>WT6x48</t>
  </si>
  <si>
    <t>WT6x43.5</t>
  </si>
  <si>
    <t>WT6x39.5</t>
  </si>
  <si>
    <t>WT6x36</t>
  </si>
  <si>
    <t>WT6x32.5</t>
  </si>
  <si>
    <t>WT6x29</t>
  </si>
  <si>
    <t>WT6x26.5</t>
  </si>
  <si>
    <t>WT6x25</t>
  </si>
  <si>
    <t>WT6x22.5</t>
  </si>
  <si>
    <t>WT6x20</t>
  </si>
  <si>
    <t>WT6x17.5</t>
  </si>
  <si>
    <t>WT6x15</t>
  </si>
  <si>
    <t>WT6x13</t>
  </si>
  <si>
    <t>WT6x11</t>
  </si>
  <si>
    <t>WT6x9.5</t>
  </si>
  <si>
    <t>WT6x8</t>
  </si>
  <si>
    <t>WT6x7</t>
  </si>
  <si>
    <t>WT5x56</t>
  </si>
  <si>
    <t>WT5x50</t>
  </si>
  <si>
    <t>WT5x44</t>
  </si>
  <si>
    <t>WT5x38.5</t>
  </si>
  <si>
    <t>WT5x34</t>
  </si>
  <si>
    <t>WT5x30</t>
  </si>
  <si>
    <t>WT5x27</t>
  </si>
  <si>
    <t>WT5x24.5</t>
  </si>
  <si>
    <t>WT5x22.5</t>
  </si>
  <si>
    <t>WT5x19.5</t>
  </si>
  <si>
    <t>WT5x16.5</t>
  </si>
  <si>
    <t>WT5x15</t>
  </si>
  <si>
    <t>WT5x13</t>
  </si>
  <si>
    <t>WT5x11</t>
  </si>
  <si>
    <t>WT5x9.5</t>
  </si>
  <si>
    <t>WT5x8.5</t>
  </si>
  <si>
    <t>WT5x7.5</t>
  </si>
  <si>
    <t>WT5x6</t>
  </si>
  <si>
    <t>WT4x33.5</t>
  </si>
  <si>
    <t>WT4x29</t>
  </si>
  <si>
    <t>WT4x24</t>
  </si>
  <si>
    <t>WT4x20</t>
  </si>
  <si>
    <t>WT4x17.5</t>
  </si>
  <si>
    <t>WT4x15.5</t>
  </si>
  <si>
    <t>WT4x14</t>
  </si>
  <si>
    <t>WT4x12</t>
  </si>
  <si>
    <t>WT4x10.5</t>
  </si>
  <si>
    <t>WT4x9</t>
  </si>
  <si>
    <t>WT4x7.5</t>
  </si>
  <si>
    <t>WT4x6.5</t>
  </si>
  <si>
    <t>WT4x5</t>
  </si>
  <si>
    <t>WT3x12.5</t>
  </si>
  <si>
    <t>WT3x10</t>
  </si>
  <si>
    <t>WT3x7.5</t>
  </si>
  <si>
    <t>WT3x8</t>
  </si>
  <si>
    <t>WT3x6</t>
  </si>
  <si>
    <t>WT3x4.5</t>
  </si>
  <si>
    <t>WT2.5x9.5</t>
  </si>
  <si>
    <t>WT2.5x8</t>
  </si>
  <si>
    <t>WT2x6.5</t>
  </si>
  <si>
    <t>WTee</t>
  </si>
  <si>
    <t>Structutral Tees</t>
  </si>
  <si>
    <t>Cut from W shapes</t>
  </si>
  <si>
    <t>STee</t>
  </si>
  <si>
    <t>ST12x60.5</t>
  </si>
  <si>
    <t>Cut from S shapes</t>
  </si>
  <si>
    <t>ST12x53</t>
  </si>
  <si>
    <t>ST12x50</t>
  </si>
  <si>
    <t>ST12x45</t>
  </si>
  <si>
    <t>ST12x40</t>
  </si>
  <si>
    <t>ST10x48</t>
  </si>
  <si>
    <t>ST10x43</t>
  </si>
  <si>
    <t>ST10x37.5</t>
  </si>
  <si>
    <t>ST10x33</t>
  </si>
  <si>
    <t>ST9x35</t>
  </si>
  <si>
    <t>ST9x27.35</t>
  </si>
  <si>
    <t>ST7.5x25</t>
  </si>
  <si>
    <t>ST7.5x21.45</t>
  </si>
  <si>
    <t>ST6x25</t>
  </si>
  <si>
    <t>ST6x20.4</t>
  </si>
  <si>
    <t>ST6x17.5</t>
  </si>
  <si>
    <t>ST6x15.9</t>
  </si>
  <si>
    <t>ST5x17.5</t>
  </si>
  <si>
    <t>ST5x12.7</t>
  </si>
  <si>
    <t>ST4x11.5</t>
  </si>
  <si>
    <t>ST4x9.2</t>
  </si>
  <si>
    <t>ST3.5x10</t>
  </si>
  <si>
    <t>ST3.5x7.65</t>
  </si>
  <si>
    <t>ST3x8.625</t>
  </si>
  <si>
    <t>ST3x6.25</t>
  </si>
  <si>
    <t>ST2.5x7.375</t>
  </si>
  <si>
    <t>ST2.5x5</t>
  </si>
  <si>
    <t>ST2x4.75</t>
  </si>
  <si>
    <t>ST2x3.85</t>
  </si>
  <si>
    <t>ST1.5x3.75</t>
  </si>
  <si>
    <t>ST1.5x2.85</t>
  </si>
  <si>
    <t>g1</t>
  </si>
  <si>
    <t>g2</t>
  </si>
  <si>
    <t>Angles</t>
  </si>
  <si>
    <t>Leg</t>
  </si>
  <si>
    <t xml:space="preserve">   g</t>
  </si>
  <si>
    <t>g</t>
  </si>
  <si>
    <t>Usual Gages For Angles , Inches</t>
  </si>
  <si>
    <t>Radius Equals two times wall thickness</t>
  </si>
  <si>
    <t>Structural Tubing</t>
  </si>
  <si>
    <t>Nominal</t>
  </si>
  <si>
    <t>Wall</t>
  </si>
  <si>
    <t>Thk</t>
  </si>
  <si>
    <t>Weight</t>
  </si>
  <si>
    <t>16x16</t>
  </si>
  <si>
    <t>14x14</t>
  </si>
  <si>
    <t>12x12</t>
  </si>
  <si>
    <t>10x10</t>
  </si>
  <si>
    <t>8x8</t>
  </si>
  <si>
    <t>7x7</t>
  </si>
  <si>
    <t>6x6</t>
  </si>
  <si>
    <t>5x5</t>
  </si>
  <si>
    <t>4x4</t>
  </si>
  <si>
    <t>3.5x3.5</t>
  </si>
  <si>
    <t>3x3</t>
  </si>
  <si>
    <t>2.5x2.5</t>
  </si>
  <si>
    <t>2x2</t>
  </si>
  <si>
    <t>Square</t>
  </si>
  <si>
    <t>Rectangular</t>
  </si>
  <si>
    <t>20x12</t>
  </si>
  <si>
    <t>20x8</t>
  </si>
  <si>
    <t>20x4</t>
  </si>
  <si>
    <t>18x6</t>
  </si>
  <si>
    <t>16x12</t>
  </si>
  <si>
    <t>16x8</t>
  </si>
  <si>
    <t>16x4</t>
  </si>
  <si>
    <t>14x10</t>
  </si>
  <si>
    <t>14x6</t>
  </si>
  <si>
    <t>14x4</t>
  </si>
  <si>
    <t>12x8</t>
  </si>
  <si>
    <t>12x6</t>
  </si>
  <si>
    <t>12x4</t>
  </si>
  <si>
    <t>12x2</t>
  </si>
  <si>
    <t>10x6</t>
  </si>
  <si>
    <t>10x4</t>
  </si>
  <si>
    <t>10x2</t>
  </si>
  <si>
    <t>8x6</t>
  </si>
  <si>
    <t>8x4</t>
  </si>
  <si>
    <t>8x3</t>
  </si>
  <si>
    <t>8x2</t>
  </si>
  <si>
    <t>7x5</t>
  </si>
  <si>
    <t>7x4</t>
  </si>
  <si>
    <t>7x3</t>
  </si>
  <si>
    <t>6x4</t>
  </si>
  <si>
    <t>6x3</t>
  </si>
  <si>
    <t>6x2</t>
  </si>
  <si>
    <t>5x4</t>
  </si>
  <si>
    <t>5x3</t>
  </si>
  <si>
    <t>5x2</t>
  </si>
  <si>
    <t>4x3</t>
  </si>
  <si>
    <t>4x2</t>
  </si>
  <si>
    <t>3x2</t>
  </si>
  <si>
    <t>Pipe Size</t>
  </si>
  <si>
    <t>O.D.</t>
  </si>
  <si>
    <t>Outside</t>
  </si>
  <si>
    <t>Dia.</t>
  </si>
  <si>
    <t>Desig-</t>
  </si>
  <si>
    <t>nation</t>
  </si>
  <si>
    <t>Thickness</t>
  </si>
  <si>
    <t>Std.</t>
  </si>
  <si>
    <t>X-Stg.</t>
  </si>
  <si>
    <t>10S</t>
  </si>
  <si>
    <t>XX-Stg.</t>
  </si>
  <si>
    <t>API</t>
  </si>
  <si>
    <t>--</t>
  </si>
  <si>
    <t>12 Ga.</t>
  </si>
  <si>
    <t>8 Ga.</t>
  </si>
  <si>
    <t>6Ga.</t>
  </si>
  <si>
    <t>10 Ga.</t>
  </si>
  <si>
    <t>6 Ga.</t>
  </si>
  <si>
    <t>3 Ga.</t>
  </si>
  <si>
    <t>Lbs/ Ft.</t>
  </si>
  <si>
    <t>Kg/M</t>
  </si>
  <si>
    <t>Pipe Tables</t>
  </si>
  <si>
    <t>Lbs/Ft</t>
  </si>
  <si>
    <t>Pipe</t>
  </si>
  <si>
    <t xml:space="preserve"> Thk.</t>
  </si>
  <si>
    <t xml:space="preserve">Wt. Of </t>
  </si>
  <si>
    <t>** Use Pipe Weights if Given Below</t>
  </si>
  <si>
    <t>Wt Of Pipe</t>
  </si>
  <si>
    <t>Water/Ft-Lbs.</t>
  </si>
  <si>
    <t>&amp; Water-Lbs/Ft</t>
  </si>
  <si>
    <t>Sq. Ft.- Surf</t>
  </si>
  <si>
    <t>Area - per Ft</t>
  </si>
  <si>
    <t>Shapes in shaded rows are not available from domestic producers</t>
  </si>
  <si>
    <t>W44x285</t>
  </si>
  <si>
    <t>W44X248</t>
  </si>
  <si>
    <t>W44x224</t>
  </si>
  <si>
    <t>W44x198</t>
  </si>
  <si>
    <t>W40x328</t>
  </si>
  <si>
    <t>W40x298</t>
  </si>
  <si>
    <t>W40x244</t>
  </si>
  <si>
    <t>W40x268</t>
  </si>
  <si>
    <t>W40x221</t>
  </si>
  <si>
    <t>W40x192</t>
  </si>
  <si>
    <t>W40x655</t>
  </si>
  <si>
    <t>W40x593</t>
  </si>
  <si>
    <t>W40x531</t>
  </si>
  <si>
    <t>W40x480</t>
  </si>
  <si>
    <t>W40x436</t>
  </si>
  <si>
    <t>W40x397</t>
  </si>
  <si>
    <t>W40x362</t>
  </si>
  <si>
    <t>W40x324</t>
  </si>
  <si>
    <t>W40x297</t>
  </si>
  <si>
    <t>W40x277</t>
  </si>
  <si>
    <t>W40x249</t>
  </si>
  <si>
    <t>W40x215</t>
  </si>
  <si>
    <t>W40x199</t>
  </si>
  <si>
    <t>W40x183</t>
  </si>
  <si>
    <t>W40x167</t>
  </si>
  <si>
    <t>W40x149</t>
  </si>
  <si>
    <t>W36x328</t>
  </si>
  <si>
    <t>W36x359</t>
  </si>
  <si>
    <t>W36x393</t>
  </si>
  <si>
    <t>W36x439</t>
  </si>
  <si>
    <t>W36x485</t>
  </si>
  <si>
    <t>W36x527</t>
  </si>
  <si>
    <t>W36x588</t>
  </si>
  <si>
    <t>W36x650</t>
  </si>
  <si>
    <t>W36x720</t>
  </si>
  <si>
    <t>W36x798</t>
  </si>
  <si>
    <t>W36x848</t>
  </si>
  <si>
    <t>W33x263</t>
  </si>
  <si>
    <t>W33x291</t>
  </si>
  <si>
    <t>W33x318</t>
  </si>
  <si>
    <t>W33x354</t>
  </si>
  <si>
    <t>W33x387</t>
  </si>
  <si>
    <t>W33x424</t>
  </si>
  <si>
    <t>W33x468</t>
  </si>
  <si>
    <t>W33x515</t>
  </si>
  <si>
    <t>W33x567</t>
  </si>
  <si>
    <t>W33x619</t>
  </si>
  <si>
    <t>W30x235</t>
  </si>
  <si>
    <t>W30x261</t>
  </si>
  <si>
    <t>W30x292</t>
  </si>
  <si>
    <t>W30x326</t>
  </si>
  <si>
    <t>W30x357</t>
  </si>
  <si>
    <t>W30x391</t>
  </si>
  <si>
    <t>W30x433</t>
  </si>
  <si>
    <t>W30x477</t>
  </si>
  <si>
    <t>W30x526</t>
  </si>
  <si>
    <t>W30x581</t>
  </si>
  <si>
    <t>W27x194</t>
  </si>
  <si>
    <t>W27x217</t>
  </si>
  <si>
    <t>W27x235</t>
  </si>
  <si>
    <t>W27x258</t>
  </si>
  <si>
    <t>W27x281</t>
  </si>
  <si>
    <t>W27x307</t>
  </si>
  <si>
    <t>W27x336</t>
  </si>
  <si>
    <t>W27x368</t>
  </si>
  <si>
    <t>W27x407</t>
  </si>
  <si>
    <t>W27x448</t>
  </si>
  <si>
    <t>W27x494</t>
  </si>
  <si>
    <t>W27x539</t>
  </si>
  <si>
    <t>W24x176</t>
  </si>
  <si>
    <t>W24x192</t>
  </si>
  <si>
    <t>W24x207</t>
  </si>
  <si>
    <t>W24x229</t>
  </si>
  <si>
    <t>W24x250</t>
  </si>
  <si>
    <t>W24x279</t>
  </si>
  <si>
    <t>W24x306</t>
  </si>
  <si>
    <t>W24x335</t>
  </si>
  <si>
    <t>W24x370</t>
  </si>
  <si>
    <t>W24x408</t>
  </si>
  <si>
    <t>W24x450</t>
  </si>
  <si>
    <t>W24x492</t>
  </si>
  <si>
    <t>W21x166</t>
  </si>
  <si>
    <t>W21x182</t>
  </si>
  <si>
    <t>W21x201</t>
  </si>
  <si>
    <t>W21x223</t>
  </si>
  <si>
    <t>W21x248</t>
  </si>
  <si>
    <t>W21x275</t>
  </si>
  <si>
    <t>W21x300</t>
  </si>
  <si>
    <t>W21x333</t>
  </si>
  <si>
    <t>W21x364</t>
  </si>
  <si>
    <t>W21x402</t>
  </si>
  <si>
    <t>W18x130</t>
  </si>
  <si>
    <t>W18x143</t>
  </si>
  <si>
    <t>W18x158</t>
  </si>
  <si>
    <t>W18x175</t>
  </si>
  <si>
    <t>W18x192</t>
  </si>
  <si>
    <t>W18x211</t>
  </si>
  <si>
    <t>W18x234</t>
  </si>
  <si>
    <t>W18x258</t>
  </si>
  <si>
    <t>W18x283</t>
  </si>
  <si>
    <t>W18x311</t>
  </si>
  <si>
    <t>L1 3/4x1 3/4</t>
  </si>
  <si>
    <t>L1 1/2x1 1/2</t>
  </si>
  <si>
    <t>L1 1/4x1 1/4</t>
  </si>
  <si>
    <t>L1x1</t>
  </si>
  <si>
    <t>L1 1/8x1 1/8</t>
  </si>
  <si>
    <t>WT18x164</t>
  </si>
  <si>
    <t>WT18x179.5</t>
  </si>
  <si>
    <t>WT16.5x131.5</t>
  </si>
  <si>
    <t>WT16.5x145.5</t>
  </si>
  <si>
    <t>WT16.5x159</t>
  </si>
  <si>
    <t>WT16.5x177</t>
  </si>
  <si>
    <t>WT15x117.5</t>
  </si>
  <si>
    <t>WT13.5X97</t>
  </si>
  <si>
    <t>WT13.5x108.5</t>
  </si>
  <si>
    <t>WT12x88</t>
  </si>
  <si>
    <t>WT10.5x83</t>
  </si>
  <si>
    <t>Stem Thk.</t>
  </si>
  <si>
    <t>WT9x65</t>
  </si>
  <si>
    <t>WT9x71.5</t>
  </si>
  <si>
    <t>9x9</t>
  </si>
  <si>
    <t>4.5x4.5</t>
  </si>
  <si>
    <t>10x8</t>
  </si>
  <si>
    <t>10x5</t>
  </si>
  <si>
    <t>9x7</t>
  </si>
  <si>
    <t>9x6</t>
  </si>
  <si>
    <t>9x5</t>
  </si>
  <si>
    <t>9x3</t>
  </si>
  <si>
    <t>7x2</t>
  </si>
  <si>
    <t>6x5</t>
  </si>
  <si>
    <t>3.5x2.5</t>
  </si>
  <si>
    <t>L5x3</t>
  </si>
  <si>
    <t>W36x256</t>
  </si>
  <si>
    <t>W36x232</t>
  </si>
  <si>
    <t>W33x169</t>
  </si>
  <si>
    <t>W30x148</t>
  </si>
  <si>
    <t>W30x90</t>
  </si>
  <si>
    <t>W27x129</t>
  </si>
  <si>
    <t>W24x103</t>
  </si>
  <si>
    <t>M12x10.8</t>
  </si>
  <si>
    <t>M12x10</t>
  </si>
  <si>
    <t>M10x8</t>
  </si>
  <si>
    <t>M10x7.5</t>
  </si>
  <si>
    <t>MC12x31</t>
  </si>
  <si>
    <t>MC10x25</t>
  </si>
  <si>
    <t>MC10x22</t>
  </si>
  <si>
    <t>MC8x21.4</t>
  </si>
  <si>
    <t>WT18x128</t>
  </si>
  <si>
    <t>WT18x116</t>
  </si>
  <si>
    <t>WT16.5x84.5</t>
  </si>
  <si>
    <t>WT15x74</t>
  </si>
  <si>
    <t>Wt13.5x64.5</t>
  </si>
  <si>
    <t>WT12x51.5</t>
  </si>
  <si>
    <t xml:space="preserve">         Web thk. "tw"</t>
  </si>
  <si>
    <t>Flg. Thk "tf"</t>
  </si>
  <si>
    <t xml:space="preserve"> "d"</t>
  </si>
  <si>
    <t xml:space="preserve">   Flg. Width "bf"</t>
  </si>
  <si>
    <t xml:space="preserve">        Flg Gage</t>
  </si>
  <si>
    <t xml:space="preserve">         k1</t>
  </si>
  <si>
    <t xml:space="preserve">  k</t>
  </si>
  <si>
    <t>Web Gage</t>
  </si>
  <si>
    <t xml:space="preserve">    Avg.  Flg. Thk "tf"</t>
  </si>
  <si>
    <t xml:space="preserve">  Flg. Width "bf"</t>
  </si>
  <si>
    <t>** Flg. Slope 1:6</t>
  </si>
  <si>
    <t xml:space="preserve"> " k"</t>
  </si>
  <si>
    <t xml:space="preserve">               Flg Gage</t>
  </si>
  <si>
    <t xml:space="preserve">              Flg. Width "bf"</t>
  </si>
  <si>
    <t xml:space="preserve">  Avg. Flg. Thk.</t>
  </si>
  <si>
    <t xml:space="preserve">  "d"</t>
  </si>
  <si>
    <t xml:space="preserve">           "k"</t>
  </si>
  <si>
    <t xml:space="preserve">         Stem Thk. "tw"</t>
  </si>
  <si>
    <t xml:space="preserve">       Avg.  Flg. Thk "tf"</t>
  </si>
  <si>
    <t xml:space="preserve">        Stem Thk. "tw"</t>
  </si>
  <si>
    <t xml:space="preserve">    Depth</t>
  </si>
  <si>
    <t xml:space="preserve">      "d"</t>
  </si>
  <si>
    <t>**Pipe  - Formulas</t>
  </si>
  <si>
    <t>Bearing Bar</t>
  </si>
  <si>
    <t>2'-0"</t>
  </si>
  <si>
    <t>2'-6"</t>
  </si>
  <si>
    <t>3'-0"</t>
  </si>
  <si>
    <t>4'-0"</t>
  </si>
  <si>
    <t>4'-6"</t>
  </si>
  <si>
    <t>5'-0"</t>
  </si>
  <si>
    <t>Nominal Wt.</t>
  </si>
  <si>
    <t>5'-6"</t>
  </si>
  <si>
    <t>7'-0"</t>
  </si>
  <si>
    <t>8'-0"</t>
  </si>
  <si>
    <t>9'-0"</t>
  </si>
  <si>
    <t>Bearing Bars Spaced 1 3/16" on centers - Cross bars 4" on center</t>
  </si>
  <si>
    <t>Span</t>
  </si>
  <si>
    <t>3/4" x 1/8"</t>
  </si>
  <si>
    <t>3/4"x3/16"</t>
  </si>
  <si>
    <t>1"x1/8"</t>
  </si>
  <si>
    <t>1"x3/16"</t>
  </si>
  <si>
    <t>1-1/4"x1/8"</t>
  </si>
  <si>
    <t>1-1/4"x3/16"</t>
  </si>
  <si>
    <t>1-1/2"x1/8"</t>
  </si>
  <si>
    <t>1-1/2"x3/16"</t>
  </si>
  <si>
    <t>1-3/4"x3/16"</t>
  </si>
  <si>
    <t>2"x3/16"</t>
  </si>
  <si>
    <t>2-1/4"x3/16"</t>
  </si>
  <si>
    <t>2-1/2"x3/16'</t>
  </si>
  <si>
    <t>U</t>
  </si>
  <si>
    <t>D</t>
  </si>
  <si>
    <t>3'-6"</t>
  </si>
  <si>
    <t>6'-0</t>
  </si>
  <si>
    <t>6'-6"</t>
  </si>
  <si>
    <t>.</t>
  </si>
  <si>
    <t>Welded Steel Grating</t>
  </si>
  <si>
    <t>Note:</t>
  </si>
  <si>
    <t>Spans and loads in the shaded area exceeds a deflection of 1/4" for uniform loads</t>
  </si>
  <si>
    <t>of 100#/sq. ft. which provide safe pedestrian comfort, but can be exceeded for other</t>
  </si>
  <si>
    <t>types of loads at the discretion of the engineer.</t>
  </si>
  <si>
    <t>C</t>
  </si>
  <si>
    <t>U-</t>
  </si>
  <si>
    <t>C-</t>
  </si>
  <si>
    <t>D-</t>
  </si>
  <si>
    <t>Safe Uniform Load in lbs per sq. ft.</t>
  </si>
  <si>
    <t>Safe Concentrated Loads in lbs per foot of Grating Width</t>
  </si>
  <si>
    <t>Deflection in inches</t>
  </si>
  <si>
    <t>lbs per sq.ft.</t>
  </si>
  <si>
    <t>ABB</t>
  </si>
  <si>
    <t xml:space="preserve">Password </t>
  </si>
  <si>
    <t>Sq. M-per M</t>
  </si>
  <si>
    <t>Surface area</t>
  </si>
  <si>
    <t>Sq.Ft-per Ft.</t>
  </si>
  <si>
    <t>Sq.M.- Surf</t>
  </si>
  <si>
    <t>Area - per M</t>
  </si>
  <si>
    <t>lbs/ft</t>
  </si>
  <si>
    <t>Surf. Area</t>
  </si>
  <si>
    <t>Sq.Ft-Ft.</t>
  </si>
  <si>
    <t>Sq.M-M.</t>
  </si>
  <si>
    <t>Kg per sq. M</t>
  </si>
  <si>
    <t>Wt. of  Water</t>
  </si>
  <si>
    <t>per Ft - Lbs.</t>
  </si>
  <si>
    <t>Wt of Pipe</t>
  </si>
  <si>
    <t>Inches</t>
  </si>
  <si>
    <t>mm</t>
  </si>
  <si>
    <t>Girder - Formulas</t>
  </si>
  <si>
    <t>English</t>
  </si>
  <si>
    <t>Metric</t>
  </si>
  <si>
    <t>Surface Area</t>
  </si>
  <si>
    <t>Sq. Ft</t>
  </si>
  <si>
    <t>Per Ft</t>
  </si>
  <si>
    <t>Per Meter</t>
  </si>
  <si>
    <t>Web Inches</t>
  </si>
  <si>
    <t>Web mm</t>
  </si>
  <si>
    <t>Kg per M</t>
  </si>
  <si>
    <t xml:space="preserve">    Flg. Width "bf"</t>
  </si>
  <si>
    <t xml:space="preserve">              Flg Gage</t>
  </si>
  <si>
    <t>KEY IN</t>
  </si>
  <si>
    <t>Surface</t>
  </si>
  <si>
    <t>Area</t>
  </si>
  <si>
    <t>Kg./M</t>
  </si>
  <si>
    <t>Sq.Ft-per Ft</t>
  </si>
  <si>
    <t>Sq.M-per M</t>
  </si>
  <si>
    <t xml:space="preserve"> Flg. Width "bf"</t>
  </si>
  <si>
    <t xml:space="preserve">      Web thk. "tw"</t>
  </si>
  <si>
    <t>Plate - Formulas</t>
  </si>
  <si>
    <t>Pl Thk.</t>
  </si>
  <si>
    <t>Pounds</t>
  </si>
  <si>
    <t>Kilograms</t>
  </si>
  <si>
    <t>per Sq. Meter</t>
  </si>
  <si>
    <t>per Sq. Ft</t>
  </si>
  <si>
    <t>Girder</t>
  </si>
  <si>
    <t>Length</t>
  </si>
  <si>
    <t>Feet</t>
  </si>
  <si>
    <t>Total</t>
  </si>
  <si>
    <t>Sq. Meters</t>
  </si>
  <si>
    <t>Web. Plate</t>
  </si>
  <si>
    <t>Flg. Plates</t>
  </si>
  <si>
    <t>Meters</t>
  </si>
  <si>
    <t>Sq.Meters</t>
  </si>
  <si>
    <t>Lbs.</t>
  </si>
  <si>
    <t>Kg</t>
  </si>
  <si>
    <t>Sq. Feet</t>
  </si>
  <si>
    <t xml:space="preserve">   Total Weight x Length</t>
  </si>
  <si>
    <t xml:space="preserve">       Total Weight</t>
  </si>
  <si>
    <t>Key In</t>
  </si>
  <si>
    <t>a=</t>
  </si>
  <si>
    <t>A=</t>
  </si>
  <si>
    <t>B=</t>
  </si>
  <si>
    <t>b=</t>
  </si>
  <si>
    <t>a1=</t>
  </si>
  <si>
    <t>b1=</t>
  </si>
  <si>
    <t>c1=</t>
  </si>
  <si>
    <t>a2=</t>
  </si>
  <si>
    <t>b2=</t>
  </si>
  <si>
    <t>Brace Length w/ 2" Clr. (English)</t>
  </si>
  <si>
    <t xml:space="preserve">    Brace Length</t>
  </si>
  <si>
    <t>Brace Length W.P. to W.P (English)</t>
  </si>
  <si>
    <t>Tubular</t>
  </si>
  <si>
    <t>C=</t>
  </si>
  <si>
    <t>c2=</t>
  </si>
  <si>
    <t>a3=</t>
  </si>
  <si>
    <t>b3=</t>
  </si>
  <si>
    <t>c3=</t>
  </si>
  <si>
    <t>a4=</t>
  </si>
  <si>
    <t>b4=</t>
  </si>
  <si>
    <t>c4=</t>
  </si>
  <si>
    <t>Brace Length 1"Clr.to 2"Clr. (English)</t>
  </si>
  <si>
    <t>Nom.</t>
  </si>
  <si>
    <r>
      <t xml:space="preserve">Wall Thickness </t>
    </r>
    <r>
      <rPr>
        <b/>
        <sz val="12"/>
        <color indexed="10"/>
        <rFont val="Arial"/>
        <family val="2"/>
      </rPr>
      <t>INCHES</t>
    </r>
  </si>
  <si>
    <t xml:space="preserve">       F</t>
  </si>
  <si>
    <t>Light</t>
  </si>
  <si>
    <t>Sch.</t>
  </si>
  <si>
    <t>A</t>
  </si>
  <si>
    <t>B</t>
  </si>
  <si>
    <t>K</t>
  </si>
  <si>
    <t>V</t>
  </si>
  <si>
    <t>E</t>
  </si>
  <si>
    <t>G</t>
  </si>
  <si>
    <t>Std</t>
  </si>
  <si>
    <t>XX-Stg</t>
  </si>
  <si>
    <t>IN</t>
  </si>
  <si>
    <t>ASA</t>
  </si>
  <si>
    <t>MSS</t>
  </si>
  <si>
    <t>2 1/16</t>
  </si>
  <si>
    <t>2 7/16</t>
  </si>
  <si>
    <t>3 3/16</t>
  </si>
  <si>
    <t>3 15/16</t>
  </si>
  <si>
    <t>6 3/16</t>
  </si>
  <si>
    <t>7 5/16</t>
  </si>
  <si>
    <t>9 5/16</t>
  </si>
  <si>
    <t>12 5/16</t>
  </si>
  <si>
    <r>
      <t xml:space="preserve">Wall Thickness </t>
    </r>
    <r>
      <rPr>
        <b/>
        <sz val="12"/>
        <color indexed="10"/>
        <rFont val="Arial"/>
        <family val="2"/>
      </rPr>
      <t>millimeters</t>
    </r>
  </si>
  <si>
    <t>English Units</t>
  </si>
  <si>
    <t>Outlet</t>
  </si>
  <si>
    <t>M</t>
  </si>
  <si>
    <t>H</t>
  </si>
  <si>
    <t>|</t>
  </si>
  <si>
    <t>Metric Units</t>
  </si>
  <si>
    <t xml:space="preserve">        150 # FLANGE WEIGHTS</t>
  </si>
  <si>
    <t>150#</t>
  </si>
  <si>
    <t>WNFLG.</t>
  </si>
  <si>
    <t>SO-FLG.</t>
  </si>
  <si>
    <t>Thrd-FLG.</t>
  </si>
  <si>
    <t>Lap-FLG.</t>
  </si>
  <si>
    <t>Blind-FLG.</t>
  </si>
  <si>
    <t>Wt.</t>
  </si>
  <si>
    <t>Lbs</t>
  </si>
  <si>
    <t xml:space="preserve">        300 # FLANGE WEIGHTS</t>
  </si>
  <si>
    <t>300#</t>
  </si>
  <si>
    <t xml:space="preserve">        400 # FLANGE WEIGHTS</t>
  </si>
  <si>
    <t>400 #</t>
  </si>
  <si>
    <t xml:space="preserve">        600 # FLANGE WEIGHTS</t>
  </si>
  <si>
    <t>600 #</t>
  </si>
  <si>
    <t xml:space="preserve">       900 # FLANGE WEIGHTS</t>
  </si>
  <si>
    <t>900 #</t>
  </si>
  <si>
    <t xml:space="preserve">      1500 # FLANGE WEIGHTS</t>
  </si>
  <si>
    <t>1500 #</t>
  </si>
  <si>
    <t xml:space="preserve">      2500 # FLANGE WEIGHTS</t>
  </si>
  <si>
    <t>2500 #</t>
  </si>
  <si>
    <t xml:space="preserve">         Y</t>
  </si>
  <si>
    <t>No. &amp;</t>
  </si>
  <si>
    <t>O</t>
  </si>
  <si>
    <t>Weld</t>
  </si>
  <si>
    <t>Slip on</t>
  </si>
  <si>
    <t>Lap</t>
  </si>
  <si>
    <t>Size of</t>
  </si>
  <si>
    <t>INCHES</t>
  </si>
  <si>
    <t>Neck</t>
  </si>
  <si>
    <t>Thrd.</t>
  </si>
  <si>
    <t>Joint</t>
  </si>
  <si>
    <t>Circle</t>
  </si>
  <si>
    <t>Holes</t>
  </si>
  <si>
    <t>4 - 5/8</t>
  </si>
  <si>
    <t>4 - 16</t>
  </si>
  <si>
    <t>4-3/4</t>
  </si>
  <si>
    <t>4-19</t>
  </si>
  <si>
    <t>8-3/4</t>
  </si>
  <si>
    <t>8-19</t>
  </si>
  <si>
    <t>8-7/8</t>
  </si>
  <si>
    <t>8-22</t>
  </si>
  <si>
    <t>12-1</t>
  </si>
  <si>
    <t>12-25</t>
  </si>
  <si>
    <t>12-1 1/8</t>
  </si>
  <si>
    <t>12-29</t>
  </si>
  <si>
    <t>16-1 1/8</t>
  </si>
  <si>
    <t>16-29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</si>
</sst>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8" formatCode="&quot;NPR&quot;#,##0.00_);[Red]\(&quot;NPR&quot;#,##0.00\)"/>
    <numFmt numFmtId="164" formatCode="0.000"/>
    <numFmt numFmtId="165" formatCode="0.0"/>
    <numFmt numFmtId="166" formatCode="0.0000"/>
    <numFmt numFmtId="167" formatCode="0.00000"/>
    <numFmt numFmtId="168" formatCode="0.0000_);[Red]\(0.0000\)"/>
  </numFmts>
  <fonts count="81" x14ac:knownFonts="1">
    <font>
      <sz val="10"/>
      <name val="Arial"/>
    </font>
    <font>
      <b/>
      <sz val="10"/>
      <color indexed="39"/>
      <name val="Arial"/>
      <family val="2"/>
    </font>
    <font>
      <b/>
      <sz val="10"/>
      <name val="Arial"/>
      <family val="2"/>
    </font>
    <font>
      <b/>
      <sz val="18"/>
      <color indexed="10"/>
      <name val="Arial"/>
      <family val="2"/>
    </font>
    <font>
      <b/>
      <sz val="10"/>
      <color indexed="12"/>
      <name val="Arial"/>
      <family val="2"/>
    </font>
    <font>
      <b/>
      <sz val="12"/>
      <name val="Arial"/>
      <family val="2"/>
    </font>
    <font>
      <b/>
      <sz val="14"/>
      <color indexed="12"/>
      <name val="Arial"/>
      <family val="2"/>
    </font>
    <font>
      <b/>
      <sz val="8"/>
      <color indexed="12"/>
      <name val="Arial"/>
      <family val="2"/>
    </font>
    <font>
      <sz val="8"/>
      <name val="Arial"/>
      <family val="2"/>
    </font>
    <font>
      <b/>
      <sz val="11"/>
      <color indexed="12"/>
      <name val="Arial"/>
      <family val="2"/>
    </font>
    <font>
      <b/>
      <sz val="12"/>
      <color indexed="10"/>
      <name val="Arial"/>
      <family val="2"/>
    </font>
    <font>
      <b/>
      <sz val="10"/>
      <color indexed="10"/>
      <name val="Arial"/>
      <family val="2"/>
    </font>
    <font>
      <b/>
      <sz val="12"/>
      <color indexed="12"/>
      <name val="Arial"/>
      <family val="2"/>
    </font>
    <font>
      <b/>
      <u/>
      <sz val="18"/>
      <color indexed="10"/>
      <name val="Arial"/>
      <family val="2"/>
    </font>
    <font>
      <sz val="10"/>
      <name val="Arial"/>
      <family val="2"/>
    </font>
    <font>
      <b/>
      <u/>
      <sz val="18"/>
      <color indexed="12"/>
      <name val="Arial"/>
      <family val="2"/>
    </font>
    <font>
      <b/>
      <u/>
      <sz val="10"/>
      <color indexed="10"/>
      <name val="Arial"/>
      <family val="2"/>
    </font>
    <font>
      <b/>
      <u/>
      <sz val="12"/>
      <color indexed="10"/>
      <name val="Arial"/>
      <family val="2"/>
    </font>
    <font>
      <sz val="12"/>
      <color indexed="10"/>
      <name val="Arial"/>
      <family val="2"/>
    </font>
    <font>
      <b/>
      <u/>
      <sz val="16"/>
      <color indexed="12"/>
      <name val="Arial"/>
      <family val="2"/>
    </font>
    <font>
      <b/>
      <sz val="14"/>
      <color indexed="10"/>
      <name val="Arial"/>
      <family val="2"/>
    </font>
    <font>
      <i/>
      <sz val="14"/>
      <name val="Arial"/>
      <family val="2"/>
    </font>
    <font>
      <b/>
      <i/>
      <sz val="14"/>
      <name val="Arial"/>
      <family val="2"/>
    </font>
    <font>
      <b/>
      <sz val="14"/>
      <name val="Arial"/>
      <family val="2"/>
    </font>
    <font>
      <i/>
      <sz val="10"/>
      <name val="Arial"/>
      <family val="2"/>
    </font>
    <font>
      <b/>
      <i/>
      <sz val="10"/>
      <color indexed="10"/>
      <name val="Arial"/>
      <family val="2"/>
    </font>
    <font>
      <b/>
      <i/>
      <sz val="14"/>
      <color indexed="10"/>
      <name val="Arial"/>
      <family val="2"/>
    </font>
    <font>
      <b/>
      <i/>
      <u/>
      <sz val="20"/>
      <color indexed="12"/>
      <name val="Arial"/>
      <family val="2"/>
    </font>
    <font>
      <b/>
      <i/>
      <sz val="12"/>
      <name val="Arial"/>
      <family val="2"/>
    </font>
    <font>
      <b/>
      <i/>
      <u/>
      <sz val="14"/>
      <name val="Arial"/>
      <family val="2"/>
    </font>
    <font>
      <b/>
      <i/>
      <u/>
      <sz val="12"/>
      <color indexed="10"/>
      <name val="Arial"/>
      <family val="2"/>
    </font>
    <font>
      <b/>
      <sz val="9"/>
      <color indexed="12"/>
      <name val="Arial"/>
      <family val="2"/>
    </font>
    <font>
      <b/>
      <sz val="11"/>
      <name val="Arial"/>
      <family val="2"/>
    </font>
    <font>
      <b/>
      <sz val="11"/>
      <color indexed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color indexed="81"/>
      <name val="Tahoma"/>
      <family val="2"/>
    </font>
    <font>
      <b/>
      <sz val="10"/>
      <color indexed="10"/>
      <name val="Tahoma"/>
      <family val="2"/>
    </font>
    <font>
      <b/>
      <i/>
      <sz val="12"/>
      <color indexed="10"/>
      <name val="Arial"/>
      <family val="2"/>
    </font>
    <font>
      <b/>
      <i/>
      <sz val="16"/>
      <color indexed="12"/>
      <name val="Arial"/>
      <family val="2"/>
    </font>
    <font>
      <b/>
      <sz val="12"/>
      <color indexed="12"/>
      <name val="Tahoma"/>
      <family val="2"/>
    </font>
    <font>
      <b/>
      <i/>
      <sz val="10"/>
      <color indexed="12"/>
      <name val="Arial"/>
      <family val="2"/>
    </font>
    <font>
      <b/>
      <sz val="12"/>
      <color indexed="10"/>
      <name val="Tahoma"/>
      <family val="2"/>
    </font>
    <font>
      <b/>
      <sz val="12"/>
      <color indexed="81"/>
      <name val="Tahoma"/>
      <family val="2"/>
    </font>
    <font>
      <b/>
      <i/>
      <u/>
      <sz val="16"/>
      <color indexed="12"/>
      <name val="Arial"/>
      <family val="2"/>
    </font>
    <font>
      <b/>
      <sz val="8"/>
      <name val="Arial"/>
      <family val="2"/>
    </font>
    <font>
      <b/>
      <sz val="10"/>
      <color indexed="58"/>
      <name val="Arial"/>
      <family val="2"/>
    </font>
    <font>
      <b/>
      <sz val="10"/>
      <color indexed="20"/>
      <name val="Arial"/>
      <family val="2"/>
    </font>
    <font>
      <b/>
      <sz val="8"/>
      <color indexed="10"/>
      <name val="Arial"/>
      <family val="2"/>
    </font>
    <font>
      <b/>
      <sz val="9"/>
      <color indexed="10"/>
      <name val="Arial"/>
      <family val="2"/>
    </font>
    <font>
      <b/>
      <sz val="9"/>
      <name val="Arial"/>
      <family val="2"/>
    </font>
    <font>
      <b/>
      <sz val="9"/>
      <color indexed="58"/>
      <name val="Arial"/>
      <family val="2"/>
    </font>
    <font>
      <b/>
      <sz val="9"/>
      <color indexed="20"/>
      <name val="Arial"/>
      <family val="2"/>
    </font>
    <font>
      <b/>
      <sz val="10"/>
      <color indexed="17"/>
      <name val="Arial"/>
      <family val="2"/>
    </font>
    <font>
      <b/>
      <sz val="9"/>
      <color indexed="17"/>
      <name val="Arial"/>
      <family val="2"/>
    </font>
    <font>
      <b/>
      <sz val="14"/>
      <color indexed="20"/>
      <name val="Arial"/>
      <family val="2"/>
    </font>
    <font>
      <sz val="10"/>
      <color indexed="12"/>
      <name val="Arial"/>
      <family val="2"/>
    </font>
    <font>
      <b/>
      <sz val="14"/>
      <color indexed="14"/>
      <name val="Arial"/>
      <family val="2"/>
    </font>
    <font>
      <b/>
      <sz val="10"/>
      <color indexed="14"/>
      <name val="Arial"/>
      <family val="2"/>
    </font>
    <font>
      <sz val="10"/>
      <color indexed="14"/>
      <name val="Arial"/>
      <family val="2"/>
    </font>
    <font>
      <b/>
      <sz val="16"/>
      <name val="Arial"/>
      <family val="2"/>
    </font>
    <font>
      <b/>
      <sz val="8"/>
      <color indexed="20"/>
      <name val="Arial"/>
      <family val="2"/>
    </font>
    <font>
      <b/>
      <sz val="8"/>
      <color indexed="58"/>
      <name val="Arial"/>
      <family val="2"/>
    </font>
    <font>
      <b/>
      <sz val="8"/>
      <color indexed="17"/>
      <name val="Arial"/>
      <family val="2"/>
    </font>
    <font>
      <b/>
      <i/>
      <u/>
      <sz val="18"/>
      <color indexed="12"/>
      <name val="Arial"/>
      <family val="2"/>
    </font>
    <font>
      <b/>
      <i/>
      <u/>
      <sz val="14"/>
      <color indexed="12"/>
      <name val="Arial"/>
      <family val="2"/>
    </font>
    <font>
      <b/>
      <i/>
      <sz val="10"/>
      <name val="Arial"/>
      <family val="2"/>
    </font>
    <font>
      <b/>
      <i/>
      <u/>
      <sz val="10"/>
      <name val="Arial"/>
      <family val="2"/>
    </font>
    <font>
      <i/>
      <u/>
      <sz val="16"/>
      <color indexed="12"/>
      <name val="Arial"/>
      <family val="2"/>
    </font>
    <font>
      <b/>
      <i/>
      <sz val="12"/>
      <color indexed="12"/>
      <name val="Arial"/>
      <family val="2"/>
    </font>
    <font>
      <b/>
      <i/>
      <sz val="10"/>
      <color indexed="17"/>
      <name val="Arial"/>
      <family val="2"/>
    </font>
    <font>
      <b/>
      <i/>
      <u/>
      <sz val="12"/>
      <color indexed="12"/>
      <name val="Arial"/>
      <family val="2"/>
    </font>
    <font>
      <b/>
      <i/>
      <u/>
      <sz val="10"/>
      <color indexed="17"/>
      <name val="Arial"/>
      <family val="2"/>
    </font>
    <font>
      <b/>
      <i/>
      <u/>
      <sz val="10"/>
      <color indexed="10"/>
      <name val="Arial"/>
      <family val="2"/>
    </font>
    <font>
      <b/>
      <i/>
      <u/>
      <sz val="14"/>
      <color indexed="10"/>
      <name val="Arial"/>
      <family val="2"/>
    </font>
    <font>
      <sz val="10"/>
      <color indexed="10"/>
      <name val="Arial"/>
      <family val="2"/>
    </font>
    <font>
      <b/>
      <sz val="8"/>
      <color indexed="12"/>
      <name val="Tahoma"/>
      <family val="2"/>
    </font>
    <font>
      <b/>
      <u/>
      <sz val="14"/>
      <name val="Arial"/>
      <family val="2"/>
    </font>
    <font>
      <b/>
      <u/>
      <sz val="10"/>
      <name val="Arial"/>
      <family val="2"/>
    </font>
    <font>
      <i/>
      <sz val="10"/>
      <color indexed="12"/>
      <name val="Arial"/>
      <family val="2"/>
    </font>
    <font>
      <sz val="8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41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3"/>
        <bgColor indexed="64"/>
      </patternFill>
    </fill>
  </fills>
  <borders count="18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 diagonalUp="1" diagonalDown="1">
      <left style="thin">
        <color indexed="64"/>
      </left>
      <right style="thin">
        <color indexed="64"/>
      </right>
      <top/>
      <bottom/>
      <diagonal style="thin">
        <color indexed="64"/>
      </diagonal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 diagonalUp="1" diagonalDown="1">
      <left style="thin">
        <color indexed="64"/>
      </left>
      <right style="thin">
        <color indexed="64"/>
      </right>
      <top/>
      <bottom style="thick">
        <color indexed="64"/>
      </bottom>
      <diagonal style="thin">
        <color indexed="64"/>
      </diagonal>
    </border>
    <border>
      <left/>
      <right/>
      <top/>
      <bottom style="thick">
        <color indexed="64"/>
      </bottom>
      <diagonal/>
    </border>
    <border diagonalUp="1" diagonalDown="1">
      <left style="thin">
        <color indexed="64"/>
      </left>
      <right style="thin">
        <color indexed="64"/>
      </right>
      <top/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 style="thin">
        <color indexed="64"/>
      </diagonal>
    </border>
    <border diagonalUp="1" diagonalDown="1"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 style="thin">
        <color indexed="64"/>
      </diagonal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 diagonalUp="1" diagonalDown="1">
      <left/>
      <right style="thin">
        <color indexed="64"/>
      </right>
      <top style="thick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 diagonalUp="1" diagonalDown="1">
      <left style="thin">
        <color indexed="64"/>
      </left>
      <right style="thick">
        <color indexed="64"/>
      </right>
      <top/>
      <bottom style="thin">
        <color indexed="64"/>
      </bottom>
      <diagonal style="thin">
        <color indexed="64"/>
      </diagonal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 diagonalUp="1" diagonalDown="1"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 style="thin">
        <color indexed="64"/>
      </diagonal>
    </border>
    <border diagonalUp="1" diagonalDown="1"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Up="1" diagonalDown="1"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 style="thin">
        <color indexed="64"/>
      </diagonal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 diagonalUp="1" diagonalDown="1"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 style="thin">
        <color indexed="64"/>
      </diagonal>
    </border>
    <border>
      <left style="thick">
        <color indexed="12"/>
      </left>
      <right/>
      <top/>
      <bottom/>
      <diagonal/>
    </border>
    <border>
      <left/>
      <right/>
      <top/>
      <bottom style="thick">
        <color indexed="12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10"/>
      </left>
      <right style="double">
        <color indexed="10"/>
      </right>
      <top style="double">
        <color indexed="10"/>
      </top>
      <bottom style="double">
        <color indexed="10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12"/>
      </left>
      <right style="double">
        <color indexed="12"/>
      </right>
      <top style="double">
        <color indexed="12"/>
      </top>
      <bottom style="double">
        <color indexed="12"/>
      </bottom>
      <diagonal/>
    </border>
    <border>
      <left style="double">
        <color indexed="10"/>
      </left>
      <right style="double">
        <color indexed="10"/>
      </right>
      <top/>
      <bottom style="double">
        <color indexed="10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12"/>
      </left>
      <right/>
      <top style="double">
        <color indexed="12"/>
      </top>
      <bottom/>
      <diagonal/>
    </border>
    <border>
      <left/>
      <right style="double">
        <color indexed="12"/>
      </right>
      <top style="double">
        <color indexed="12"/>
      </top>
      <bottom/>
      <diagonal/>
    </border>
    <border>
      <left style="double">
        <color indexed="12"/>
      </left>
      <right style="double">
        <color indexed="12"/>
      </right>
      <top style="double">
        <color indexed="12"/>
      </top>
      <bottom/>
      <diagonal/>
    </border>
    <border>
      <left style="double">
        <color indexed="12"/>
      </left>
      <right/>
      <top/>
      <bottom/>
      <diagonal/>
    </border>
    <border>
      <left/>
      <right style="double">
        <color indexed="12"/>
      </right>
      <top/>
      <bottom/>
      <diagonal/>
    </border>
    <border>
      <left style="double">
        <color indexed="12"/>
      </left>
      <right style="double">
        <color indexed="12"/>
      </right>
      <top/>
      <bottom/>
      <diagonal/>
    </border>
    <border>
      <left style="double">
        <color indexed="12"/>
      </left>
      <right/>
      <top/>
      <bottom style="double">
        <color indexed="12"/>
      </bottom>
      <diagonal/>
    </border>
    <border>
      <left/>
      <right style="double">
        <color indexed="12"/>
      </right>
      <top/>
      <bottom style="double">
        <color indexed="12"/>
      </bottom>
      <diagonal/>
    </border>
    <border>
      <left style="double">
        <color indexed="12"/>
      </left>
      <right style="double">
        <color indexed="12"/>
      </right>
      <top/>
      <bottom style="double">
        <color indexed="12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71">
    <xf numFmtId="0" fontId="0" fillId="0" borderId="0" xfId="0"/>
    <xf numFmtId="0" fontId="0" fillId="0" borderId="0" xfId="0" applyAlignment="1">
      <alignment horizontal="center"/>
    </xf>
    <xf numFmtId="13" fontId="0" fillId="0" borderId="1" xfId="0" applyNumberFormat="1" applyBorder="1" applyAlignment="1">
      <alignment horizontal="center"/>
    </xf>
    <xf numFmtId="13" fontId="0" fillId="0" borderId="2" xfId="0" applyNumberFormat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13" fontId="0" fillId="2" borderId="3" xfId="0" applyNumberFormat="1" applyFill="1" applyBorder="1" applyAlignment="1">
      <alignment horizontal="center"/>
    </xf>
    <xf numFmtId="13" fontId="0" fillId="2" borderId="1" xfId="0" applyNumberForma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13" fontId="0" fillId="0" borderId="4" xfId="0" applyNumberFormat="1" applyBorder="1" applyAlignment="1">
      <alignment horizontal="center"/>
    </xf>
    <xf numFmtId="13" fontId="0" fillId="0" borderId="5" xfId="0" applyNumberFormat="1" applyBorder="1" applyAlignment="1">
      <alignment horizontal="center"/>
    </xf>
    <xf numFmtId="12" fontId="0" fillId="0" borderId="4" xfId="0" applyNumberFormat="1" applyBorder="1" applyAlignment="1">
      <alignment horizontal="center"/>
    </xf>
    <xf numFmtId="12" fontId="0" fillId="0" borderId="2" xfId="0" applyNumberFormat="1" applyBorder="1" applyAlignment="1">
      <alignment horizontal="center"/>
    </xf>
    <xf numFmtId="0" fontId="1" fillId="0" borderId="3" xfId="0" applyFont="1" applyBorder="1" applyAlignment="1">
      <alignment horizontal="center"/>
    </xf>
    <xf numFmtId="12" fontId="0" fillId="0" borderId="3" xfId="0" applyNumberFormat="1" applyBorder="1" applyAlignment="1">
      <alignment horizontal="center"/>
    </xf>
    <xf numFmtId="13" fontId="0" fillId="0" borderId="3" xfId="0" applyNumberFormat="1" applyBorder="1" applyAlignment="1">
      <alignment horizontal="center"/>
    </xf>
    <xf numFmtId="13" fontId="0" fillId="0" borderId="0" xfId="0" applyNumberFormat="1"/>
    <xf numFmtId="13" fontId="2" fillId="0" borderId="1" xfId="0" applyNumberFormat="1" applyFont="1" applyBorder="1" applyAlignment="1">
      <alignment horizontal="center"/>
    </xf>
    <xf numFmtId="0" fontId="2" fillId="0" borderId="0" xfId="0" applyFont="1"/>
    <xf numFmtId="0" fontId="1" fillId="3" borderId="3" xfId="0" applyFont="1" applyFill="1" applyBorder="1" applyAlignment="1">
      <alignment horizontal="center"/>
    </xf>
    <xf numFmtId="13" fontId="0" fillId="3" borderId="1" xfId="0" applyNumberFormat="1" applyFill="1" applyBorder="1" applyAlignment="1">
      <alignment horizontal="center"/>
    </xf>
    <xf numFmtId="13" fontId="0" fillId="3" borderId="3" xfId="0" applyNumberFormat="1" applyFill="1" applyBorder="1" applyAlignment="1">
      <alignment horizontal="center"/>
    </xf>
    <xf numFmtId="13" fontId="0" fillId="3" borderId="6" xfId="0" applyNumberFormat="1" applyFill="1" applyBorder="1" applyAlignment="1">
      <alignment horizontal="center"/>
    </xf>
    <xf numFmtId="13" fontId="0" fillId="3" borderId="7" xfId="0" applyNumberFormat="1" applyFill="1" applyBorder="1" applyAlignment="1">
      <alignment horizontal="center"/>
    </xf>
    <xf numFmtId="13" fontId="0" fillId="3" borderId="1" xfId="0" quotePrefix="1" applyNumberFormat="1" applyFill="1" applyBorder="1" applyAlignment="1">
      <alignment horizontal="center"/>
    </xf>
    <xf numFmtId="13" fontId="0" fillId="3" borderId="3" xfId="0" quotePrefix="1" applyNumberFormat="1" applyFill="1" applyBorder="1" applyAlignment="1">
      <alignment horizontal="center"/>
    </xf>
    <xf numFmtId="0" fontId="3" fillId="0" borderId="0" xfId="0" applyFont="1"/>
    <xf numFmtId="0" fontId="4" fillId="0" borderId="3" xfId="0" applyFont="1" applyBorder="1"/>
    <xf numFmtId="0" fontId="6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5" fillId="0" borderId="0" xfId="0" applyFont="1"/>
    <xf numFmtId="0" fontId="7" fillId="0" borderId="0" xfId="0" applyFont="1" applyAlignment="1">
      <alignment horizontal="left"/>
    </xf>
    <xf numFmtId="0" fontId="8" fillId="0" borderId="0" xfId="0" applyFont="1"/>
    <xf numFmtId="0" fontId="7" fillId="0" borderId="0" xfId="0" applyFont="1" applyAlignment="1">
      <alignment horizontal="right"/>
    </xf>
    <xf numFmtId="13" fontId="2" fillId="0" borderId="0" xfId="0" applyNumberFormat="1" applyFont="1"/>
    <xf numFmtId="13" fontId="2" fillId="0" borderId="0" xfId="0" applyNumberFormat="1" applyFont="1" applyAlignment="1">
      <alignment horizontal="center"/>
    </xf>
    <xf numFmtId="0" fontId="10" fillId="0" borderId="0" xfId="0" applyFont="1"/>
    <xf numFmtId="13" fontId="2" fillId="2" borderId="8" xfId="0" applyNumberFormat="1" applyFont="1" applyFill="1" applyBorder="1"/>
    <xf numFmtId="13" fontId="2" fillId="2" borderId="9" xfId="0" applyNumberFormat="1" applyFont="1" applyFill="1" applyBorder="1"/>
    <xf numFmtId="13" fontId="2" fillId="2" borderId="1" xfId="0" applyNumberFormat="1" applyFont="1" applyFill="1" applyBorder="1"/>
    <xf numFmtId="13" fontId="2" fillId="2" borderId="10" xfId="0" applyNumberFormat="1" applyFont="1" applyFill="1" applyBorder="1"/>
    <xf numFmtId="0" fontId="9" fillId="2" borderId="11" xfId="0" applyFont="1" applyFill="1" applyBorder="1" applyAlignment="1">
      <alignment horizontal="center"/>
    </xf>
    <xf numFmtId="0" fontId="9" fillId="2" borderId="12" xfId="0" applyFont="1" applyFill="1" applyBorder="1" applyAlignment="1">
      <alignment horizontal="center"/>
    </xf>
    <xf numFmtId="13" fontId="2" fillId="2" borderId="13" xfId="0" applyNumberFormat="1" applyFont="1" applyFill="1" applyBorder="1"/>
    <xf numFmtId="0" fontId="9" fillId="2" borderId="14" xfId="0" applyFont="1" applyFill="1" applyBorder="1" applyAlignment="1">
      <alignment horizontal="center"/>
    </xf>
    <xf numFmtId="13" fontId="2" fillId="2" borderId="15" xfId="0" applyNumberFormat="1" applyFont="1" applyFill="1" applyBorder="1"/>
    <xf numFmtId="13" fontId="2" fillId="2" borderId="16" xfId="0" applyNumberFormat="1" applyFont="1" applyFill="1" applyBorder="1"/>
    <xf numFmtId="13" fontId="2" fillId="2" borderId="16" xfId="0" applyNumberFormat="1" applyFont="1" applyFill="1" applyBorder="1" applyAlignment="1">
      <alignment horizontal="center"/>
    </xf>
    <xf numFmtId="13" fontId="2" fillId="2" borderId="17" xfId="0" applyNumberFormat="1" applyFont="1" applyFill="1" applyBorder="1"/>
    <xf numFmtId="13" fontId="2" fillId="2" borderId="9" xfId="0" applyNumberFormat="1" applyFont="1" applyFill="1" applyBorder="1" applyAlignment="1">
      <alignment horizontal="center"/>
    </xf>
    <xf numFmtId="13" fontId="2" fillId="2" borderId="18" xfId="0" applyNumberFormat="1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center"/>
    </xf>
    <xf numFmtId="0" fontId="10" fillId="2" borderId="19" xfId="0" applyFont="1" applyFill="1" applyBorder="1" applyAlignment="1">
      <alignment horizontal="center"/>
    </xf>
    <xf numFmtId="13" fontId="10" fillId="2" borderId="19" xfId="0" applyNumberFormat="1" applyFont="1" applyFill="1" applyBorder="1" applyAlignment="1">
      <alignment horizontal="center"/>
    </xf>
    <xf numFmtId="0" fontId="10" fillId="2" borderId="20" xfId="0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12" fillId="4" borderId="22" xfId="0" applyFont="1" applyFill="1" applyBorder="1" applyAlignment="1">
      <alignment horizontal="center"/>
    </xf>
    <xf numFmtId="0" fontId="12" fillId="4" borderId="23" xfId="0" applyFont="1" applyFill="1" applyBorder="1" applyAlignment="1">
      <alignment horizontal="center"/>
    </xf>
    <xf numFmtId="0" fontId="12" fillId="4" borderId="24" xfId="0" applyFont="1" applyFill="1" applyBorder="1" applyAlignment="1">
      <alignment horizontal="center"/>
    </xf>
    <xf numFmtId="0" fontId="12" fillId="4" borderId="25" xfId="0" applyFont="1" applyFill="1" applyBorder="1" applyAlignment="1">
      <alignment horizontal="center"/>
    </xf>
    <xf numFmtId="0" fontId="12" fillId="4" borderId="26" xfId="0" applyFont="1" applyFill="1" applyBorder="1" applyAlignment="1">
      <alignment horizontal="center"/>
    </xf>
    <xf numFmtId="13" fontId="2" fillId="0" borderId="8" xfId="0" applyNumberFormat="1" applyFont="1" applyBorder="1" applyAlignment="1">
      <alignment horizontal="center"/>
    </xf>
    <xf numFmtId="2" fontId="2" fillId="0" borderId="27" xfId="0" applyNumberFormat="1" applyFont="1" applyBorder="1" applyAlignment="1">
      <alignment horizontal="center"/>
    </xf>
    <xf numFmtId="2" fontId="2" fillId="0" borderId="28" xfId="0" applyNumberFormat="1" applyFont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13" fontId="4" fillId="0" borderId="8" xfId="0" applyNumberFormat="1" applyFont="1" applyBorder="1"/>
    <xf numFmtId="13" fontId="4" fillId="0" borderId="3" xfId="0" applyNumberFormat="1" applyFont="1" applyBorder="1"/>
    <xf numFmtId="13" fontId="4" fillId="4" borderId="3" xfId="0" applyNumberFormat="1" applyFont="1" applyFill="1" applyBorder="1"/>
    <xf numFmtId="0" fontId="0" fillId="4" borderId="1" xfId="0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0" fontId="2" fillId="4" borderId="28" xfId="0" applyFont="1" applyFill="1" applyBorder="1" applyAlignment="1">
      <alignment horizontal="center"/>
    </xf>
    <xf numFmtId="0" fontId="2" fillId="0" borderId="29" xfId="0" applyFont="1" applyBorder="1" applyAlignment="1">
      <alignment horizontal="center"/>
    </xf>
    <xf numFmtId="164" fontId="2" fillId="0" borderId="28" xfId="0" applyNumberFormat="1" applyFont="1" applyBorder="1" applyAlignment="1">
      <alignment horizontal="center"/>
    </xf>
    <xf numFmtId="0" fontId="11" fillId="2" borderId="23" xfId="0" applyFont="1" applyFill="1" applyBorder="1" applyAlignment="1">
      <alignment horizontal="center"/>
    </xf>
    <xf numFmtId="0" fontId="11" fillId="2" borderId="25" xfId="0" applyFont="1" applyFill="1" applyBorder="1" applyAlignment="1">
      <alignment horizontal="center"/>
    </xf>
    <xf numFmtId="164" fontId="2" fillId="4" borderId="28" xfId="0" applyNumberFormat="1" applyFont="1" applyFill="1" applyBorder="1" applyAlignment="1">
      <alignment horizontal="center"/>
    </xf>
    <xf numFmtId="0" fontId="2" fillId="0" borderId="10" xfId="0" quotePrefix="1" applyFont="1" applyBorder="1" applyAlignment="1">
      <alignment horizontal="center"/>
    </xf>
    <xf numFmtId="164" fontId="2" fillId="4" borderId="1" xfId="0" applyNumberFormat="1" applyFont="1" applyFill="1" applyBorder="1" applyAlignment="1">
      <alignment horizontal="center"/>
    </xf>
    <xf numFmtId="13" fontId="4" fillId="5" borderId="3" xfId="0" applyNumberFormat="1" applyFont="1" applyFill="1" applyBorder="1"/>
    <xf numFmtId="0" fontId="2" fillId="5" borderId="1" xfId="0" applyFont="1" applyFill="1" applyBorder="1" applyAlignment="1">
      <alignment horizontal="center"/>
    </xf>
    <xf numFmtId="0" fontId="2" fillId="5" borderId="28" xfId="0" applyFont="1" applyFill="1" applyBorder="1" applyAlignment="1">
      <alignment horizontal="center"/>
    </xf>
    <xf numFmtId="0" fontId="11" fillId="5" borderId="10" xfId="0" applyFont="1" applyFill="1" applyBorder="1" applyAlignment="1">
      <alignment horizontal="center"/>
    </xf>
    <xf numFmtId="0" fontId="11" fillId="0" borderId="10" xfId="0" applyFont="1" applyBorder="1" applyAlignment="1">
      <alignment horizontal="center"/>
    </xf>
    <xf numFmtId="2" fontId="2" fillId="4" borderId="28" xfId="0" applyNumberFormat="1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4" fillId="0" borderId="29" xfId="0" applyFont="1" applyBorder="1" applyAlignment="1">
      <alignment horizontal="center"/>
    </xf>
    <xf numFmtId="164" fontId="2" fillId="0" borderId="30" xfId="0" applyNumberFormat="1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64" fontId="2" fillId="0" borderId="10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2" fillId="0" borderId="1" xfId="0" quotePrefix="1" applyFont="1" applyBorder="1" applyAlignment="1">
      <alignment horizontal="center"/>
    </xf>
    <xf numFmtId="164" fontId="2" fillId="0" borderId="8" xfId="0" applyNumberFormat="1" applyFont="1" applyBorder="1" applyAlignment="1">
      <alignment horizontal="center"/>
    </xf>
    <xf numFmtId="164" fontId="2" fillId="0" borderId="29" xfId="0" applyNumberFormat="1" applyFont="1" applyBorder="1" applyAlignment="1">
      <alignment horizontal="center"/>
    </xf>
    <xf numFmtId="164" fontId="2" fillId="0" borderId="31" xfId="0" applyNumberFormat="1" applyFont="1" applyBorder="1" applyAlignment="1">
      <alignment horizontal="center"/>
    </xf>
    <xf numFmtId="0" fontId="10" fillId="4" borderId="25" xfId="0" applyFont="1" applyFill="1" applyBorder="1"/>
    <xf numFmtId="0" fontId="4" fillId="4" borderId="23" xfId="0" applyFont="1" applyFill="1" applyBorder="1" applyAlignment="1">
      <alignment horizontal="center"/>
    </xf>
    <xf numFmtId="0" fontId="12" fillId="4" borderId="32" xfId="0" applyFont="1" applyFill="1" applyBorder="1" applyAlignment="1">
      <alignment horizontal="center"/>
    </xf>
    <xf numFmtId="0" fontId="4" fillId="4" borderId="32" xfId="0" applyFont="1" applyFill="1" applyBorder="1" applyAlignment="1">
      <alignment horizontal="center"/>
    </xf>
    <xf numFmtId="2" fontId="5" fillId="4" borderId="25" xfId="0" applyNumberFormat="1" applyFont="1" applyFill="1" applyBorder="1" applyAlignment="1">
      <alignment horizontal="center"/>
    </xf>
    <xf numFmtId="0" fontId="13" fillId="0" borderId="0" xfId="0" applyFont="1"/>
    <xf numFmtId="14" fontId="11" fillId="0" borderId="0" xfId="0" applyNumberFormat="1" applyFont="1" applyAlignment="1">
      <alignment horizontal="center"/>
    </xf>
    <xf numFmtId="18" fontId="11" fillId="0" borderId="0" xfId="0" applyNumberFormat="1" applyFont="1" applyAlignment="1">
      <alignment horizontal="center"/>
    </xf>
    <xf numFmtId="0" fontId="4" fillId="0" borderId="33" xfId="0" applyFont="1" applyBorder="1"/>
    <xf numFmtId="0" fontId="4" fillId="0" borderId="1" xfId="0" applyFont="1" applyBorder="1"/>
    <xf numFmtId="0" fontId="4" fillId="0" borderId="29" xfId="0" applyFont="1" applyBorder="1"/>
    <xf numFmtId="22" fontId="11" fillId="0" borderId="0" xfId="0" applyNumberFormat="1" applyFont="1" applyAlignment="1">
      <alignment horizontal="center"/>
    </xf>
    <xf numFmtId="2" fontId="5" fillId="4" borderId="25" xfId="0" applyNumberFormat="1" applyFont="1" applyFill="1" applyBorder="1" applyAlignment="1" applyProtection="1">
      <alignment horizontal="center"/>
      <protection hidden="1"/>
    </xf>
    <xf numFmtId="2" fontId="0" fillId="3" borderId="29" xfId="0" applyNumberForma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11" fillId="4" borderId="22" xfId="0" applyFont="1" applyFill="1" applyBorder="1" applyAlignment="1">
      <alignment horizontal="center"/>
    </xf>
    <xf numFmtId="0" fontId="11" fillId="4" borderId="34" xfId="0" applyFont="1" applyFill="1" applyBorder="1" applyAlignment="1">
      <alignment horizontal="center"/>
    </xf>
    <xf numFmtId="0" fontId="10" fillId="4" borderId="34" xfId="0" applyFont="1" applyFill="1" applyBorder="1" applyAlignment="1">
      <alignment horizontal="center"/>
    </xf>
    <xf numFmtId="0" fontId="10" fillId="4" borderId="25" xfId="0" applyFont="1" applyFill="1" applyBorder="1" applyAlignment="1">
      <alignment horizontal="center"/>
    </xf>
    <xf numFmtId="0" fontId="2" fillId="3" borderId="33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12" fontId="0" fillId="3" borderId="4" xfId="0" applyNumberFormat="1" applyFill="1" applyBorder="1" applyAlignment="1">
      <alignment horizontal="center"/>
    </xf>
    <xf numFmtId="13" fontId="0" fillId="3" borderId="5" xfId="0" applyNumberFormat="1" applyFill="1" applyBorder="1" applyAlignment="1">
      <alignment horizontal="center"/>
    </xf>
    <xf numFmtId="13" fontId="0" fillId="3" borderId="4" xfId="0" applyNumberFormat="1" applyFill="1" applyBorder="1" applyAlignment="1">
      <alignment horizontal="center"/>
    </xf>
    <xf numFmtId="13" fontId="0" fillId="3" borderId="29" xfId="0" applyNumberFormat="1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0" fontId="0" fillId="3" borderId="0" xfId="0" applyFill="1"/>
    <xf numFmtId="0" fontId="4" fillId="3" borderId="33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13" fontId="14" fillId="3" borderId="33" xfId="0" applyNumberFormat="1" applyFont="1" applyFill="1" applyBorder="1" applyAlignment="1">
      <alignment horizontal="center"/>
    </xf>
    <xf numFmtId="13" fontId="14" fillId="3" borderId="3" xfId="0" applyNumberFormat="1" applyFont="1" applyFill="1" applyBorder="1" applyAlignment="1">
      <alignment horizontal="center"/>
    </xf>
    <xf numFmtId="13" fontId="14" fillId="3" borderId="29" xfId="0" applyNumberFormat="1" applyFont="1" applyFill="1" applyBorder="1" applyAlignment="1">
      <alignment horizontal="center"/>
    </xf>
    <xf numFmtId="13" fontId="14" fillId="3" borderId="1" xfId="0" applyNumberFormat="1" applyFont="1" applyFill="1" applyBorder="1" applyAlignment="1">
      <alignment horizontal="center"/>
    </xf>
    <xf numFmtId="0" fontId="4" fillId="6" borderId="8" xfId="0" applyFont="1" applyFill="1" applyBorder="1" applyAlignment="1">
      <alignment horizontal="center"/>
    </xf>
    <xf numFmtId="13" fontId="14" fillId="6" borderId="21" xfId="0" applyNumberFormat="1" applyFont="1" applyFill="1" applyBorder="1" applyAlignment="1">
      <alignment horizontal="center"/>
    </xf>
    <xf numFmtId="0" fontId="14" fillId="6" borderId="21" xfId="0" applyFont="1" applyFill="1" applyBorder="1" applyAlignment="1">
      <alignment horizontal="center"/>
    </xf>
    <xf numFmtId="13" fontId="14" fillId="6" borderId="8" xfId="0" applyNumberFormat="1" applyFont="1" applyFill="1" applyBorder="1" applyAlignment="1">
      <alignment horizontal="center"/>
    </xf>
    <xf numFmtId="0" fontId="2" fillId="6" borderId="21" xfId="0" applyFont="1" applyFill="1" applyBorder="1" applyAlignment="1">
      <alignment horizontal="center"/>
    </xf>
    <xf numFmtId="0" fontId="4" fillId="6" borderId="33" xfId="0" applyFont="1" applyFill="1" applyBorder="1" applyAlignment="1">
      <alignment horizontal="center"/>
    </xf>
    <xf numFmtId="13" fontId="14" fillId="6" borderId="33" xfId="0" applyNumberFormat="1" applyFont="1" applyFill="1" applyBorder="1" applyAlignment="1">
      <alignment horizontal="center"/>
    </xf>
    <xf numFmtId="13" fontId="14" fillId="6" borderId="29" xfId="0" applyNumberFormat="1" applyFont="1" applyFill="1" applyBorder="1" applyAlignment="1">
      <alignment horizontal="center"/>
    </xf>
    <xf numFmtId="0" fontId="2" fillId="6" borderId="33" xfId="0" applyFont="1" applyFill="1" applyBorder="1" applyAlignment="1">
      <alignment horizontal="center"/>
    </xf>
    <xf numFmtId="13" fontId="14" fillId="3" borderId="5" xfId="0" applyNumberFormat="1" applyFont="1" applyFill="1" applyBorder="1" applyAlignment="1">
      <alignment horizontal="center"/>
    </xf>
    <xf numFmtId="2" fontId="0" fillId="6" borderId="29" xfId="0" applyNumberForma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13" fontId="0" fillId="6" borderId="3" xfId="0" applyNumberFormat="1" applyFill="1" applyBorder="1" applyAlignment="1">
      <alignment horizontal="center"/>
    </xf>
    <xf numFmtId="13" fontId="0" fillId="6" borderId="1" xfId="0" applyNumberForma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1" fillId="3" borderId="33" xfId="0" applyFont="1" applyFill="1" applyBorder="1" applyAlignment="1">
      <alignment horizontal="center"/>
    </xf>
    <xf numFmtId="13" fontId="0" fillId="3" borderId="33" xfId="0" applyNumberFormat="1" applyFill="1" applyBorder="1" applyAlignment="1">
      <alignment horizontal="center"/>
    </xf>
    <xf numFmtId="0" fontId="1" fillId="6" borderId="33" xfId="0" applyFont="1" applyFill="1" applyBorder="1" applyAlignment="1">
      <alignment horizontal="center"/>
    </xf>
    <xf numFmtId="13" fontId="0" fillId="6" borderId="33" xfId="0" applyNumberFormat="1" applyFill="1" applyBorder="1" applyAlignment="1">
      <alignment horizontal="center"/>
    </xf>
    <xf numFmtId="13" fontId="0" fillId="6" borderId="29" xfId="0" applyNumberFormat="1" applyFill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13" fontId="10" fillId="2" borderId="20" xfId="0" applyNumberFormat="1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13" fontId="0" fillId="3" borderId="0" xfId="0" applyNumberFormat="1" applyFill="1" applyAlignment="1">
      <alignment horizontal="center"/>
    </xf>
    <xf numFmtId="0" fontId="4" fillId="0" borderId="33" xfId="0" applyFont="1" applyBorder="1" applyAlignment="1">
      <alignment horizontal="center"/>
    </xf>
    <xf numFmtId="13" fontId="2" fillId="0" borderId="29" xfId="0" applyNumberFormat="1" applyFont="1" applyBorder="1" applyAlignment="1">
      <alignment horizontal="center"/>
    </xf>
    <xf numFmtId="2" fontId="2" fillId="0" borderId="31" xfId="0" applyNumberFormat="1" applyFont="1" applyBorder="1" applyAlignment="1">
      <alignment horizontal="center"/>
    </xf>
    <xf numFmtId="0" fontId="1" fillId="6" borderId="4" xfId="0" applyFont="1" applyFill="1" applyBorder="1" applyAlignment="1">
      <alignment horizontal="center"/>
    </xf>
    <xf numFmtId="13" fontId="0" fillId="6" borderId="4" xfId="0" applyNumberFormat="1" applyFill="1" applyBorder="1" applyAlignment="1">
      <alignment horizontal="center"/>
    </xf>
    <xf numFmtId="13" fontId="0" fillId="6" borderId="5" xfId="0" applyNumberFormat="1" applyFill="1" applyBorder="1" applyAlignment="1">
      <alignment horizontal="center"/>
    </xf>
    <xf numFmtId="13" fontId="0" fillId="3" borderId="5" xfId="0" quotePrefix="1" applyNumberFormat="1" applyFill="1" applyBorder="1" applyAlignment="1">
      <alignment horizontal="center"/>
    </xf>
    <xf numFmtId="12" fontId="0" fillId="3" borderId="5" xfId="0" quotePrefix="1" applyNumberFormat="1" applyFill="1" applyBorder="1" applyAlignment="1">
      <alignment horizontal="center"/>
    </xf>
    <xf numFmtId="12" fontId="0" fillId="3" borderId="5" xfId="0" applyNumberFormat="1" applyFill="1" applyBorder="1" applyAlignment="1">
      <alignment horizontal="center"/>
    </xf>
    <xf numFmtId="13" fontId="0" fillId="3" borderId="29" xfId="0" quotePrefix="1" applyNumberFormat="1" applyFill="1" applyBorder="1" applyAlignment="1">
      <alignment horizontal="center"/>
    </xf>
    <xf numFmtId="13" fontId="0" fillId="3" borderId="2" xfId="0" applyNumberFormat="1" applyFill="1" applyBorder="1" applyAlignment="1">
      <alignment horizontal="center"/>
    </xf>
    <xf numFmtId="2" fontId="0" fillId="3" borderId="8" xfId="0" applyNumberFormat="1" applyFill="1" applyBorder="1" applyAlignment="1">
      <alignment horizontal="center"/>
    </xf>
    <xf numFmtId="13" fontId="2" fillId="3" borderId="5" xfId="0" quotePrefix="1" applyNumberFormat="1" applyFont="1" applyFill="1" applyBorder="1" applyAlignment="1">
      <alignment horizontal="center"/>
    </xf>
    <xf numFmtId="13" fontId="2" fillId="3" borderId="4" xfId="0" quotePrefix="1" applyNumberFormat="1" applyFont="1" applyFill="1" applyBorder="1" applyAlignment="1">
      <alignment horizontal="center"/>
    </xf>
    <xf numFmtId="13" fontId="2" fillId="3" borderId="4" xfId="0" applyNumberFormat="1" applyFont="1" applyFill="1" applyBorder="1" applyAlignment="1">
      <alignment horizontal="center"/>
    </xf>
    <xf numFmtId="13" fontId="2" fillId="3" borderId="1" xfId="0" quotePrefix="1" applyNumberFormat="1" applyFont="1" applyFill="1" applyBorder="1" applyAlignment="1">
      <alignment horizontal="center"/>
    </xf>
    <xf numFmtId="13" fontId="2" fillId="3" borderId="3" xfId="0" quotePrefix="1" applyNumberFormat="1" applyFont="1" applyFill="1" applyBorder="1" applyAlignment="1">
      <alignment horizontal="center"/>
    </xf>
    <xf numFmtId="12" fontId="0" fillId="3" borderId="2" xfId="0" applyNumberFormat="1" applyFill="1" applyBorder="1" applyAlignment="1">
      <alignment horizontal="center"/>
    </xf>
    <xf numFmtId="13" fontId="0" fillId="3" borderId="10" xfId="0" applyNumberFormat="1" applyFill="1" applyBorder="1" applyAlignment="1">
      <alignment horizontal="center"/>
    </xf>
    <xf numFmtId="13" fontId="0" fillId="3" borderId="4" xfId="0" quotePrefix="1" applyNumberFormat="1" applyFill="1" applyBorder="1" applyAlignment="1">
      <alignment horizontal="center"/>
    </xf>
    <xf numFmtId="12" fontId="0" fillId="3" borderId="4" xfId="0" quotePrefix="1" applyNumberFormat="1" applyFill="1" applyBorder="1" applyAlignment="1">
      <alignment horizontal="center"/>
    </xf>
    <xf numFmtId="12" fontId="0" fillId="3" borderId="33" xfId="0" applyNumberForma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1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 applyAlignment="1">
      <alignment horizontal="left"/>
    </xf>
    <xf numFmtId="0" fontId="20" fillId="0" borderId="0" xfId="0" applyFont="1" applyAlignment="1">
      <alignment horizontal="right"/>
    </xf>
    <xf numFmtId="0" fontId="21" fillId="0" borderId="0" xfId="0" applyFont="1"/>
    <xf numFmtId="0" fontId="22" fillId="0" borderId="0" xfId="0" applyFont="1"/>
    <xf numFmtId="0" fontId="23" fillId="0" borderId="0" xfId="0" applyFont="1"/>
    <xf numFmtId="0" fontId="11" fillId="4" borderId="23" xfId="0" applyFont="1" applyFill="1" applyBorder="1" applyAlignment="1">
      <alignment horizontal="center"/>
    </xf>
    <xf numFmtId="0" fontId="11" fillId="4" borderId="25" xfId="0" applyFont="1" applyFill="1" applyBorder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33" xfId="0" applyBorder="1" applyAlignment="1">
      <alignment horizontal="center"/>
    </xf>
    <xf numFmtId="0" fontId="0" fillId="0" borderId="4" xfId="0" applyBorder="1" applyAlignment="1">
      <alignment horizontal="center"/>
    </xf>
    <xf numFmtId="165" fontId="0" fillId="0" borderId="5" xfId="0" applyNumberFormat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4" fillId="4" borderId="34" xfId="0" applyFont="1" applyFill="1" applyBorder="1" applyAlignment="1">
      <alignment horizontal="center"/>
    </xf>
    <xf numFmtId="0" fontId="4" fillId="4" borderId="20" xfId="0" applyFont="1" applyFill="1" applyBorder="1" applyAlignment="1">
      <alignment horizontal="center"/>
    </xf>
    <xf numFmtId="0" fontId="4" fillId="4" borderId="19" xfId="0" applyFont="1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21" xfId="0" applyFill="1" applyBorder="1" applyAlignment="1">
      <alignment horizontal="center"/>
    </xf>
    <xf numFmtId="0" fontId="0" fillId="6" borderId="8" xfId="0" applyFill="1" applyBorder="1"/>
    <xf numFmtId="0" fontId="0" fillId="6" borderId="1" xfId="0" applyFill="1" applyBorder="1"/>
    <xf numFmtId="164" fontId="0" fillId="6" borderId="3" xfId="0" applyNumberFormat="1" applyFill="1" applyBorder="1" applyAlignment="1">
      <alignment horizontal="center"/>
    </xf>
    <xf numFmtId="0" fontId="0" fillId="0" borderId="29" xfId="0" applyBorder="1" applyAlignment="1">
      <alignment horizontal="center"/>
    </xf>
    <xf numFmtId="0" fontId="10" fillId="0" borderId="0" xfId="0" applyFont="1" applyAlignment="1">
      <alignment horizontal="right"/>
    </xf>
    <xf numFmtId="164" fontId="0" fillId="0" borderId="1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12" fillId="0" borderId="4" xfId="0" applyFont="1" applyBorder="1" applyAlignment="1">
      <alignment horizontal="center"/>
    </xf>
    <xf numFmtId="165" fontId="24" fillId="0" borderId="8" xfId="0" applyNumberFormat="1" applyFont="1" applyBorder="1" applyAlignment="1">
      <alignment horizontal="center"/>
    </xf>
    <xf numFmtId="165" fontId="24" fillId="0" borderId="1" xfId="0" applyNumberFormat="1" applyFont="1" applyBorder="1" applyAlignment="1">
      <alignment horizontal="center"/>
    </xf>
    <xf numFmtId="165" fontId="24" fillId="0" borderId="3" xfId="0" applyNumberFormat="1" applyFont="1" applyBorder="1" applyAlignment="1">
      <alignment horizontal="center"/>
    </xf>
    <xf numFmtId="165" fontId="24" fillId="0" borderId="10" xfId="0" applyNumberFormat="1" applyFont="1" applyBorder="1" applyAlignment="1">
      <alignment horizontal="center"/>
    </xf>
    <xf numFmtId="165" fontId="24" fillId="0" borderId="33" xfId="0" applyNumberFormat="1" applyFont="1" applyBorder="1" applyAlignment="1">
      <alignment horizontal="center"/>
    </xf>
    <xf numFmtId="165" fontId="24" fillId="0" borderId="0" xfId="0" applyNumberFormat="1" applyFont="1" applyAlignment="1">
      <alignment horizontal="center"/>
    </xf>
    <xf numFmtId="0" fontId="24" fillId="0" borderId="0" xfId="0" applyFont="1"/>
    <xf numFmtId="0" fontId="25" fillId="4" borderId="22" xfId="0" applyFont="1" applyFill="1" applyBorder="1" applyAlignment="1">
      <alignment horizontal="center"/>
    </xf>
    <xf numFmtId="0" fontId="25" fillId="4" borderId="34" xfId="0" applyFont="1" applyFill="1" applyBorder="1" applyAlignment="1">
      <alignment horizontal="center"/>
    </xf>
    <xf numFmtId="165" fontId="5" fillId="0" borderId="5" xfId="0" applyNumberFormat="1" applyFont="1" applyBorder="1" applyAlignment="1">
      <alignment horizontal="center"/>
    </xf>
    <xf numFmtId="165" fontId="5" fillId="0" borderId="4" xfId="0" applyNumberFormat="1" applyFont="1" applyBorder="1" applyAlignment="1">
      <alignment horizontal="center"/>
    </xf>
    <xf numFmtId="0" fontId="0" fillId="6" borderId="33" xfId="0" applyFill="1" applyBorder="1" applyAlignment="1">
      <alignment horizontal="center"/>
    </xf>
    <xf numFmtId="0" fontId="0" fillId="6" borderId="29" xfId="0" applyFill="1" applyBorder="1"/>
    <xf numFmtId="0" fontId="0" fillId="0" borderId="35" xfId="0" applyBorder="1" applyAlignment="1">
      <alignment horizontal="center"/>
    </xf>
    <xf numFmtId="165" fontId="0" fillId="0" borderId="36" xfId="0" applyNumberFormat="1" applyBorder="1" applyAlignment="1">
      <alignment horizontal="center"/>
    </xf>
    <xf numFmtId="165" fontId="24" fillId="0" borderId="37" xfId="0" applyNumberFormat="1" applyFont="1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6" borderId="37" xfId="0" applyFill="1" applyBorder="1" applyAlignment="1">
      <alignment horizontal="center"/>
    </xf>
    <xf numFmtId="0" fontId="0" fillId="6" borderId="38" xfId="0" applyFill="1" applyBorder="1" applyAlignment="1">
      <alignment horizontal="center"/>
    </xf>
    <xf numFmtId="0" fontId="0" fillId="6" borderId="37" xfId="0" applyFill="1" applyBorder="1"/>
    <xf numFmtId="165" fontId="24" fillId="0" borderId="30" xfId="0" applyNumberFormat="1" applyFont="1" applyBorder="1" applyAlignment="1">
      <alignment horizontal="center"/>
    </xf>
    <xf numFmtId="0" fontId="0" fillId="0" borderId="39" xfId="0" applyBorder="1" applyAlignment="1">
      <alignment horizontal="center"/>
    </xf>
    <xf numFmtId="165" fontId="14" fillId="0" borderId="40" xfId="0" applyNumberFormat="1" applyFont="1" applyBorder="1" applyAlignment="1">
      <alignment horizontal="center"/>
    </xf>
    <xf numFmtId="165" fontId="24" fillId="0" borderId="41" xfId="0" applyNumberFormat="1" applyFont="1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6" borderId="41" xfId="0" applyFill="1" applyBorder="1" applyAlignment="1">
      <alignment horizontal="center"/>
    </xf>
    <xf numFmtId="0" fontId="0" fillId="6" borderId="42" xfId="0" applyFill="1" applyBorder="1"/>
    <xf numFmtId="164" fontId="0" fillId="6" borderId="38" xfId="0" applyNumberFormat="1" applyFill="1" applyBorder="1" applyAlignment="1">
      <alignment horizontal="center"/>
    </xf>
    <xf numFmtId="0" fontId="0" fillId="6" borderId="29" xfId="0" applyFill="1" applyBorder="1" applyAlignment="1">
      <alignment horizontal="center"/>
    </xf>
    <xf numFmtId="165" fontId="0" fillId="0" borderId="40" xfId="0" applyNumberFormat="1" applyBorder="1" applyAlignment="1">
      <alignment horizontal="center"/>
    </xf>
    <xf numFmtId="0" fontId="0" fillId="6" borderId="42" xfId="0" applyFill="1" applyBorder="1" applyAlignment="1">
      <alignment horizontal="center"/>
    </xf>
    <xf numFmtId="164" fontId="0" fillId="0" borderId="37" xfId="0" applyNumberFormat="1" applyBorder="1" applyAlignment="1">
      <alignment horizontal="center"/>
    </xf>
    <xf numFmtId="164" fontId="0" fillId="0" borderId="38" xfId="0" applyNumberFormat="1" applyBorder="1" applyAlignment="1">
      <alignment horizontal="center"/>
    </xf>
    <xf numFmtId="0" fontId="0" fillId="0" borderId="40" xfId="0" applyBorder="1" applyAlignment="1">
      <alignment horizontal="center"/>
    </xf>
    <xf numFmtId="165" fontId="24" fillId="0" borderId="43" xfId="0" applyNumberFormat="1" applyFont="1" applyBorder="1" applyAlignment="1">
      <alignment horizontal="center"/>
    </xf>
    <xf numFmtId="0" fontId="27" fillId="0" borderId="0" xfId="0" applyFont="1"/>
    <xf numFmtId="0" fontId="0" fillId="0" borderId="5" xfId="0" applyBorder="1" applyAlignment="1">
      <alignment horizontal="center"/>
    </xf>
    <xf numFmtId="165" fontId="24" fillId="0" borderId="29" xfId="0" applyNumberFormat="1" applyFont="1" applyBorder="1" applyAlignment="1">
      <alignment horizontal="center"/>
    </xf>
    <xf numFmtId="0" fontId="0" fillId="0" borderId="36" xfId="0" applyBorder="1" applyAlignment="1">
      <alignment horizontal="center"/>
    </xf>
    <xf numFmtId="165" fontId="0" fillId="0" borderId="35" xfId="0" applyNumberFormat="1" applyBorder="1" applyAlignment="1">
      <alignment horizontal="center"/>
    </xf>
    <xf numFmtId="165" fontId="0" fillId="0" borderId="44" xfId="0" applyNumberFormat="1" applyBorder="1" applyAlignment="1">
      <alignment horizontal="center"/>
    </xf>
    <xf numFmtId="0" fontId="28" fillId="0" borderId="0" xfId="0" applyFont="1"/>
    <xf numFmtId="0" fontId="29" fillId="0" borderId="0" xfId="0" applyFont="1"/>
    <xf numFmtId="0" fontId="30" fillId="0" borderId="0" xfId="0" applyFont="1" applyAlignment="1">
      <alignment horizontal="right"/>
    </xf>
    <xf numFmtId="2" fontId="5" fillId="4" borderId="25" xfId="0" applyNumberFormat="1" applyFont="1" applyFill="1" applyBorder="1"/>
    <xf numFmtId="164" fontId="0" fillId="6" borderId="8" xfId="0" applyNumberFormat="1" applyFill="1" applyBorder="1" applyAlignment="1">
      <alignment horizontal="center"/>
    </xf>
    <xf numFmtId="164" fontId="0" fillId="6" borderId="29" xfId="0" applyNumberFormat="1" applyFill="1" applyBorder="1" applyAlignment="1">
      <alignment horizontal="center"/>
    </xf>
    <xf numFmtId="164" fontId="0" fillId="6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3" borderId="8" xfId="0" applyNumberFormat="1" applyFill="1" applyBorder="1" applyAlignment="1">
      <alignment horizontal="center"/>
    </xf>
    <xf numFmtId="164" fontId="0" fillId="3" borderId="29" xfId="0" applyNumberFormat="1" applyFill="1" applyBorder="1" applyAlignment="1">
      <alignment horizontal="center"/>
    </xf>
    <xf numFmtId="0" fontId="11" fillId="4" borderId="45" xfId="0" applyFont="1" applyFill="1" applyBorder="1" applyAlignment="1">
      <alignment horizontal="center"/>
    </xf>
    <xf numFmtId="0" fontId="25" fillId="4" borderId="46" xfId="0" applyFont="1" applyFill="1" applyBorder="1" applyAlignment="1">
      <alignment horizontal="center"/>
    </xf>
    <xf numFmtId="0" fontId="11" fillId="4" borderId="47" xfId="0" applyFont="1" applyFill="1" applyBorder="1" applyAlignment="1">
      <alignment horizontal="center"/>
    </xf>
    <xf numFmtId="0" fontId="26" fillId="4" borderId="47" xfId="0" applyFont="1" applyFill="1" applyBorder="1" applyAlignment="1">
      <alignment horizontal="center"/>
    </xf>
    <xf numFmtId="0" fontId="0" fillId="4" borderId="26" xfId="0" applyFill="1" applyBorder="1" applyAlignment="1">
      <alignment horizontal="center"/>
    </xf>
    <xf numFmtId="0" fontId="11" fillId="4" borderId="48" xfId="0" applyFont="1" applyFill="1" applyBorder="1" applyAlignment="1">
      <alignment horizontal="center"/>
    </xf>
    <xf numFmtId="0" fontId="26" fillId="4" borderId="48" xfId="0" applyFont="1" applyFill="1" applyBorder="1" applyAlignment="1">
      <alignment horizontal="center"/>
    </xf>
    <xf numFmtId="0" fontId="0" fillId="4" borderId="24" xfId="0" applyFill="1" applyBorder="1" applyAlignment="1">
      <alignment horizontal="center"/>
    </xf>
    <xf numFmtId="2" fontId="0" fillId="3" borderId="0" xfId="0" applyNumberFormat="1" applyFill="1" applyAlignment="1">
      <alignment horizontal="center"/>
    </xf>
    <xf numFmtId="0" fontId="11" fillId="3" borderId="0" xfId="0" applyFont="1" applyFill="1"/>
    <xf numFmtId="0" fontId="2" fillId="3" borderId="0" xfId="0" applyFont="1" applyFill="1"/>
    <xf numFmtId="0" fontId="2" fillId="3" borderId="0" xfId="0" applyFont="1" applyFill="1" applyAlignment="1">
      <alignment horizontal="center"/>
    </xf>
    <xf numFmtId="0" fontId="4" fillId="3" borderId="0" xfId="0" applyFont="1" applyFill="1"/>
    <xf numFmtId="13" fontId="0" fillId="0" borderId="33" xfId="0" applyNumberFormat="1" applyBorder="1" applyAlignment="1">
      <alignment horizontal="center"/>
    </xf>
    <xf numFmtId="2" fontId="0" fillId="0" borderId="29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31" fillId="4" borderId="32" xfId="0" applyFont="1" applyFill="1" applyBorder="1" applyAlignment="1">
      <alignment horizontal="center"/>
    </xf>
    <xf numFmtId="0" fontId="2" fillId="4" borderId="45" xfId="0" applyFont="1" applyFill="1" applyBorder="1" applyAlignment="1">
      <alignment horizontal="center"/>
    </xf>
    <xf numFmtId="164" fontId="11" fillId="0" borderId="4" xfId="0" applyNumberFormat="1" applyFont="1" applyBorder="1" applyAlignment="1">
      <alignment horizontal="center"/>
    </xf>
    <xf numFmtId="0" fontId="11" fillId="3" borderId="0" xfId="0" applyFont="1" applyFill="1" applyAlignment="1">
      <alignment horizontal="center"/>
    </xf>
    <xf numFmtId="0" fontId="2" fillId="4" borderId="22" xfId="0" applyFont="1" applyFill="1" applyBorder="1" applyAlignment="1">
      <alignment horizontal="center"/>
    </xf>
    <xf numFmtId="0" fontId="14" fillId="3" borderId="0" xfId="0" applyFont="1" applyFill="1" applyAlignment="1">
      <alignment horizontal="center"/>
    </xf>
    <xf numFmtId="0" fontId="2" fillId="4" borderId="49" xfId="0" applyFont="1" applyFill="1" applyBorder="1" applyAlignment="1">
      <alignment horizontal="center"/>
    </xf>
    <xf numFmtId="2" fontId="5" fillId="3" borderId="50" xfId="0" applyNumberFormat="1" applyFont="1" applyFill="1" applyBorder="1" applyAlignment="1">
      <alignment horizontal="center"/>
    </xf>
    <xf numFmtId="2" fontId="5" fillId="3" borderId="19" xfId="0" applyNumberFormat="1" applyFont="1" applyFill="1" applyBorder="1" applyAlignment="1">
      <alignment horizontal="center"/>
    </xf>
    <xf numFmtId="164" fontId="5" fillId="3" borderId="51" xfId="0" applyNumberFormat="1" applyFont="1" applyFill="1" applyBorder="1" applyAlignment="1">
      <alignment horizontal="center"/>
    </xf>
    <xf numFmtId="0" fontId="5" fillId="4" borderId="52" xfId="0" applyFont="1" applyFill="1" applyBorder="1" applyAlignment="1">
      <alignment horizontal="center"/>
    </xf>
    <xf numFmtId="0" fontId="4" fillId="4" borderId="46" xfId="0" applyFont="1" applyFill="1" applyBorder="1" applyAlignment="1">
      <alignment horizontal="center"/>
    </xf>
    <xf numFmtId="164" fontId="5" fillId="0" borderId="51" xfId="0" applyNumberFormat="1" applyFont="1" applyBorder="1" applyAlignment="1">
      <alignment horizontal="center"/>
    </xf>
    <xf numFmtId="164" fontId="0" fillId="6" borderId="5" xfId="0" applyNumberFormat="1" applyFill="1" applyBorder="1" applyAlignment="1">
      <alignment horizontal="center"/>
    </xf>
    <xf numFmtId="0" fontId="4" fillId="4" borderId="33" xfId="0" applyFon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13" fontId="0" fillId="4" borderId="3" xfId="0" applyNumberFormat="1" applyFill="1" applyBorder="1" applyAlignment="1">
      <alignment horizontal="center"/>
    </xf>
    <xf numFmtId="13" fontId="0" fillId="4" borderId="1" xfId="0" applyNumberFormat="1" applyFill="1" applyBorder="1" applyAlignment="1">
      <alignment horizontal="center"/>
    </xf>
    <xf numFmtId="0" fontId="1" fillId="4" borderId="3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164" fontId="0" fillId="4" borderId="28" xfId="0" applyNumberFormat="1" applyFill="1" applyBorder="1" applyAlignment="1">
      <alignment horizontal="center"/>
    </xf>
    <xf numFmtId="2" fontId="0" fillId="3" borderId="5" xfId="0" applyNumberFormat="1" applyFill="1" applyBorder="1" applyAlignment="1">
      <alignment horizontal="center"/>
    </xf>
    <xf numFmtId="164" fontId="0" fillId="3" borderId="6" xfId="0" applyNumberFormat="1" applyFill="1" applyBorder="1" applyAlignment="1">
      <alignment horizontal="center"/>
    </xf>
    <xf numFmtId="13" fontId="0" fillId="4" borderId="10" xfId="0" applyNumberFormat="1" applyFill="1" applyBorder="1" applyAlignment="1">
      <alignment horizontal="center"/>
    </xf>
    <xf numFmtId="2" fontId="0" fillId="4" borderId="10" xfId="0" applyNumberFormat="1" applyFill="1" applyBorder="1" applyAlignment="1">
      <alignment horizontal="center"/>
    </xf>
    <xf numFmtId="164" fontId="0" fillId="4" borderId="10" xfId="0" applyNumberFormat="1" applyFill="1" applyBorder="1" applyAlignment="1">
      <alignment horizontal="center"/>
    </xf>
    <xf numFmtId="2" fontId="0" fillId="3" borderId="6" xfId="0" applyNumberFormat="1" applyFill="1" applyBorder="1" applyAlignment="1">
      <alignment horizontal="center"/>
    </xf>
    <xf numFmtId="13" fontId="14" fillId="3" borderId="6" xfId="0" applyNumberFormat="1" applyFont="1" applyFill="1" applyBorder="1" applyAlignment="1">
      <alignment horizontal="center"/>
    </xf>
    <xf numFmtId="13" fontId="14" fillId="4" borderId="10" xfId="0" applyNumberFormat="1" applyFont="1" applyFill="1" applyBorder="1" applyAlignment="1">
      <alignment horizontal="center"/>
    </xf>
    <xf numFmtId="13" fontId="14" fillId="6" borderId="4" xfId="0" applyNumberFormat="1" applyFont="1" applyFill="1" applyBorder="1" applyAlignment="1">
      <alignment horizontal="center"/>
    </xf>
    <xf numFmtId="13" fontId="14" fillId="6" borderId="5" xfId="0" applyNumberFormat="1" applyFont="1" applyFill="1" applyBorder="1" applyAlignment="1">
      <alignment horizontal="center"/>
    </xf>
    <xf numFmtId="0" fontId="2" fillId="6" borderId="4" xfId="0" applyFont="1" applyFill="1" applyBorder="1" applyAlignment="1">
      <alignment horizontal="center"/>
    </xf>
    <xf numFmtId="2" fontId="0" fillId="6" borderId="5" xfId="0" applyNumberFormat="1" applyFill="1" applyBorder="1" applyAlignment="1">
      <alignment horizontal="center"/>
    </xf>
    <xf numFmtId="164" fontId="0" fillId="6" borderId="6" xfId="0" applyNumberFormat="1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164" fontId="0" fillId="3" borderId="31" xfId="0" applyNumberFormat="1" applyFill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164" fontId="0" fillId="3" borderId="2" xfId="0" applyNumberFormat="1" applyFill="1" applyBorder="1" applyAlignment="1">
      <alignment horizontal="center"/>
    </xf>
    <xf numFmtId="164" fontId="0" fillId="3" borderId="0" xfId="0" applyNumberFormat="1" applyFill="1" applyAlignment="1">
      <alignment horizontal="center"/>
    </xf>
    <xf numFmtId="2" fontId="0" fillId="3" borderId="10" xfId="0" applyNumberForma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164" fontId="0" fillId="3" borderId="5" xfId="0" applyNumberFormat="1" applyFill="1" applyBorder="1" applyAlignment="1">
      <alignment horizontal="center"/>
    </xf>
    <xf numFmtId="164" fontId="0" fillId="4" borderId="31" xfId="0" applyNumberFormat="1" applyFill="1" applyBorder="1" applyAlignment="1">
      <alignment horizontal="center"/>
    </xf>
    <xf numFmtId="164" fontId="0" fillId="4" borderId="29" xfId="0" applyNumberFormat="1" applyFill="1" applyBorder="1" applyAlignment="1">
      <alignment horizontal="center"/>
    </xf>
    <xf numFmtId="0" fontId="0" fillId="4" borderId="10" xfId="0" applyFill="1" applyBorder="1"/>
    <xf numFmtId="13" fontId="2" fillId="4" borderId="10" xfId="0" applyNumberFormat="1" applyFont="1" applyFill="1" applyBorder="1" applyAlignment="1">
      <alignment horizontal="center"/>
    </xf>
    <xf numFmtId="13" fontId="2" fillId="3" borderId="6" xfId="0" quotePrefix="1" applyNumberFormat="1" applyFont="1" applyFill="1" applyBorder="1" applyAlignment="1">
      <alignment horizontal="center"/>
    </xf>
    <xf numFmtId="13" fontId="2" fillId="3" borderId="7" xfId="0" quotePrefix="1" applyNumberFormat="1" applyFont="1" applyFill="1" applyBorder="1" applyAlignment="1">
      <alignment horizontal="center"/>
    </xf>
    <xf numFmtId="13" fontId="2" fillId="3" borderId="29" xfId="0" quotePrefix="1" applyNumberFormat="1" applyFont="1" applyFill="1" applyBorder="1" applyAlignment="1">
      <alignment horizontal="center"/>
    </xf>
    <xf numFmtId="13" fontId="2" fillId="3" borderId="33" xfId="0" quotePrefix="1" applyNumberFormat="1" applyFont="1" applyFill="1" applyBorder="1" applyAlignment="1">
      <alignment horizontal="center"/>
    </xf>
    <xf numFmtId="13" fontId="2" fillId="3" borderId="0" xfId="0" applyNumberFormat="1" applyFont="1" applyFill="1" applyAlignment="1">
      <alignment horizontal="center"/>
    </xf>
    <xf numFmtId="0" fontId="1" fillId="4" borderId="7" xfId="0" applyFont="1" applyFill="1" applyBorder="1" applyAlignment="1">
      <alignment horizontal="center"/>
    </xf>
    <xf numFmtId="13" fontId="0" fillId="3" borderId="30" xfId="0" applyNumberFormat="1" applyFill="1" applyBorder="1" applyAlignment="1">
      <alignment horizontal="center"/>
    </xf>
    <xf numFmtId="12" fontId="0" fillId="3" borderId="29" xfId="0" applyNumberFormat="1" applyFill="1" applyBorder="1" applyAlignment="1">
      <alignment horizontal="center"/>
    </xf>
    <xf numFmtId="13" fontId="0" fillId="3" borderId="6" xfId="0" quotePrefix="1" applyNumberFormat="1" applyFill="1" applyBorder="1" applyAlignment="1">
      <alignment horizontal="center"/>
    </xf>
    <xf numFmtId="13" fontId="0" fillId="3" borderId="7" xfId="0" quotePrefix="1" applyNumberFormat="1" applyFill="1" applyBorder="1" applyAlignment="1">
      <alignment horizontal="center"/>
    </xf>
    <xf numFmtId="13" fontId="0" fillId="4" borderId="10" xfId="0" quotePrefix="1" applyNumberFormat="1" applyFill="1" applyBorder="1" applyAlignment="1">
      <alignment horizontal="center"/>
    </xf>
    <xf numFmtId="13" fontId="0" fillId="6" borderId="7" xfId="0" applyNumberFormat="1" applyFill="1" applyBorder="1" applyAlignment="1">
      <alignment horizontal="center"/>
    </xf>
    <xf numFmtId="2" fontId="0" fillId="6" borderId="6" xfId="0" applyNumberFormat="1" applyFill="1" applyBorder="1" applyAlignment="1">
      <alignment horizontal="center"/>
    </xf>
    <xf numFmtId="164" fontId="0" fillId="0" borderId="29" xfId="0" applyNumberFormat="1" applyBorder="1" applyAlignment="1">
      <alignment horizontal="center"/>
    </xf>
    <xf numFmtId="0" fontId="4" fillId="4" borderId="3" xfId="0" applyFont="1" applyFill="1" applyBorder="1"/>
    <xf numFmtId="0" fontId="4" fillId="4" borderId="28" xfId="0" applyFont="1" applyFill="1" applyBorder="1"/>
    <xf numFmtId="13" fontId="0" fillId="0" borderId="7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4" fillId="4" borderId="10" xfId="0" applyFont="1" applyFill="1" applyBorder="1"/>
    <xf numFmtId="0" fontId="4" fillId="0" borderId="7" xfId="0" applyFont="1" applyBorder="1"/>
    <xf numFmtId="2" fontId="0" fillId="0" borderId="5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10" fillId="7" borderId="22" xfId="0" applyFont="1" applyFill="1" applyBorder="1" applyAlignment="1">
      <alignment horizontal="center"/>
    </xf>
    <xf numFmtId="0" fontId="2" fillId="7" borderId="53" xfId="0" applyFont="1" applyFill="1" applyBorder="1" applyAlignment="1">
      <alignment horizontal="center"/>
    </xf>
    <xf numFmtId="0" fontId="10" fillId="7" borderId="2" xfId="0" applyFont="1" applyFill="1" applyBorder="1" applyAlignment="1">
      <alignment horizontal="center"/>
    </xf>
    <xf numFmtId="0" fontId="10" fillId="7" borderId="52" xfId="0" applyFont="1" applyFill="1" applyBorder="1" applyAlignment="1">
      <alignment horizontal="center"/>
    </xf>
    <xf numFmtId="0" fontId="2" fillId="7" borderId="52" xfId="0" applyFont="1" applyFill="1" applyBorder="1" applyAlignment="1">
      <alignment horizontal="center"/>
    </xf>
    <xf numFmtId="0" fontId="10" fillId="7" borderId="34" xfId="0" applyFont="1" applyFill="1" applyBorder="1" applyAlignment="1">
      <alignment horizontal="center"/>
    </xf>
    <xf numFmtId="0" fontId="10" fillId="7" borderId="54" xfId="0" applyFont="1" applyFill="1" applyBorder="1" applyAlignment="1">
      <alignment horizontal="center"/>
    </xf>
    <xf numFmtId="0" fontId="20" fillId="7" borderId="54" xfId="0" applyFont="1" applyFill="1" applyBorder="1" applyAlignment="1">
      <alignment horizontal="center"/>
    </xf>
    <xf numFmtId="0" fontId="2" fillId="7" borderId="55" xfId="0" applyFont="1" applyFill="1" applyBorder="1" applyAlignment="1">
      <alignment horizontal="center"/>
    </xf>
    <xf numFmtId="0" fontId="2" fillId="7" borderId="56" xfId="0" applyFont="1" applyFill="1" applyBorder="1" applyAlignment="1">
      <alignment horizontal="center"/>
    </xf>
    <xf numFmtId="0" fontId="2" fillId="7" borderId="54" xfId="0" applyFont="1" applyFill="1" applyBorder="1" applyAlignment="1">
      <alignment horizontal="center"/>
    </xf>
    <xf numFmtId="0" fontId="11" fillId="7" borderId="56" xfId="0" applyFont="1" applyFill="1" applyBorder="1" applyAlignment="1">
      <alignment horizontal="center"/>
    </xf>
    <xf numFmtId="0" fontId="11" fillId="7" borderId="22" xfId="0" applyFont="1" applyFill="1" applyBorder="1" applyAlignment="1">
      <alignment horizontal="center"/>
    </xf>
    <xf numFmtId="0" fontId="11" fillId="7" borderId="2" xfId="0" applyFont="1" applyFill="1" applyBorder="1" applyAlignment="1">
      <alignment horizontal="center"/>
    </xf>
    <xf numFmtId="0" fontId="11" fillId="7" borderId="34" xfId="0" applyFont="1" applyFill="1" applyBorder="1" applyAlignment="1">
      <alignment horizontal="center"/>
    </xf>
    <xf numFmtId="0" fontId="11" fillId="7" borderId="54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2" fillId="7" borderId="48" xfId="0" applyFont="1" applyFill="1" applyBorder="1" applyAlignment="1">
      <alignment horizontal="center"/>
    </xf>
    <xf numFmtId="0" fontId="2" fillId="7" borderId="47" xfId="0" applyFont="1" applyFill="1" applyBorder="1" applyAlignment="1">
      <alignment horizontal="center"/>
    </xf>
    <xf numFmtId="0" fontId="20" fillId="0" borderId="0" xfId="0" applyFont="1"/>
    <xf numFmtId="0" fontId="5" fillId="2" borderId="57" xfId="0" applyFont="1" applyFill="1" applyBorder="1" applyAlignment="1">
      <alignment horizontal="center"/>
    </xf>
    <xf numFmtId="0" fontId="11" fillId="7" borderId="23" xfId="0" applyFont="1" applyFill="1" applyBorder="1" applyAlignment="1">
      <alignment horizontal="center"/>
    </xf>
    <xf numFmtId="0" fontId="2" fillId="7" borderId="23" xfId="0" applyFont="1" applyFill="1" applyBorder="1" applyAlignment="1">
      <alignment horizontal="center"/>
    </xf>
    <xf numFmtId="0" fontId="11" fillId="7" borderId="25" xfId="0" applyFont="1" applyFill="1" applyBorder="1"/>
    <xf numFmtId="0" fontId="2" fillId="7" borderId="25" xfId="0" applyFont="1" applyFill="1" applyBorder="1"/>
    <xf numFmtId="0" fontId="2" fillId="7" borderId="25" xfId="0" applyFont="1" applyFill="1" applyBorder="1" applyAlignment="1">
      <alignment horizontal="center"/>
    </xf>
    <xf numFmtId="0" fontId="11" fillId="7" borderId="25" xfId="0" applyFont="1" applyFill="1" applyBorder="1" applyAlignment="1">
      <alignment horizontal="center"/>
    </xf>
    <xf numFmtId="0" fontId="10" fillId="7" borderId="53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12" fillId="4" borderId="45" xfId="0" applyFont="1" applyFill="1" applyBorder="1" applyAlignment="1">
      <alignment horizontal="center"/>
    </xf>
    <xf numFmtId="0" fontId="4" fillId="4" borderId="45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  <xf numFmtId="0" fontId="31" fillId="4" borderId="24" xfId="0" applyFont="1" applyFill="1" applyBorder="1" applyAlignment="1">
      <alignment horizontal="center"/>
    </xf>
    <xf numFmtId="2" fontId="5" fillId="4" borderId="34" xfId="0" applyNumberFormat="1" applyFont="1" applyFill="1" applyBorder="1" applyAlignment="1">
      <alignment horizontal="center"/>
    </xf>
    <xf numFmtId="0" fontId="31" fillId="4" borderId="58" xfId="0" applyFont="1" applyFill="1" applyBorder="1" applyAlignment="1">
      <alignment horizontal="center"/>
    </xf>
    <xf numFmtId="0" fontId="31" fillId="4" borderId="59" xfId="0" applyFont="1" applyFill="1" applyBorder="1" applyAlignment="1">
      <alignment horizontal="center"/>
    </xf>
    <xf numFmtId="2" fontId="5" fillId="4" borderId="26" xfId="0" applyNumberFormat="1" applyFont="1" applyFill="1" applyBorder="1" applyAlignment="1">
      <alignment horizontal="center"/>
    </xf>
    <xf numFmtId="0" fontId="11" fillId="4" borderId="32" xfId="0" applyFont="1" applyFill="1" applyBorder="1" applyAlignment="1">
      <alignment horizontal="center"/>
    </xf>
    <xf numFmtId="0" fontId="10" fillId="4" borderId="60" xfId="0" applyFont="1" applyFill="1" applyBorder="1" applyAlignment="1">
      <alignment horizontal="center"/>
    </xf>
    <xf numFmtId="0" fontId="10" fillId="4" borderId="26" xfId="0" applyFont="1" applyFill="1" applyBorder="1" applyAlignment="1">
      <alignment horizontal="center"/>
    </xf>
    <xf numFmtId="0" fontId="22" fillId="3" borderId="0" xfId="0" applyFont="1" applyFill="1"/>
    <xf numFmtId="0" fontId="12" fillId="3" borderId="0" xfId="0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13" fontId="2" fillId="0" borderId="6" xfId="0" applyNumberFormat="1" applyFont="1" applyBorder="1" applyAlignment="1">
      <alignment horizontal="center"/>
    </xf>
    <xf numFmtId="2" fontId="2" fillId="0" borderId="61" xfId="0" applyNumberFormat="1" applyFont="1" applyBorder="1" applyAlignment="1">
      <alignment horizontal="center"/>
    </xf>
    <xf numFmtId="13" fontId="2" fillId="2" borderId="10" xfId="0" applyNumberFormat="1" applyFont="1" applyFill="1" applyBorder="1" applyAlignment="1">
      <alignment horizontal="center"/>
    </xf>
    <xf numFmtId="2" fontId="2" fillId="2" borderId="10" xfId="0" applyNumberFormat="1" applyFont="1" applyFill="1" applyBorder="1" applyAlignment="1">
      <alignment horizontal="center"/>
    </xf>
    <xf numFmtId="13" fontId="2" fillId="2" borderId="28" xfId="0" applyNumberFormat="1" applyFont="1" applyFill="1" applyBorder="1" applyAlignment="1">
      <alignment horizontal="center"/>
    </xf>
    <xf numFmtId="0" fontId="33" fillId="4" borderId="56" xfId="0" applyFont="1" applyFill="1" applyBorder="1" applyAlignment="1">
      <alignment horizontal="center"/>
    </xf>
    <xf numFmtId="164" fontId="2" fillId="3" borderId="8" xfId="0" applyNumberFormat="1" applyFont="1" applyFill="1" applyBorder="1" applyAlignment="1">
      <alignment horizontal="center"/>
    </xf>
    <xf numFmtId="2" fontId="2" fillId="0" borderId="8" xfId="0" applyNumberFormat="1" applyFont="1" applyBorder="1" applyAlignment="1">
      <alignment horizontal="center"/>
    </xf>
    <xf numFmtId="164" fontId="2" fillId="3" borderId="29" xfId="0" applyNumberFormat="1" applyFont="1" applyFill="1" applyBorder="1" applyAlignment="1">
      <alignment horizontal="center"/>
    </xf>
    <xf numFmtId="2" fontId="2" fillId="0" borderId="29" xfId="0" applyNumberFormat="1" applyFont="1" applyBorder="1" applyAlignment="1">
      <alignment horizontal="center"/>
    </xf>
    <xf numFmtId="164" fontId="2" fillId="3" borderId="5" xfId="0" applyNumberFormat="1" applyFont="1" applyFill="1" applyBorder="1" applyAlignment="1">
      <alignment horizontal="center"/>
    </xf>
    <xf numFmtId="164" fontId="2" fillId="3" borderId="1" xfId="0" applyNumberFormat="1" applyFont="1" applyFill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0" fontId="32" fillId="0" borderId="0" xfId="0" applyFont="1" applyAlignment="1">
      <alignment horizontal="center"/>
    </xf>
    <xf numFmtId="164" fontId="5" fillId="0" borderId="25" xfId="0" applyNumberFormat="1" applyFont="1" applyBorder="1" applyAlignment="1">
      <alignment horizontal="center"/>
    </xf>
    <xf numFmtId="0" fontId="2" fillId="4" borderId="23" xfId="0" applyFont="1" applyFill="1" applyBorder="1" applyAlignment="1">
      <alignment horizontal="center"/>
    </xf>
    <xf numFmtId="0" fontId="2" fillId="4" borderId="24" xfId="0" applyFont="1" applyFill="1" applyBorder="1" applyAlignment="1">
      <alignment horizontal="center"/>
    </xf>
    <xf numFmtId="0" fontId="2" fillId="4" borderId="25" xfId="0" applyFont="1" applyFill="1" applyBorder="1" applyAlignment="1">
      <alignment horizontal="center"/>
    </xf>
    <xf numFmtId="0" fontId="2" fillId="4" borderId="26" xfId="0" applyFont="1" applyFill="1" applyBorder="1" applyAlignment="1">
      <alignment horizontal="center"/>
    </xf>
    <xf numFmtId="2" fontId="5" fillId="3" borderId="62" xfId="0" applyNumberFormat="1" applyFont="1" applyFill="1" applyBorder="1" applyAlignment="1">
      <alignment horizontal="center"/>
    </xf>
    <xf numFmtId="0" fontId="2" fillId="4" borderId="58" xfId="0" applyFont="1" applyFill="1" applyBorder="1" applyAlignment="1">
      <alignment horizontal="center"/>
    </xf>
    <xf numFmtId="0" fontId="32" fillId="4" borderId="26" xfId="0" applyFont="1" applyFill="1" applyBorder="1" applyAlignment="1">
      <alignment horizontal="center"/>
    </xf>
    <xf numFmtId="164" fontId="5" fillId="3" borderId="25" xfId="0" applyNumberFormat="1" applyFont="1" applyFill="1" applyBorder="1" applyAlignment="1">
      <alignment horizontal="center"/>
    </xf>
    <xf numFmtId="0" fontId="5" fillId="4" borderId="25" xfId="0" applyFont="1" applyFill="1" applyBorder="1" applyAlignment="1">
      <alignment horizontal="center"/>
    </xf>
    <xf numFmtId="0" fontId="12" fillId="4" borderId="34" xfId="0" applyFont="1" applyFill="1" applyBorder="1" applyAlignment="1">
      <alignment horizontal="center"/>
    </xf>
    <xf numFmtId="0" fontId="12" fillId="4" borderId="46" xfId="0" applyFont="1" applyFill="1" applyBorder="1" applyAlignment="1">
      <alignment horizontal="center"/>
    </xf>
    <xf numFmtId="2" fontId="2" fillId="3" borderId="22" xfId="0" applyNumberFormat="1" applyFont="1" applyFill="1" applyBorder="1" applyAlignment="1">
      <alignment horizontal="center"/>
    </xf>
    <xf numFmtId="0" fontId="5" fillId="4" borderId="49" xfId="0" applyFont="1" applyFill="1" applyBorder="1" applyAlignment="1">
      <alignment horizontal="center"/>
    </xf>
    <xf numFmtId="13" fontId="5" fillId="4" borderId="56" xfId="0" applyNumberFormat="1" applyFont="1" applyFill="1" applyBorder="1" applyAlignment="1">
      <alignment horizontal="center"/>
    </xf>
    <xf numFmtId="13" fontId="10" fillId="4" borderId="56" xfId="0" applyNumberFormat="1" applyFont="1" applyFill="1" applyBorder="1" applyAlignment="1">
      <alignment horizontal="center"/>
    </xf>
    <xf numFmtId="2" fontId="32" fillId="0" borderId="25" xfId="0" applyNumberFormat="1" applyFont="1" applyBorder="1" applyAlignment="1">
      <alignment horizontal="center"/>
    </xf>
    <xf numFmtId="2" fontId="32" fillId="3" borderId="34" xfId="0" applyNumberFormat="1" applyFont="1" applyFill="1" applyBorder="1" applyAlignment="1">
      <alignment horizontal="center"/>
    </xf>
    <xf numFmtId="164" fontId="32" fillId="0" borderId="25" xfId="0" applyNumberFormat="1" applyFont="1" applyBorder="1" applyAlignment="1">
      <alignment horizontal="center"/>
    </xf>
    <xf numFmtId="0" fontId="11" fillId="0" borderId="23" xfId="0" applyFont="1" applyBorder="1" applyAlignment="1">
      <alignment horizontal="center"/>
    </xf>
    <xf numFmtId="0" fontId="5" fillId="4" borderId="23" xfId="0" applyFont="1" applyFill="1" applyBorder="1" applyAlignment="1">
      <alignment horizontal="center"/>
    </xf>
    <xf numFmtId="0" fontId="32" fillId="4" borderId="25" xfId="0" applyFont="1" applyFill="1" applyBorder="1" applyAlignment="1">
      <alignment horizontal="center"/>
    </xf>
    <xf numFmtId="0" fontId="2" fillId="4" borderId="48" xfId="0" applyFont="1" applyFill="1" applyBorder="1" applyAlignment="1">
      <alignment horizontal="center"/>
    </xf>
    <xf numFmtId="0" fontId="12" fillId="4" borderId="0" xfId="0" applyFont="1" applyFill="1" applyAlignment="1">
      <alignment horizontal="center"/>
    </xf>
    <xf numFmtId="0" fontId="10" fillId="4" borderId="47" xfId="0" applyFont="1" applyFill="1" applyBorder="1" applyAlignment="1">
      <alignment horizontal="center"/>
    </xf>
    <xf numFmtId="0" fontId="38" fillId="0" borderId="0" xfId="0" applyFont="1"/>
    <xf numFmtId="166" fontId="0" fillId="0" borderId="0" xfId="0" applyNumberFormat="1"/>
    <xf numFmtId="0" fontId="10" fillId="0" borderId="0" xfId="0" applyFont="1" applyAlignment="1">
      <alignment horizontal="center"/>
    </xf>
    <xf numFmtId="167" fontId="12" fillId="4" borderId="51" xfId="0" applyNumberFormat="1" applyFont="1" applyFill="1" applyBorder="1" applyAlignment="1">
      <alignment horizontal="center"/>
    </xf>
    <xf numFmtId="0" fontId="0" fillId="0" borderId="22" xfId="0" applyBorder="1"/>
    <xf numFmtId="0" fontId="0" fillId="0" borderId="48" xfId="0" applyBorder="1"/>
    <xf numFmtId="0" fontId="0" fillId="0" borderId="24" xfId="0" applyBorder="1"/>
    <xf numFmtId="0" fontId="0" fillId="0" borderId="46" xfId="0" applyBorder="1"/>
    <xf numFmtId="0" fontId="0" fillId="0" borderId="58" xfId="0" applyBorder="1"/>
    <xf numFmtId="0" fontId="0" fillId="0" borderId="34" xfId="0" applyBorder="1"/>
    <xf numFmtId="0" fontId="0" fillId="0" borderId="47" xfId="0" applyBorder="1"/>
    <xf numFmtId="0" fontId="0" fillId="0" borderId="26" xfId="0" applyBorder="1"/>
    <xf numFmtId="166" fontId="33" fillId="0" borderId="0" xfId="0" applyNumberFormat="1" applyFont="1" applyAlignment="1">
      <alignment horizontal="center"/>
    </xf>
    <xf numFmtId="13" fontId="33" fillId="0" borderId="0" xfId="0" applyNumberFormat="1" applyFont="1" applyAlignment="1">
      <alignment horizontal="center"/>
    </xf>
    <xf numFmtId="164" fontId="0" fillId="0" borderId="0" xfId="0" applyNumberFormat="1"/>
    <xf numFmtId="2" fontId="0" fillId="0" borderId="0" xfId="0" applyNumberFormat="1"/>
    <xf numFmtId="0" fontId="0" fillId="0" borderId="0" xfId="0" applyAlignment="1">
      <alignment horizontal="right"/>
    </xf>
    <xf numFmtId="0" fontId="39" fillId="0" borderId="0" xfId="0" applyFont="1"/>
    <xf numFmtId="0" fontId="41" fillId="0" borderId="0" xfId="0" applyFont="1"/>
    <xf numFmtId="13" fontId="0" fillId="0" borderId="47" xfId="0" applyNumberFormat="1" applyBorder="1" applyAlignment="1">
      <alignment horizontal="center"/>
    </xf>
    <xf numFmtId="166" fontId="5" fillId="0" borderId="51" xfId="0" applyNumberFormat="1" applyFont="1" applyBorder="1" applyAlignment="1">
      <alignment horizontal="center"/>
    </xf>
    <xf numFmtId="0" fontId="44" fillId="0" borderId="48" xfId="0" applyFont="1" applyBorder="1"/>
    <xf numFmtId="0" fontId="44" fillId="0" borderId="0" xfId="0" applyFont="1"/>
    <xf numFmtId="166" fontId="5" fillId="0" borderId="51" xfId="0" applyNumberFormat="1" applyFont="1" applyBorder="1"/>
    <xf numFmtId="168" fontId="5" fillId="0" borderId="51" xfId="0" applyNumberFormat="1" applyFont="1" applyBorder="1" applyAlignment="1">
      <alignment horizontal="center"/>
    </xf>
    <xf numFmtId="0" fontId="5" fillId="4" borderId="11" xfId="0" applyFont="1" applyFill="1" applyBorder="1" applyAlignment="1">
      <alignment horizontal="left"/>
    </xf>
    <xf numFmtId="0" fontId="0" fillId="4" borderId="63" xfId="0" applyFill="1" applyBorder="1"/>
    <xf numFmtId="0" fontId="11" fillId="4" borderId="17" xfId="0" applyFont="1" applyFill="1" applyBorder="1" applyAlignment="1">
      <alignment horizontal="center"/>
    </xf>
    <xf numFmtId="166" fontId="5" fillId="0" borderId="57" xfId="0" applyNumberFormat="1" applyFont="1" applyBorder="1" applyAlignment="1">
      <alignment horizontal="center"/>
    </xf>
    <xf numFmtId="167" fontId="5" fillId="0" borderId="20" xfId="0" applyNumberFormat="1" applyFont="1" applyBorder="1" applyAlignment="1">
      <alignment horizontal="center"/>
    </xf>
    <xf numFmtId="166" fontId="5" fillId="3" borderId="0" xfId="0" applyNumberFormat="1" applyFont="1" applyFill="1" applyAlignment="1">
      <alignment horizontal="center"/>
    </xf>
    <xf numFmtId="167" fontId="5" fillId="3" borderId="0" xfId="0" applyNumberFormat="1" applyFont="1" applyFill="1" applyAlignment="1">
      <alignment horizontal="center"/>
    </xf>
    <xf numFmtId="14" fontId="10" fillId="0" borderId="0" xfId="0" applyNumberFormat="1" applyFont="1" applyAlignment="1">
      <alignment horizontal="center"/>
    </xf>
    <xf numFmtId="13" fontId="10" fillId="0" borderId="0" xfId="0" applyNumberFormat="1" applyFont="1" applyAlignment="1">
      <alignment horizontal="center"/>
    </xf>
    <xf numFmtId="166" fontId="5" fillId="0" borderId="0" xfId="0" applyNumberFormat="1" applyFont="1"/>
    <xf numFmtId="13" fontId="5" fillId="0" borderId="0" xfId="0" applyNumberFormat="1" applyFont="1" applyAlignment="1">
      <alignment horizontal="center"/>
    </xf>
    <xf numFmtId="167" fontId="0" fillId="0" borderId="0" xfId="0" applyNumberFormat="1"/>
    <xf numFmtId="0" fontId="0" fillId="3" borderId="34" xfId="0" applyFill="1" applyBorder="1"/>
    <xf numFmtId="0" fontId="0" fillId="3" borderId="47" xfId="0" applyFill="1" applyBorder="1"/>
    <xf numFmtId="0" fontId="0" fillId="3" borderId="26" xfId="0" applyFill="1" applyBorder="1"/>
    <xf numFmtId="13" fontId="0" fillId="0" borderId="0" xfId="0" applyNumberFormat="1" applyAlignment="1">
      <alignment horizontal="center"/>
    </xf>
    <xf numFmtId="168" fontId="5" fillId="0" borderId="0" xfId="0" applyNumberFormat="1" applyFont="1" applyAlignment="1">
      <alignment horizontal="center"/>
    </xf>
    <xf numFmtId="166" fontId="5" fillId="0" borderId="0" xfId="0" applyNumberFormat="1" applyFont="1" applyAlignment="1">
      <alignment horizontal="center"/>
    </xf>
    <xf numFmtId="166" fontId="0" fillId="0" borderId="0" xfId="0" applyNumberFormat="1" applyAlignment="1">
      <alignment horizontal="right"/>
    </xf>
    <xf numFmtId="0" fontId="11" fillId="0" borderId="64" xfId="0" applyFont="1" applyBorder="1" applyAlignment="1">
      <alignment horizontal="center"/>
    </xf>
    <xf numFmtId="0" fontId="8" fillId="0" borderId="65" xfId="0" applyFont="1" applyBorder="1"/>
    <xf numFmtId="0" fontId="8" fillId="0" borderId="66" xfId="0" applyFont="1" applyBorder="1"/>
    <xf numFmtId="0" fontId="5" fillId="0" borderId="66" xfId="0" applyFont="1" applyBorder="1"/>
    <xf numFmtId="0" fontId="8" fillId="0" borderId="67" xfId="0" applyFont="1" applyBorder="1"/>
    <xf numFmtId="0" fontId="8" fillId="0" borderId="68" xfId="0" applyFont="1" applyBorder="1"/>
    <xf numFmtId="0" fontId="8" fillId="0" borderId="64" xfId="0" applyFont="1" applyBorder="1"/>
    <xf numFmtId="0" fontId="5" fillId="0" borderId="69" xfId="0" applyFont="1" applyBorder="1" applyAlignment="1">
      <alignment horizontal="left"/>
    </xf>
    <xf numFmtId="0" fontId="11" fillId="0" borderId="70" xfId="0" applyFont="1" applyBorder="1" applyAlignment="1">
      <alignment horizontal="center"/>
    </xf>
    <xf numFmtId="0" fontId="45" fillId="0" borderId="70" xfId="0" applyFont="1" applyBorder="1" applyAlignment="1">
      <alignment horizontal="center"/>
    </xf>
    <xf numFmtId="0" fontId="4" fillId="0" borderId="70" xfId="0" applyFont="1" applyBorder="1" applyAlignment="1">
      <alignment horizontal="center"/>
    </xf>
    <xf numFmtId="0" fontId="2" fillId="0" borderId="70" xfId="0" applyFont="1" applyBorder="1" applyAlignment="1">
      <alignment horizontal="center"/>
    </xf>
    <xf numFmtId="0" fontId="46" fillId="0" borderId="70" xfId="0" applyFont="1" applyBorder="1" applyAlignment="1">
      <alignment horizontal="center"/>
    </xf>
    <xf numFmtId="0" fontId="47" fillId="0" borderId="70" xfId="0" applyFont="1" applyBorder="1" applyAlignment="1">
      <alignment horizontal="center"/>
    </xf>
    <xf numFmtId="0" fontId="8" fillId="0" borderId="71" xfId="0" applyFont="1" applyBorder="1"/>
    <xf numFmtId="0" fontId="11" fillId="0" borderId="72" xfId="0" applyFont="1" applyBorder="1" applyAlignment="1">
      <alignment horizontal="center"/>
    </xf>
    <xf numFmtId="0" fontId="45" fillId="0" borderId="72" xfId="0" applyFont="1" applyBorder="1" applyAlignment="1">
      <alignment horizontal="center"/>
    </xf>
    <xf numFmtId="0" fontId="48" fillId="0" borderId="72" xfId="0" applyFont="1" applyBorder="1" applyAlignment="1">
      <alignment horizontal="center"/>
    </xf>
    <xf numFmtId="0" fontId="45" fillId="0" borderId="73" xfId="0" applyFont="1" applyBorder="1" applyAlignment="1">
      <alignment horizontal="center"/>
    </xf>
    <xf numFmtId="13" fontId="4" fillId="7" borderId="74" xfId="0" applyNumberFormat="1" applyFont="1" applyFill="1" applyBorder="1"/>
    <xf numFmtId="0" fontId="8" fillId="0" borderId="5" xfId="0" applyFont="1" applyBorder="1" applyAlignment="1">
      <alignment horizontal="center"/>
    </xf>
    <xf numFmtId="164" fontId="8" fillId="6" borderId="75" xfId="0" applyNumberFormat="1" applyFont="1" applyFill="1" applyBorder="1" applyAlignment="1">
      <alignment horizontal="center"/>
    </xf>
    <xf numFmtId="164" fontId="8" fillId="0" borderId="74" xfId="0" applyNumberFormat="1" applyFont="1" applyBorder="1" applyAlignment="1">
      <alignment horizontal="center"/>
    </xf>
    <xf numFmtId="164" fontId="8" fillId="0" borderId="0" xfId="0" applyNumberFormat="1" applyFont="1" applyAlignment="1">
      <alignment horizontal="center"/>
    </xf>
    <xf numFmtId="12" fontId="49" fillId="0" borderId="74" xfId="0" applyNumberFormat="1" applyFont="1" applyBorder="1" applyAlignment="1">
      <alignment horizontal="center"/>
    </xf>
    <xf numFmtId="13" fontId="31" fillId="0" borderId="74" xfId="0" applyNumberFormat="1" applyFont="1" applyBorder="1" applyAlignment="1">
      <alignment horizontal="center"/>
    </xf>
    <xf numFmtId="12" fontId="50" fillId="0" borderId="74" xfId="0" applyNumberFormat="1" applyFont="1" applyBorder="1" applyAlignment="1">
      <alignment horizontal="center"/>
    </xf>
    <xf numFmtId="164" fontId="8" fillId="6" borderId="75" xfId="0" applyNumberFormat="1" applyFont="1" applyFill="1" applyBorder="1"/>
    <xf numFmtId="0" fontId="50" fillId="0" borderId="74" xfId="0" applyFont="1" applyBorder="1" applyAlignment="1">
      <alignment horizontal="center"/>
    </xf>
    <xf numFmtId="13" fontId="4" fillId="7" borderId="1" xfId="0" applyNumberFormat="1" applyFont="1" applyFill="1" applyBorder="1"/>
    <xf numFmtId="0" fontId="8" fillId="0" borderId="1" xfId="0" applyFont="1" applyBorder="1" applyAlignment="1">
      <alignment horizontal="center"/>
    </xf>
    <xf numFmtId="164" fontId="8" fillId="6" borderId="76" xfId="0" applyNumberFormat="1" applyFont="1" applyFill="1" applyBorder="1" applyAlignment="1">
      <alignment horizontal="center"/>
    </xf>
    <xf numFmtId="164" fontId="8" fillId="0" borderId="1" xfId="0" applyNumberFormat="1" applyFont="1" applyBorder="1" applyAlignment="1">
      <alignment horizontal="center"/>
    </xf>
    <xf numFmtId="12" fontId="49" fillId="0" borderId="1" xfId="0" applyNumberFormat="1" applyFont="1" applyBorder="1" applyAlignment="1">
      <alignment horizontal="center"/>
    </xf>
    <xf numFmtId="13" fontId="31" fillId="0" borderId="1" xfId="0" applyNumberFormat="1" applyFont="1" applyBorder="1" applyAlignment="1">
      <alignment horizontal="center"/>
    </xf>
    <xf numFmtId="13" fontId="50" fillId="0" borderId="1" xfId="0" applyNumberFormat="1" applyFont="1" applyBorder="1" applyAlignment="1">
      <alignment horizontal="center"/>
    </xf>
    <xf numFmtId="164" fontId="8" fillId="6" borderId="76" xfId="0" applyNumberFormat="1" applyFont="1" applyFill="1" applyBorder="1"/>
    <xf numFmtId="0" fontId="50" fillId="0" borderId="1" xfId="0" applyFont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51" fillId="0" borderId="1" xfId="0" applyFont="1" applyBorder="1" applyAlignment="1">
      <alignment horizontal="center"/>
    </xf>
    <xf numFmtId="12" fontId="52" fillId="0" borderId="1" xfId="0" applyNumberFormat="1" applyFont="1" applyBorder="1" applyAlignment="1">
      <alignment horizontal="center"/>
    </xf>
    <xf numFmtId="12" fontId="50" fillId="0" borderId="1" xfId="0" applyNumberFormat="1" applyFont="1" applyBorder="1" applyAlignment="1">
      <alignment horizontal="center"/>
    </xf>
    <xf numFmtId="0" fontId="31" fillId="0" borderId="1" xfId="0" applyFont="1" applyBorder="1" applyAlignment="1">
      <alignment horizontal="center"/>
    </xf>
    <xf numFmtId="12" fontId="51" fillId="0" borderId="1" xfId="0" applyNumberFormat="1" applyFont="1" applyBorder="1" applyAlignment="1">
      <alignment horizontal="center"/>
    </xf>
    <xf numFmtId="13" fontId="52" fillId="0" borderId="1" xfId="0" quotePrefix="1" applyNumberFormat="1" applyFont="1" applyBorder="1" applyAlignment="1">
      <alignment horizontal="center"/>
    </xf>
    <xf numFmtId="13" fontId="4" fillId="7" borderId="77" xfId="0" applyNumberFormat="1" applyFont="1" applyFill="1" applyBorder="1"/>
    <xf numFmtId="0" fontId="8" fillId="0" borderId="77" xfId="0" applyFont="1" applyBorder="1" applyAlignment="1">
      <alignment horizontal="center"/>
    </xf>
    <xf numFmtId="164" fontId="8" fillId="6" borderId="78" xfId="0" applyNumberFormat="1" applyFont="1" applyFill="1" applyBorder="1" applyAlignment="1">
      <alignment horizontal="center"/>
    </xf>
    <xf numFmtId="164" fontId="8" fillId="0" borderId="77" xfId="0" applyNumberFormat="1" applyFont="1" applyBorder="1" applyAlignment="1">
      <alignment horizontal="center"/>
    </xf>
    <xf numFmtId="164" fontId="8" fillId="0" borderId="79" xfId="0" applyNumberFormat="1" applyFont="1" applyBorder="1" applyAlignment="1">
      <alignment horizontal="center"/>
    </xf>
    <xf numFmtId="12" fontId="49" fillId="0" borderId="77" xfId="0" applyNumberFormat="1" applyFont="1" applyBorder="1" applyAlignment="1">
      <alignment horizontal="center"/>
    </xf>
    <xf numFmtId="12" fontId="31" fillId="0" borderId="77" xfId="0" applyNumberFormat="1" applyFont="1" applyBorder="1" applyAlignment="1">
      <alignment horizontal="center"/>
    </xf>
    <xf numFmtId="12" fontId="50" fillId="0" borderId="77" xfId="0" applyNumberFormat="1" applyFont="1" applyBorder="1" applyAlignment="1">
      <alignment horizontal="center"/>
    </xf>
    <xf numFmtId="12" fontId="51" fillId="0" borderId="77" xfId="0" applyNumberFormat="1" applyFont="1" applyBorder="1" applyAlignment="1">
      <alignment horizontal="center"/>
    </xf>
    <xf numFmtId="13" fontId="52" fillId="0" borderId="77" xfId="0" quotePrefix="1" applyNumberFormat="1" applyFont="1" applyBorder="1" applyAlignment="1">
      <alignment horizontal="center"/>
    </xf>
    <xf numFmtId="0" fontId="50" fillId="0" borderId="77" xfId="0" applyFont="1" applyBorder="1" applyAlignment="1">
      <alignment horizontal="center"/>
    </xf>
    <xf numFmtId="0" fontId="4" fillId="7" borderId="5" xfId="0" applyFont="1" applyFill="1" applyBorder="1" applyAlignment="1">
      <alignment horizontal="center"/>
    </xf>
    <xf numFmtId="164" fontId="8" fillId="0" borderId="5" xfId="0" applyNumberFormat="1" applyFont="1" applyBorder="1" applyAlignment="1">
      <alignment horizontal="center"/>
    </xf>
    <xf numFmtId="0" fontId="49" fillId="0" borderId="5" xfId="0" applyFont="1" applyBorder="1" applyAlignment="1">
      <alignment horizontal="center"/>
    </xf>
    <xf numFmtId="12" fontId="31" fillId="0" borderId="5" xfId="0" applyNumberFormat="1" applyFont="1" applyBorder="1" applyAlignment="1">
      <alignment horizontal="center"/>
    </xf>
    <xf numFmtId="13" fontId="50" fillId="0" borderId="5" xfId="0" applyNumberFormat="1" applyFont="1" applyBorder="1" applyAlignment="1">
      <alignment horizontal="center"/>
    </xf>
    <xf numFmtId="0" fontId="51" fillId="0" borderId="5" xfId="0" applyFont="1" applyBorder="1" applyAlignment="1">
      <alignment horizontal="center"/>
    </xf>
    <xf numFmtId="13" fontId="52" fillId="0" borderId="5" xfId="0" quotePrefix="1" applyNumberFormat="1" applyFont="1" applyBorder="1" applyAlignment="1">
      <alignment horizontal="center"/>
    </xf>
    <xf numFmtId="12" fontId="50" fillId="0" borderId="5" xfId="0" applyNumberFormat="1" applyFont="1" applyBorder="1" applyAlignment="1">
      <alignment horizontal="center"/>
    </xf>
    <xf numFmtId="0" fontId="50" fillId="0" borderId="5" xfId="0" applyFont="1" applyBorder="1" applyAlignment="1">
      <alignment horizontal="center"/>
    </xf>
    <xf numFmtId="12" fontId="31" fillId="0" borderId="1" xfId="0" applyNumberFormat="1" applyFont="1" applyBorder="1" applyAlignment="1">
      <alignment horizontal="center"/>
    </xf>
    <xf numFmtId="12" fontId="52" fillId="0" borderId="77" xfId="0" applyNumberFormat="1" applyFont="1" applyBorder="1" applyAlignment="1">
      <alignment horizontal="center"/>
    </xf>
    <xf numFmtId="12" fontId="52" fillId="0" borderId="5" xfId="0" applyNumberFormat="1" applyFont="1" applyBorder="1" applyAlignment="1">
      <alignment horizontal="center"/>
    </xf>
    <xf numFmtId="13" fontId="50" fillId="0" borderId="5" xfId="0" quotePrefix="1" applyNumberFormat="1" applyFont="1" applyBorder="1" applyAlignment="1">
      <alignment horizontal="center"/>
    </xf>
    <xf numFmtId="0" fontId="50" fillId="0" borderId="1" xfId="0" quotePrefix="1" applyFont="1" applyBorder="1" applyAlignment="1">
      <alignment horizontal="center"/>
    </xf>
    <xf numFmtId="0" fontId="49" fillId="0" borderId="1" xfId="0" applyFont="1" applyBorder="1" applyAlignment="1">
      <alignment horizontal="center"/>
    </xf>
    <xf numFmtId="0" fontId="4" fillId="7" borderId="77" xfId="0" applyFont="1" applyFill="1" applyBorder="1" applyAlignment="1">
      <alignment horizontal="center"/>
    </xf>
    <xf numFmtId="0" fontId="49" fillId="0" borderId="77" xfId="0" applyFont="1" applyBorder="1" applyAlignment="1">
      <alignment horizontal="center"/>
    </xf>
    <xf numFmtId="0" fontId="31" fillId="0" borderId="77" xfId="0" applyFont="1" applyBorder="1" applyAlignment="1">
      <alignment horizontal="center"/>
    </xf>
    <xf numFmtId="13" fontId="50" fillId="0" borderId="77" xfId="0" applyNumberFormat="1" applyFont="1" applyBorder="1" applyAlignment="1">
      <alignment horizontal="center"/>
    </xf>
    <xf numFmtId="0" fontId="51" fillId="0" borderId="77" xfId="0" applyFont="1" applyBorder="1" applyAlignment="1">
      <alignment horizontal="center"/>
    </xf>
    <xf numFmtId="0" fontId="52" fillId="0" borderId="1" xfId="0" applyFont="1" applyBorder="1" applyAlignment="1">
      <alignment horizontal="center"/>
    </xf>
    <xf numFmtId="0" fontId="52" fillId="0" borderId="77" xfId="0" applyFont="1" applyBorder="1" applyAlignment="1">
      <alignment horizontal="center"/>
    </xf>
    <xf numFmtId="164" fontId="8" fillId="6" borderId="78" xfId="0" applyNumberFormat="1" applyFont="1" applyFill="1" applyBorder="1"/>
    <xf numFmtId="0" fontId="52" fillId="0" borderId="5" xfId="0" applyFont="1" applyBorder="1" applyAlignment="1">
      <alignment horizontal="center"/>
    </xf>
    <xf numFmtId="0" fontId="4" fillId="7" borderId="29" xfId="0" applyFont="1" applyFill="1" applyBorder="1" applyAlignment="1">
      <alignment horizontal="center"/>
    </xf>
    <xf numFmtId="164" fontId="8" fillId="6" borderId="80" xfId="0" applyNumberFormat="1" applyFont="1" applyFill="1" applyBorder="1" applyAlignment="1">
      <alignment horizontal="center"/>
    </xf>
    <xf numFmtId="164" fontId="8" fillId="0" borderId="29" xfId="0" applyNumberFormat="1" applyFont="1" applyBorder="1" applyAlignment="1">
      <alignment horizontal="center"/>
    </xf>
    <xf numFmtId="164" fontId="8" fillId="0" borderId="30" xfId="0" applyNumberFormat="1" applyFont="1" applyBorder="1" applyAlignment="1">
      <alignment horizontal="center"/>
    </xf>
    <xf numFmtId="0" fontId="49" fillId="0" borderId="29" xfId="0" applyFont="1" applyBorder="1" applyAlignment="1">
      <alignment horizontal="center"/>
    </xf>
    <xf numFmtId="12" fontId="31" fillId="0" borderId="29" xfId="0" applyNumberFormat="1" applyFont="1" applyBorder="1" applyAlignment="1">
      <alignment horizontal="center"/>
    </xf>
    <xf numFmtId="164" fontId="8" fillId="6" borderId="80" xfId="0" applyNumberFormat="1" applyFont="1" applyFill="1" applyBorder="1"/>
    <xf numFmtId="0" fontId="51" fillId="0" borderId="29" xfId="0" applyFont="1" applyBorder="1" applyAlignment="1">
      <alignment horizontal="center"/>
    </xf>
    <xf numFmtId="12" fontId="50" fillId="0" borderId="29" xfId="0" applyNumberFormat="1" applyFont="1" applyBorder="1" applyAlignment="1">
      <alignment horizontal="center"/>
    </xf>
    <xf numFmtId="0" fontId="45" fillId="0" borderId="0" xfId="0" applyFont="1" applyAlignment="1">
      <alignment horizontal="center"/>
    </xf>
    <xf numFmtId="0" fontId="53" fillId="0" borderId="70" xfId="0" applyFont="1" applyBorder="1" applyAlignment="1">
      <alignment horizontal="center"/>
    </xf>
    <xf numFmtId="0" fontId="48" fillId="0" borderId="72" xfId="0" applyFont="1" applyBorder="1" applyAlignment="1">
      <alignment horizontal="left"/>
    </xf>
    <xf numFmtId="1" fontId="4" fillId="7" borderId="81" xfId="0" applyNumberFormat="1" applyFont="1" applyFill="1" applyBorder="1" applyAlignment="1">
      <alignment horizontal="center"/>
    </xf>
    <xf numFmtId="2" fontId="8" fillId="0" borderId="81" xfId="0" applyNumberFormat="1" applyFont="1" applyBorder="1" applyAlignment="1">
      <alignment horizontal="center"/>
    </xf>
    <xf numFmtId="2" fontId="8" fillId="0" borderId="0" xfId="0" applyNumberFormat="1" applyFont="1" applyAlignment="1">
      <alignment horizontal="center"/>
    </xf>
    <xf numFmtId="165" fontId="49" fillId="0" borderId="74" xfId="0" applyNumberFormat="1" applyFont="1" applyBorder="1" applyAlignment="1">
      <alignment horizontal="center"/>
    </xf>
    <xf numFmtId="165" fontId="31" fillId="0" borderId="74" xfId="0" applyNumberFormat="1" applyFont="1" applyBorder="1" applyAlignment="1">
      <alignment horizontal="center"/>
    </xf>
    <xf numFmtId="165" fontId="50" fillId="0" borderId="74" xfId="0" applyNumberFormat="1" applyFont="1" applyBorder="1" applyAlignment="1">
      <alignment horizontal="center"/>
    </xf>
    <xf numFmtId="1" fontId="4" fillId="7" borderId="1" xfId="0" applyNumberFormat="1" applyFont="1" applyFill="1" applyBorder="1" applyAlignment="1">
      <alignment horizontal="center"/>
    </xf>
    <xf numFmtId="2" fontId="8" fillId="0" borderId="1" xfId="0" applyNumberFormat="1" applyFont="1" applyBorder="1" applyAlignment="1">
      <alignment horizontal="center"/>
    </xf>
    <xf numFmtId="165" fontId="49" fillId="0" borderId="1" xfId="0" applyNumberFormat="1" applyFont="1" applyBorder="1" applyAlignment="1">
      <alignment horizontal="center"/>
    </xf>
    <xf numFmtId="165" fontId="31" fillId="0" borderId="1" xfId="0" applyNumberFormat="1" applyFont="1" applyBorder="1" applyAlignment="1">
      <alignment horizontal="center"/>
    </xf>
    <xf numFmtId="165" fontId="50" fillId="0" borderId="1" xfId="0" applyNumberFormat="1" applyFont="1" applyBorder="1" applyAlignment="1">
      <alignment horizontal="center"/>
    </xf>
    <xf numFmtId="165" fontId="54" fillId="0" borderId="1" xfId="0" applyNumberFormat="1" applyFont="1" applyBorder="1" applyAlignment="1">
      <alignment horizontal="center"/>
    </xf>
    <xf numFmtId="165" fontId="52" fillId="0" borderId="1" xfId="0" applyNumberFormat="1" applyFont="1" applyBorder="1" applyAlignment="1">
      <alignment horizontal="center"/>
    </xf>
    <xf numFmtId="1" fontId="4" fillId="7" borderId="82" xfId="0" applyNumberFormat="1" applyFont="1" applyFill="1" applyBorder="1" applyAlignment="1">
      <alignment horizontal="center"/>
    </xf>
    <xf numFmtId="2" fontId="8" fillId="0" borderId="82" xfId="0" applyNumberFormat="1" applyFont="1" applyBorder="1" applyAlignment="1">
      <alignment horizontal="center"/>
    </xf>
    <xf numFmtId="165" fontId="49" fillId="0" borderId="5" xfId="0" applyNumberFormat="1" applyFont="1" applyBorder="1" applyAlignment="1">
      <alignment horizontal="center"/>
    </xf>
    <xf numFmtId="165" fontId="31" fillId="0" borderId="5" xfId="0" applyNumberFormat="1" applyFont="1" applyBorder="1" applyAlignment="1">
      <alignment horizontal="center"/>
    </xf>
    <xf numFmtId="165" fontId="50" fillId="0" borderId="5" xfId="0" applyNumberFormat="1" applyFont="1" applyBorder="1" applyAlignment="1">
      <alignment horizontal="center"/>
    </xf>
    <xf numFmtId="165" fontId="54" fillId="0" borderId="5" xfId="0" applyNumberFormat="1" applyFont="1" applyBorder="1" applyAlignment="1">
      <alignment horizontal="center"/>
    </xf>
    <xf numFmtId="165" fontId="52" fillId="0" borderId="5" xfId="0" applyNumberFormat="1" applyFont="1" applyBorder="1" applyAlignment="1">
      <alignment horizontal="center"/>
    </xf>
    <xf numFmtId="1" fontId="4" fillId="7" borderId="6" xfId="0" applyNumberFormat="1" applyFont="1" applyFill="1" applyBorder="1" applyAlignment="1">
      <alignment horizontal="center"/>
    </xf>
    <xf numFmtId="2" fontId="8" fillId="0" borderId="6" xfId="0" applyNumberFormat="1" applyFont="1" applyBorder="1" applyAlignment="1">
      <alignment horizontal="center"/>
    </xf>
    <xf numFmtId="165" fontId="54" fillId="0" borderId="74" xfId="0" applyNumberFormat="1" applyFont="1" applyBorder="1" applyAlignment="1">
      <alignment horizontal="center"/>
    </xf>
    <xf numFmtId="165" fontId="52" fillId="0" borderId="74" xfId="0" applyNumberFormat="1" applyFont="1" applyBorder="1" applyAlignment="1">
      <alignment horizontal="center"/>
    </xf>
    <xf numFmtId="1" fontId="4" fillId="7" borderId="77" xfId="0" applyNumberFormat="1" applyFont="1" applyFill="1" applyBorder="1" applyAlignment="1">
      <alignment horizontal="center"/>
    </xf>
    <xf numFmtId="2" fontId="8" fillId="0" borderId="77" xfId="0" applyNumberFormat="1" applyFont="1" applyBorder="1" applyAlignment="1">
      <alignment horizontal="center"/>
    </xf>
    <xf numFmtId="1" fontId="4" fillId="7" borderId="5" xfId="0" applyNumberFormat="1" applyFont="1" applyFill="1" applyBorder="1" applyAlignment="1">
      <alignment horizontal="center"/>
    </xf>
    <xf numFmtId="165" fontId="50" fillId="0" borderId="82" xfId="0" applyNumberFormat="1" applyFont="1" applyBorder="1" applyAlignment="1">
      <alignment horizontal="center"/>
    </xf>
    <xf numFmtId="0" fontId="0" fillId="0" borderId="64" xfId="0" applyBorder="1"/>
    <xf numFmtId="0" fontId="50" fillId="0" borderId="70" xfId="0" applyFont="1" applyBorder="1" applyAlignment="1">
      <alignment horizontal="center"/>
    </xf>
    <xf numFmtId="0" fontId="23" fillId="0" borderId="70" xfId="0" applyFont="1" applyBorder="1" applyAlignment="1">
      <alignment horizontal="center"/>
    </xf>
    <xf numFmtId="13" fontId="4" fillId="7" borderId="83" xfId="0" applyNumberFormat="1" applyFont="1" applyFill="1" applyBorder="1" applyAlignment="1">
      <alignment horizontal="center"/>
    </xf>
    <xf numFmtId="13" fontId="2" fillId="0" borderId="81" xfId="0" applyNumberFormat="1" applyFont="1" applyBorder="1" applyAlignment="1">
      <alignment horizontal="center"/>
    </xf>
    <xf numFmtId="12" fontId="2" fillId="0" borderId="81" xfId="0" applyNumberFormat="1" applyFont="1" applyBorder="1" applyAlignment="1">
      <alignment horizontal="center"/>
    </xf>
    <xf numFmtId="0" fontId="14" fillId="0" borderId="84" xfId="0" applyFont="1" applyBorder="1"/>
    <xf numFmtId="0" fontId="14" fillId="0" borderId="85" xfId="0" applyFont="1" applyBorder="1"/>
    <xf numFmtId="12" fontId="4" fillId="7" borderId="83" xfId="0" applyNumberFormat="1" applyFont="1" applyFill="1" applyBorder="1" applyAlignment="1">
      <alignment horizontal="center"/>
    </xf>
    <xf numFmtId="0" fontId="4" fillId="7" borderId="83" xfId="0" applyFont="1" applyFill="1" applyBorder="1" applyAlignment="1">
      <alignment horizontal="center"/>
    </xf>
    <xf numFmtId="0" fontId="2" fillId="0" borderId="81" xfId="0" applyFont="1" applyBorder="1" applyAlignment="1">
      <alignment horizontal="center"/>
    </xf>
    <xf numFmtId="13" fontId="4" fillId="7" borderId="86" xfId="0" applyNumberFormat="1" applyFont="1" applyFill="1" applyBorder="1" applyAlignment="1">
      <alignment horizontal="center"/>
    </xf>
    <xf numFmtId="13" fontId="2" fillId="0" borderId="82" xfId="0" applyNumberFormat="1" applyFont="1" applyBorder="1" applyAlignment="1">
      <alignment horizontal="center"/>
    </xf>
    <xf numFmtId="12" fontId="2" fillId="0" borderId="82" xfId="0" applyNumberFormat="1" applyFont="1" applyBorder="1" applyAlignment="1">
      <alignment horizontal="center"/>
    </xf>
    <xf numFmtId="0" fontId="4" fillId="7" borderId="87" xfId="0" applyFont="1" applyFill="1" applyBorder="1" applyAlignment="1">
      <alignment horizontal="center"/>
    </xf>
    <xf numFmtId="12" fontId="2" fillId="0" borderId="1" xfId="0" applyNumberFormat="1" applyFont="1" applyBorder="1" applyAlignment="1">
      <alignment horizontal="center"/>
    </xf>
    <xf numFmtId="0" fontId="4" fillId="7" borderId="86" xfId="0" applyFont="1" applyFill="1" applyBorder="1" applyAlignment="1">
      <alignment horizontal="center"/>
    </xf>
    <xf numFmtId="12" fontId="4" fillId="7" borderId="86" xfId="0" applyNumberFormat="1" applyFont="1" applyFill="1" applyBorder="1" applyAlignment="1">
      <alignment horizontal="center"/>
    </xf>
    <xf numFmtId="0" fontId="2" fillId="0" borderId="82" xfId="0" applyFont="1" applyBorder="1" applyAlignment="1">
      <alignment horizontal="center"/>
    </xf>
    <xf numFmtId="12" fontId="4" fillId="7" borderId="87" xfId="0" applyNumberFormat="1" applyFont="1" applyFill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4" fillId="7" borderId="8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1" fontId="4" fillId="7" borderId="89" xfId="0" applyNumberFormat="1" applyFont="1" applyFill="1" applyBorder="1" applyAlignment="1">
      <alignment horizontal="center"/>
    </xf>
    <xf numFmtId="1" fontId="2" fillId="0" borderId="81" xfId="0" applyNumberFormat="1" applyFont="1" applyBorder="1" applyAlignment="1">
      <alignment horizontal="center"/>
    </xf>
    <xf numFmtId="1" fontId="4" fillId="7" borderId="83" xfId="0" applyNumberFormat="1" applyFont="1" applyFill="1" applyBorder="1" applyAlignment="1">
      <alignment horizontal="center"/>
    </xf>
    <xf numFmtId="1" fontId="2" fillId="0" borderId="74" xfId="0" applyNumberFormat="1" applyFont="1" applyBorder="1" applyAlignment="1">
      <alignment horizontal="center"/>
    </xf>
    <xf numFmtId="1" fontId="4" fillId="7" borderId="90" xfId="0" applyNumberFormat="1" applyFont="1" applyFill="1" applyBorder="1" applyAlignment="1">
      <alignment horizontal="center"/>
    </xf>
    <xf numFmtId="1" fontId="2" fillId="0" borderId="82" xfId="0" applyNumberFormat="1" applyFont="1" applyBorder="1" applyAlignment="1">
      <alignment horizontal="center"/>
    </xf>
    <xf numFmtId="0" fontId="4" fillId="7" borderId="28" xfId="0" applyFont="1" applyFill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1" fontId="4" fillId="7" borderId="91" xfId="0" applyNumberFormat="1" applyFont="1" applyFill="1" applyBorder="1" applyAlignment="1">
      <alignment horizontal="center"/>
    </xf>
    <xf numFmtId="1" fontId="4" fillId="7" borderId="87" xfId="0" applyNumberFormat="1" applyFont="1" applyFill="1" applyBorder="1" applyAlignment="1">
      <alignment horizontal="center"/>
    </xf>
    <xf numFmtId="1" fontId="4" fillId="7" borderId="92" xfId="0" applyNumberFormat="1" applyFont="1" applyFill="1" applyBorder="1" applyAlignment="1">
      <alignment horizontal="center"/>
    </xf>
    <xf numFmtId="1" fontId="4" fillId="7" borderId="86" xfId="0" applyNumberFormat="1" applyFont="1" applyFill="1" applyBorder="1" applyAlignment="1">
      <alignment horizontal="center"/>
    </xf>
    <xf numFmtId="0" fontId="55" fillId="0" borderId="70" xfId="0" applyFont="1" applyBorder="1" applyAlignment="1">
      <alignment horizontal="center"/>
    </xf>
    <xf numFmtId="12" fontId="47" fillId="0" borderId="81" xfId="0" applyNumberFormat="1" applyFont="1" applyBorder="1" applyAlignment="1">
      <alignment horizontal="center"/>
    </xf>
    <xf numFmtId="12" fontId="47" fillId="0" borderId="82" xfId="0" applyNumberFormat="1" applyFont="1" applyBorder="1" applyAlignment="1">
      <alignment horizontal="center"/>
    </xf>
    <xf numFmtId="12" fontId="47" fillId="0" borderId="1" xfId="0" applyNumberFormat="1" applyFont="1" applyBorder="1" applyAlignment="1">
      <alignment horizontal="center"/>
    </xf>
    <xf numFmtId="0" fontId="47" fillId="0" borderId="81" xfId="0" applyFont="1" applyBorder="1" applyAlignment="1">
      <alignment horizontal="center"/>
    </xf>
    <xf numFmtId="0" fontId="47" fillId="0" borderId="1" xfId="0" applyFont="1" applyBorder="1" applyAlignment="1">
      <alignment horizontal="center"/>
    </xf>
    <xf numFmtId="0" fontId="47" fillId="0" borderId="82" xfId="0" applyFont="1" applyBorder="1" applyAlignment="1">
      <alignment horizontal="center"/>
    </xf>
    <xf numFmtId="1" fontId="47" fillId="0" borderId="81" xfId="0" applyNumberFormat="1" applyFont="1" applyBorder="1" applyAlignment="1">
      <alignment horizontal="center"/>
    </xf>
    <xf numFmtId="1" fontId="47" fillId="0" borderId="82" xfId="0" applyNumberFormat="1" applyFont="1" applyBorder="1" applyAlignment="1">
      <alignment horizontal="center"/>
    </xf>
    <xf numFmtId="1" fontId="47" fillId="0" borderId="74" xfId="0" applyNumberFormat="1" applyFont="1" applyBorder="1" applyAlignment="1">
      <alignment horizontal="center"/>
    </xf>
    <xf numFmtId="1" fontId="47" fillId="0" borderId="1" xfId="0" applyNumberFormat="1" applyFont="1" applyBorder="1" applyAlignment="1">
      <alignment horizontal="center"/>
    </xf>
    <xf numFmtId="0" fontId="6" fillId="0" borderId="70" xfId="0" applyFont="1" applyBorder="1" applyAlignment="1">
      <alignment horizontal="center"/>
    </xf>
    <xf numFmtId="0" fontId="56" fillId="0" borderId="84" xfId="0" applyFont="1" applyBorder="1"/>
    <xf numFmtId="12" fontId="4" fillId="0" borderId="82" xfId="0" applyNumberFormat="1" applyFont="1" applyBorder="1" applyAlignment="1">
      <alignment horizontal="center"/>
    </xf>
    <xf numFmtId="12" fontId="4" fillId="0" borderId="1" xfId="0" applyNumberFormat="1" applyFont="1" applyBorder="1" applyAlignment="1">
      <alignment horizontal="center"/>
    </xf>
    <xf numFmtId="0" fontId="56" fillId="0" borderId="93" xfId="0" applyFont="1" applyBorder="1"/>
    <xf numFmtId="12" fontId="4" fillId="0" borderId="6" xfId="0" applyNumberFormat="1" applyFont="1" applyBorder="1" applyAlignment="1">
      <alignment horizontal="center"/>
    </xf>
    <xf numFmtId="0" fontId="4" fillId="0" borderId="82" xfId="0" applyFont="1" applyBorder="1" applyAlignment="1">
      <alignment horizontal="center"/>
    </xf>
    <xf numFmtId="0" fontId="4" fillId="0" borderId="81" xfId="0" applyFont="1" applyBorder="1" applyAlignment="1">
      <alignment horizontal="center"/>
    </xf>
    <xf numFmtId="1" fontId="4" fillId="0" borderId="82" xfId="0" applyNumberFormat="1" applyFont="1" applyBorder="1" applyAlignment="1">
      <alignment horizontal="center"/>
    </xf>
    <xf numFmtId="0" fontId="56" fillId="0" borderId="80" xfId="0" applyFont="1" applyBorder="1"/>
    <xf numFmtId="1" fontId="4" fillId="0" borderId="1" xfId="0" applyNumberFormat="1" applyFont="1" applyBorder="1" applyAlignment="1">
      <alignment horizontal="center"/>
    </xf>
    <xf numFmtId="1" fontId="4" fillId="0" borderId="74" xfId="0" applyNumberFormat="1" applyFont="1" applyBorder="1" applyAlignment="1">
      <alignment horizontal="center"/>
    </xf>
    <xf numFmtId="12" fontId="47" fillId="0" borderId="74" xfId="0" applyNumberFormat="1" applyFont="1" applyBorder="1" applyAlignment="1">
      <alignment horizontal="center"/>
    </xf>
    <xf numFmtId="12" fontId="47" fillId="0" borderId="29" xfId="0" applyNumberFormat="1" applyFont="1" applyBorder="1" applyAlignment="1">
      <alignment horizontal="center"/>
    </xf>
    <xf numFmtId="0" fontId="47" fillId="0" borderId="74" xfId="0" applyFont="1" applyBorder="1" applyAlignment="1">
      <alignment horizontal="center"/>
    </xf>
    <xf numFmtId="0" fontId="57" fillId="0" borderId="70" xfId="0" applyFont="1" applyBorder="1" applyAlignment="1">
      <alignment horizontal="center"/>
    </xf>
    <xf numFmtId="12" fontId="58" fillId="0" borderId="94" xfId="0" applyNumberFormat="1" applyFont="1" applyBorder="1" applyAlignment="1">
      <alignment horizontal="center"/>
    </xf>
    <xf numFmtId="0" fontId="59" fillId="0" borderId="85" xfId="0" applyFont="1" applyBorder="1"/>
    <xf numFmtId="0" fontId="58" fillId="0" borderId="95" xfId="0" applyFont="1" applyBorder="1" applyAlignment="1">
      <alignment horizontal="center"/>
    </xf>
    <xf numFmtId="0" fontId="58" fillId="0" borderId="94" xfId="0" applyFont="1" applyBorder="1" applyAlignment="1">
      <alignment horizontal="center"/>
    </xf>
    <xf numFmtId="12" fontId="58" fillId="0" borderId="95" xfId="0" applyNumberFormat="1" applyFont="1" applyBorder="1" applyAlignment="1">
      <alignment horizontal="center"/>
    </xf>
    <xf numFmtId="0" fontId="58" fillId="0" borderId="96" xfId="0" applyFont="1" applyBorder="1" applyAlignment="1">
      <alignment horizontal="center"/>
    </xf>
    <xf numFmtId="0" fontId="58" fillId="0" borderId="97" xfId="0" applyFont="1" applyBorder="1" applyAlignment="1">
      <alignment horizontal="center"/>
    </xf>
    <xf numFmtId="1" fontId="58" fillId="0" borderId="82" xfId="0" applyNumberFormat="1" applyFont="1" applyBorder="1" applyAlignment="1">
      <alignment horizontal="center"/>
    </xf>
    <xf numFmtId="0" fontId="59" fillId="0" borderId="98" xfId="0" applyFont="1" applyBorder="1"/>
    <xf numFmtId="1" fontId="58" fillId="0" borderId="1" xfId="0" applyNumberFormat="1" applyFont="1" applyBorder="1" applyAlignment="1">
      <alignment horizontal="center"/>
    </xf>
    <xf numFmtId="1" fontId="58" fillId="0" borderId="95" xfId="0" applyNumberFormat="1" applyFont="1" applyBorder="1" applyAlignment="1">
      <alignment horizontal="center"/>
    </xf>
    <xf numFmtId="1" fontId="58" fillId="0" borderId="94" xfId="0" applyNumberFormat="1" applyFont="1" applyBorder="1" applyAlignment="1">
      <alignment horizontal="center"/>
    </xf>
    <xf numFmtId="0" fontId="58" fillId="0" borderId="72" xfId="0" applyFont="1" applyBorder="1" applyAlignment="1">
      <alignment horizontal="center"/>
    </xf>
    <xf numFmtId="0" fontId="47" fillId="0" borderId="72" xfId="0" applyFont="1" applyBorder="1" applyAlignment="1">
      <alignment horizontal="center"/>
    </xf>
    <xf numFmtId="0" fontId="4" fillId="0" borderId="72" xfId="0" applyFont="1" applyBorder="1" applyAlignment="1">
      <alignment horizontal="center"/>
    </xf>
    <xf numFmtId="0" fontId="4" fillId="0" borderId="64" xfId="0" applyFont="1" applyBorder="1" applyAlignment="1">
      <alignment horizontal="center"/>
    </xf>
    <xf numFmtId="0" fontId="2" fillId="0" borderId="72" xfId="0" applyFont="1" applyBorder="1" applyAlignment="1">
      <alignment horizontal="center"/>
    </xf>
    <xf numFmtId="0" fontId="60" fillId="0" borderId="0" xfId="0" applyFont="1"/>
    <xf numFmtId="0" fontId="2" fillId="0" borderId="64" xfId="0" applyFont="1" applyBorder="1" applyAlignment="1">
      <alignment horizontal="center"/>
    </xf>
    <xf numFmtId="13" fontId="4" fillId="7" borderId="99" xfId="0" quotePrefix="1" applyNumberFormat="1" applyFont="1" applyFill="1" applyBorder="1" applyAlignment="1">
      <alignment horizontal="center"/>
    </xf>
    <xf numFmtId="0" fontId="2" fillId="0" borderId="89" xfId="0" applyFont="1" applyBorder="1" applyAlignment="1">
      <alignment horizontal="center"/>
    </xf>
    <xf numFmtId="0" fontId="2" fillId="0" borderId="99" xfId="0" applyFont="1" applyBorder="1" applyAlignment="1">
      <alignment horizontal="center"/>
    </xf>
    <xf numFmtId="0" fontId="2" fillId="0" borderId="100" xfId="0" applyFont="1" applyBorder="1" applyAlignment="1">
      <alignment horizontal="center"/>
    </xf>
    <xf numFmtId="0" fontId="2" fillId="0" borderId="101" xfId="0" applyFont="1" applyBorder="1" applyAlignment="1">
      <alignment horizontal="center"/>
    </xf>
    <xf numFmtId="2" fontId="4" fillId="7" borderId="64" xfId="0" quotePrefix="1" applyNumberFormat="1" applyFont="1" applyFill="1" applyBorder="1" applyAlignment="1">
      <alignment horizontal="center"/>
    </xf>
    <xf numFmtId="165" fontId="2" fillId="0" borderId="99" xfId="0" applyNumberFormat="1" applyFont="1" applyBorder="1" applyAlignment="1">
      <alignment horizontal="center"/>
    </xf>
    <xf numFmtId="13" fontId="4" fillId="7" borderId="102" xfId="0" quotePrefix="1" applyNumberFormat="1" applyFont="1" applyFill="1" applyBorder="1" applyAlignment="1">
      <alignment horizontal="center"/>
    </xf>
    <xf numFmtId="0" fontId="2" fillId="0" borderId="103" xfId="0" applyFont="1" applyBorder="1" applyAlignment="1">
      <alignment horizontal="center"/>
    </xf>
    <xf numFmtId="0" fontId="2" fillId="0" borderId="102" xfId="0" applyFont="1" applyBorder="1" applyAlignment="1">
      <alignment horizontal="center"/>
    </xf>
    <xf numFmtId="0" fontId="2" fillId="0" borderId="104" xfId="0" applyFont="1" applyBorder="1" applyAlignment="1">
      <alignment horizontal="center"/>
    </xf>
    <xf numFmtId="2" fontId="4" fillId="7" borderId="102" xfId="0" quotePrefix="1" applyNumberFormat="1" applyFont="1" applyFill="1" applyBorder="1" applyAlignment="1">
      <alignment horizontal="center"/>
    </xf>
    <xf numFmtId="165" fontId="2" fillId="0" borderId="102" xfId="0" applyNumberFormat="1" applyFont="1" applyBorder="1" applyAlignment="1">
      <alignment horizontal="center"/>
    </xf>
    <xf numFmtId="0" fontId="4" fillId="7" borderId="102" xfId="0" applyFont="1" applyFill="1" applyBorder="1" applyAlignment="1">
      <alignment horizontal="center"/>
    </xf>
    <xf numFmtId="12" fontId="4" fillId="7" borderId="102" xfId="0" applyNumberFormat="1" applyFont="1" applyFill="1" applyBorder="1" applyAlignment="1">
      <alignment horizontal="center"/>
    </xf>
    <xf numFmtId="12" fontId="4" fillId="7" borderId="105" xfId="0" applyNumberFormat="1" applyFont="1" applyFill="1" applyBorder="1" applyAlignment="1">
      <alignment horizontal="center"/>
    </xf>
    <xf numFmtId="0" fontId="2" fillId="0" borderId="106" xfId="0" applyFont="1" applyBorder="1" applyAlignment="1">
      <alignment horizontal="center"/>
    </xf>
    <xf numFmtId="0" fontId="2" fillId="0" borderId="105" xfId="0" applyFont="1" applyBorder="1" applyAlignment="1">
      <alignment horizontal="center"/>
    </xf>
    <xf numFmtId="0" fontId="2" fillId="0" borderId="107" xfId="0" applyFont="1" applyBorder="1" applyAlignment="1">
      <alignment horizontal="center"/>
    </xf>
    <xf numFmtId="0" fontId="2" fillId="0" borderId="108" xfId="0" applyFont="1" applyBorder="1" applyAlignment="1">
      <alignment horizontal="center"/>
    </xf>
    <xf numFmtId="2" fontId="4" fillId="7" borderId="105" xfId="0" quotePrefix="1" applyNumberFormat="1" applyFont="1" applyFill="1" applyBorder="1" applyAlignment="1">
      <alignment horizontal="center"/>
    </xf>
    <xf numFmtId="0" fontId="4" fillId="7" borderId="109" xfId="0" applyFont="1" applyFill="1" applyBorder="1" applyAlignment="1">
      <alignment horizontal="center"/>
    </xf>
    <xf numFmtId="0" fontId="4" fillId="7" borderId="105" xfId="0" applyFont="1" applyFill="1" applyBorder="1" applyAlignment="1">
      <alignment horizontal="center"/>
    </xf>
    <xf numFmtId="165" fontId="2" fillId="0" borderId="105" xfId="0" applyNumberFormat="1" applyFont="1" applyBorder="1" applyAlignment="1">
      <alignment horizontal="center"/>
    </xf>
    <xf numFmtId="0" fontId="2" fillId="0" borderId="110" xfId="0" applyFont="1" applyBorder="1" applyAlignment="1">
      <alignment horizontal="center"/>
    </xf>
    <xf numFmtId="0" fontId="2" fillId="0" borderId="111" xfId="0" applyFont="1" applyBorder="1" applyAlignment="1">
      <alignment horizontal="center"/>
    </xf>
    <xf numFmtId="0" fontId="2" fillId="0" borderId="112" xfId="0" applyFont="1" applyBorder="1" applyAlignment="1">
      <alignment horizontal="center"/>
    </xf>
    <xf numFmtId="0" fontId="0" fillId="0" borderId="65" xfId="0" applyBorder="1"/>
    <xf numFmtId="0" fontId="0" fillId="0" borderId="66" xfId="0" applyBorder="1"/>
    <xf numFmtId="0" fontId="0" fillId="0" borderId="67" xfId="0" applyBorder="1"/>
    <xf numFmtId="0" fontId="5" fillId="0" borderId="66" xfId="0" applyFont="1" applyBorder="1" applyAlignment="1">
      <alignment horizontal="left"/>
    </xf>
    <xf numFmtId="13" fontId="50" fillId="0" borderId="99" xfId="0" applyNumberFormat="1" applyFont="1" applyBorder="1" applyAlignment="1">
      <alignment horizontal="center"/>
    </xf>
    <xf numFmtId="13" fontId="50" fillId="0" borderId="99" xfId="0" quotePrefix="1" applyNumberFormat="1" applyFont="1" applyBorder="1" applyAlignment="1">
      <alignment horizontal="center"/>
    </xf>
    <xf numFmtId="12" fontId="50" fillId="0" borderId="99" xfId="0" quotePrefix="1" applyNumberFormat="1" applyFont="1" applyBorder="1" applyAlignment="1">
      <alignment horizontal="center"/>
    </xf>
    <xf numFmtId="14" fontId="50" fillId="0" borderId="64" xfId="0" quotePrefix="1" applyNumberFormat="1" applyFont="1" applyBorder="1" applyAlignment="1">
      <alignment horizontal="center"/>
    </xf>
    <xf numFmtId="1" fontId="2" fillId="0" borderId="64" xfId="0" quotePrefix="1" applyNumberFormat="1" applyFont="1" applyBorder="1" applyAlignment="1">
      <alignment horizontal="center"/>
    </xf>
    <xf numFmtId="13" fontId="50" fillId="0" borderId="102" xfId="0" quotePrefix="1" applyNumberFormat="1" applyFont="1" applyBorder="1" applyAlignment="1">
      <alignment horizontal="center"/>
    </xf>
    <xf numFmtId="13" fontId="50" fillId="0" borderId="102" xfId="0" applyNumberFormat="1" applyFont="1" applyBorder="1" applyAlignment="1">
      <alignment horizontal="center"/>
    </xf>
    <xf numFmtId="14" fontId="50" fillId="0" borderId="102" xfId="0" quotePrefix="1" applyNumberFormat="1" applyFont="1" applyBorder="1" applyAlignment="1">
      <alignment horizontal="center"/>
    </xf>
    <xf numFmtId="1" fontId="2" fillId="0" borderId="102" xfId="0" quotePrefix="1" applyNumberFormat="1" applyFont="1" applyBorder="1" applyAlignment="1">
      <alignment horizontal="center"/>
    </xf>
    <xf numFmtId="12" fontId="50" fillId="0" borderId="102" xfId="0" quotePrefix="1" applyNumberFormat="1" applyFont="1" applyBorder="1" applyAlignment="1">
      <alignment horizontal="center"/>
    </xf>
    <xf numFmtId="1" fontId="2" fillId="0" borderId="113" xfId="0" quotePrefix="1" applyNumberFormat="1" applyFont="1" applyBorder="1" applyAlignment="1">
      <alignment horizontal="center"/>
    </xf>
    <xf numFmtId="0" fontId="50" fillId="0" borderId="105" xfId="0" applyFont="1" applyBorder="1" applyAlignment="1">
      <alignment horizontal="center"/>
    </xf>
    <xf numFmtId="13" fontId="50" fillId="0" borderId="105" xfId="0" quotePrefix="1" applyNumberFormat="1" applyFont="1" applyBorder="1" applyAlignment="1">
      <alignment horizontal="center"/>
    </xf>
    <xf numFmtId="13" fontId="50" fillId="0" borderId="105" xfId="0" applyNumberFormat="1" applyFont="1" applyBorder="1" applyAlignment="1">
      <alignment horizontal="center"/>
    </xf>
    <xf numFmtId="14" fontId="50" fillId="0" borderId="105" xfId="0" quotePrefix="1" applyNumberFormat="1" applyFont="1" applyBorder="1" applyAlignment="1">
      <alignment horizontal="center"/>
    </xf>
    <xf numFmtId="1" fontId="2" fillId="0" borderId="105" xfId="0" quotePrefix="1" applyNumberFormat="1" applyFont="1" applyBorder="1" applyAlignment="1">
      <alignment horizontal="center"/>
    </xf>
    <xf numFmtId="0" fontId="50" fillId="0" borderId="109" xfId="0" applyFont="1" applyBorder="1" applyAlignment="1">
      <alignment horizontal="center"/>
    </xf>
    <xf numFmtId="13" fontId="50" fillId="0" borderId="109" xfId="0" quotePrefix="1" applyNumberFormat="1" applyFont="1" applyBorder="1" applyAlignment="1">
      <alignment horizontal="center"/>
    </xf>
    <xf numFmtId="12" fontId="50" fillId="0" borderId="109" xfId="0" quotePrefix="1" applyNumberFormat="1" applyFont="1" applyBorder="1" applyAlignment="1">
      <alignment horizontal="center"/>
    </xf>
    <xf numFmtId="13" fontId="50" fillId="0" borderId="109" xfId="0" applyNumberFormat="1" applyFont="1" applyBorder="1" applyAlignment="1">
      <alignment horizontal="center"/>
    </xf>
    <xf numFmtId="0" fontId="50" fillId="0" borderId="109" xfId="0" quotePrefix="1" applyFont="1" applyBorder="1" applyAlignment="1">
      <alignment horizontal="center"/>
    </xf>
    <xf numFmtId="0" fontId="50" fillId="0" borderId="102" xfId="0" applyFont="1" applyBorder="1" applyAlignment="1">
      <alignment horizontal="center"/>
    </xf>
    <xf numFmtId="0" fontId="50" fillId="0" borderId="102" xfId="0" quotePrefix="1" applyFont="1" applyBorder="1" applyAlignment="1">
      <alignment horizontal="center"/>
    </xf>
    <xf numFmtId="0" fontId="50" fillId="0" borderId="105" xfId="0" quotePrefix="1" applyFont="1" applyBorder="1" applyAlignment="1">
      <alignment horizontal="center"/>
    </xf>
    <xf numFmtId="16" fontId="50" fillId="0" borderId="102" xfId="0" quotePrefix="1" applyNumberFormat="1" applyFont="1" applyBorder="1" applyAlignment="1">
      <alignment horizontal="center"/>
    </xf>
    <xf numFmtId="12" fontId="50" fillId="0" borderId="105" xfId="0" quotePrefix="1" applyNumberFormat="1" applyFont="1" applyBorder="1" applyAlignment="1">
      <alignment horizontal="center"/>
    </xf>
    <xf numFmtId="13" fontId="50" fillId="0" borderId="111" xfId="0" quotePrefix="1" applyNumberFormat="1" applyFont="1" applyBorder="1" applyAlignment="1">
      <alignment horizontal="center"/>
    </xf>
    <xf numFmtId="13" fontId="50" fillId="0" borderId="112" xfId="0" quotePrefix="1" applyNumberFormat="1" applyFont="1" applyBorder="1" applyAlignment="1">
      <alignment horizontal="center"/>
    </xf>
    <xf numFmtId="0" fontId="4" fillId="0" borderId="66" xfId="0" applyFont="1" applyBorder="1" applyAlignment="1">
      <alignment horizontal="left"/>
    </xf>
    <xf numFmtId="0" fontId="7" fillId="0" borderId="72" xfId="0" applyFont="1" applyBorder="1" applyAlignment="1">
      <alignment horizontal="center"/>
    </xf>
    <xf numFmtId="0" fontId="61" fillId="0" borderId="72" xfId="0" applyFont="1" applyBorder="1" applyAlignment="1">
      <alignment horizontal="center"/>
    </xf>
    <xf numFmtId="0" fontId="62" fillId="0" borderId="72" xfId="0" applyFont="1" applyBorder="1" applyAlignment="1">
      <alignment horizontal="center"/>
    </xf>
    <xf numFmtId="0" fontId="63" fillId="0" borderId="72" xfId="0" applyFont="1" applyBorder="1" applyAlignment="1">
      <alignment horizontal="center"/>
    </xf>
    <xf numFmtId="0" fontId="26" fillId="3" borderId="0" xfId="0" applyFont="1" applyFill="1" applyAlignment="1">
      <alignment horizontal="left"/>
    </xf>
    <xf numFmtId="0" fontId="64" fillId="0" borderId="0" xfId="0" applyFont="1"/>
    <xf numFmtId="0" fontId="5" fillId="0" borderId="0" xfId="0" applyFont="1" applyAlignment="1">
      <alignment horizontal="center"/>
    </xf>
    <xf numFmtId="0" fontId="65" fillId="0" borderId="0" xfId="0" applyFont="1"/>
    <xf numFmtId="0" fontId="11" fillId="0" borderId="0" xfId="0" applyFont="1" applyAlignment="1">
      <alignment horizontal="left"/>
    </xf>
    <xf numFmtId="0" fontId="48" fillId="0" borderId="0" xfId="0" applyFont="1" applyAlignment="1">
      <alignment horizontal="left"/>
    </xf>
    <xf numFmtId="0" fontId="48" fillId="0" borderId="0" xfId="0" applyFont="1" applyAlignment="1">
      <alignment horizontal="center"/>
    </xf>
    <xf numFmtId="0" fontId="30" fillId="0" borderId="0" xfId="0" applyFont="1"/>
    <xf numFmtId="0" fontId="5" fillId="0" borderId="83" xfId="0" applyFont="1" applyBorder="1" applyAlignment="1">
      <alignment horizontal="center"/>
    </xf>
    <xf numFmtId="0" fontId="5" fillId="0" borderId="114" xfId="0" applyFont="1" applyBorder="1" applyAlignment="1">
      <alignment horizontal="center"/>
    </xf>
    <xf numFmtId="0" fontId="5" fillId="0" borderId="94" xfId="0" applyFont="1" applyBorder="1" applyAlignment="1">
      <alignment horizontal="center"/>
    </xf>
    <xf numFmtId="166" fontId="5" fillId="0" borderId="86" xfId="0" applyNumberFormat="1" applyFont="1" applyBorder="1" applyAlignment="1">
      <alignment horizontal="center"/>
    </xf>
    <xf numFmtId="0" fontId="12" fillId="0" borderId="82" xfId="0" applyFont="1" applyBorder="1" applyAlignment="1">
      <alignment horizontal="center"/>
    </xf>
    <xf numFmtId="166" fontId="5" fillId="0" borderId="82" xfId="0" applyNumberFormat="1" applyFont="1" applyBorder="1" applyAlignment="1">
      <alignment horizontal="center"/>
    </xf>
    <xf numFmtId="0" fontId="12" fillId="0" borderId="81" xfId="0" applyFont="1" applyBorder="1" applyAlignment="1">
      <alignment horizontal="center"/>
    </xf>
    <xf numFmtId="0" fontId="5" fillId="0" borderId="81" xfId="0" applyFont="1" applyBorder="1" applyAlignment="1">
      <alignment horizontal="center"/>
    </xf>
    <xf numFmtId="0" fontId="12" fillId="0" borderId="114" xfId="0" applyFont="1" applyBorder="1" applyAlignment="1">
      <alignment horizontal="center"/>
    </xf>
    <xf numFmtId="0" fontId="12" fillId="0" borderId="101" xfId="0" applyFont="1" applyBorder="1" applyAlignment="1">
      <alignment horizontal="center"/>
    </xf>
    <xf numFmtId="0" fontId="5" fillId="0" borderId="0" xfId="0" applyFont="1" applyAlignment="1">
      <alignment horizontal="left"/>
    </xf>
    <xf numFmtId="0" fontId="28" fillId="0" borderId="0" xfId="0" applyFont="1" applyAlignment="1">
      <alignment horizontal="left"/>
    </xf>
    <xf numFmtId="0" fontId="12" fillId="0" borderId="83" xfId="0" applyFont="1" applyBorder="1" applyAlignment="1">
      <alignment horizontal="center"/>
    </xf>
    <xf numFmtId="0" fontId="5" fillId="0" borderId="82" xfId="0" applyFont="1" applyBorder="1" applyAlignment="1">
      <alignment horizontal="center"/>
    </xf>
    <xf numFmtId="166" fontId="12" fillId="0" borderId="82" xfId="0" applyNumberFormat="1" applyFont="1" applyBorder="1" applyAlignment="1">
      <alignment horizontal="center"/>
    </xf>
    <xf numFmtId="166" fontId="12" fillId="0" borderId="94" xfId="0" applyNumberFormat="1" applyFont="1" applyBorder="1" applyAlignment="1">
      <alignment horizontal="center"/>
    </xf>
    <xf numFmtId="166" fontId="5" fillId="0" borderId="97" xfId="0" applyNumberFormat="1" applyFont="1" applyBorder="1" applyAlignment="1">
      <alignment horizontal="center"/>
    </xf>
    <xf numFmtId="166" fontId="12" fillId="0" borderId="86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2" fillId="0" borderId="0" xfId="0" applyNumberFormat="1" applyFont="1" applyAlignment="1">
      <alignment horizontal="center"/>
    </xf>
    <xf numFmtId="166" fontId="12" fillId="0" borderId="87" xfId="0" applyNumberFormat="1" applyFont="1" applyBorder="1" applyAlignment="1" applyProtection="1">
      <alignment horizontal="center"/>
      <protection locked="0" hidden="1"/>
    </xf>
    <xf numFmtId="166" fontId="12" fillId="0" borderId="1" xfId="0" applyNumberFormat="1" applyFont="1" applyBorder="1" applyAlignment="1">
      <alignment horizontal="center"/>
    </xf>
    <xf numFmtId="0" fontId="5" fillId="0" borderId="95" xfId="0" applyFont="1" applyBorder="1" applyAlignment="1">
      <alignment horizontal="center"/>
    </xf>
    <xf numFmtId="0" fontId="12" fillId="0" borderId="0" xfId="0" applyFont="1"/>
    <xf numFmtId="166" fontId="12" fillId="0" borderId="66" xfId="0" applyNumberFormat="1" applyFont="1" applyBorder="1" applyAlignment="1">
      <alignment horizontal="center"/>
    </xf>
    <xf numFmtId="0" fontId="12" fillId="0" borderId="66" xfId="0" applyFont="1" applyBorder="1" applyAlignment="1">
      <alignment horizontal="center"/>
    </xf>
    <xf numFmtId="0" fontId="5" fillId="0" borderId="66" xfId="0" applyFont="1" applyBorder="1" applyAlignment="1">
      <alignment horizontal="center"/>
    </xf>
    <xf numFmtId="0" fontId="66" fillId="0" borderId="0" xfId="0" applyFont="1"/>
    <xf numFmtId="166" fontId="2" fillId="0" borderId="73" xfId="0" applyNumberFormat="1" applyFont="1" applyBorder="1"/>
    <xf numFmtId="0" fontId="67" fillId="0" borderId="0" xfId="0" applyFont="1"/>
    <xf numFmtId="0" fontId="68" fillId="0" borderId="0" xfId="0" applyFont="1"/>
    <xf numFmtId="0" fontId="69" fillId="0" borderId="0" xfId="0" applyFont="1"/>
    <xf numFmtId="13" fontId="10" fillId="3" borderId="57" xfId="0" applyNumberFormat="1" applyFont="1" applyFill="1" applyBorder="1" applyAlignment="1" applyProtection="1">
      <alignment horizontal="center"/>
      <protection locked="0"/>
    </xf>
    <xf numFmtId="13" fontId="10" fillId="3" borderId="51" xfId="0" applyNumberFormat="1" applyFont="1" applyFill="1" applyBorder="1" applyAlignment="1" applyProtection="1">
      <alignment horizontal="center"/>
      <protection locked="0"/>
    </xf>
    <xf numFmtId="164" fontId="10" fillId="0" borderId="51" xfId="0" applyNumberFormat="1" applyFont="1" applyBorder="1" applyAlignment="1" applyProtection="1">
      <alignment horizontal="center"/>
      <protection locked="0"/>
    </xf>
    <xf numFmtId="13" fontId="10" fillId="0" borderId="51" xfId="0" applyNumberFormat="1" applyFont="1" applyBorder="1" applyProtection="1">
      <protection locked="0"/>
    </xf>
    <xf numFmtId="2" fontId="10" fillId="3" borderId="51" xfId="0" applyNumberFormat="1" applyFont="1" applyFill="1" applyBorder="1" applyAlignment="1" applyProtection="1">
      <alignment horizontal="center"/>
      <protection locked="0"/>
    </xf>
    <xf numFmtId="2" fontId="10" fillId="3" borderId="57" xfId="0" applyNumberFormat="1" applyFont="1" applyFill="1" applyBorder="1" applyAlignment="1" applyProtection="1">
      <alignment horizontal="center"/>
      <protection locked="0"/>
    </xf>
    <xf numFmtId="0" fontId="11" fillId="0" borderId="73" xfId="0" applyFont="1" applyBorder="1" applyAlignment="1" applyProtection="1">
      <alignment horizontal="center"/>
      <protection locked="0"/>
    </xf>
    <xf numFmtId="13" fontId="11" fillId="0" borderId="73" xfId="0" applyNumberFormat="1" applyFont="1" applyBorder="1" applyProtection="1">
      <protection locked="0"/>
    </xf>
    <xf numFmtId="0" fontId="5" fillId="0" borderId="86" xfId="0" applyFont="1" applyBorder="1" applyAlignment="1" applyProtection="1">
      <alignment horizontal="center"/>
      <protection locked="0"/>
    </xf>
    <xf numFmtId="0" fontId="5" fillId="0" borderId="94" xfId="0" applyFont="1" applyBorder="1" applyAlignment="1" applyProtection="1">
      <alignment horizontal="center"/>
      <protection locked="0"/>
    </xf>
    <xf numFmtId="0" fontId="12" fillId="0" borderId="94" xfId="0" applyFont="1" applyBorder="1" applyAlignment="1" applyProtection="1">
      <alignment horizontal="center"/>
      <protection locked="0"/>
    </xf>
    <xf numFmtId="166" fontId="5" fillId="0" borderId="86" xfId="0" applyNumberFormat="1" applyFont="1" applyBorder="1" applyAlignment="1" applyProtection="1">
      <alignment horizontal="center"/>
      <protection locked="0"/>
    </xf>
    <xf numFmtId="166" fontId="12" fillId="0" borderId="82" xfId="0" applyNumberFormat="1" applyFont="1" applyBorder="1" applyAlignment="1" applyProtection="1">
      <alignment horizontal="center"/>
      <protection locked="0"/>
    </xf>
    <xf numFmtId="166" fontId="12" fillId="0" borderId="94" xfId="0" applyNumberFormat="1" applyFont="1" applyBorder="1" applyAlignment="1" applyProtection="1">
      <alignment horizontal="center"/>
      <protection locked="0"/>
    </xf>
    <xf numFmtId="166" fontId="5" fillId="0" borderId="94" xfId="0" applyNumberFormat="1" applyFont="1" applyBorder="1" applyAlignment="1" applyProtection="1">
      <alignment horizontal="center"/>
      <protection locked="0"/>
    </xf>
    <xf numFmtId="166" fontId="5" fillId="0" borderId="82" xfId="0" applyNumberFormat="1" applyFont="1" applyBorder="1" applyAlignment="1" applyProtection="1">
      <alignment horizontal="center"/>
      <protection locked="0"/>
    </xf>
    <xf numFmtId="13" fontId="10" fillId="0" borderId="51" xfId="0" applyNumberFormat="1" applyFont="1" applyBorder="1" applyAlignment="1" applyProtection="1">
      <alignment horizontal="center"/>
      <protection locked="0"/>
    </xf>
    <xf numFmtId="166" fontId="10" fillId="0" borderId="51" xfId="0" applyNumberFormat="1" applyFont="1" applyBorder="1" applyAlignment="1" applyProtection="1">
      <alignment horizontal="center"/>
      <protection locked="0"/>
    </xf>
    <xf numFmtId="13" fontId="33" fillId="0" borderId="51" xfId="0" applyNumberFormat="1" applyFont="1" applyBorder="1" applyAlignment="1" applyProtection="1">
      <alignment horizontal="center"/>
      <protection locked="0"/>
    </xf>
    <xf numFmtId="0" fontId="10" fillId="4" borderId="25" xfId="0" applyFont="1" applyFill="1" applyBorder="1" applyAlignment="1" applyProtection="1">
      <alignment horizontal="center"/>
      <protection locked="0"/>
    </xf>
    <xf numFmtId="165" fontId="2" fillId="0" borderId="73" xfId="0" applyNumberFormat="1" applyFont="1" applyBorder="1"/>
    <xf numFmtId="0" fontId="2" fillId="0" borderId="91" xfId="0" applyFont="1" applyBorder="1" applyAlignment="1">
      <alignment horizontal="center"/>
    </xf>
    <xf numFmtId="0" fontId="45" fillId="0" borderId="74" xfId="0" applyFont="1" applyBorder="1" applyAlignment="1">
      <alignment horizontal="center"/>
    </xf>
    <xf numFmtId="0" fontId="2" fillId="0" borderId="74" xfId="0" applyFont="1" applyBorder="1" applyAlignment="1">
      <alignment horizontal="center"/>
    </xf>
    <xf numFmtId="0" fontId="2" fillId="0" borderId="115" xfId="0" applyFont="1" applyBorder="1" applyAlignment="1">
      <alignment horizontal="center"/>
    </xf>
    <xf numFmtId="0" fontId="45" fillId="0" borderId="23" xfId="0" applyFont="1" applyBorder="1" applyAlignment="1">
      <alignment horizontal="center"/>
    </xf>
    <xf numFmtId="0" fontId="45" fillId="0" borderId="24" xfId="0" applyFont="1" applyBorder="1" applyAlignment="1">
      <alignment horizontal="center"/>
    </xf>
    <xf numFmtId="0" fontId="11" fillId="0" borderId="77" xfId="0" applyFont="1" applyBorder="1" applyAlignment="1">
      <alignment horizontal="center"/>
    </xf>
    <xf numFmtId="0" fontId="2" fillId="0" borderId="77" xfId="0" applyFont="1" applyBorder="1" applyAlignment="1">
      <alignment horizontal="center"/>
    </xf>
    <xf numFmtId="0" fontId="2" fillId="0" borderId="116" xfId="0" applyFont="1" applyBorder="1" applyAlignment="1">
      <alignment horizontal="center"/>
    </xf>
    <xf numFmtId="0" fontId="11" fillId="0" borderId="116" xfId="0" applyFont="1" applyBorder="1" applyAlignment="1">
      <alignment horizontal="center"/>
    </xf>
    <xf numFmtId="0" fontId="0" fillId="0" borderId="79" xfId="0" applyBorder="1"/>
    <xf numFmtId="0" fontId="45" fillId="0" borderId="32" xfId="0" applyFont="1" applyBorder="1" applyAlignment="1">
      <alignment horizontal="center"/>
    </xf>
    <xf numFmtId="0" fontId="45" fillId="0" borderId="59" xfId="0" applyFont="1" applyBorder="1" applyAlignment="1">
      <alignment horizontal="center"/>
    </xf>
    <xf numFmtId="164" fontId="45" fillId="0" borderId="25" xfId="0" applyNumberFormat="1" applyFont="1" applyBorder="1" applyAlignment="1">
      <alignment horizontal="center"/>
    </xf>
    <xf numFmtId="0" fontId="0" fillId="0" borderId="117" xfId="0" applyBorder="1"/>
    <xf numFmtId="0" fontId="45" fillId="0" borderId="48" xfId="0" applyFont="1" applyBorder="1" applyAlignment="1">
      <alignment horizontal="center"/>
    </xf>
    <xf numFmtId="0" fontId="7" fillId="0" borderId="30" xfId="0" applyFont="1" applyBorder="1" applyAlignment="1">
      <alignment horizontal="center"/>
    </xf>
    <xf numFmtId="2" fontId="48" fillId="3" borderId="26" xfId="0" applyNumberFormat="1" applyFont="1" applyFill="1" applyBorder="1" applyAlignment="1">
      <alignment horizontal="center"/>
    </xf>
    <xf numFmtId="0" fontId="2" fillId="0" borderId="118" xfId="0" applyFont="1" applyBorder="1" applyAlignment="1">
      <alignment horizontal="center"/>
    </xf>
    <xf numFmtId="0" fontId="11" fillId="0" borderId="119" xfId="0" applyFont="1" applyBorder="1" applyAlignment="1">
      <alignment horizontal="center"/>
    </xf>
    <xf numFmtId="0" fontId="11" fillId="0" borderId="120" xfId="0" applyFont="1" applyBorder="1" applyAlignment="1">
      <alignment horizontal="center"/>
    </xf>
    <xf numFmtId="0" fontId="4" fillId="0" borderId="0" xfId="0" applyFont="1"/>
    <xf numFmtId="0" fontId="14" fillId="0" borderId="0" xfId="0" applyFont="1" applyAlignment="1">
      <alignment horizontal="center"/>
    </xf>
    <xf numFmtId="0" fontId="25" fillId="0" borderId="0" xfId="0" applyFont="1"/>
    <xf numFmtId="0" fontId="70" fillId="0" borderId="0" xfId="0" applyFont="1"/>
    <xf numFmtId="12" fontId="11" fillId="0" borderId="1" xfId="0" applyNumberFormat="1" applyFont="1" applyBorder="1" applyAlignment="1">
      <alignment horizontal="center"/>
    </xf>
    <xf numFmtId="0" fontId="11" fillId="0" borderId="29" xfId="0" applyFont="1" applyBorder="1" applyAlignment="1">
      <alignment horizontal="center"/>
    </xf>
    <xf numFmtId="12" fontId="11" fillId="0" borderId="29" xfId="0" applyNumberFormat="1" applyFont="1" applyBorder="1" applyAlignment="1">
      <alignment horizontal="center"/>
    </xf>
    <xf numFmtId="0" fontId="11" fillId="0" borderId="74" xfId="0" applyFont="1" applyBorder="1" applyAlignment="1">
      <alignment horizontal="center"/>
    </xf>
    <xf numFmtId="0" fontId="53" fillId="0" borderId="74" xfId="0" applyFont="1" applyBorder="1" applyAlignment="1">
      <alignment horizontal="center"/>
    </xf>
    <xf numFmtId="0" fontId="0" fillId="0" borderId="121" xfId="0" applyBorder="1"/>
    <xf numFmtId="0" fontId="53" fillId="0" borderId="118" xfId="0" applyFont="1" applyBorder="1" applyAlignment="1">
      <alignment horizontal="center"/>
    </xf>
    <xf numFmtId="0" fontId="4" fillId="0" borderId="29" xfId="0" applyFont="1" applyBorder="1" applyAlignment="1" applyProtection="1">
      <alignment horizontal="center"/>
      <protection locked="0" hidden="1"/>
    </xf>
    <xf numFmtId="0" fontId="4" fillId="0" borderId="1" xfId="0" applyFont="1" applyBorder="1" applyAlignment="1" applyProtection="1">
      <alignment horizontal="center"/>
      <protection locked="0" hidden="1"/>
    </xf>
    <xf numFmtId="0" fontId="4" fillId="0" borderId="81" xfId="0" applyFont="1" applyBorder="1" applyAlignment="1" applyProtection="1">
      <alignment horizontal="center"/>
      <protection locked="0" hidden="1"/>
    </xf>
    <xf numFmtId="13" fontId="4" fillId="0" borderId="81" xfId="0" applyNumberFormat="1" applyFont="1" applyBorder="1" applyAlignment="1" applyProtection="1">
      <alignment horizontal="center"/>
      <protection locked="0" hidden="1"/>
    </xf>
    <xf numFmtId="12" fontId="12" fillId="0" borderId="51" xfId="0" applyNumberFormat="1" applyFont="1" applyBorder="1" applyAlignment="1" applyProtection="1">
      <alignment horizontal="center"/>
      <protection locked="0" hidden="1"/>
    </xf>
    <xf numFmtId="2" fontId="2" fillId="0" borderId="81" xfId="0" applyNumberFormat="1" applyFont="1" applyBorder="1" applyAlignment="1">
      <alignment horizontal="center"/>
    </xf>
    <xf numFmtId="2" fontId="2" fillId="0" borderId="122" xfId="0" applyNumberFormat="1" applyFont="1" applyBorder="1" applyAlignment="1">
      <alignment horizontal="center"/>
    </xf>
    <xf numFmtId="2" fontId="2" fillId="0" borderId="114" xfId="0" applyNumberFormat="1" applyFont="1" applyBorder="1" applyAlignment="1">
      <alignment horizontal="center"/>
    </xf>
    <xf numFmtId="164" fontId="45" fillId="0" borderId="0" xfId="0" applyNumberFormat="1" applyFont="1" applyAlignment="1">
      <alignment horizontal="center"/>
    </xf>
    <xf numFmtId="0" fontId="0" fillId="0" borderId="123" xfId="0" applyBorder="1"/>
    <xf numFmtId="0" fontId="0" fillId="0" borderId="124" xfId="0" applyBorder="1"/>
    <xf numFmtId="0" fontId="0" fillId="0" borderId="125" xfId="0" applyBorder="1"/>
    <xf numFmtId="0" fontId="0" fillId="0" borderId="126" xfId="0" applyBorder="1"/>
    <xf numFmtId="0" fontId="0" fillId="0" borderId="127" xfId="0" applyBorder="1"/>
    <xf numFmtId="0" fontId="0" fillId="0" borderId="127" xfId="0" applyBorder="1" applyAlignment="1">
      <alignment horizontal="center"/>
    </xf>
    <xf numFmtId="2" fontId="5" fillId="0" borderId="128" xfId="0" applyNumberFormat="1" applyFont="1" applyBorder="1" applyAlignment="1">
      <alignment horizontal="center"/>
    </xf>
    <xf numFmtId="0" fontId="0" fillId="0" borderId="129" xfId="0" applyBorder="1"/>
    <xf numFmtId="0" fontId="0" fillId="0" borderId="130" xfId="0" applyBorder="1"/>
    <xf numFmtId="0" fontId="48" fillId="0" borderId="130" xfId="0" applyFont="1" applyBorder="1" applyAlignment="1">
      <alignment horizontal="center"/>
    </xf>
    <xf numFmtId="0" fontId="0" fillId="0" borderId="131" xfId="0" applyBorder="1"/>
    <xf numFmtId="0" fontId="2" fillId="0" borderId="127" xfId="0" applyFont="1" applyBorder="1" applyAlignment="1">
      <alignment horizontal="center"/>
    </xf>
    <xf numFmtId="12" fontId="12" fillId="0" borderId="128" xfId="0" applyNumberFormat="1" applyFont="1" applyBorder="1" applyAlignment="1" applyProtection="1">
      <alignment horizontal="center"/>
      <protection locked="0" hidden="1"/>
    </xf>
    <xf numFmtId="0" fontId="48" fillId="0" borderId="127" xfId="0" applyFont="1" applyBorder="1" applyAlignment="1">
      <alignment horizontal="center"/>
    </xf>
    <xf numFmtId="2" fontId="5" fillId="0" borderId="132" xfId="0" applyNumberFormat="1" applyFont="1" applyBorder="1" applyAlignment="1">
      <alignment horizontal="center"/>
    </xf>
    <xf numFmtId="164" fontId="5" fillId="3" borderId="132" xfId="0" applyNumberFormat="1" applyFont="1" applyFill="1" applyBorder="1" applyAlignment="1">
      <alignment horizontal="center"/>
    </xf>
    <xf numFmtId="0" fontId="14" fillId="0" borderId="133" xfId="0" applyFont="1" applyBorder="1" applyAlignment="1">
      <alignment horizontal="left"/>
    </xf>
    <xf numFmtId="0" fontId="2" fillId="0" borderId="133" xfId="0" applyFont="1" applyBorder="1"/>
    <xf numFmtId="0" fontId="0" fillId="0" borderId="133" xfId="0" applyBorder="1"/>
    <xf numFmtId="166" fontId="0" fillId="0" borderId="51" xfId="0" applyNumberFormat="1" applyBorder="1" applyAlignment="1" applyProtection="1">
      <alignment horizontal="right"/>
      <protection locked="0" hidden="1"/>
    </xf>
    <xf numFmtId="2" fontId="0" fillId="0" borderId="51" xfId="0" applyNumberFormat="1" applyBorder="1" applyProtection="1">
      <protection locked="0" hidden="1"/>
    </xf>
    <xf numFmtId="166" fontId="0" fillId="0" borderId="51" xfId="0" applyNumberFormat="1" applyBorder="1" applyProtection="1">
      <protection locked="0" hidden="1"/>
    </xf>
    <xf numFmtId="0" fontId="2" fillId="0" borderId="134" xfId="0" applyFont="1" applyBorder="1"/>
    <xf numFmtId="0" fontId="2" fillId="0" borderId="0" xfId="0" applyFont="1" applyAlignment="1">
      <alignment horizontal="right"/>
    </xf>
    <xf numFmtId="2" fontId="2" fillId="0" borderId="0" xfId="0" applyNumberFormat="1" applyFont="1"/>
    <xf numFmtId="1" fontId="2" fillId="0" borderId="0" xfId="0" applyNumberFormat="1" applyFont="1"/>
    <xf numFmtId="0" fontId="0" fillId="0" borderId="135" xfId="0" applyBorder="1"/>
    <xf numFmtId="0" fontId="0" fillId="0" borderId="134" xfId="0" applyBorder="1"/>
    <xf numFmtId="164" fontId="2" fillId="0" borderId="0" xfId="0" applyNumberFormat="1" applyFont="1"/>
    <xf numFmtId="0" fontId="14" fillId="0" borderId="0" xfId="0" applyFont="1"/>
    <xf numFmtId="0" fontId="0" fillId="0" borderId="133" xfId="0" applyBorder="1" applyAlignment="1">
      <alignment horizontal="right"/>
    </xf>
    <xf numFmtId="0" fontId="0" fillId="0" borderId="51" xfId="0" applyBorder="1" applyProtection="1">
      <protection locked="0" hidden="1"/>
    </xf>
    <xf numFmtId="0" fontId="4" fillId="0" borderId="133" xfId="0" applyFont="1" applyBorder="1" applyAlignment="1">
      <alignment horizontal="left"/>
    </xf>
    <xf numFmtId="0" fontId="4" fillId="0" borderId="133" xfId="0" applyFont="1" applyBorder="1"/>
    <xf numFmtId="0" fontId="4" fillId="0" borderId="134" xfId="0" applyFont="1" applyBorder="1"/>
    <xf numFmtId="0" fontId="4" fillId="0" borderId="135" xfId="0" applyFont="1" applyBorder="1"/>
    <xf numFmtId="0" fontId="56" fillId="0" borderId="135" xfId="0" applyFont="1" applyBorder="1"/>
    <xf numFmtId="164" fontId="2" fillId="3" borderId="0" xfId="0" applyNumberFormat="1" applyFont="1" applyFill="1" applyAlignment="1">
      <alignment horizontal="right"/>
    </xf>
    <xf numFmtId="166" fontId="0" fillId="0" borderId="128" xfId="0" applyNumberFormat="1" applyBorder="1" applyAlignment="1" applyProtection="1">
      <alignment horizontal="center"/>
      <protection locked="0" hidden="1"/>
    </xf>
    <xf numFmtId="166" fontId="0" fillId="0" borderId="51" xfId="0" applyNumberFormat="1" applyBorder="1" applyAlignment="1" applyProtection="1">
      <alignment horizontal="center"/>
      <protection locked="0" hidden="1"/>
    </xf>
    <xf numFmtId="0" fontId="0" fillId="0" borderId="0" xfId="0" applyProtection="1">
      <protection locked="0" hidden="1"/>
    </xf>
    <xf numFmtId="0" fontId="4" fillId="0" borderId="135" xfId="0" applyFont="1" applyBorder="1" applyAlignment="1">
      <alignment horizontal="left"/>
    </xf>
    <xf numFmtId="0" fontId="0" fillId="0" borderId="126" xfId="0" applyBorder="1" applyAlignment="1">
      <alignment horizontal="right"/>
    </xf>
    <xf numFmtId="0" fontId="2" fillId="0" borderId="126" xfId="0" applyFont="1" applyBorder="1" applyAlignment="1">
      <alignment horizontal="right"/>
    </xf>
    <xf numFmtId="0" fontId="0" fillId="0" borderId="126" xfId="0" applyBorder="1" applyAlignment="1">
      <alignment horizontal="left"/>
    </xf>
    <xf numFmtId="0" fontId="2" fillId="0" borderId="126" xfId="0" applyFont="1" applyBorder="1"/>
    <xf numFmtId="0" fontId="71" fillId="0" borderId="0" xfId="0" applyFont="1"/>
    <xf numFmtId="0" fontId="12" fillId="0" borderId="136" xfId="0" applyFont="1" applyBorder="1" applyAlignment="1">
      <alignment horizontal="center"/>
    </xf>
    <xf numFmtId="0" fontId="12" fillId="0" borderId="137" xfId="0" applyFont="1" applyBorder="1" applyAlignment="1">
      <alignment horizontal="center"/>
    </xf>
    <xf numFmtId="0" fontId="12" fillId="0" borderId="138" xfId="0" applyFont="1" applyBorder="1" applyAlignment="1">
      <alignment horizontal="center"/>
    </xf>
    <xf numFmtId="0" fontId="2" fillId="0" borderId="42" xfId="0" applyFont="1" applyBorder="1" applyAlignment="1">
      <alignment horizontal="center"/>
    </xf>
    <xf numFmtId="0" fontId="11" fillId="0" borderId="42" xfId="0" applyFont="1" applyBorder="1" applyAlignment="1">
      <alignment horizontal="center"/>
    </xf>
    <xf numFmtId="0" fontId="12" fillId="0" borderId="126" xfId="0" applyFont="1" applyBorder="1"/>
    <xf numFmtId="0" fontId="12" fillId="0" borderId="129" xfId="0" applyFont="1" applyBorder="1"/>
    <xf numFmtId="0" fontId="12" fillId="0" borderId="123" xfId="0" applyFont="1" applyBorder="1"/>
    <xf numFmtId="0" fontId="0" fillId="0" borderId="139" xfId="0" applyBorder="1"/>
    <xf numFmtId="0" fontId="0" fillId="0" borderId="28" xfId="0" applyBorder="1"/>
    <xf numFmtId="0" fontId="2" fillId="0" borderId="41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72" fillId="0" borderId="0" xfId="0" applyFont="1"/>
    <xf numFmtId="0" fontId="0" fillId="0" borderId="140" xfId="0" applyBorder="1"/>
    <xf numFmtId="0" fontId="0" fillId="0" borderId="10" xfId="0" applyBorder="1"/>
    <xf numFmtId="0" fontId="4" fillId="0" borderId="74" xfId="0" applyFont="1" applyBorder="1" applyAlignment="1">
      <alignment horizontal="center"/>
    </xf>
    <xf numFmtId="0" fontId="2" fillId="0" borderId="117" xfId="0" applyFont="1" applyBorder="1" applyAlignment="1">
      <alignment horizontal="center"/>
    </xf>
    <xf numFmtId="0" fontId="12" fillId="4" borderId="136" xfId="0" applyFont="1" applyFill="1" applyBorder="1" applyAlignment="1">
      <alignment horizontal="center"/>
    </xf>
    <xf numFmtId="0" fontId="2" fillId="4" borderId="135" xfId="0" applyFont="1" applyFill="1" applyBorder="1"/>
    <xf numFmtId="0" fontId="0" fillId="4" borderId="133" xfId="0" applyFill="1" applyBorder="1"/>
    <xf numFmtId="0" fontId="0" fillId="4" borderId="134" xfId="0" applyFill="1" applyBorder="1"/>
    <xf numFmtId="0" fontId="12" fillId="4" borderId="137" xfId="0" applyFont="1" applyFill="1" applyBorder="1" applyAlignment="1">
      <alignment horizontal="center"/>
    </xf>
    <xf numFmtId="0" fontId="12" fillId="4" borderId="138" xfId="0" applyFont="1" applyFill="1" applyBorder="1" applyAlignment="1">
      <alignment horizontal="center"/>
    </xf>
    <xf numFmtId="0" fontId="0" fillId="4" borderId="138" xfId="0" applyFill="1" applyBorder="1"/>
    <xf numFmtId="0" fontId="2" fillId="0" borderId="136" xfId="0" applyFont="1" applyBorder="1" applyAlignment="1">
      <alignment horizontal="center"/>
    </xf>
    <xf numFmtId="0" fontId="2" fillId="0" borderId="138" xfId="0" applyFont="1" applyBorder="1" applyAlignment="1">
      <alignment horizontal="center"/>
    </xf>
    <xf numFmtId="0" fontId="4" fillId="0" borderId="138" xfId="0" applyFont="1" applyBorder="1" applyAlignment="1">
      <alignment horizontal="center"/>
    </xf>
    <xf numFmtId="0" fontId="0" fillId="4" borderId="136" xfId="0" applyFill="1" applyBorder="1"/>
    <xf numFmtId="0" fontId="2" fillId="4" borderId="123" xfId="0" applyFont="1" applyFill="1" applyBorder="1"/>
    <xf numFmtId="0" fontId="0" fillId="4" borderId="124" xfId="0" applyFill="1" applyBorder="1"/>
    <xf numFmtId="0" fontId="0" fillId="4" borderId="125" xfId="0" applyFill="1" applyBorder="1"/>
    <xf numFmtId="0" fontId="0" fillId="4" borderId="0" xfId="0" applyFill="1"/>
    <xf numFmtId="0" fontId="2" fillId="4" borderId="129" xfId="0" applyFont="1" applyFill="1" applyBorder="1"/>
    <xf numFmtId="0" fontId="0" fillId="4" borderId="130" xfId="0" applyFill="1" applyBorder="1"/>
    <xf numFmtId="0" fontId="0" fillId="4" borderId="131" xfId="0" applyFill="1" applyBorder="1"/>
    <xf numFmtId="0" fontId="2" fillId="4" borderId="136" xfId="0" applyFont="1" applyFill="1" applyBorder="1" applyAlignment="1">
      <alignment horizontal="center"/>
    </xf>
    <xf numFmtId="0" fontId="2" fillId="4" borderId="138" xfId="0" applyFont="1" applyFill="1" applyBorder="1" applyAlignment="1">
      <alignment horizontal="center"/>
    </xf>
    <xf numFmtId="0" fontId="4" fillId="4" borderId="138" xfId="0" applyFont="1" applyFill="1" applyBorder="1" applyAlignment="1">
      <alignment horizontal="center"/>
    </xf>
    <xf numFmtId="0" fontId="0" fillId="4" borderId="1" xfId="0" applyFill="1" applyBorder="1"/>
    <xf numFmtId="14" fontId="2" fillId="0" borderId="1" xfId="0" applyNumberFormat="1" applyFont="1" applyBorder="1" applyAlignment="1">
      <alignment horizontal="center"/>
    </xf>
    <xf numFmtId="0" fontId="2" fillId="0" borderId="137" xfId="0" applyFont="1" applyBorder="1" applyAlignment="1">
      <alignment horizontal="center"/>
    </xf>
    <xf numFmtId="0" fontId="4" fillId="0" borderId="129" xfId="0" applyFont="1" applyBorder="1"/>
    <xf numFmtId="0" fontId="2" fillId="0" borderId="141" xfId="0" applyFont="1" applyBorder="1" applyAlignment="1">
      <alignment horizontal="center"/>
    </xf>
    <xf numFmtId="0" fontId="4" fillId="0" borderId="126" xfId="0" applyFont="1" applyBorder="1"/>
    <xf numFmtId="0" fontId="12" fillId="0" borderId="135" xfId="0" applyFont="1" applyBorder="1"/>
    <xf numFmtId="0" fontId="2" fillId="0" borderId="142" xfId="0" applyFont="1" applyBorder="1" applyAlignment="1">
      <alignment horizontal="center"/>
    </xf>
    <xf numFmtId="0" fontId="2" fillId="4" borderId="142" xfId="0" applyFont="1" applyFill="1" applyBorder="1" applyAlignment="1">
      <alignment horizontal="center"/>
    </xf>
    <xf numFmtId="0" fontId="2" fillId="0" borderId="143" xfId="0" applyFont="1" applyBorder="1" applyAlignment="1">
      <alignment horizontal="center"/>
    </xf>
    <xf numFmtId="0" fontId="2" fillId="0" borderId="144" xfId="0" applyFont="1" applyBorder="1" applyAlignment="1">
      <alignment horizontal="center"/>
    </xf>
    <xf numFmtId="20" fontId="2" fillId="0" borderId="40" xfId="0" applyNumberFormat="1" applyFont="1" applyBorder="1" applyAlignment="1">
      <alignment horizontal="center"/>
    </xf>
    <xf numFmtId="20" fontId="2" fillId="0" borderId="29" xfId="0" applyNumberFormat="1" applyFont="1" applyBorder="1" applyAlignment="1">
      <alignment horizontal="center"/>
    </xf>
    <xf numFmtId="20" fontId="2" fillId="0" borderId="1" xfId="0" applyNumberFormat="1" applyFont="1" applyBorder="1" applyAlignment="1">
      <alignment horizontal="center"/>
    </xf>
    <xf numFmtId="0" fontId="73" fillId="0" borderId="0" xfId="0" applyFont="1"/>
    <xf numFmtId="0" fontId="75" fillId="0" borderId="0" xfId="0" applyFont="1"/>
    <xf numFmtId="0" fontId="69" fillId="0" borderId="124" xfId="0" applyFont="1" applyBorder="1"/>
    <xf numFmtId="0" fontId="2" fillId="4" borderId="137" xfId="0" applyFont="1" applyFill="1" applyBorder="1" applyAlignment="1">
      <alignment horizontal="center"/>
    </xf>
    <xf numFmtId="0" fontId="2" fillId="0" borderId="145" xfId="0" applyFont="1" applyBorder="1" applyAlignment="1">
      <alignment horizontal="center"/>
    </xf>
    <xf numFmtId="0" fontId="2" fillId="0" borderId="40" xfId="0" applyFont="1" applyBorder="1" applyAlignment="1">
      <alignment horizontal="center"/>
    </xf>
    <xf numFmtId="0" fontId="2" fillId="0" borderId="146" xfId="0" applyFont="1" applyBorder="1" applyAlignment="1">
      <alignment horizontal="center"/>
    </xf>
    <xf numFmtId="0" fontId="2" fillId="0" borderId="147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48" xfId="0" applyFont="1" applyBorder="1" applyAlignment="1">
      <alignment horizontal="center"/>
    </xf>
    <xf numFmtId="0" fontId="2" fillId="0" borderId="36" xfId="0" applyFont="1" applyBorder="1" applyAlignment="1">
      <alignment horizontal="center"/>
    </xf>
    <xf numFmtId="0" fontId="2" fillId="0" borderId="149" xfId="0" applyFont="1" applyBorder="1" applyAlignment="1">
      <alignment horizontal="center"/>
    </xf>
    <xf numFmtId="165" fontId="2" fillId="0" borderId="5" xfId="0" applyNumberFormat="1" applyFont="1" applyBorder="1" applyAlignment="1">
      <alignment horizontal="center"/>
    </xf>
    <xf numFmtId="165" fontId="2" fillId="0" borderId="150" xfId="0" applyNumberFormat="1" applyFont="1" applyBorder="1" applyAlignment="1">
      <alignment horizontal="center"/>
    </xf>
    <xf numFmtId="0" fontId="2" fillId="8" borderId="40" xfId="0" applyFont="1" applyFill="1" applyBorder="1" applyAlignment="1">
      <alignment horizontal="center"/>
    </xf>
    <xf numFmtId="0" fontId="2" fillId="8" borderId="146" xfId="0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/>
    </xf>
    <xf numFmtId="0" fontId="2" fillId="8" borderId="150" xfId="0" applyFont="1" applyFill="1" applyBorder="1" applyAlignment="1">
      <alignment horizontal="center"/>
    </xf>
    <xf numFmtId="0" fontId="2" fillId="8" borderId="36" xfId="0" applyFont="1" applyFill="1" applyBorder="1" applyAlignment="1">
      <alignment horizontal="center"/>
    </xf>
    <xf numFmtId="0" fontId="2" fillId="8" borderId="149" xfId="0" applyFont="1" applyFill="1" applyBorder="1" applyAlignment="1">
      <alignment horizontal="center"/>
    </xf>
    <xf numFmtId="0" fontId="2" fillId="8" borderId="151" xfId="0" applyFont="1" applyFill="1" applyBorder="1" applyAlignment="1">
      <alignment horizontal="center"/>
    </xf>
    <xf numFmtId="0" fontId="2" fillId="8" borderId="76" xfId="0" applyFont="1" applyFill="1" applyBorder="1" applyAlignment="1">
      <alignment horizontal="center"/>
    </xf>
    <xf numFmtId="1" fontId="11" fillId="0" borderId="42" xfId="0" applyNumberFormat="1" applyFont="1" applyBorder="1" applyAlignment="1">
      <alignment horizontal="center"/>
    </xf>
    <xf numFmtId="1" fontId="11" fillId="0" borderId="1" xfId="0" applyNumberFormat="1" applyFont="1" applyBorder="1" applyAlignment="1">
      <alignment horizontal="center"/>
    </xf>
    <xf numFmtId="1" fontId="2" fillId="0" borderId="42" xfId="0" applyNumberFormat="1" applyFont="1" applyBorder="1" applyAlignment="1">
      <alignment horizontal="center"/>
    </xf>
    <xf numFmtId="1" fontId="2" fillId="0" borderId="41" xfId="0" applyNumberFormat="1" applyFont="1" applyBorder="1" applyAlignment="1">
      <alignment horizontal="right"/>
    </xf>
    <xf numFmtId="1" fontId="2" fillId="0" borderId="3" xfId="0" applyNumberFormat="1" applyFont="1" applyBorder="1" applyAlignment="1">
      <alignment horizontal="right"/>
    </xf>
    <xf numFmtId="0" fontId="2" fillId="0" borderId="4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48" fillId="0" borderId="141" xfId="0" applyFont="1" applyBorder="1" applyAlignment="1">
      <alignment horizontal="center"/>
    </xf>
    <xf numFmtId="1" fontId="2" fillId="0" borderId="139" xfId="0" applyNumberFormat="1" applyFont="1" applyBorder="1" applyAlignment="1">
      <alignment horizontal="center"/>
    </xf>
    <xf numFmtId="1" fontId="2" fillId="0" borderId="28" xfId="0" applyNumberFormat="1" applyFont="1" applyBorder="1" applyAlignment="1">
      <alignment horizontal="center"/>
    </xf>
    <xf numFmtId="0" fontId="70" fillId="0" borderId="126" xfId="0" applyFont="1" applyBorder="1" applyAlignment="1">
      <alignment horizontal="left"/>
    </xf>
    <xf numFmtId="0" fontId="70" fillId="0" borderId="123" xfId="0" applyFont="1" applyBorder="1" applyAlignment="1">
      <alignment horizontal="left"/>
    </xf>
    <xf numFmtId="0" fontId="2" fillId="0" borderId="150" xfId="0" applyFont="1" applyBorder="1" applyAlignment="1">
      <alignment horizontal="center"/>
    </xf>
    <xf numFmtId="0" fontId="0" fillId="0" borderId="152" xfId="0" applyBorder="1"/>
    <xf numFmtId="0" fontId="0" fillId="0" borderId="153" xfId="0" applyBorder="1"/>
    <xf numFmtId="0" fontId="0" fillId="4" borderId="123" xfId="0" applyFill="1" applyBorder="1"/>
    <xf numFmtId="0" fontId="12" fillId="4" borderId="126" xfId="0" applyFont="1" applyFill="1" applyBorder="1" applyAlignment="1">
      <alignment horizontal="center"/>
    </xf>
    <xf numFmtId="0" fontId="24" fillId="0" borderId="124" xfId="0" applyFont="1" applyBorder="1"/>
    <xf numFmtId="0" fontId="10" fillId="0" borderId="141" xfId="0" applyFont="1" applyBorder="1" applyAlignment="1">
      <alignment horizontal="center"/>
    </xf>
    <xf numFmtId="0" fontId="2" fillId="0" borderId="154" xfId="0" applyFont="1" applyBorder="1" applyAlignment="1">
      <alignment horizontal="center"/>
    </xf>
    <xf numFmtId="0" fontId="0" fillId="0" borderId="127" xfId="0" applyBorder="1" applyAlignment="1">
      <alignment horizontal="left"/>
    </xf>
    <xf numFmtId="13" fontId="12" fillId="0" borderId="51" xfId="0" applyNumberFormat="1" applyFont="1" applyBorder="1" applyAlignment="1" applyProtection="1">
      <alignment horizontal="center"/>
      <protection locked="0" hidden="1"/>
    </xf>
    <xf numFmtId="13" fontId="4" fillId="0" borderId="1" xfId="0" applyNumberFormat="1" applyFont="1" applyBorder="1" applyAlignment="1" applyProtection="1">
      <alignment horizontal="center"/>
      <protection locked="0" hidden="1"/>
    </xf>
    <xf numFmtId="13" fontId="4" fillId="0" borderId="29" xfId="0" applyNumberFormat="1" applyFont="1" applyBorder="1" applyAlignment="1" applyProtection="1">
      <alignment horizontal="center"/>
      <protection locked="0" hidden="1"/>
    </xf>
    <xf numFmtId="0" fontId="0" fillId="0" borderId="136" xfId="0" applyBorder="1"/>
    <xf numFmtId="0" fontId="0" fillId="0" borderId="137" xfId="0" applyBorder="1"/>
    <xf numFmtId="0" fontId="0" fillId="0" borderId="137" xfId="0" applyBorder="1" applyAlignment="1">
      <alignment horizontal="center"/>
    </xf>
    <xf numFmtId="0" fontId="0" fillId="0" borderId="136" xfId="0" applyBorder="1" applyAlignment="1">
      <alignment horizontal="center"/>
    </xf>
    <xf numFmtId="0" fontId="7" fillId="0" borderId="0" xfId="0" applyFont="1"/>
    <xf numFmtId="0" fontId="4" fillId="0" borderId="42" xfId="0" applyFont="1" applyBorder="1" applyAlignment="1">
      <alignment horizontal="center"/>
    </xf>
    <xf numFmtId="164" fontId="2" fillId="0" borderId="42" xfId="0" applyNumberFormat="1" applyFont="1" applyBorder="1" applyAlignment="1">
      <alignment horizontal="center"/>
    </xf>
    <xf numFmtId="0" fontId="4" fillId="0" borderId="137" xfId="0" applyFont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164" fontId="2" fillId="7" borderId="1" xfId="0" applyNumberFormat="1" applyFont="1" applyFill="1" applyBorder="1" applyAlignment="1">
      <alignment horizontal="center"/>
    </xf>
    <xf numFmtId="0" fontId="4" fillId="0" borderId="141" xfId="0" applyFont="1" applyBorder="1" applyAlignment="1" applyProtection="1">
      <alignment horizontal="center"/>
      <protection locked="0" hidden="1"/>
    </xf>
    <xf numFmtId="0" fontId="2" fillId="4" borderId="141" xfId="0" applyFont="1" applyFill="1" applyBorder="1" applyAlignment="1">
      <alignment horizontal="center"/>
    </xf>
    <xf numFmtId="0" fontId="11" fillId="0" borderId="137" xfId="0" quotePrefix="1" applyFont="1" applyBorder="1" applyAlignment="1">
      <alignment horizontal="center"/>
    </xf>
    <xf numFmtId="3" fontId="11" fillId="0" borderId="137" xfId="0" quotePrefix="1" applyNumberFormat="1" applyFont="1" applyBorder="1" applyAlignment="1">
      <alignment horizontal="center"/>
    </xf>
    <xf numFmtId="1" fontId="11" fillId="0" borderId="137" xfId="0" quotePrefix="1" applyNumberFormat="1" applyFont="1" applyBorder="1" applyAlignment="1">
      <alignment horizontal="center"/>
    </xf>
    <xf numFmtId="0" fontId="11" fillId="0" borderId="155" xfId="0" applyFont="1" applyBorder="1" applyAlignment="1">
      <alignment horizontal="center"/>
    </xf>
    <xf numFmtId="1" fontId="11" fillId="0" borderId="155" xfId="0" applyNumberFormat="1" applyFont="1" applyBorder="1" applyAlignment="1">
      <alignment horizontal="center"/>
    </xf>
    <xf numFmtId="0" fontId="11" fillId="0" borderId="0" xfId="0" applyFont="1" applyAlignment="1">
      <alignment horizontal="right"/>
    </xf>
    <xf numFmtId="2" fontId="4" fillId="0" borderId="51" xfId="0" applyNumberFormat="1" applyFont="1" applyBorder="1" applyAlignment="1">
      <alignment horizontal="center"/>
    </xf>
    <xf numFmtId="0" fontId="4" fillId="0" borderId="51" xfId="0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left"/>
    </xf>
    <xf numFmtId="2" fontId="4" fillId="0" borderId="154" xfId="0" applyNumberFormat="1" applyFont="1" applyBorder="1" applyAlignment="1">
      <alignment horizontal="center"/>
    </xf>
    <xf numFmtId="2" fontId="4" fillId="0" borderId="42" xfId="0" applyNumberFormat="1" applyFont="1" applyBorder="1" applyAlignment="1">
      <alignment horizontal="center"/>
    </xf>
    <xf numFmtId="2" fontId="4" fillId="0" borderId="144" xfId="0" applyNumberFormat="1" applyFont="1" applyBorder="1" applyAlignment="1">
      <alignment horizontal="center"/>
    </xf>
    <xf numFmtId="2" fontId="4" fillId="0" borderId="1" xfId="0" applyNumberFormat="1" applyFont="1" applyBorder="1" applyAlignment="1">
      <alignment horizontal="center"/>
    </xf>
    <xf numFmtId="2" fontId="4" fillId="0" borderId="156" xfId="0" applyNumberFormat="1" applyFont="1" applyBorder="1" applyAlignment="1">
      <alignment horizontal="center"/>
    </xf>
    <xf numFmtId="0" fontId="4" fillId="0" borderId="37" xfId="0" applyFont="1" applyBorder="1" applyAlignment="1">
      <alignment horizontal="center"/>
    </xf>
    <xf numFmtId="2" fontId="4" fillId="0" borderId="37" xfId="0" applyNumberFormat="1" applyFont="1" applyBorder="1" applyAlignment="1">
      <alignment horizontal="center"/>
    </xf>
    <xf numFmtId="2" fontId="4" fillId="0" borderId="139" xfId="0" applyNumberFormat="1" applyFont="1" applyBorder="1" applyAlignment="1">
      <alignment horizontal="center"/>
    </xf>
    <xf numFmtId="2" fontId="4" fillId="0" borderId="28" xfId="0" applyNumberFormat="1" applyFont="1" applyBorder="1" applyAlignment="1">
      <alignment horizontal="center"/>
    </xf>
    <xf numFmtId="2" fontId="4" fillId="0" borderId="43" xfId="0" applyNumberFormat="1" applyFont="1" applyBorder="1" applyAlignment="1">
      <alignment horizontal="center"/>
    </xf>
    <xf numFmtId="1" fontId="11" fillId="0" borderId="123" xfId="0" applyNumberFormat="1" applyFont="1" applyBorder="1" applyAlignment="1">
      <alignment horizontal="center"/>
    </xf>
    <xf numFmtId="1" fontId="11" fillId="0" borderId="143" xfId="0" applyNumberFormat="1" applyFont="1" applyBorder="1" applyAlignment="1">
      <alignment horizontal="center"/>
    </xf>
    <xf numFmtId="1" fontId="11" fillId="0" borderId="157" xfId="0" applyNumberFormat="1" applyFont="1" applyBorder="1" applyAlignment="1">
      <alignment horizontal="center"/>
    </xf>
    <xf numFmtId="1" fontId="11" fillId="0" borderId="28" xfId="0" applyNumberFormat="1" applyFont="1" applyBorder="1" applyAlignment="1">
      <alignment horizontal="center"/>
    </xf>
    <xf numFmtId="1" fontId="11" fillId="0" borderId="158" xfId="0" applyNumberFormat="1" applyFont="1" applyBorder="1" applyAlignment="1">
      <alignment horizontal="center"/>
    </xf>
    <xf numFmtId="1" fontId="11" fillId="0" borderId="37" xfId="0" applyNumberFormat="1" applyFont="1" applyBorder="1" applyAlignment="1">
      <alignment horizontal="center"/>
    </xf>
    <xf numFmtId="1" fontId="11" fillId="0" borderId="31" xfId="0" applyNumberFormat="1" applyFont="1" applyBorder="1" applyAlignment="1">
      <alignment horizontal="center"/>
    </xf>
    <xf numFmtId="1" fontId="0" fillId="0" borderId="0" xfId="0" applyNumberFormat="1"/>
    <xf numFmtId="0" fontId="2" fillId="0" borderId="157" xfId="0" applyFont="1" applyBorder="1" applyAlignment="1">
      <alignment horizontal="center"/>
    </xf>
    <xf numFmtId="0" fontId="56" fillId="4" borderId="1" xfId="0" applyFont="1" applyFill="1" applyBorder="1"/>
    <xf numFmtId="0" fontId="4" fillId="0" borderId="41" xfId="0" applyFont="1" applyBorder="1" applyAlignment="1">
      <alignment horizontal="center"/>
    </xf>
    <xf numFmtId="0" fontId="7" fillId="4" borderId="129" xfId="0" applyFont="1" applyFill="1" applyBorder="1" applyAlignment="1">
      <alignment horizontal="center"/>
    </xf>
    <xf numFmtId="0" fontId="7" fillId="0" borderId="138" xfId="0" applyFont="1" applyBorder="1" applyAlignment="1">
      <alignment horizontal="center"/>
    </xf>
    <xf numFmtId="0" fontId="4" fillId="4" borderId="141" xfId="0" applyFont="1" applyFill="1" applyBorder="1" applyAlignment="1">
      <alignment horizontal="center"/>
    </xf>
    <xf numFmtId="0" fontId="4" fillId="4" borderId="42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7" fillId="4" borderId="141" xfId="0" applyFont="1" applyFill="1" applyBorder="1" applyAlignment="1">
      <alignment horizontal="center"/>
    </xf>
    <xf numFmtId="0" fontId="0" fillId="0" borderId="6" xfId="0" applyBorder="1"/>
    <xf numFmtId="0" fontId="0" fillId="0" borderId="29" xfId="0" applyBorder="1"/>
    <xf numFmtId="0" fontId="0" fillId="0" borderId="159" xfId="0" applyBorder="1"/>
    <xf numFmtId="0" fontId="0" fillId="0" borderId="51" xfId="0" applyBorder="1"/>
    <xf numFmtId="0" fontId="4" fillId="0" borderId="57" xfId="0" applyFont="1" applyBorder="1"/>
    <xf numFmtId="0" fontId="4" fillId="0" borderId="160" xfId="0" applyFont="1" applyBorder="1"/>
    <xf numFmtId="166" fontId="2" fillId="0" borderId="51" xfId="0" applyNumberFormat="1" applyFont="1" applyBorder="1" applyAlignment="1">
      <alignment horizontal="center"/>
    </xf>
    <xf numFmtId="13" fontId="5" fillId="0" borderId="0" xfId="0" applyNumberFormat="1" applyFont="1" applyAlignment="1">
      <alignment horizontal="right"/>
    </xf>
    <xf numFmtId="164" fontId="5" fillId="0" borderId="0" xfId="0" applyNumberFormat="1" applyFont="1" applyAlignment="1">
      <alignment horizontal="center"/>
    </xf>
    <xf numFmtId="0" fontId="77" fillId="0" borderId="0" xfId="0" applyFont="1"/>
    <xf numFmtId="0" fontId="56" fillId="0" borderId="0" xfId="0" applyFont="1"/>
    <xf numFmtId="0" fontId="4" fillId="0" borderId="161" xfId="0" applyFont="1" applyBorder="1" applyAlignment="1" applyProtection="1">
      <alignment horizontal="center"/>
      <protection locked="0" hidden="1"/>
    </xf>
    <xf numFmtId="0" fontId="11" fillId="0" borderId="155" xfId="0" applyFont="1" applyBorder="1" applyAlignment="1" applyProtection="1">
      <alignment horizontal="center"/>
      <protection locked="0" hidden="1"/>
    </xf>
    <xf numFmtId="0" fontId="11" fillId="0" borderId="162" xfId="0" applyFont="1" applyBorder="1" applyAlignment="1" applyProtection="1">
      <alignment horizontal="center"/>
      <protection locked="0" hidden="1"/>
    </xf>
    <xf numFmtId="0" fontId="2" fillId="0" borderId="0" xfId="0" applyFont="1" applyAlignment="1">
      <alignment horizontal="left"/>
    </xf>
    <xf numFmtId="0" fontId="2" fillId="0" borderId="83" xfId="0" applyFont="1" applyBorder="1" applyAlignment="1">
      <alignment horizontal="center"/>
    </xf>
    <xf numFmtId="0" fontId="2" fillId="0" borderId="114" xfId="0" applyFont="1" applyBorder="1" applyAlignment="1">
      <alignment horizontal="center"/>
    </xf>
    <xf numFmtId="0" fontId="4" fillId="0" borderId="114" xfId="0" applyFont="1" applyBorder="1" applyAlignment="1">
      <alignment horizontal="center"/>
    </xf>
    <xf numFmtId="0" fontId="2" fillId="0" borderId="86" xfId="0" applyFont="1" applyBorder="1" applyAlignment="1" applyProtection="1">
      <alignment horizontal="center"/>
      <protection locked="0"/>
    </xf>
    <xf numFmtId="0" fontId="2" fillId="0" borderId="94" xfId="0" applyFont="1" applyBorder="1" applyAlignment="1" applyProtection="1">
      <alignment horizontal="center"/>
      <protection locked="0"/>
    </xf>
    <xf numFmtId="2" fontId="2" fillId="0" borderId="86" xfId="0" applyNumberFormat="1" applyFont="1" applyBorder="1" applyAlignment="1">
      <alignment horizontal="center"/>
    </xf>
    <xf numFmtId="2" fontId="4" fillId="0" borderId="82" xfId="0" applyNumberFormat="1" applyFont="1" applyBorder="1" applyAlignment="1">
      <alignment horizontal="center"/>
    </xf>
    <xf numFmtId="2" fontId="4" fillId="0" borderId="94" xfId="0" applyNumberFormat="1" applyFont="1" applyBorder="1" applyAlignment="1">
      <alignment horizontal="center"/>
    </xf>
    <xf numFmtId="2" fontId="4" fillId="4" borderId="161" xfId="0" applyNumberFormat="1" applyFont="1" applyFill="1" applyBorder="1" applyAlignment="1">
      <alignment horizontal="center"/>
    </xf>
    <xf numFmtId="2" fontId="11" fillId="4" borderId="162" xfId="0" applyNumberFormat="1" applyFont="1" applyFill="1" applyBorder="1" applyAlignment="1">
      <alignment horizontal="center"/>
    </xf>
    <xf numFmtId="22" fontId="0" fillId="0" borderId="0" xfId="0" applyNumberFormat="1"/>
    <xf numFmtId="16" fontId="11" fillId="0" borderId="0" xfId="0" applyNumberFormat="1" applyFont="1"/>
    <xf numFmtId="0" fontId="74" fillId="0" borderId="0" xfId="0" applyFont="1"/>
    <xf numFmtId="0" fontId="0" fillId="0" borderId="163" xfId="0" applyBorder="1"/>
    <xf numFmtId="0" fontId="0" fillId="0" borderId="164" xfId="0" applyBorder="1"/>
    <xf numFmtId="0" fontId="0" fillId="0" borderId="165" xfId="0" applyBorder="1"/>
    <xf numFmtId="0" fontId="0" fillId="0" borderId="166" xfId="0" applyBorder="1"/>
    <xf numFmtId="0" fontId="0" fillId="0" borderId="167" xfId="0" applyBorder="1"/>
    <xf numFmtId="0" fontId="4" fillId="0" borderId="157" xfId="0" applyFont="1" applyBorder="1"/>
    <xf numFmtId="0" fontId="4" fillId="0" borderId="168" xfId="0" applyFont="1" applyBorder="1"/>
    <xf numFmtId="0" fontId="78" fillId="0" borderId="0" xfId="0" applyFont="1"/>
    <xf numFmtId="0" fontId="4" fillId="0" borderId="169" xfId="0" applyFont="1" applyBorder="1" applyAlignment="1">
      <alignment horizontal="center"/>
    </xf>
    <xf numFmtId="0" fontId="2" fillId="0" borderId="170" xfId="0" applyFont="1" applyBorder="1"/>
    <xf numFmtId="0" fontId="2" fillId="0" borderId="171" xfId="0" applyFont="1" applyBorder="1"/>
    <xf numFmtId="0" fontId="4" fillId="0" borderId="170" xfId="0" applyFont="1" applyBorder="1" applyAlignment="1">
      <alignment horizontal="center"/>
    </xf>
    <xf numFmtId="0" fontId="4" fillId="0" borderId="171" xfId="0" applyFont="1" applyBorder="1" applyAlignment="1">
      <alignment horizontal="center"/>
    </xf>
    <xf numFmtId="2" fontId="2" fillId="0" borderId="169" xfId="0" applyNumberFormat="1" applyFont="1" applyBorder="1" applyAlignment="1">
      <alignment horizontal="center"/>
    </xf>
    <xf numFmtId="2" fontId="2" fillId="0" borderId="170" xfId="0" applyNumberFormat="1" applyFont="1" applyBorder="1" applyAlignment="1">
      <alignment horizontal="center"/>
    </xf>
    <xf numFmtId="2" fontId="2" fillId="0" borderId="171" xfId="0" applyNumberFormat="1" applyFont="1" applyBorder="1" applyAlignment="1">
      <alignment horizontal="center"/>
    </xf>
    <xf numFmtId="0" fontId="2" fillId="0" borderId="169" xfId="0" applyFont="1" applyBorder="1"/>
    <xf numFmtId="0" fontId="58" fillId="7" borderId="123" xfId="0" applyFont="1" applyFill="1" applyBorder="1"/>
    <xf numFmtId="0" fontId="0" fillId="7" borderId="124" xfId="0" applyFill="1" applyBorder="1"/>
    <xf numFmtId="0" fontId="0" fillId="7" borderId="125" xfId="0" applyFill="1" applyBorder="1"/>
    <xf numFmtId="0" fontId="58" fillId="7" borderId="136" xfId="0" applyFont="1" applyFill="1" applyBorder="1" applyAlignment="1">
      <alignment horizontal="center"/>
    </xf>
    <xf numFmtId="0" fontId="58" fillId="7" borderId="129" xfId="0" applyFont="1" applyFill="1" applyBorder="1"/>
    <xf numFmtId="0" fontId="0" fillId="7" borderId="130" xfId="0" applyFill="1" applyBorder="1"/>
    <xf numFmtId="0" fontId="0" fillId="7" borderId="131" xfId="0" applyFill="1" applyBorder="1"/>
    <xf numFmtId="0" fontId="58" fillId="7" borderId="138" xfId="0" applyFont="1" applyFill="1" applyBorder="1" applyAlignment="1">
      <alignment horizontal="center"/>
    </xf>
    <xf numFmtId="0" fontId="58" fillId="7" borderId="137" xfId="0" applyFont="1" applyFill="1" applyBorder="1" applyAlignment="1">
      <alignment horizontal="center"/>
    </xf>
    <xf numFmtId="0" fontId="0" fillId="7" borderId="137" xfId="0" applyFill="1" applyBorder="1"/>
    <xf numFmtId="0" fontId="4" fillId="7" borderId="138" xfId="0" applyFont="1" applyFill="1" applyBorder="1" applyAlignment="1">
      <alignment horizontal="center"/>
    </xf>
    <xf numFmtId="0" fontId="56" fillId="0" borderId="0" xfId="0" applyFont="1" applyAlignment="1">
      <alignment horizontal="center"/>
    </xf>
    <xf numFmtId="166" fontId="2" fillId="0" borderId="86" xfId="0" applyNumberFormat="1" applyFont="1" applyBorder="1" applyAlignment="1">
      <alignment horizontal="center"/>
    </xf>
    <xf numFmtId="166" fontId="4" fillId="0" borderId="82" xfId="0" applyNumberFormat="1" applyFont="1" applyBorder="1" applyAlignment="1">
      <alignment horizontal="center"/>
    </xf>
    <xf numFmtId="166" fontId="4" fillId="0" borderId="94" xfId="0" applyNumberFormat="1" applyFont="1" applyBorder="1" applyAlignment="1">
      <alignment horizontal="center"/>
    </xf>
    <xf numFmtId="0" fontId="75" fillId="0" borderId="141" xfId="0" applyFont="1" applyBorder="1" applyAlignment="1" applyProtection="1">
      <alignment horizontal="center"/>
      <protection locked="0" hidden="1"/>
    </xf>
    <xf numFmtId="164" fontId="4" fillId="7" borderId="161" xfId="0" applyNumberFormat="1" applyFont="1" applyFill="1" applyBorder="1" applyAlignment="1">
      <alignment horizontal="center"/>
    </xf>
    <xf numFmtId="1" fontId="10" fillId="0" borderId="51" xfId="0" applyNumberFormat="1" applyFont="1" applyBorder="1" applyAlignment="1" applyProtection="1">
      <alignment horizontal="center"/>
      <protection locked="0"/>
    </xf>
    <xf numFmtId="1" fontId="5" fillId="0" borderId="51" xfId="0" applyNumberFormat="1" applyFont="1" applyBorder="1" applyAlignment="1">
      <alignment horizontal="center"/>
    </xf>
    <xf numFmtId="2" fontId="5" fillId="0" borderId="51" xfId="0" applyNumberFormat="1" applyFont="1" applyBorder="1" applyAlignment="1">
      <alignment horizontal="center"/>
    </xf>
    <xf numFmtId="1" fontId="5" fillId="0" borderId="86" xfId="0" applyNumberFormat="1" applyFont="1" applyBorder="1" applyAlignment="1">
      <alignment horizontal="center"/>
    </xf>
    <xf numFmtId="1" fontId="5" fillId="0" borderId="94" xfId="0" applyNumberFormat="1" applyFont="1" applyBorder="1" applyAlignment="1">
      <alignment horizontal="center"/>
    </xf>
    <xf numFmtId="2" fontId="12" fillId="0" borderId="94" xfId="0" applyNumberFormat="1" applyFont="1" applyBorder="1" applyAlignment="1">
      <alignment horizontal="center"/>
    </xf>
    <xf numFmtId="0" fontId="0" fillId="3" borderId="22" xfId="0" applyFill="1" applyBorder="1"/>
    <xf numFmtId="0" fontId="0" fillId="3" borderId="48" xfId="0" applyFill="1" applyBorder="1"/>
    <xf numFmtId="0" fontId="0" fillId="3" borderId="24" xfId="0" applyFill="1" applyBorder="1"/>
    <xf numFmtId="0" fontId="0" fillId="4" borderId="64" xfId="0" applyFill="1" applyBorder="1"/>
    <xf numFmtId="0" fontId="0" fillId="0" borderId="172" xfId="0" applyBorder="1"/>
    <xf numFmtId="0" fontId="0" fillId="0" borderId="173" xfId="0" applyBorder="1"/>
    <xf numFmtId="0" fontId="0" fillId="0" borderId="174" xfId="0" applyBorder="1"/>
    <xf numFmtId="0" fontId="2" fillId="0" borderId="174" xfId="0" applyFont="1" applyBorder="1" applyAlignment="1">
      <alignment horizontal="center"/>
    </xf>
    <xf numFmtId="0" fontId="0" fillId="0" borderId="174" xfId="0" applyBorder="1" applyAlignment="1">
      <alignment horizontal="center"/>
    </xf>
    <xf numFmtId="166" fontId="2" fillId="0" borderId="174" xfId="0" applyNumberFormat="1" applyFont="1" applyBorder="1" applyAlignment="1">
      <alignment horizontal="center"/>
    </xf>
    <xf numFmtId="0" fontId="0" fillId="4" borderId="71" xfId="0" applyFill="1" applyBorder="1"/>
    <xf numFmtId="0" fontId="0" fillId="0" borderId="175" xfId="0" applyBorder="1"/>
    <xf numFmtId="0" fontId="0" fillId="0" borderId="176" xfId="0" applyBorder="1"/>
    <xf numFmtId="0" fontId="0" fillId="0" borderId="177" xfId="0" applyBorder="1"/>
    <xf numFmtId="0" fontId="2" fillId="0" borderId="177" xfId="0" applyFont="1" applyBorder="1" applyAlignment="1">
      <alignment horizontal="center"/>
    </xf>
    <xf numFmtId="0" fontId="0" fillId="0" borderId="177" xfId="0" applyBorder="1" applyAlignment="1">
      <alignment horizontal="center"/>
    </xf>
    <xf numFmtId="166" fontId="2" fillId="0" borderId="177" xfId="0" applyNumberFormat="1" applyFont="1" applyBorder="1" applyAlignment="1">
      <alignment horizontal="center"/>
    </xf>
    <xf numFmtId="0" fontId="2" fillId="0" borderId="175" xfId="0" applyFont="1" applyBorder="1" applyAlignment="1">
      <alignment horizontal="center"/>
    </xf>
    <xf numFmtId="0" fontId="2" fillId="0" borderId="176" xfId="0" applyFont="1" applyBorder="1" applyAlignment="1">
      <alignment horizontal="center"/>
    </xf>
    <xf numFmtId="2" fontId="0" fillId="0" borderId="177" xfId="0" applyNumberFormat="1" applyBorder="1" applyAlignment="1">
      <alignment horizontal="center"/>
    </xf>
    <xf numFmtId="166" fontId="0" fillId="0" borderId="177" xfId="0" applyNumberFormat="1" applyBorder="1" applyAlignment="1">
      <alignment horizontal="center"/>
    </xf>
    <xf numFmtId="1" fontId="12" fillId="0" borderId="178" xfId="0" applyNumberFormat="1" applyFont="1" applyBorder="1" applyAlignment="1">
      <alignment horizontal="center"/>
    </xf>
    <xf numFmtId="13" fontId="12" fillId="0" borderId="179" xfId="0" applyNumberFormat="1" applyFont="1" applyBorder="1"/>
    <xf numFmtId="13" fontId="0" fillId="0" borderId="180" xfId="0" applyNumberFormat="1" applyBorder="1"/>
    <xf numFmtId="0" fontId="0" fillId="0" borderId="180" xfId="0" applyBorder="1"/>
    <xf numFmtId="2" fontId="12" fillId="0" borderId="180" xfId="0" applyNumberFormat="1" applyFont="1" applyBorder="1" applyAlignment="1">
      <alignment horizontal="center"/>
    </xf>
    <xf numFmtId="0" fontId="0" fillId="0" borderId="178" xfId="0" applyBorder="1"/>
    <xf numFmtId="1" fontId="0" fillId="0" borderId="178" xfId="0" applyNumberFormat="1" applyBorder="1" applyAlignment="1">
      <alignment horizontal="center"/>
    </xf>
    <xf numFmtId="166" fontId="0" fillId="0" borderId="179" xfId="0" applyNumberFormat="1" applyBorder="1" applyAlignment="1">
      <alignment horizontal="center"/>
    </xf>
    <xf numFmtId="0" fontId="0" fillId="4" borderId="70" xfId="0" applyFill="1" applyBorder="1"/>
    <xf numFmtId="0" fontId="0" fillId="0" borderId="169" xfId="0" applyBorder="1" applyAlignment="1" applyProtection="1">
      <alignment horizontal="center"/>
      <protection locked="0" hidden="1"/>
    </xf>
    <xf numFmtId="13" fontId="0" fillId="0" borderId="169" xfId="0" applyNumberFormat="1" applyBorder="1" applyAlignment="1" applyProtection="1">
      <alignment horizontal="center"/>
      <protection locked="0" hidden="1"/>
    </xf>
    <xf numFmtId="2" fontId="0" fillId="0" borderId="136" xfId="0" applyNumberFormat="1" applyBorder="1" applyAlignment="1">
      <alignment horizontal="center"/>
    </xf>
    <xf numFmtId="166" fontId="0" fillId="0" borderId="123" xfId="0" applyNumberFormat="1" applyBorder="1" applyAlignment="1">
      <alignment horizontal="center"/>
    </xf>
    <xf numFmtId="2" fontId="0" fillId="0" borderId="169" xfId="0" applyNumberFormat="1" applyBorder="1" applyAlignment="1" applyProtection="1">
      <alignment horizontal="center"/>
      <protection locked="0"/>
    </xf>
    <xf numFmtId="0" fontId="0" fillId="0" borderId="169" xfId="0" applyBorder="1" applyAlignment="1">
      <alignment horizontal="center"/>
    </xf>
    <xf numFmtId="166" fontId="0" fillId="0" borderId="136" xfId="0" applyNumberFormat="1" applyBorder="1" applyAlignment="1">
      <alignment horizontal="center"/>
    </xf>
    <xf numFmtId="0" fontId="0" fillId="0" borderId="170" xfId="0" applyBorder="1" applyAlignment="1" applyProtection="1">
      <alignment horizontal="center"/>
      <protection locked="0" hidden="1"/>
    </xf>
    <xf numFmtId="13" fontId="0" fillId="0" borderId="170" xfId="0" applyNumberFormat="1" applyBorder="1" applyAlignment="1" applyProtection="1">
      <alignment horizontal="center"/>
      <protection locked="0" hidden="1"/>
    </xf>
    <xf numFmtId="2" fontId="0" fillId="0" borderId="170" xfId="0" applyNumberFormat="1" applyBorder="1" applyAlignment="1">
      <alignment horizontal="center"/>
    </xf>
    <xf numFmtId="166" fontId="0" fillId="0" borderId="181" xfId="0" applyNumberFormat="1" applyBorder="1" applyAlignment="1">
      <alignment horizontal="center"/>
    </xf>
    <xf numFmtId="2" fontId="0" fillId="0" borderId="170" xfId="0" applyNumberFormat="1" applyBorder="1" applyAlignment="1" applyProtection="1">
      <alignment horizontal="center"/>
      <protection locked="0"/>
    </xf>
    <xf numFmtId="0" fontId="0" fillId="0" borderId="170" xfId="0" applyBorder="1" applyAlignment="1">
      <alignment horizontal="center"/>
    </xf>
    <xf numFmtId="166" fontId="0" fillId="0" borderId="170" xfId="0" applyNumberFormat="1" applyBorder="1" applyAlignment="1">
      <alignment horizontal="center"/>
    </xf>
    <xf numFmtId="13" fontId="0" fillId="0" borderId="171" xfId="0" applyNumberFormat="1" applyBorder="1" applyAlignment="1" applyProtection="1">
      <alignment horizontal="center"/>
      <protection locked="0" hidden="1"/>
    </xf>
    <xf numFmtId="0" fontId="0" fillId="4" borderId="72" xfId="0" applyFill="1" applyBorder="1"/>
    <xf numFmtId="166" fontId="5" fillId="0" borderId="94" xfId="0" applyNumberFormat="1" applyFont="1" applyBorder="1" applyAlignment="1">
      <alignment horizontal="center"/>
    </xf>
    <xf numFmtId="13" fontId="5" fillId="0" borderId="86" xfId="0" applyNumberFormat="1" applyFont="1" applyBorder="1" applyAlignment="1" applyProtection="1">
      <alignment horizontal="center"/>
      <protection locked="0"/>
    </xf>
    <xf numFmtId="2" fontId="12" fillId="0" borderId="94" xfId="0" applyNumberFormat="1" applyFont="1" applyBorder="1" applyAlignment="1" applyProtection="1">
      <alignment horizontal="center"/>
      <protection locked="0"/>
    </xf>
    <xf numFmtId="0" fontId="0" fillId="0" borderId="0" xfId="0" applyAlignment="1">
      <alignment horizontal="left"/>
    </xf>
    <xf numFmtId="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image" Target="../media/image1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8.png"/><Relationship Id="rId1" Type="http://schemas.openxmlformats.org/officeDocument/2006/relationships/image" Target="../media/image17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9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0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25400</xdr:colOff>
      <xdr:row>7</xdr:row>
      <xdr:rowOff>0</xdr:rowOff>
    </xdr:from>
    <xdr:to>
      <xdr:col>9</xdr:col>
      <xdr:colOff>12700</xdr:colOff>
      <xdr:row>7</xdr:row>
      <xdr:rowOff>0</xdr:rowOff>
    </xdr:to>
    <xdr:sp macro="" textlink="">
      <xdr:nvSpPr>
        <xdr:cNvPr id="1863" name="Line 47">
          <a:extLst>
            <a:ext uri="{FF2B5EF4-FFF2-40B4-BE49-F238E27FC236}">
              <a16:creationId xmlns:a16="http://schemas.microsoft.com/office/drawing/2014/main" id="{D29A3BDC-38ED-9161-3112-6783461B907D}"/>
            </a:ext>
          </a:extLst>
        </xdr:cNvPr>
        <xdr:cNvSpPr>
          <a:spLocks noChangeShapeType="1"/>
        </xdr:cNvSpPr>
      </xdr:nvSpPr>
      <xdr:spPr bwMode="auto">
        <a:xfrm>
          <a:off x="4673600" y="1397000"/>
          <a:ext cx="14351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38100</xdr:colOff>
      <xdr:row>7</xdr:row>
      <xdr:rowOff>12700</xdr:rowOff>
    </xdr:from>
    <xdr:to>
      <xdr:col>7</xdr:col>
      <xdr:colOff>38100</xdr:colOff>
      <xdr:row>7</xdr:row>
      <xdr:rowOff>63500</xdr:rowOff>
    </xdr:to>
    <xdr:sp macro="" textlink="">
      <xdr:nvSpPr>
        <xdr:cNvPr id="1864" name="Line 48">
          <a:extLst>
            <a:ext uri="{FF2B5EF4-FFF2-40B4-BE49-F238E27FC236}">
              <a16:creationId xmlns:a16="http://schemas.microsoft.com/office/drawing/2014/main" id="{AB9F8641-ADFF-D16A-9D42-416B8A7865D4}"/>
            </a:ext>
          </a:extLst>
        </xdr:cNvPr>
        <xdr:cNvSpPr>
          <a:spLocks noChangeShapeType="1"/>
        </xdr:cNvSpPr>
      </xdr:nvSpPr>
      <xdr:spPr bwMode="auto">
        <a:xfrm>
          <a:off x="4686300" y="1409700"/>
          <a:ext cx="0" cy="508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12700</xdr:colOff>
      <xdr:row>6</xdr:row>
      <xdr:rowOff>152400</xdr:rowOff>
    </xdr:from>
    <xdr:to>
      <xdr:col>9</xdr:col>
      <xdr:colOff>12700</xdr:colOff>
      <xdr:row>7</xdr:row>
      <xdr:rowOff>63500</xdr:rowOff>
    </xdr:to>
    <xdr:sp macro="" textlink="">
      <xdr:nvSpPr>
        <xdr:cNvPr id="1865" name="Line 49">
          <a:extLst>
            <a:ext uri="{FF2B5EF4-FFF2-40B4-BE49-F238E27FC236}">
              <a16:creationId xmlns:a16="http://schemas.microsoft.com/office/drawing/2014/main" id="{3446D7A7-3772-734D-B3E3-1A9CFB8467CE}"/>
            </a:ext>
          </a:extLst>
        </xdr:cNvPr>
        <xdr:cNvSpPr>
          <a:spLocks noChangeShapeType="1"/>
        </xdr:cNvSpPr>
      </xdr:nvSpPr>
      <xdr:spPr bwMode="auto">
        <a:xfrm>
          <a:off x="6108700" y="1384300"/>
          <a:ext cx="0" cy="762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38100</xdr:colOff>
      <xdr:row>7</xdr:row>
      <xdr:rowOff>63500</xdr:rowOff>
    </xdr:from>
    <xdr:to>
      <xdr:col>7</xdr:col>
      <xdr:colOff>635000</xdr:colOff>
      <xdr:row>7</xdr:row>
      <xdr:rowOff>63500</xdr:rowOff>
    </xdr:to>
    <xdr:sp macro="" textlink="">
      <xdr:nvSpPr>
        <xdr:cNvPr id="1866" name="Line 50">
          <a:extLst>
            <a:ext uri="{FF2B5EF4-FFF2-40B4-BE49-F238E27FC236}">
              <a16:creationId xmlns:a16="http://schemas.microsoft.com/office/drawing/2014/main" id="{9CC96572-F661-96D7-FA16-E73D44707D63}"/>
            </a:ext>
          </a:extLst>
        </xdr:cNvPr>
        <xdr:cNvSpPr>
          <a:spLocks noChangeShapeType="1"/>
        </xdr:cNvSpPr>
      </xdr:nvSpPr>
      <xdr:spPr bwMode="auto">
        <a:xfrm flipV="1">
          <a:off x="4686300" y="1460500"/>
          <a:ext cx="5969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38100</xdr:colOff>
      <xdr:row>7</xdr:row>
      <xdr:rowOff>63500</xdr:rowOff>
    </xdr:from>
    <xdr:to>
      <xdr:col>9</xdr:col>
      <xdr:colOff>12700</xdr:colOff>
      <xdr:row>7</xdr:row>
      <xdr:rowOff>63500</xdr:rowOff>
    </xdr:to>
    <xdr:sp macro="" textlink="">
      <xdr:nvSpPr>
        <xdr:cNvPr id="1867" name="Line 51">
          <a:extLst>
            <a:ext uri="{FF2B5EF4-FFF2-40B4-BE49-F238E27FC236}">
              <a16:creationId xmlns:a16="http://schemas.microsoft.com/office/drawing/2014/main" id="{1C62A0D1-6BE1-1CF6-0FE7-B6CB2AAFA501}"/>
            </a:ext>
          </a:extLst>
        </xdr:cNvPr>
        <xdr:cNvSpPr>
          <a:spLocks noChangeShapeType="1"/>
        </xdr:cNvSpPr>
      </xdr:nvSpPr>
      <xdr:spPr bwMode="auto">
        <a:xfrm flipH="1">
          <a:off x="5397500" y="1460500"/>
          <a:ext cx="7112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25400</xdr:colOff>
      <xdr:row>14</xdr:row>
      <xdr:rowOff>139700</xdr:rowOff>
    </xdr:from>
    <xdr:to>
      <xdr:col>9</xdr:col>
      <xdr:colOff>12700</xdr:colOff>
      <xdr:row>14</xdr:row>
      <xdr:rowOff>139700</xdr:rowOff>
    </xdr:to>
    <xdr:sp macro="" textlink="">
      <xdr:nvSpPr>
        <xdr:cNvPr id="1868" name="Line 52">
          <a:extLst>
            <a:ext uri="{FF2B5EF4-FFF2-40B4-BE49-F238E27FC236}">
              <a16:creationId xmlns:a16="http://schemas.microsoft.com/office/drawing/2014/main" id="{AF5674FA-6F6B-51E3-450A-4F5B91E93984}"/>
            </a:ext>
          </a:extLst>
        </xdr:cNvPr>
        <xdr:cNvSpPr>
          <a:spLocks noChangeShapeType="1"/>
        </xdr:cNvSpPr>
      </xdr:nvSpPr>
      <xdr:spPr bwMode="auto">
        <a:xfrm>
          <a:off x="4673600" y="2844800"/>
          <a:ext cx="14351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673100</xdr:colOff>
      <xdr:row>7</xdr:row>
      <xdr:rowOff>63500</xdr:rowOff>
    </xdr:from>
    <xdr:to>
      <xdr:col>7</xdr:col>
      <xdr:colOff>673100</xdr:colOff>
      <xdr:row>14</xdr:row>
      <xdr:rowOff>63500</xdr:rowOff>
    </xdr:to>
    <xdr:sp macro="" textlink="">
      <xdr:nvSpPr>
        <xdr:cNvPr id="1869" name="Line 53">
          <a:extLst>
            <a:ext uri="{FF2B5EF4-FFF2-40B4-BE49-F238E27FC236}">
              <a16:creationId xmlns:a16="http://schemas.microsoft.com/office/drawing/2014/main" id="{C5993E4B-345E-9E0E-D283-53B20378F137}"/>
            </a:ext>
          </a:extLst>
        </xdr:cNvPr>
        <xdr:cNvSpPr>
          <a:spLocks noChangeShapeType="1"/>
        </xdr:cNvSpPr>
      </xdr:nvSpPr>
      <xdr:spPr bwMode="auto">
        <a:xfrm>
          <a:off x="5321300" y="1460500"/>
          <a:ext cx="0" cy="13081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25400</xdr:colOff>
      <xdr:row>14</xdr:row>
      <xdr:rowOff>76200</xdr:rowOff>
    </xdr:from>
    <xdr:to>
      <xdr:col>7</xdr:col>
      <xdr:colOff>622300</xdr:colOff>
      <xdr:row>14</xdr:row>
      <xdr:rowOff>76200</xdr:rowOff>
    </xdr:to>
    <xdr:sp macro="" textlink="">
      <xdr:nvSpPr>
        <xdr:cNvPr id="1870" name="Line 54">
          <a:extLst>
            <a:ext uri="{FF2B5EF4-FFF2-40B4-BE49-F238E27FC236}">
              <a16:creationId xmlns:a16="http://schemas.microsoft.com/office/drawing/2014/main" id="{5EA301B3-9C35-D46F-747A-ED98423125EE}"/>
            </a:ext>
          </a:extLst>
        </xdr:cNvPr>
        <xdr:cNvSpPr>
          <a:spLocks noChangeShapeType="1"/>
        </xdr:cNvSpPr>
      </xdr:nvSpPr>
      <xdr:spPr bwMode="auto">
        <a:xfrm flipH="1">
          <a:off x="4673600" y="2781300"/>
          <a:ext cx="5969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25400</xdr:colOff>
      <xdr:row>14</xdr:row>
      <xdr:rowOff>76200</xdr:rowOff>
    </xdr:from>
    <xdr:to>
      <xdr:col>7</xdr:col>
      <xdr:colOff>38100</xdr:colOff>
      <xdr:row>15</xdr:row>
      <xdr:rowOff>0</xdr:rowOff>
    </xdr:to>
    <xdr:sp macro="" textlink="">
      <xdr:nvSpPr>
        <xdr:cNvPr id="1871" name="Line 55">
          <a:extLst>
            <a:ext uri="{FF2B5EF4-FFF2-40B4-BE49-F238E27FC236}">
              <a16:creationId xmlns:a16="http://schemas.microsoft.com/office/drawing/2014/main" id="{3EDFAAAF-52DD-BEF6-C464-7BF68F96E2D1}"/>
            </a:ext>
          </a:extLst>
        </xdr:cNvPr>
        <xdr:cNvSpPr>
          <a:spLocks noChangeShapeType="1"/>
        </xdr:cNvSpPr>
      </xdr:nvSpPr>
      <xdr:spPr bwMode="auto">
        <a:xfrm flipH="1">
          <a:off x="4673600" y="2781300"/>
          <a:ext cx="12700" cy="889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596900</xdr:colOff>
      <xdr:row>14</xdr:row>
      <xdr:rowOff>25400</xdr:rowOff>
    </xdr:from>
    <xdr:to>
      <xdr:col>7</xdr:col>
      <xdr:colOff>673100</xdr:colOff>
      <xdr:row>14</xdr:row>
      <xdr:rowOff>76200</xdr:rowOff>
    </xdr:to>
    <xdr:sp macro="" textlink="">
      <xdr:nvSpPr>
        <xdr:cNvPr id="1872" name="Line 56">
          <a:extLst>
            <a:ext uri="{FF2B5EF4-FFF2-40B4-BE49-F238E27FC236}">
              <a16:creationId xmlns:a16="http://schemas.microsoft.com/office/drawing/2014/main" id="{042E40C6-0D29-75BD-FECA-C9398A1D8D29}"/>
            </a:ext>
          </a:extLst>
        </xdr:cNvPr>
        <xdr:cNvSpPr>
          <a:spLocks noChangeShapeType="1"/>
        </xdr:cNvSpPr>
      </xdr:nvSpPr>
      <xdr:spPr bwMode="auto">
        <a:xfrm flipH="1">
          <a:off x="5245100" y="2730500"/>
          <a:ext cx="76200" cy="508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12700</xdr:colOff>
      <xdr:row>7</xdr:row>
      <xdr:rowOff>63500</xdr:rowOff>
    </xdr:from>
    <xdr:to>
      <xdr:col>8</xdr:col>
      <xdr:colOff>12700</xdr:colOff>
      <xdr:row>14</xdr:row>
      <xdr:rowOff>12700</xdr:rowOff>
    </xdr:to>
    <xdr:sp macro="" textlink="">
      <xdr:nvSpPr>
        <xdr:cNvPr id="1873" name="Line 57">
          <a:extLst>
            <a:ext uri="{FF2B5EF4-FFF2-40B4-BE49-F238E27FC236}">
              <a16:creationId xmlns:a16="http://schemas.microsoft.com/office/drawing/2014/main" id="{39182EAB-58EC-5A81-3B2C-D5C338A95600}"/>
            </a:ext>
          </a:extLst>
        </xdr:cNvPr>
        <xdr:cNvSpPr>
          <a:spLocks noChangeShapeType="1"/>
        </xdr:cNvSpPr>
      </xdr:nvSpPr>
      <xdr:spPr bwMode="auto">
        <a:xfrm>
          <a:off x="5372100" y="1460500"/>
          <a:ext cx="0" cy="12573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38100</xdr:colOff>
      <xdr:row>14</xdr:row>
      <xdr:rowOff>12700</xdr:rowOff>
    </xdr:from>
    <xdr:to>
      <xdr:col>8</xdr:col>
      <xdr:colOff>76200</xdr:colOff>
      <xdr:row>14</xdr:row>
      <xdr:rowOff>63500</xdr:rowOff>
    </xdr:to>
    <xdr:sp macro="" textlink="">
      <xdr:nvSpPr>
        <xdr:cNvPr id="1874" name="Line 58">
          <a:extLst>
            <a:ext uri="{FF2B5EF4-FFF2-40B4-BE49-F238E27FC236}">
              <a16:creationId xmlns:a16="http://schemas.microsoft.com/office/drawing/2014/main" id="{2B81EE63-CB03-F7D3-86AB-929B4BCEE335}"/>
            </a:ext>
          </a:extLst>
        </xdr:cNvPr>
        <xdr:cNvSpPr>
          <a:spLocks noChangeShapeType="1"/>
        </xdr:cNvSpPr>
      </xdr:nvSpPr>
      <xdr:spPr bwMode="auto">
        <a:xfrm>
          <a:off x="5397500" y="2717800"/>
          <a:ext cx="38100" cy="508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50800</xdr:colOff>
      <xdr:row>14</xdr:row>
      <xdr:rowOff>63500</xdr:rowOff>
    </xdr:from>
    <xdr:to>
      <xdr:col>9</xdr:col>
      <xdr:colOff>12700</xdr:colOff>
      <xdr:row>14</xdr:row>
      <xdr:rowOff>63500</xdr:rowOff>
    </xdr:to>
    <xdr:sp macro="" textlink="">
      <xdr:nvSpPr>
        <xdr:cNvPr id="1875" name="Line 59">
          <a:extLst>
            <a:ext uri="{FF2B5EF4-FFF2-40B4-BE49-F238E27FC236}">
              <a16:creationId xmlns:a16="http://schemas.microsoft.com/office/drawing/2014/main" id="{94330524-594E-D305-72F4-874EFE0599F1}"/>
            </a:ext>
          </a:extLst>
        </xdr:cNvPr>
        <xdr:cNvSpPr>
          <a:spLocks noChangeShapeType="1"/>
        </xdr:cNvSpPr>
      </xdr:nvSpPr>
      <xdr:spPr bwMode="auto">
        <a:xfrm>
          <a:off x="5410200" y="2768600"/>
          <a:ext cx="6985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14</xdr:row>
      <xdr:rowOff>63500</xdr:rowOff>
    </xdr:from>
    <xdr:to>
      <xdr:col>9</xdr:col>
      <xdr:colOff>12700</xdr:colOff>
      <xdr:row>14</xdr:row>
      <xdr:rowOff>139700</xdr:rowOff>
    </xdr:to>
    <xdr:sp macro="" textlink="">
      <xdr:nvSpPr>
        <xdr:cNvPr id="1876" name="Line 60">
          <a:extLst>
            <a:ext uri="{FF2B5EF4-FFF2-40B4-BE49-F238E27FC236}">
              <a16:creationId xmlns:a16="http://schemas.microsoft.com/office/drawing/2014/main" id="{1D93F34E-CBF4-2D8D-FD58-6456B6EFAB3E}"/>
            </a:ext>
          </a:extLst>
        </xdr:cNvPr>
        <xdr:cNvSpPr>
          <a:spLocks noChangeShapeType="1"/>
        </xdr:cNvSpPr>
      </xdr:nvSpPr>
      <xdr:spPr bwMode="auto">
        <a:xfrm flipH="1">
          <a:off x="6096000" y="2768600"/>
          <a:ext cx="12700" cy="762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12700</xdr:colOff>
      <xdr:row>1</xdr:row>
      <xdr:rowOff>127000</xdr:rowOff>
    </xdr:from>
    <xdr:to>
      <xdr:col>7</xdr:col>
      <xdr:colOff>12700</xdr:colOff>
      <xdr:row>6</xdr:row>
      <xdr:rowOff>101600</xdr:rowOff>
    </xdr:to>
    <xdr:sp macro="" textlink="">
      <xdr:nvSpPr>
        <xdr:cNvPr id="1877" name="Line 61">
          <a:extLst>
            <a:ext uri="{FF2B5EF4-FFF2-40B4-BE49-F238E27FC236}">
              <a16:creationId xmlns:a16="http://schemas.microsoft.com/office/drawing/2014/main" id="{BAF03EF8-FB7C-A4AC-78B3-6307930BAB0E}"/>
            </a:ext>
          </a:extLst>
        </xdr:cNvPr>
        <xdr:cNvSpPr>
          <a:spLocks noChangeShapeType="1"/>
        </xdr:cNvSpPr>
      </xdr:nvSpPr>
      <xdr:spPr bwMode="auto">
        <a:xfrm flipV="1">
          <a:off x="4660900" y="292100"/>
          <a:ext cx="0" cy="10414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12700</xdr:colOff>
      <xdr:row>1</xdr:row>
      <xdr:rowOff>88900</xdr:rowOff>
    </xdr:from>
    <xdr:to>
      <xdr:col>9</xdr:col>
      <xdr:colOff>12700</xdr:colOff>
      <xdr:row>6</xdr:row>
      <xdr:rowOff>101600</xdr:rowOff>
    </xdr:to>
    <xdr:sp macro="" textlink="">
      <xdr:nvSpPr>
        <xdr:cNvPr id="1878" name="Line 62">
          <a:extLst>
            <a:ext uri="{FF2B5EF4-FFF2-40B4-BE49-F238E27FC236}">
              <a16:creationId xmlns:a16="http://schemas.microsoft.com/office/drawing/2014/main" id="{10CB291E-F2A2-054E-7F42-CADB20BC81B2}"/>
            </a:ext>
          </a:extLst>
        </xdr:cNvPr>
        <xdr:cNvSpPr>
          <a:spLocks noChangeShapeType="1"/>
        </xdr:cNvSpPr>
      </xdr:nvSpPr>
      <xdr:spPr bwMode="auto">
        <a:xfrm flipV="1">
          <a:off x="6108700" y="254000"/>
          <a:ext cx="0" cy="10795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2</xdr:row>
      <xdr:rowOff>25400</xdr:rowOff>
    </xdr:from>
    <xdr:to>
      <xdr:col>8</xdr:col>
      <xdr:colOff>723900</xdr:colOff>
      <xdr:row>2</xdr:row>
      <xdr:rowOff>25400</xdr:rowOff>
    </xdr:to>
    <xdr:sp macro="" textlink="">
      <xdr:nvSpPr>
        <xdr:cNvPr id="1879" name="Line 63">
          <a:extLst>
            <a:ext uri="{FF2B5EF4-FFF2-40B4-BE49-F238E27FC236}">
              <a16:creationId xmlns:a16="http://schemas.microsoft.com/office/drawing/2014/main" id="{D4136E72-71C2-F47C-3787-92B04397AD94}"/>
            </a:ext>
          </a:extLst>
        </xdr:cNvPr>
        <xdr:cNvSpPr>
          <a:spLocks noChangeShapeType="1"/>
        </xdr:cNvSpPr>
      </xdr:nvSpPr>
      <xdr:spPr bwMode="auto">
        <a:xfrm>
          <a:off x="4648200" y="393700"/>
          <a:ext cx="14351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292100</xdr:colOff>
      <xdr:row>6</xdr:row>
      <xdr:rowOff>152400</xdr:rowOff>
    </xdr:from>
    <xdr:to>
      <xdr:col>7</xdr:col>
      <xdr:colOff>419100</xdr:colOff>
      <xdr:row>7</xdr:row>
      <xdr:rowOff>63500</xdr:rowOff>
    </xdr:to>
    <xdr:sp macro="" textlink="">
      <xdr:nvSpPr>
        <xdr:cNvPr id="1880" name="Rectangle 64">
          <a:extLst>
            <a:ext uri="{FF2B5EF4-FFF2-40B4-BE49-F238E27FC236}">
              <a16:creationId xmlns:a16="http://schemas.microsoft.com/office/drawing/2014/main" id="{F7CDC786-0327-AB6E-0F01-C18E6E582BB0}"/>
            </a:ext>
          </a:extLst>
        </xdr:cNvPr>
        <xdr:cNvSpPr>
          <a:spLocks noChangeArrowheads="1"/>
        </xdr:cNvSpPr>
      </xdr:nvSpPr>
      <xdr:spPr bwMode="auto">
        <a:xfrm>
          <a:off x="4940300" y="1384300"/>
          <a:ext cx="127000" cy="76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FF" mc:Ignorable="a14" a14:legacySpreadsheetColorIndex="12"/>
        </a:solidFill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317500</xdr:colOff>
      <xdr:row>6</xdr:row>
      <xdr:rowOff>152400</xdr:rowOff>
    </xdr:from>
    <xdr:to>
      <xdr:col>8</xdr:col>
      <xdr:colOff>419100</xdr:colOff>
      <xdr:row>7</xdr:row>
      <xdr:rowOff>76200</xdr:rowOff>
    </xdr:to>
    <xdr:sp macro="" textlink="">
      <xdr:nvSpPr>
        <xdr:cNvPr id="1881" name="Rectangle 65">
          <a:extLst>
            <a:ext uri="{FF2B5EF4-FFF2-40B4-BE49-F238E27FC236}">
              <a16:creationId xmlns:a16="http://schemas.microsoft.com/office/drawing/2014/main" id="{7303CDE7-7774-CAD5-D110-E421F5424873}"/>
            </a:ext>
          </a:extLst>
        </xdr:cNvPr>
        <xdr:cNvSpPr>
          <a:spLocks noChangeArrowheads="1"/>
        </xdr:cNvSpPr>
      </xdr:nvSpPr>
      <xdr:spPr bwMode="auto">
        <a:xfrm>
          <a:off x="5676900" y="1384300"/>
          <a:ext cx="101600" cy="88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FF" mc:Ignorable="a14" a14:legacySpreadsheetColorIndex="12"/>
        </a:solidFill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368300</xdr:colOff>
      <xdr:row>2</xdr:row>
      <xdr:rowOff>241300</xdr:rowOff>
    </xdr:from>
    <xdr:to>
      <xdr:col>7</xdr:col>
      <xdr:colOff>368300</xdr:colOff>
      <xdr:row>8</xdr:row>
      <xdr:rowOff>0</xdr:rowOff>
    </xdr:to>
    <xdr:sp macro="" textlink="">
      <xdr:nvSpPr>
        <xdr:cNvPr id="1882" name="Line 66">
          <a:extLst>
            <a:ext uri="{FF2B5EF4-FFF2-40B4-BE49-F238E27FC236}">
              <a16:creationId xmlns:a16="http://schemas.microsoft.com/office/drawing/2014/main" id="{E2E20491-6057-9FAE-EACA-85287D338217}"/>
            </a:ext>
          </a:extLst>
        </xdr:cNvPr>
        <xdr:cNvSpPr>
          <a:spLocks noChangeShapeType="1"/>
        </xdr:cNvSpPr>
      </xdr:nvSpPr>
      <xdr:spPr bwMode="auto">
        <a:xfrm flipV="1">
          <a:off x="5016500" y="609600"/>
          <a:ext cx="0" cy="9525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Dot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368300</xdr:colOff>
      <xdr:row>2</xdr:row>
      <xdr:rowOff>266700</xdr:rowOff>
    </xdr:from>
    <xdr:to>
      <xdr:col>8</xdr:col>
      <xdr:colOff>381000</xdr:colOff>
      <xdr:row>8</xdr:row>
      <xdr:rowOff>0</xdr:rowOff>
    </xdr:to>
    <xdr:sp macro="" textlink="">
      <xdr:nvSpPr>
        <xdr:cNvPr id="1883" name="Line 67">
          <a:extLst>
            <a:ext uri="{FF2B5EF4-FFF2-40B4-BE49-F238E27FC236}">
              <a16:creationId xmlns:a16="http://schemas.microsoft.com/office/drawing/2014/main" id="{530D56CD-90BE-0338-91DD-F6704C41214D}"/>
            </a:ext>
          </a:extLst>
        </xdr:cNvPr>
        <xdr:cNvSpPr>
          <a:spLocks noChangeShapeType="1"/>
        </xdr:cNvSpPr>
      </xdr:nvSpPr>
      <xdr:spPr bwMode="auto">
        <a:xfrm flipH="1" flipV="1">
          <a:off x="5727700" y="635000"/>
          <a:ext cx="12700" cy="9271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Dot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342900</xdr:colOff>
      <xdr:row>3</xdr:row>
      <xdr:rowOff>12700</xdr:rowOff>
    </xdr:from>
    <xdr:to>
      <xdr:col>8</xdr:col>
      <xdr:colOff>381000</xdr:colOff>
      <xdr:row>3</xdr:row>
      <xdr:rowOff>12700</xdr:rowOff>
    </xdr:to>
    <xdr:sp macro="" textlink="">
      <xdr:nvSpPr>
        <xdr:cNvPr id="1884" name="Line 68">
          <a:extLst>
            <a:ext uri="{FF2B5EF4-FFF2-40B4-BE49-F238E27FC236}">
              <a16:creationId xmlns:a16="http://schemas.microsoft.com/office/drawing/2014/main" id="{7A3E449E-EA79-8055-107E-74DE97BD2A45}"/>
            </a:ext>
          </a:extLst>
        </xdr:cNvPr>
        <xdr:cNvSpPr>
          <a:spLocks noChangeShapeType="1"/>
        </xdr:cNvSpPr>
      </xdr:nvSpPr>
      <xdr:spPr bwMode="auto">
        <a:xfrm>
          <a:off x="4991100" y="673100"/>
          <a:ext cx="7493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457200</xdr:colOff>
      <xdr:row>7</xdr:row>
      <xdr:rowOff>0</xdr:rowOff>
    </xdr:from>
    <xdr:to>
      <xdr:col>6</xdr:col>
      <xdr:colOff>635000</xdr:colOff>
      <xdr:row>7</xdr:row>
      <xdr:rowOff>0</xdr:rowOff>
    </xdr:to>
    <xdr:sp macro="" textlink="">
      <xdr:nvSpPr>
        <xdr:cNvPr id="1885" name="Line 69">
          <a:extLst>
            <a:ext uri="{FF2B5EF4-FFF2-40B4-BE49-F238E27FC236}">
              <a16:creationId xmlns:a16="http://schemas.microsoft.com/office/drawing/2014/main" id="{1EC5B89B-CF80-E2CC-A450-DCA443CD9977}"/>
            </a:ext>
          </a:extLst>
        </xdr:cNvPr>
        <xdr:cNvSpPr>
          <a:spLocks noChangeShapeType="1"/>
        </xdr:cNvSpPr>
      </xdr:nvSpPr>
      <xdr:spPr bwMode="auto">
        <a:xfrm flipH="1">
          <a:off x="3759200" y="1397000"/>
          <a:ext cx="8509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508000</xdr:colOff>
      <xdr:row>14</xdr:row>
      <xdr:rowOff>152400</xdr:rowOff>
    </xdr:from>
    <xdr:to>
      <xdr:col>6</xdr:col>
      <xdr:colOff>660400</xdr:colOff>
      <xdr:row>14</xdr:row>
      <xdr:rowOff>152400</xdr:rowOff>
    </xdr:to>
    <xdr:sp macro="" textlink="">
      <xdr:nvSpPr>
        <xdr:cNvPr id="1886" name="Line 70">
          <a:extLst>
            <a:ext uri="{FF2B5EF4-FFF2-40B4-BE49-F238E27FC236}">
              <a16:creationId xmlns:a16="http://schemas.microsoft.com/office/drawing/2014/main" id="{DD1BB8C5-8BAC-30BB-3A18-3E0F0FECE12D}"/>
            </a:ext>
          </a:extLst>
        </xdr:cNvPr>
        <xdr:cNvSpPr>
          <a:spLocks noChangeShapeType="1"/>
        </xdr:cNvSpPr>
      </xdr:nvSpPr>
      <xdr:spPr bwMode="auto">
        <a:xfrm flipH="1">
          <a:off x="3810000" y="2857500"/>
          <a:ext cx="8255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584200</xdr:colOff>
      <xdr:row>6</xdr:row>
      <xdr:rowOff>152400</xdr:rowOff>
    </xdr:from>
    <xdr:to>
      <xdr:col>5</xdr:col>
      <xdr:colOff>584200</xdr:colOff>
      <xdr:row>14</xdr:row>
      <xdr:rowOff>139700</xdr:rowOff>
    </xdr:to>
    <xdr:sp macro="" textlink="">
      <xdr:nvSpPr>
        <xdr:cNvPr id="1887" name="Line 71">
          <a:extLst>
            <a:ext uri="{FF2B5EF4-FFF2-40B4-BE49-F238E27FC236}">
              <a16:creationId xmlns:a16="http://schemas.microsoft.com/office/drawing/2014/main" id="{38733018-F852-0AD2-D647-430E7791CE2A}"/>
            </a:ext>
          </a:extLst>
        </xdr:cNvPr>
        <xdr:cNvSpPr>
          <a:spLocks noChangeShapeType="1"/>
        </xdr:cNvSpPr>
      </xdr:nvSpPr>
      <xdr:spPr bwMode="auto">
        <a:xfrm flipV="1">
          <a:off x="3886200" y="1384300"/>
          <a:ext cx="0" cy="14605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215900</xdr:colOff>
      <xdr:row>12</xdr:row>
      <xdr:rowOff>88900</xdr:rowOff>
    </xdr:from>
    <xdr:to>
      <xdr:col>7</xdr:col>
      <xdr:colOff>647700</xdr:colOff>
      <xdr:row>12</xdr:row>
      <xdr:rowOff>88900</xdr:rowOff>
    </xdr:to>
    <xdr:sp macro="" textlink="">
      <xdr:nvSpPr>
        <xdr:cNvPr id="1888" name="Line 72">
          <a:extLst>
            <a:ext uri="{FF2B5EF4-FFF2-40B4-BE49-F238E27FC236}">
              <a16:creationId xmlns:a16="http://schemas.microsoft.com/office/drawing/2014/main" id="{21FC4537-A9FB-F79F-DD6C-EB17E28CDC1C}"/>
            </a:ext>
          </a:extLst>
        </xdr:cNvPr>
        <xdr:cNvSpPr>
          <a:spLocks noChangeShapeType="1"/>
        </xdr:cNvSpPr>
      </xdr:nvSpPr>
      <xdr:spPr bwMode="auto">
        <a:xfrm>
          <a:off x="4864100" y="2425700"/>
          <a:ext cx="4318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38100</xdr:colOff>
      <xdr:row>12</xdr:row>
      <xdr:rowOff>88900</xdr:rowOff>
    </xdr:from>
    <xdr:to>
      <xdr:col>8</xdr:col>
      <xdr:colOff>355600</xdr:colOff>
      <xdr:row>12</xdr:row>
      <xdr:rowOff>88900</xdr:rowOff>
    </xdr:to>
    <xdr:sp macro="" textlink="">
      <xdr:nvSpPr>
        <xdr:cNvPr id="1889" name="Line 73">
          <a:extLst>
            <a:ext uri="{FF2B5EF4-FFF2-40B4-BE49-F238E27FC236}">
              <a16:creationId xmlns:a16="http://schemas.microsoft.com/office/drawing/2014/main" id="{AFF501C9-6916-89D7-8AB4-9A0A51A1C789}"/>
            </a:ext>
          </a:extLst>
        </xdr:cNvPr>
        <xdr:cNvSpPr>
          <a:spLocks noChangeShapeType="1"/>
        </xdr:cNvSpPr>
      </xdr:nvSpPr>
      <xdr:spPr bwMode="auto">
        <a:xfrm>
          <a:off x="5397500" y="2425700"/>
          <a:ext cx="3175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203200</xdr:colOff>
      <xdr:row>7</xdr:row>
      <xdr:rowOff>76200</xdr:rowOff>
    </xdr:from>
    <xdr:to>
      <xdr:col>6</xdr:col>
      <xdr:colOff>660400</xdr:colOff>
      <xdr:row>7</xdr:row>
      <xdr:rowOff>76200</xdr:rowOff>
    </xdr:to>
    <xdr:sp macro="" textlink="">
      <xdr:nvSpPr>
        <xdr:cNvPr id="1890" name="Line 74">
          <a:extLst>
            <a:ext uri="{FF2B5EF4-FFF2-40B4-BE49-F238E27FC236}">
              <a16:creationId xmlns:a16="http://schemas.microsoft.com/office/drawing/2014/main" id="{A08B1C2C-C086-E789-0B79-D41E0BBE96CB}"/>
            </a:ext>
          </a:extLst>
        </xdr:cNvPr>
        <xdr:cNvSpPr>
          <a:spLocks noChangeShapeType="1"/>
        </xdr:cNvSpPr>
      </xdr:nvSpPr>
      <xdr:spPr bwMode="auto">
        <a:xfrm flipH="1">
          <a:off x="4178300" y="1473200"/>
          <a:ext cx="4572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266700</xdr:colOff>
      <xdr:row>7</xdr:row>
      <xdr:rowOff>63500</xdr:rowOff>
    </xdr:from>
    <xdr:to>
      <xdr:col>6</xdr:col>
      <xdr:colOff>266700</xdr:colOff>
      <xdr:row>8</xdr:row>
      <xdr:rowOff>139700</xdr:rowOff>
    </xdr:to>
    <xdr:sp macro="" textlink="">
      <xdr:nvSpPr>
        <xdr:cNvPr id="1891" name="Line 75">
          <a:extLst>
            <a:ext uri="{FF2B5EF4-FFF2-40B4-BE49-F238E27FC236}">
              <a16:creationId xmlns:a16="http://schemas.microsoft.com/office/drawing/2014/main" id="{08C94910-78BD-8B3D-F6EE-698A6102C9C2}"/>
            </a:ext>
          </a:extLst>
        </xdr:cNvPr>
        <xdr:cNvSpPr>
          <a:spLocks noChangeShapeType="1"/>
        </xdr:cNvSpPr>
      </xdr:nvSpPr>
      <xdr:spPr bwMode="auto">
        <a:xfrm>
          <a:off x="4241800" y="1460500"/>
          <a:ext cx="0" cy="2413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254000</xdr:colOff>
      <xdr:row>5</xdr:row>
      <xdr:rowOff>76200</xdr:rowOff>
    </xdr:from>
    <xdr:to>
      <xdr:col>6</xdr:col>
      <xdr:colOff>254000</xdr:colOff>
      <xdr:row>6</xdr:row>
      <xdr:rowOff>139700</xdr:rowOff>
    </xdr:to>
    <xdr:sp macro="" textlink="">
      <xdr:nvSpPr>
        <xdr:cNvPr id="1892" name="Line 76">
          <a:extLst>
            <a:ext uri="{FF2B5EF4-FFF2-40B4-BE49-F238E27FC236}">
              <a16:creationId xmlns:a16="http://schemas.microsoft.com/office/drawing/2014/main" id="{66B793DE-588B-40B4-01B7-F44E1D038F8E}"/>
            </a:ext>
          </a:extLst>
        </xdr:cNvPr>
        <xdr:cNvSpPr>
          <a:spLocks noChangeShapeType="1"/>
        </xdr:cNvSpPr>
      </xdr:nvSpPr>
      <xdr:spPr bwMode="auto">
        <a:xfrm flipV="1">
          <a:off x="4229100" y="1104900"/>
          <a:ext cx="0" cy="2667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342900</xdr:colOff>
      <xdr:row>5</xdr:row>
      <xdr:rowOff>88900</xdr:rowOff>
    </xdr:from>
    <xdr:to>
      <xdr:col>6</xdr:col>
      <xdr:colOff>241300</xdr:colOff>
      <xdr:row>5</xdr:row>
      <xdr:rowOff>88900</xdr:rowOff>
    </xdr:to>
    <xdr:sp macro="" textlink="">
      <xdr:nvSpPr>
        <xdr:cNvPr id="1893" name="Line 77">
          <a:extLst>
            <a:ext uri="{FF2B5EF4-FFF2-40B4-BE49-F238E27FC236}">
              <a16:creationId xmlns:a16="http://schemas.microsoft.com/office/drawing/2014/main" id="{30BB3725-07D2-6A68-451E-C8C029604362}"/>
            </a:ext>
          </a:extLst>
        </xdr:cNvPr>
        <xdr:cNvSpPr>
          <a:spLocks noChangeShapeType="1"/>
        </xdr:cNvSpPr>
      </xdr:nvSpPr>
      <xdr:spPr bwMode="auto">
        <a:xfrm>
          <a:off x="3644900" y="1117600"/>
          <a:ext cx="5715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673100</xdr:colOff>
      <xdr:row>4</xdr:row>
      <xdr:rowOff>88900</xdr:rowOff>
    </xdr:from>
    <xdr:to>
      <xdr:col>7</xdr:col>
      <xdr:colOff>685800</xdr:colOff>
      <xdr:row>7</xdr:row>
      <xdr:rowOff>139700</xdr:rowOff>
    </xdr:to>
    <xdr:sp macro="" textlink="">
      <xdr:nvSpPr>
        <xdr:cNvPr id="1894" name="Line 78">
          <a:extLst>
            <a:ext uri="{FF2B5EF4-FFF2-40B4-BE49-F238E27FC236}">
              <a16:creationId xmlns:a16="http://schemas.microsoft.com/office/drawing/2014/main" id="{A608E58D-2C6B-9771-32A8-0A42DC262E5B}"/>
            </a:ext>
          </a:extLst>
        </xdr:cNvPr>
        <xdr:cNvSpPr>
          <a:spLocks noChangeShapeType="1"/>
        </xdr:cNvSpPr>
      </xdr:nvSpPr>
      <xdr:spPr bwMode="auto">
        <a:xfrm flipH="1" flipV="1">
          <a:off x="5321300" y="914400"/>
          <a:ext cx="12700" cy="6223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993366" mc:Ignorable="a14" a14:legacySpreadsheetColorIndex="61"/>
          </a:solidFill>
          <a:prstDash val="lgDashDot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63500</xdr:colOff>
      <xdr:row>4</xdr:row>
      <xdr:rowOff>88900</xdr:rowOff>
    </xdr:from>
    <xdr:to>
      <xdr:col>8</xdr:col>
      <xdr:colOff>63500</xdr:colOff>
      <xdr:row>7</xdr:row>
      <xdr:rowOff>76200</xdr:rowOff>
    </xdr:to>
    <xdr:sp macro="" textlink="">
      <xdr:nvSpPr>
        <xdr:cNvPr id="1895" name="Line 79">
          <a:extLst>
            <a:ext uri="{FF2B5EF4-FFF2-40B4-BE49-F238E27FC236}">
              <a16:creationId xmlns:a16="http://schemas.microsoft.com/office/drawing/2014/main" id="{CAB41D8C-3819-779E-239B-EA069CD68D12}"/>
            </a:ext>
          </a:extLst>
        </xdr:cNvPr>
        <xdr:cNvSpPr>
          <a:spLocks noChangeShapeType="1"/>
        </xdr:cNvSpPr>
      </xdr:nvSpPr>
      <xdr:spPr bwMode="auto">
        <a:xfrm flipV="1">
          <a:off x="5422900" y="914400"/>
          <a:ext cx="0" cy="5588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419100</xdr:colOff>
      <xdr:row>5</xdr:row>
      <xdr:rowOff>25400</xdr:rowOff>
    </xdr:from>
    <xdr:to>
      <xdr:col>7</xdr:col>
      <xdr:colOff>673100</xdr:colOff>
      <xdr:row>5</xdr:row>
      <xdr:rowOff>25400</xdr:rowOff>
    </xdr:to>
    <xdr:sp macro="" textlink="">
      <xdr:nvSpPr>
        <xdr:cNvPr id="1896" name="Line 80">
          <a:extLst>
            <a:ext uri="{FF2B5EF4-FFF2-40B4-BE49-F238E27FC236}">
              <a16:creationId xmlns:a16="http://schemas.microsoft.com/office/drawing/2014/main" id="{59E64C20-99D4-92BC-0C64-8EA418F2A584}"/>
            </a:ext>
          </a:extLst>
        </xdr:cNvPr>
        <xdr:cNvSpPr>
          <a:spLocks noChangeShapeType="1"/>
        </xdr:cNvSpPr>
      </xdr:nvSpPr>
      <xdr:spPr bwMode="auto">
        <a:xfrm flipH="1">
          <a:off x="5067300" y="1054100"/>
          <a:ext cx="2540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76200</xdr:colOff>
      <xdr:row>5</xdr:row>
      <xdr:rowOff>25400</xdr:rowOff>
    </xdr:from>
    <xdr:to>
      <xdr:col>8</xdr:col>
      <xdr:colOff>292100</xdr:colOff>
      <xdr:row>5</xdr:row>
      <xdr:rowOff>25400</xdr:rowOff>
    </xdr:to>
    <xdr:sp macro="" textlink="">
      <xdr:nvSpPr>
        <xdr:cNvPr id="1897" name="Line 81">
          <a:extLst>
            <a:ext uri="{FF2B5EF4-FFF2-40B4-BE49-F238E27FC236}">
              <a16:creationId xmlns:a16="http://schemas.microsoft.com/office/drawing/2014/main" id="{F7E1358C-D400-0635-1F6C-3CDC509AD667}"/>
            </a:ext>
          </a:extLst>
        </xdr:cNvPr>
        <xdr:cNvSpPr>
          <a:spLocks noChangeShapeType="1"/>
        </xdr:cNvSpPr>
      </xdr:nvSpPr>
      <xdr:spPr bwMode="auto">
        <a:xfrm>
          <a:off x="5435600" y="1054100"/>
          <a:ext cx="2159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101600</xdr:colOff>
      <xdr:row>6</xdr:row>
      <xdr:rowOff>152400</xdr:rowOff>
    </xdr:from>
    <xdr:to>
      <xdr:col>10</xdr:col>
      <xdr:colOff>355600</xdr:colOff>
      <xdr:row>7</xdr:row>
      <xdr:rowOff>0</xdr:rowOff>
    </xdr:to>
    <xdr:sp macro="" textlink="">
      <xdr:nvSpPr>
        <xdr:cNvPr id="1898" name="Line 82">
          <a:extLst>
            <a:ext uri="{FF2B5EF4-FFF2-40B4-BE49-F238E27FC236}">
              <a16:creationId xmlns:a16="http://schemas.microsoft.com/office/drawing/2014/main" id="{5DEF7C75-43E5-D45B-9208-A6346FD3BFB8}"/>
            </a:ext>
          </a:extLst>
        </xdr:cNvPr>
        <xdr:cNvSpPr>
          <a:spLocks noChangeShapeType="1"/>
        </xdr:cNvSpPr>
      </xdr:nvSpPr>
      <xdr:spPr bwMode="auto">
        <a:xfrm flipV="1">
          <a:off x="6197600" y="1384300"/>
          <a:ext cx="1016000" cy="127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88900</xdr:colOff>
      <xdr:row>7</xdr:row>
      <xdr:rowOff>139700</xdr:rowOff>
    </xdr:from>
    <xdr:to>
      <xdr:col>9</xdr:col>
      <xdr:colOff>660400</xdr:colOff>
      <xdr:row>7</xdr:row>
      <xdr:rowOff>139700</xdr:rowOff>
    </xdr:to>
    <xdr:sp macro="" textlink="">
      <xdr:nvSpPr>
        <xdr:cNvPr id="1899" name="Line 83">
          <a:extLst>
            <a:ext uri="{FF2B5EF4-FFF2-40B4-BE49-F238E27FC236}">
              <a16:creationId xmlns:a16="http://schemas.microsoft.com/office/drawing/2014/main" id="{5674A183-07D4-7373-DC69-6557E40B8B41}"/>
            </a:ext>
          </a:extLst>
        </xdr:cNvPr>
        <xdr:cNvSpPr>
          <a:spLocks noChangeShapeType="1"/>
        </xdr:cNvSpPr>
      </xdr:nvSpPr>
      <xdr:spPr bwMode="auto">
        <a:xfrm>
          <a:off x="5448300" y="1536700"/>
          <a:ext cx="13081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584200</xdr:colOff>
      <xdr:row>5</xdr:row>
      <xdr:rowOff>114300</xdr:rowOff>
    </xdr:from>
    <xdr:to>
      <xdr:col>9</xdr:col>
      <xdr:colOff>584200</xdr:colOff>
      <xdr:row>6</xdr:row>
      <xdr:rowOff>152400</xdr:rowOff>
    </xdr:to>
    <xdr:sp macro="" textlink="">
      <xdr:nvSpPr>
        <xdr:cNvPr id="1900" name="Line 84">
          <a:extLst>
            <a:ext uri="{FF2B5EF4-FFF2-40B4-BE49-F238E27FC236}">
              <a16:creationId xmlns:a16="http://schemas.microsoft.com/office/drawing/2014/main" id="{C717C831-6E44-0752-AEDD-2F2CAC41E98F}"/>
            </a:ext>
          </a:extLst>
        </xdr:cNvPr>
        <xdr:cNvSpPr>
          <a:spLocks noChangeShapeType="1"/>
        </xdr:cNvSpPr>
      </xdr:nvSpPr>
      <xdr:spPr bwMode="auto">
        <a:xfrm flipV="1">
          <a:off x="6680200" y="1143000"/>
          <a:ext cx="0" cy="2413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596900</xdr:colOff>
      <xdr:row>7</xdr:row>
      <xdr:rowOff>139700</xdr:rowOff>
    </xdr:from>
    <xdr:to>
      <xdr:col>9</xdr:col>
      <xdr:colOff>596900</xdr:colOff>
      <xdr:row>9</xdr:row>
      <xdr:rowOff>0</xdr:rowOff>
    </xdr:to>
    <xdr:sp macro="" textlink="">
      <xdr:nvSpPr>
        <xdr:cNvPr id="1901" name="Line 85">
          <a:extLst>
            <a:ext uri="{FF2B5EF4-FFF2-40B4-BE49-F238E27FC236}">
              <a16:creationId xmlns:a16="http://schemas.microsoft.com/office/drawing/2014/main" id="{94EE8FDE-65BB-D510-8A7D-29E342203576}"/>
            </a:ext>
          </a:extLst>
        </xdr:cNvPr>
        <xdr:cNvSpPr>
          <a:spLocks noChangeShapeType="1"/>
        </xdr:cNvSpPr>
      </xdr:nvSpPr>
      <xdr:spPr bwMode="auto">
        <a:xfrm>
          <a:off x="6692900" y="1536700"/>
          <a:ext cx="0" cy="2286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596900</xdr:colOff>
      <xdr:row>5</xdr:row>
      <xdr:rowOff>114300</xdr:rowOff>
    </xdr:from>
    <xdr:to>
      <xdr:col>10</xdr:col>
      <xdr:colOff>76200</xdr:colOff>
      <xdr:row>5</xdr:row>
      <xdr:rowOff>114300</xdr:rowOff>
    </xdr:to>
    <xdr:sp macro="" textlink="">
      <xdr:nvSpPr>
        <xdr:cNvPr id="1902" name="Line 86">
          <a:extLst>
            <a:ext uri="{FF2B5EF4-FFF2-40B4-BE49-F238E27FC236}">
              <a16:creationId xmlns:a16="http://schemas.microsoft.com/office/drawing/2014/main" id="{6F90F40A-E531-AFC2-FD96-B0D31EDDC896}"/>
            </a:ext>
          </a:extLst>
        </xdr:cNvPr>
        <xdr:cNvSpPr>
          <a:spLocks noChangeShapeType="1"/>
        </xdr:cNvSpPr>
      </xdr:nvSpPr>
      <xdr:spPr bwMode="auto">
        <a:xfrm>
          <a:off x="6692900" y="1143000"/>
          <a:ext cx="2413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520700</xdr:colOff>
      <xdr:row>9</xdr:row>
      <xdr:rowOff>152400</xdr:rowOff>
    </xdr:from>
    <xdr:to>
      <xdr:col>10</xdr:col>
      <xdr:colOff>355600</xdr:colOff>
      <xdr:row>9</xdr:row>
      <xdr:rowOff>152400</xdr:rowOff>
    </xdr:to>
    <xdr:sp macro="" textlink="">
      <xdr:nvSpPr>
        <xdr:cNvPr id="1903" name="Line 87">
          <a:extLst>
            <a:ext uri="{FF2B5EF4-FFF2-40B4-BE49-F238E27FC236}">
              <a16:creationId xmlns:a16="http://schemas.microsoft.com/office/drawing/2014/main" id="{0D9B9555-F1F8-55FE-05C4-54DAD58E668B}"/>
            </a:ext>
          </a:extLst>
        </xdr:cNvPr>
        <xdr:cNvSpPr>
          <a:spLocks noChangeShapeType="1"/>
        </xdr:cNvSpPr>
      </xdr:nvSpPr>
      <xdr:spPr bwMode="auto">
        <a:xfrm>
          <a:off x="5168900" y="1917700"/>
          <a:ext cx="20447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Dot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660400</xdr:colOff>
      <xdr:row>9</xdr:row>
      <xdr:rowOff>101600</xdr:rowOff>
    </xdr:from>
    <xdr:to>
      <xdr:col>8</xdr:col>
      <xdr:colOff>38100</xdr:colOff>
      <xdr:row>10</xdr:row>
      <xdr:rowOff>76200</xdr:rowOff>
    </xdr:to>
    <xdr:sp macro="" textlink="">
      <xdr:nvSpPr>
        <xdr:cNvPr id="1904" name="Rectangle 88">
          <a:extLst>
            <a:ext uri="{FF2B5EF4-FFF2-40B4-BE49-F238E27FC236}">
              <a16:creationId xmlns:a16="http://schemas.microsoft.com/office/drawing/2014/main" id="{20FB48DE-4B92-CAE0-A766-B76BB182ED50}"/>
            </a:ext>
          </a:extLst>
        </xdr:cNvPr>
        <xdr:cNvSpPr>
          <a:spLocks noChangeArrowheads="1"/>
        </xdr:cNvSpPr>
      </xdr:nvSpPr>
      <xdr:spPr bwMode="auto">
        <a:xfrm>
          <a:off x="5308600" y="1866900"/>
          <a:ext cx="88900" cy="139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FF" mc:Ignorable="a14" a14:legacySpreadsheetColorIndex="1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254000</xdr:colOff>
      <xdr:row>9</xdr:row>
      <xdr:rowOff>25400</xdr:rowOff>
    </xdr:from>
    <xdr:to>
      <xdr:col>10</xdr:col>
      <xdr:colOff>254000</xdr:colOff>
      <xdr:row>9</xdr:row>
      <xdr:rowOff>165100</xdr:rowOff>
    </xdr:to>
    <xdr:sp macro="" textlink="">
      <xdr:nvSpPr>
        <xdr:cNvPr id="1905" name="Line 89">
          <a:extLst>
            <a:ext uri="{FF2B5EF4-FFF2-40B4-BE49-F238E27FC236}">
              <a16:creationId xmlns:a16="http://schemas.microsoft.com/office/drawing/2014/main" id="{168F5F9B-36A3-128F-2712-E6CC09783BB6}"/>
            </a:ext>
          </a:extLst>
        </xdr:cNvPr>
        <xdr:cNvSpPr>
          <a:spLocks noChangeShapeType="1"/>
        </xdr:cNvSpPr>
      </xdr:nvSpPr>
      <xdr:spPr bwMode="auto">
        <a:xfrm flipV="1">
          <a:off x="7112000" y="1790700"/>
          <a:ext cx="0" cy="1397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254000</xdr:colOff>
      <xdr:row>7</xdr:row>
      <xdr:rowOff>0</xdr:rowOff>
    </xdr:from>
    <xdr:to>
      <xdr:col>10</xdr:col>
      <xdr:colOff>254000</xdr:colOff>
      <xdr:row>7</xdr:row>
      <xdr:rowOff>139700</xdr:rowOff>
    </xdr:to>
    <xdr:sp macro="" textlink="">
      <xdr:nvSpPr>
        <xdr:cNvPr id="1906" name="Line 90">
          <a:extLst>
            <a:ext uri="{FF2B5EF4-FFF2-40B4-BE49-F238E27FC236}">
              <a16:creationId xmlns:a16="http://schemas.microsoft.com/office/drawing/2014/main" id="{608F5E71-E9FC-7121-BC79-DCEBD1565EF0}"/>
            </a:ext>
          </a:extLst>
        </xdr:cNvPr>
        <xdr:cNvSpPr>
          <a:spLocks noChangeShapeType="1"/>
        </xdr:cNvSpPr>
      </xdr:nvSpPr>
      <xdr:spPr bwMode="auto">
        <a:xfrm>
          <a:off x="7112000" y="1397000"/>
          <a:ext cx="0" cy="1397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15</xdr:col>
      <xdr:colOff>254000</xdr:colOff>
      <xdr:row>0</xdr:row>
      <xdr:rowOff>0</xdr:rowOff>
    </xdr:from>
    <xdr:to>
      <xdr:col>32</xdr:col>
      <xdr:colOff>40109</xdr:colOff>
      <xdr:row>24</xdr:row>
      <xdr:rowOff>13369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314E5FC-640B-DFD3-B50E-9D02F890E1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54632" y="0"/>
          <a:ext cx="11149266" cy="441158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</xdr:row>
      <xdr:rowOff>101600</xdr:rowOff>
    </xdr:from>
    <xdr:to>
      <xdr:col>6</xdr:col>
      <xdr:colOff>12700</xdr:colOff>
      <xdr:row>9</xdr:row>
      <xdr:rowOff>0</xdr:rowOff>
    </xdr:to>
    <xdr:sp macro="" textlink="">
      <xdr:nvSpPr>
        <xdr:cNvPr id="10313" name="Rectangle 1">
          <a:extLst>
            <a:ext uri="{FF2B5EF4-FFF2-40B4-BE49-F238E27FC236}">
              <a16:creationId xmlns:a16="http://schemas.microsoft.com/office/drawing/2014/main" id="{1930960C-8CD6-AD73-DEFF-F5B5E871EA72}"/>
            </a:ext>
          </a:extLst>
        </xdr:cNvPr>
        <xdr:cNvSpPr>
          <a:spLocks noChangeArrowheads="1"/>
        </xdr:cNvSpPr>
      </xdr:nvSpPr>
      <xdr:spPr bwMode="auto">
        <a:xfrm>
          <a:off x="2794000" y="266700"/>
          <a:ext cx="1498600" cy="1219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63500</xdr:colOff>
      <xdr:row>1</xdr:row>
      <xdr:rowOff>139700</xdr:rowOff>
    </xdr:from>
    <xdr:to>
      <xdr:col>5</xdr:col>
      <xdr:colOff>787400</xdr:colOff>
      <xdr:row>8</xdr:row>
      <xdr:rowOff>101600</xdr:rowOff>
    </xdr:to>
    <xdr:sp macro="" textlink="">
      <xdr:nvSpPr>
        <xdr:cNvPr id="10314" name="Rectangle 2">
          <a:extLst>
            <a:ext uri="{FF2B5EF4-FFF2-40B4-BE49-F238E27FC236}">
              <a16:creationId xmlns:a16="http://schemas.microsoft.com/office/drawing/2014/main" id="{511F976F-1F56-3D6A-601D-0A389476C311}"/>
            </a:ext>
          </a:extLst>
        </xdr:cNvPr>
        <xdr:cNvSpPr>
          <a:spLocks noChangeArrowheads="1"/>
        </xdr:cNvSpPr>
      </xdr:nvSpPr>
      <xdr:spPr bwMode="auto">
        <a:xfrm>
          <a:off x="2844800" y="304800"/>
          <a:ext cx="1384300" cy="1117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25400</xdr:colOff>
      <xdr:row>9</xdr:row>
      <xdr:rowOff>12700</xdr:rowOff>
    </xdr:from>
    <xdr:to>
      <xdr:col>6</xdr:col>
      <xdr:colOff>431800</xdr:colOff>
      <xdr:row>11</xdr:row>
      <xdr:rowOff>139700</xdr:rowOff>
    </xdr:to>
    <xdr:sp macro="" textlink="">
      <xdr:nvSpPr>
        <xdr:cNvPr id="10315" name="Line 3">
          <a:extLst>
            <a:ext uri="{FF2B5EF4-FFF2-40B4-BE49-F238E27FC236}">
              <a16:creationId xmlns:a16="http://schemas.microsoft.com/office/drawing/2014/main" id="{AA34F627-323D-54F8-92D8-3D62827E85CA}"/>
            </a:ext>
          </a:extLst>
        </xdr:cNvPr>
        <xdr:cNvSpPr>
          <a:spLocks noChangeShapeType="1"/>
        </xdr:cNvSpPr>
      </xdr:nvSpPr>
      <xdr:spPr bwMode="auto">
        <a:xfrm>
          <a:off x="4305300" y="1498600"/>
          <a:ext cx="406400" cy="4572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444500</xdr:colOff>
      <xdr:row>11</xdr:row>
      <xdr:rowOff>139700</xdr:rowOff>
    </xdr:from>
    <xdr:to>
      <xdr:col>6</xdr:col>
      <xdr:colOff>685800</xdr:colOff>
      <xdr:row>11</xdr:row>
      <xdr:rowOff>165100</xdr:rowOff>
    </xdr:to>
    <xdr:sp macro="" textlink="">
      <xdr:nvSpPr>
        <xdr:cNvPr id="10316" name="Line 4">
          <a:extLst>
            <a:ext uri="{FF2B5EF4-FFF2-40B4-BE49-F238E27FC236}">
              <a16:creationId xmlns:a16="http://schemas.microsoft.com/office/drawing/2014/main" id="{74BF258E-2646-3342-037C-69A99FCD4343}"/>
            </a:ext>
          </a:extLst>
        </xdr:cNvPr>
        <xdr:cNvSpPr>
          <a:spLocks noChangeShapeType="1"/>
        </xdr:cNvSpPr>
      </xdr:nvSpPr>
      <xdr:spPr bwMode="auto">
        <a:xfrm>
          <a:off x="4724400" y="1955800"/>
          <a:ext cx="241300" cy="254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16</xdr:col>
      <xdr:colOff>655053</xdr:colOff>
      <xdr:row>35</xdr:row>
      <xdr:rowOff>133684</xdr:rowOff>
    </xdr:from>
    <xdr:to>
      <xdr:col>27</xdr:col>
      <xdr:colOff>490622</xdr:colOff>
      <xdr:row>51</xdr:row>
      <xdr:rowOff>157748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D538FE4-D6F8-A640-A421-4BB5BA415D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486106" y="6055895"/>
          <a:ext cx="7188200" cy="259080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393700</xdr:colOff>
      <xdr:row>12</xdr:row>
      <xdr:rowOff>139700</xdr:rowOff>
    </xdr:from>
    <xdr:to>
      <xdr:col>8</xdr:col>
      <xdr:colOff>609600</xdr:colOff>
      <xdr:row>12</xdr:row>
      <xdr:rowOff>139700</xdr:rowOff>
    </xdr:to>
    <xdr:sp macro="" textlink="">
      <xdr:nvSpPr>
        <xdr:cNvPr id="12326" name="Line 2">
          <a:extLst>
            <a:ext uri="{FF2B5EF4-FFF2-40B4-BE49-F238E27FC236}">
              <a16:creationId xmlns:a16="http://schemas.microsoft.com/office/drawing/2014/main" id="{C41383AD-9664-3511-1429-90EA689818CE}"/>
            </a:ext>
          </a:extLst>
        </xdr:cNvPr>
        <xdr:cNvSpPr>
          <a:spLocks noChangeShapeType="1"/>
        </xdr:cNvSpPr>
      </xdr:nvSpPr>
      <xdr:spPr bwMode="auto">
        <a:xfrm>
          <a:off x="3670300" y="2578100"/>
          <a:ext cx="19939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50800</xdr:colOff>
      <xdr:row>12</xdr:row>
      <xdr:rowOff>114300</xdr:rowOff>
    </xdr:from>
    <xdr:to>
      <xdr:col>13</xdr:col>
      <xdr:colOff>215900</xdr:colOff>
      <xdr:row>12</xdr:row>
      <xdr:rowOff>114300</xdr:rowOff>
    </xdr:to>
    <xdr:sp macro="" textlink="">
      <xdr:nvSpPr>
        <xdr:cNvPr id="12327" name="Line 3">
          <a:extLst>
            <a:ext uri="{FF2B5EF4-FFF2-40B4-BE49-F238E27FC236}">
              <a16:creationId xmlns:a16="http://schemas.microsoft.com/office/drawing/2014/main" id="{CEDC952C-C051-851D-08CC-26A341F746E4}"/>
            </a:ext>
          </a:extLst>
        </xdr:cNvPr>
        <xdr:cNvSpPr>
          <a:spLocks noChangeShapeType="1"/>
        </xdr:cNvSpPr>
      </xdr:nvSpPr>
      <xdr:spPr bwMode="auto">
        <a:xfrm>
          <a:off x="6413500" y="2552700"/>
          <a:ext cx="19812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48</xdr:row>
      <xdr:rowOff>60960</xdr:rowOff>
    </xdr:from>
    <xdr:ext cx="2498305" cy="238783"/>
    <xdr:sp macro="" textlink="">
      <xdr:nvSpPr>
        <xdr:cNvPr id="29697" name="Text Box 1">
          <a:extLst>
            <a:ext uri="{FF2B5EF4-FFF2-40B4-BE49-F238E27FC236}">
              <a16:creationId xmlns:a16="http://schemas.microsoft.com/office/drawing/2014/main" id="{5C254F06-7013-ABFB-834A-446470DCC168}"/>
            </a:ext>
          </a:extLst>
        </xdr:cNvPr>
        <xdr:cNvSpPr txBox="1">
          <a:spLocks noChangeArrowheads="1"/>
        </xdr:cNvSpPr>
      </xdr:nvSpPr>
      <xdr:spPr bwMode="auto">
        <a:xfrm>
          <a:off x="2827020" y="8427720"/>
          <a:ext cx="2451825" cy="238783"/>
        </a:xfrm>
        <a:prstGeom prst="rect">
          <a:avLst/>
        </a:prstGeom>
        <a:noFill/>
        <a:ln>
          <a:noFill/>
        </a:ln>
      </xdr:spPr>
      <xdr:txBody>
        <a:bodyPr wrap="none" lIns="27432" tIns="32004" rIns="0" bIns="0" anchor="t" upright="1">
          <a:spAutoFit/>
        </a:bodyPr>
        <a:lstStyle/>
        <a:p>
          <a:pPr algn="l" rtl="0">
            <a:defRPr sz="1000"/>
          </a:pPr>
          <a:r>
            <a:rPr lang="en-US" sz="1400" b="1" i="1" u="sng" strike="noStrike" baseline="0">
              <a:solidFill>
                <a:srgbClr val="0000FF"/>
              </a:solidFill>
              <a:latin typeface="Arial"/>
              <a:cs typeface="Arial"/>
            </a:rPr>
            <a:t>Oversized and Slotted Holes</a:t>
          </a:r>
        </a:p>
      </xdr:txBody>
    </xdr:sp>
    <xdr:clientData/>
  </xdr:oneCellAnchor>
  <xdr:twoCellAnchor>
    <xdr:from>
      <xdr:col>2</xdr:col>
      <xdr:colOff>718820</xdr:colOff>
      <xdr:row>79</xdr:row>
      <xdr:rowOff>38100</xdr:rowOff>
    </xdr:from>
    <xdr:to>
      <xdr:col>2</xdr:col>
      <xdr:colOff>868077</xdr:colOff>
      <xdr:row>79</xdr:row>
      <xdr:rowOff>162307</xdr:rowOff>
    </xdr:to>
    <xdr:sp macro="" textlink="">
      <xdr:nvSpPr>
        <xdr:cNvPr id="29700" name="AutoShape 4">
          <a:extLst>
            <a:ext uri="{FF2B5EF4-FFF2-40B4-BE49-F238E27FC236}">
              <a16:creationId xmlns:a16="http://schemas.microsoft.com/office/drawing/2014/main" id="{F492E987-D497-01B8-4FDD-D7B4C3B3B65B}"/>
            </a:ext>
          </a:extLst>
        </xdr:cNvPr>
        <xdr:cNvSpPr>
          <a:spLocks noChangeArrowheads="1"/>
        </xdr:cNvSpPr>
      </xdr:nvSpPr>
      <xdr:spPr bwMode="auto">
        <a:xfrm>
          <a:off x="1438275" y="13620750"/>
          <a:ext cx="133350" cy="133350"/>
        </a:xfrm>
        <a:prstGeom prst="star5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905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miter lim="800000"/>
          <a:headEnd/>
          <a:tailEnd/>
        </a:ln>
      </xdr:spPr>
      <xdr:txBody>
        <a:bodyPr/>
        <a:lstStyle/>
        <a:p>
          <a:endParaRPr lang="en-US"/>
        </a:p>
      </xdr:txBody>
    </xdr:sp>
    <xdr:clientData/>
  </xdr:twoCellAnchor>
  <xdr:twoCellAnchor>
    <xdr:from>
      <xdr:col>2</xdr:col>
      <xdr:colOff>754380</xdr:colOff>
      <xdr:row>80</xdr:row>
      <xdr:rowOff>30480</xdr:rowOff>
    </xdr:from>
    <xdr:to>
      <xdr:col>2</xdr:col>
      <xdr:colOff>885720</xdr:colOff>
      <xdr:row>80</xdr:row>
      <xdr:rowOff>167865</xdr:rowOff>
    </xdr:to>
    <xdr:sp macro="" textlink="">
      <xdr:nvSpPr>
        <xdr:cNvPr id="29701" name="AutoShape 5">
          <a:extLst>
            <a:ext uri="{FF2B5EF4-FFF2-40B4-BE49-F238E27FC236}">
              <a16:creationId xmlns:a16="http://schemas.microsoft.com/office/drawing/2014/main" id="{CF6A661C-3C5D-59E3-6617-E2B65FC48EA3}"/>
            </a:ext>
          </a:extLst>
        </xdr:cNvPr>
        <xdr:cNvSpPr>
          <a:spLocks noChangeArrowheads="1"/>
        </xdr:cNvSpPr>
      </xdr:nvSpPr>
      <xdr:spPr bwMode="auto">
        <a:xfrm>
          <a:off x="1457325" y="13820775"/>
          <a:ext cx="133350" cy="133350"/>
        </a:xfrm>
        <a:prstGeom prst="star5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905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miter lim="800000"/>
          <a:headEnd/>
          <a:tailEnd/>
        </a:ln>
      </xdr:spPr>
      <xdr:txBody>
        <a:bodyPr/>
        <a:lstStyle/>
        <a:p>
          <a:endParaRPr lang="en-US"/>
        </a:p>
      </xdr:txBody>
    </xdr:sp>
    <xdr:clientData/>
  </xdr:twoCellAnchor>
  <xdr:twoCellAnchor>
    <xdr:from>
      <xdr:col>1</xdr:col>
      <xdr:colOff>39370</xdr:colOff>
      <xdr:row>84</xdr:row>
      <xdr:rowOff>26670</xdr:rowOff>
    </xdr:from>
    <xdr:to>
      <xdr:col>1</xdr:col>
      <xdr:colOff>191199</xdr:colOff>
      <xdr:row>85</xdr:row>
      <xdr:rowOff>2339</xdr:rowOff>
    </xdr:to>
    <xdr:sp macro="" textlink="">
      <xdr:nvSpPr>
        <xdr:cNvPr id="29702" name="AutoShape 6">
          <a:extLst>
            <a:ext uri="{FF2B5EF4-FFF2-40B4-BE49-F238E27FC236}">
              <a16:creationId xmlns:a16="http://schemas.microsoft.com/office/drawing/2014/main" id="{42708255-89DE-544E-099B-830860D04F63}"/>
            </a:ext>
          </a:extLst>
        </xdr:cNvPr>
        <xdr:cNvSpPr>
          <a:spLocks noChangeArrowheads="1"/>
        </xdr:cNvSpPr>
      </xdr:nvSpPr>
      <xdr:spPr bwMode="auto">
        <a:xfrm>
          <a:off x="76200" y="14497050"/>
          <a:ext cx="133350" cy="133350"/>
        </a:xfrm>
        <a:prstGeom prst="star5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905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miter lim="800000"/>
          <a:headEnd/>
          <a:tailEnd/>
        </a:ln>
      </xdr:spPr>
      <xdr:txBody>
        <a:bodyPr/>
        <a:lstStyle/>
        <a:p>
          <a:endParaRPr lang="en-US"/>
        </a:p>
      </xdr:txBody>
    </xdr:sp>
    <xdr:clientData/>
  </xdr:twoCellAnchor>
  <xdr:twoCellAnchor>
    <xdr:from>
      <xdr:col>1</xdr:col>
      <xdr:colOff>66040</xdr:colOff>
      <xdr:row>23</xdr:row>
      <xdr:rowOff>15240</xdr:rowOff>
    </xdr:from>
    <xdr:to>
      <xdr:col>1</xdr:col>
      <xdr:colOff>202124</xdr:colOff>
      <xdr:row>23</xdr:row>
      <xdr:rowOff>154417</xdr:rowOff>
    </xdr:to>
    <xdr:sp macro="" textlink="">
      <xdr:nvSpPr>
        <xdr:cNvPr id="29703" name="AutoShape 7">
          <a:extLst>
            <a:ext uri="{FF2B5EF4-FFF2-40B4-BE49-F238E27FC236}">
              <a16:creationId xmlns:a16="http://schemas.microsoft.com/office/drawing/2014/main" id="{59316182-3096-0E47-79E0-57281925CA06}"/>
            </a:ext>
          </a:extLst>
        </xdr:cNvPr>
        <xdr:cNvSpPr>
          <a:spLocks noChangeArrowheads="1"/>
        </xdr:cNvSpPr>
      </xdr:nvSpPr>
      <xdr:spPr bwMode="auto">
        <a:xfrm>
          <a:off x="104775" y="3886200"/>
          <a:ext cx="133350" cy="133350"/>
        </a:xfrm>
        <a:prstGeom prst="star5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905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miter lim="800000"/>
          <a:headEnd/>
          <a:tailEnd/>
        </a:ln>
      </xdr:spPr>
      <xdr:txBody>
        <a:bodyPr/>
        <a:lstStyle/>
        <a:p>
          <a:endParaRPr lang="en-US"/>
        </a:p>
      </xdr:txBody>
    </xdr:sp>
    <xdr:clientData/>
  </xdr:twoCellAnchor>
  <xdr:oneCellAnchor>
    <xdr:from>
      <xdr:col>3</xdr:col>
      <xdr:colOff>923290</xdr:colOff>
      <xdr:row>0</xdr:row>
      <xdr:rowOff>72390</xdr:rowOff>
    </xdr:from>
    <xdr:ext cx="3038940" cy="238783"/>
    <xdr:sp macro="" textlink="">
      <xdr:nvSpPr>
        <xdr:cNvPr id="29704" name="Text Box 8">
          <a:extLst>
            <a:ext uri="{FF2B5EF4-FFF2-40B4-BE49-F238E27FC236}">
              <a16:creationId xmlns:a16="http://schemas.microsoft.com/office/drawing/2014/main" id="{6F0CB030-219D-6F06-E46C-99FDADAB832C}"/>
            </a:ext>
          </a:extLst>
        </xdr:cNvPr>
        <xdr:cNvSpPr txBox="1">
          <a:spLocks noChangeArrowheads="1"/>
        </xdr:cNvSpPr>
      </xdr:nvSpPr>
      <xdr:spPr bwMode="auto">
        <a:xfrm>
          <a:off x="2541270" y="72390"/>
          <a:ext cx="3050322" cy="238783"/>
        </a:xfrm>
        <a:prstGeom prst="rect">
          <a:avLst/>
        </a:prstGeom>
        <a:noFill/>
        <a:ln>
          <a:noFill/>
        </a:ln>
      </xdr:spPr>
      <xdr:txBody>
        <a:bodyPr wrap="none" lIns="27432" tIns="32004" rIns="0" bIns="0" anchor="t" upright="1">
          <a:spAutoFit/>
        </a:bodyPr>
        <a:lstStyle/>
        <a:p>
          <a:pPr algn="l" rtl="0">
            <a:defRPr sz="1000"/>
          </a:pPr>
          <a:r>
            <a:rPr lang="en-US" sz="1400" b="1" i="1" u="sng" strike="noStrike" baseline="0">
              <a:solidFill>
                <a:srgbClr val="FF0000"/>
              </a:solidFill>
              <a:latin typeface="Arial"/>
              <a:cs typeface="Arial"/>
            </a:rPr>
            <a:t>ASTM A325 &amp; A490 BOLTS &amp; NUTS</a:t>
          </a:r>
        </a:p>
      </xdr:txBody>
    </xdr:sp>
    <xdr:clientData/>
  </xdr:oneCellAnchor>
  <xdr:oneCellAnchor>
    <xdr:from>
      <xdr:col>1</xdr:col>
      <xdr:colOff>41910</xdr:colOff>
      <xdr:row>124</xdr:row>
      <xdr:rowOff>11430</xdr:rowOff>
    </xdr:from>
    <xdr:ext cx="5402576" cy="238783"/>
    <xdr:sp macro="" textlink="">
      <xdr:nvSpPr>
        <xdr:cNvPr id="29705" name="Text Box 9">
          <a:extLst>
            <a:ext uri="{FF2B5EF4-FFF2-40B4-BE49-F238E27FC236}">
              <a16:creationId xmlns:a16="http://schemas.microsoft.com/office/drawing/2014/main" id="{23B12B85-9372-5E62-4E3B-FCF36CC5F96C}"/>
            </a:ext>
          </a:extLst>
        </xdr:cNvPr>
        <xdr:cNvSpPr txBox="1">
          <a:spLocks noChangeArrowheads="1"/>
        </xdr:cNvSpPr>
      </xdr:nvSpPr>
      <xdr:spPr bwMode="auto">
        <a:xfrm>
          <a:off x="87630" y="21682710"/>
          <a:ext cx="5344733" cy="238783"/>
        </a:xfrm>
        <a:prstGeom prst="rect">
          <a:avLst/>
        </a:prstGeom>
        <a:noFill/>
        <a:ln>
          <a:noFill/>
        </a:ln>
      </xdr:spPr>
      <xdr:txBody>
        <a:bodyPr wrap="none" lIns="27432" tIns="32004" rIns="0" bIns="0" anchor="t" upright="1">
          <a:spAutoFit/>
        </a:bodyPr>
        <a:lstStyle/>
        <a:p>
          <a:pPr algn="l" rtl="0">
            <a:defRPr sz="1000"/>
          </a:pPr>
          <a:r>
            <a:rPr lang="en-US" sz="1400" b="1" i="1" u="sng" strike="noStrike" baseline="0">
              <a:solidFill>
                <a:srgbClr val="FF0000"/>
              </a:solidFill>
              <a:latin typeface="Arial"/>
              <a:cs typeface="Arial"/>
            </a:rPr>
            <a:t>ASTM A325 &amp; A490 BOLTS &amp; NUTS DIMENSIONS,</a:t>
          </a:r>
          <a:r>
            <a:rPr lang="en-US" sz="1400" b="1" i="1" u="sng" strike="noStrike" baseline="0">
              <a:solidFill>
                <a:srgbClr val="000000"/>
              </a:solidFill>
              <a:latin typeface="Arial"/>
              <a:cs typeface="Arial"/>
            </a:rPr>
            <a:t>Inches</a:t>
          </a:r>
          <a:r>
            <a:rPr lang="en-US" sz="1400" b="1" i="1" u="sng" strike="noStrike" baseline="0">
              <a:solidFill>
                <a:srgbClr val="FF0000"/>
              </a:solidFill>
              <a:latin typeface="Arial"/>
              <a:cs typeface="Arial"/>
            </a:rPr>
            <a:t> (mm)</a:t>
          </a:r>
        </a:p>
      </xdr:txBody>
    </xdr:sp>
    <xdr:clientData/>
  </xdr:oneCellAnchor>
  <xdr:oneCellAnchor>
    <xdr:from>
      <xdr:col>3</xdr:col>
      <xdr:colOff>570230</xdr:colOff>
      <xdr:row>142</xdr:row>
      <xdr:rowOff>26670</xdr:rowOff>
    </xdr:from>
    <xdr:ext cx="3169970" cy="238783"/>
    <xdr:sp macro="" textlink="">
      <xdr:nvSpPr>
        <xdr:cNvPr id="29706" name="Text Box 10">
          <a:extLst>
            <a:ext uri="{FF2B5EF4-FFF2-40B4-BE49-F238E27FC236}">
              <a16:creationId xmlns:a16="http://schemas.microsoft.com/office/drawing/2014/main" id="{7E64A8B4-AC5F-A2B9-2AC7-3089F011FC6B}"/>
            </a:ext>
          </a:extLst>
        </xdr:cNvPr>
        <xdr:cNvSpPr txBox="1">
          <a:spLocks noChangeArrowheads="1"/>
        </xdr:cNvSpPr>
      </xdr:nvSpPr>
      <xdr:spPr bwMode="auto">
        <a:xfrm>
          <a:off x="2213610" y="24852630"/>
          <a:ext cx="3169970" cy="238783"/>
        </a:xfrm>
        <a:prstGeom prst="rect">
          <a:avLst/>
        </a:prstGeom>
        <a:noFill/>
        <a:ln>
          <a:noFill/>
        </a:ln>
      </xdr:spPr>
      <xdr:txBody>
        <a:bodyPr wrap="none" lIns="27432" tIns="32004" rIns="0" bIns="0" anchor="t" upright="1">
          <a:spAutoFit/>
        </a:bodyPr>
        <a:lstStyle/>
        <a:p>
          <a:pPr algn="l" rtl="0">
            <a:defRPr sz="1000"/>
          </a:pPr>
          <a:r>
            <a:rPr lang="en-US" sz="1400" b="1" i="1" u="sng" strike="noStrike" baseline="0">
              <a:solidFill>
                <a:srgbClr val="FF0000"/>
              </a:solidFill>
              <a:latin typeface="Arial"/>
              <a:cs typeface="Arial"/>
            </a:rPr>
            <a:t>WASHER DIMENSIONS, </a:t>
          </a:r>
          <a:r>
            <a:rPr lang="en-US" sz="1400" b="1" i="1" u="sng" strike="noStrike" baseline="0">
              <a:solidFill>
                <a:srgbClr val="000000"/>
              </a:solidFill>
              <a:latin typeface="Arial"/>
              <a:cs typeface="Arial"/>
            </a:rPr>
            <a:t>Inches</a:t>
          </a:r>
          <a:r>
            <a:rPr lang="en-US" sz="1400" b="1" i="1" u="sng" strike="noStrike" baseline="0">
              <a:solidFill>
                <a:srgbClr val="FF0000"/>
              </a:solidFill>
              <a:latin typeface="Arial"/>
              <a:cs typeface="Arial"/>
            </a:rPr>
            <a:t> (mm)</a:t>
          </a:r>
        </a:p>
      </xdr:txBody>
    </xdr:sp>
    <xdr:clientData/>
  </xdr:oneCellAnchor>
  <xdr:twoCellAnchor>
    <xdr:from>
      <xdr:col>1</xdr:col>
      <xdr:colOff>39370</xdr:colOff>
      <xdr:row>44</xdr:row>
      <xdr:rowOff>15240</xdr:rowOff>
    </xdr:from>
    <xdr:to>
      <xdr:col>1</xdr:col>
      <xdr:colOff>198521</xdr:colOff>
      <xdr:row>44</xdr:row>
      <xdr:rowOff>151656</xdr:rowOff>
    </xdr:to>
    <xdr:sp macro="" textlink="">
      <xdr:nvSpPr>
        <xdr:cNvPr id="29707" name="AutoShape 11">
          <a:extLst>
            <a:ext uri="{FF2B5EF4-FFF2-40B4-BE49-F238E27FC236}">
              <a16:creationId xmlns:a16="http://schemas.microsoft.com/office/drawing/2014/main" id="{55735B99-C8AB-A146-1620-9FEDB813E2EE}"/>
            </a:ext>
          </a:extLst>
        </xdr:cNvPr>
        <xdr:cNvSpPr>
          <a:spLocks noChangeArrowheads="1"/>
        </xdr:cNvSpPr>
      </xdr:nvSpPr>
      <xdr:spPr bwMode="auto">
        <a:xfrm>
          <a:off x="76200" y="7486650"/>
          <a:ext cx="133350" cy="133350"/>
        </a:xfrm>
        <a:prstGeom prst="star5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9050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miter lim="800000"/>
          <a:headEnd/>
          <a:tailEnd/>
        </a:ln>
      </xdr:spPr>
      <xdr:txBody>
        <a:bodyPr/>
        <a:lstStyle/>
        <a:p>
          <a:endParaRPr lang="en-US"/>
        </a:p>
      </xdr:txBody>
    </xdr:sp>
    <xdr:clientData/>
  </xdr:twoCellAnchor>
  <xdr:twoCellAnchor>
    <xdr:from>
      <xdr:col>1</xdr:col>
      <xdr:colOff>558800</xdr:colOff>
      <xdr:row>119</xdr:row>
      <xdr:rowOff>101600</xdr:rowOff>
    </xdr:from>
    <xdr:to>
      <xdr:col>2</xdr:col>
      <xdr:colOff>165100</xdr:colOff>
      <xdr:row>121</xdr:row>
      <xdr:rowOff>63500</xdr:rowOff>
    </xdr:to>
    <xdr:sp macro="" textlink="">
      <xdr:nvSpPr>
        <xdr:cNvPr id="53545" name="AutoShape 12">
          <a:extLst>
            <a:ext uri="{FF2B5EF4-FFF2-40B4-BE49-F238E27FC236}">
              <a16:creationId xmlns:a16="http://schemas.microsoft.com/office/drawing/2014/main" id="{86B3D781-F712-F887-DA0D-EA38E945D10C}"/>
            </a:ext>
          </a:extLst>
        </xdr:cNvPr>
        <xdr:cNvSpPr>
          <a:spLocks noChangeArrowheads="1"/>
        </xdr:cNvSpPr>
      </xdr:nvSpPr>
      <xdr:spPr bwMode="auto">
        <a:xfrm>
          <a:off x="609600" y="20942300"/>
          <a:ext cx="469900" cy="292100"/>
        </a:xfrm>
        <a:prstGeom prst="hexagon">
          <a:avLst>
            <a:gd name="adj" fmla="val 40217"/>
            <a:gd name="vf" fmla="val 11547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63500</xdr:colOff>
      <xdr:row>119</xdr:row>
      <xdr:rowOff>101600</xdr:rowOff>
    </xdr:from>
    <xdr:to>
      <xdr:col>1</xdr:col>
      <xdr:colOff>584200</xdr:colOff>
      <xdr:row>119</xdr:row>
      <xdr:rowOff>101600</xdr:rowOff>
    </xdr:to>
    <xdr:sp macro="" textlink="">
      <xdr:nvSpPr>
        <xdr:cNvPr id="53546" name="Line 13">
          <a:extLst>
            <a:ext uri="{FF2B5EF4-FFF2-40B4-BE49-F238E27FC236}">
              <a16:creationId xmlns:a16="http://schemas.microsoft.com/office/drawing/2014/main" id="{11C19ABA-779B-A924-4F8D-EF1C4962DF32}"/>
            </a:ext>
          </a:extLst>
        </xdr:cNvPr>
        <xdr:cNvSpPr>
          <a:spLocks noChangeShapeType="1"/>
        </xdr:cNvSpPr>
      </xdr:nvSpPr>
      <xdr:spPr bwMode="auto">
        <a:xfrm flipH="1">
          <a:off x="114300" y="20942300"/>
          <a:ext cx="5207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50800</xdr:colOff>
      <xdr:row>121</xdr:row>
      <xdr:rowOff>63500</xdr:rowOff>
    </xdr:from>
    <xdr:to>
      <xdr:col>1</xdr:col>
      <xdr:colOff>571500</xdr:colOff>
      <xdr:row>121</xdr:row>
      <xdr:rowOff>63500</xdr:rowOff>
    </xdr:to>
    <xdr:sp macro="" textlink="">
      <xdr:nvSpPr>
        <xdr:cNvPr id="53547" name="Line 14">
          <a:extLst>
            <a:ext uri="{FF2B5EF4-FFF2-40B4-BE49-F238E27FC236}">
              <a16:creationId xmlns:a16="http://schemas.microsoft.com/office/drawing/2014/main" id="{30A74C6E-EED3-84D4-828E-DAE2C5A1C35F}"/>
            </a:ext>
          </a:extLst>
        </xdr:cNvPr>
        <xdr:cNvSpPr>
          <a:spLocks noChangeShapeType="1"/>
        </xdr:cNvSpPr>
      </xdr:nvSpPr>
      <xdr:spPr bwMode="auto">
        <a:xfrm flipH="1">
          <a:off x="101600" y="21234400"/>
          <a:ext cx="5207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101600</xdr:colOff>
      <xdr:row>118</xdr:row>
      <xdr:rowOff>63500</xdr:rowOff>
    </xdr:from>
    <xdr:to>
      <xdr:col>1</xdr:col>
      <xdr:colOff>101600</xdr:colOff>
      <xdr:row>119</xdr:row>
      <xdr:rowOff>101600</xdr:rowOff>
    </xdr:to>
    <xdr:sp macro="" textlink="">
      <xdr:nvSpPr>
        <xdr:cNvPr id="53548" name="Line 15">
          <a:extLst>
            <a:ext uri="{FF2B5EF4-FFF2-40B4-BE49-F238E27FC236}">
              <a16:creationId xmlns:a16="http://schemas.microsoft.com/office/drawing/2014/main" id="{4164DD8B-D913-3B04-05BE-719D4A338E30}"/>
            </a:ext>
          </a:extLst>
        </xdr:cNvPr>
        <xdr:cNvSpPr>
          <a:spLocks noChangeShapeType="1"/>
        </xdr:cNvSpPr>
      </xdr:nvSpPr>
      <xdr:spPr bwMode="auto">
        <a:xfrm flipV="1">
          <a:off x="152400" y="20739100"/>
          <a:ext cx="0" cy="203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114300</xdr:colOff>
      <xdr:row>121</xdr:row>
      <xdr:rowOff>63500</xdr:rowOff>
    </xdr:from>
    <xdr:to>
      <xdr:col>1</xdr:col>
      <xdr:colOff>139700</xdr:colOff>
      <xdr:row>122</xdr:row>
      <xdr:rowOff>101600</xdr:rowOff>
    </xdr:to>
    <xdr:sp macro="" textlink="">
      <xdr:nvSpPr>
        <xdr:cNvPr id="53549" name="Line 16">
          <a:extLst>
            <a:ext uri="{FF2B5EF4-FFF2-40B4-BE49-F238E27FC236}">
              <a16:creationId xmlns:a16="http://schemas.microsoft.com/office/drawing/2014/main" id="{EA87F802-CC8F-19A8-420C-B5547FF9A40B}"/>
            </a:ext>
          </a:extLst>
        </xdr:cNvPr>
        <xdr:cNvSpPr>
          <a:spLocks noChangeShapeType="1"/>
        </xdr:cNvSpPr>
      </xdr:nvSpPr>
      <xdr:spPr bwMode="auto">
        <a:xfrm flipH="1" flipV="1">
          <a:off x="165100" y="21234400"/>
          <a:ext cx="25400" cy="203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41910</xdr:colOff>
      <xdr:row>119</xdr:row>
      <xdr:rowOff>148590</xdr:rowOff>
    </xdr:from>
    <xdr:ext cx="110653" cy="193116"/>
    <xdr:sp macro="" textlink="">
      <xdr:nvSpPr>
        <xdr:cNvPr id="29713" name="Text Box 17">
          <a:extLst>
            <a:ext uri="{FF2B5EF4-FFF2-40B4-BE49-F238E27FC236}">
              <a16:creationId xmlns:a16="http://schemas.microsoft.com/office/drawing/2014/main" id="{5C44335E-3F05-AAA1-1F67-06AC86AB2F41}"/>
            </a:ext>
          </a:extLst>
        </xdr:cNvPr>
        <xdr:cNvSpPr txBox="1">
          <a:spLocks noChangeArrowheads="1"/>
        </xdr:cNvSpPr>
      </xdr:nvSpPr>
      <xdr:spPr bwMode="auto">
        <a:xfrm>
          <a:off x="93345" y="20975955"/>
          <a:ext cx="96821" cy="170560"/>
        </a:xfrm>
        <a:prstGeom prst="rect">
          <a:avLst/>
        </a:prstGeom>
        <a:noFill/>
        <a:ln>
          <a:noFill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F</a:t>
          </a:r>
        </a:p>
      </xdr:txBody>
    </xdr:sp>
    <xdr:clientData/>
  </xdr:oneCellAnchor>
  <xdr:twoCellAnchor>
    <xdr:from>
      <xdr:col>2</xdr:col>
      <xdr:colOff>469900</xdr:colOff>
      <xdr:row>119</xdr:row>
      <xdr:rowOff>101600</xdr:rowOff>
    </xdr:from>
    <xdr:to>
      <xdr:col>2</xdr:col>
      <xdr:colOff>635000</xdr:colOff>
      <xdr:row>121</xdr:row>
      <xdr:rowOff>63500</xdr:rowOff>
    </xdr:to>
    <xdr:sp macro="" textlink="">
      <xdr:nvSpPr>
        <xdr:cNvPr id="53551" name="Rectangle 18">
          <a:extLst>
            <a:ext uri="{FF2B5EF4-FFF2-40B4-BE49-F238E27FC236}">
              <a16:creationId xmlns:a16="http://schemas.microsoft.com/office/drawing/2014/main" id="{589B27CF-1FF8-5A42-6532-EBDEB5F3AC35}"/>
            </a:ext>
          </a:extLst>
        </xdr:cNvPr>
        <xdr:cNvSpPr>
          <a:spLocks noChangeArrowheads="1"/>
        </xdr:cNvSpPr>
      </xdr:nvSpPr>
      <xdr:spPr bwMode="auto">
        <a:xfrm>
          <a:off x="1384300" y="20942300"/>
          <a:ext cx="165100" cy="2921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905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482600</xdr:colOff>
      <xdr:row>120</xdr:row>
      <xdr:rowOff>76200</xdr:rowOff>
    </xdr:from>
    <xdr:to>
      <xdr:col>2</xdr:col>
      <xdr:colOff>622300</xdr:colOff>
      <xdr:row>120</xdr:row>
      <xdr:rowOff>76200</xdr:rowOff>
    </xdr:to>
    <xdr:sp macro="" textlink="">
      <xdr:nvSpPr>
        <xdr:cNvPr id="53552" name="Line 19">
          <a:extLst>
            <a:ext uri="{FF2B5EF4-FFF2-40B4-BE49-F238E27FC236}">
              <a16:creationId xmlns:a16="http://schemas.microsoft.com/office/drawing/2014/main" id="{78E73528-F037-ED54-8792-526147CDF12F}"/>
            </a:ext>
          </a:extLst>
        </xdr:cNvPr>
        <xdr:cNvSpPr>
          <a:spLocks noChangeShapeType="1"/>
        </xdr:cNvSpPr>
      </xdr:nvSpPr>
      <xdr:spPr bwMode="auto">
        <a:xfrm>
          <a:off x="1397000" y="21082000"/>
          <a:ext cx="1397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647700</xdr:colOff>
      <xdr:row>120</xdr:row>
      <xdr:rowOff>0</xdr:rowOff>
    </xdr:from>
    <xdr:to>
      <xdr:col>3</xdr:col>
      <xdr:colOff>419100</xdr:colOff>
      <xdr:row>120</xdr:row>
      <xdr:rowOff>139700</xdr:rowOff>
    </xdr:to>
    <xdr:sp macro="" textlink="">
      <xdr:nvSpPr>
        <xdr:cNvPr id="53553" name="Rectangle 20">
          <a:extLst>
            <a:ext uri="{FF2B5EF4-FFF2-40B4-BE49-F238E27FC236}">
              <a16:creationId xmlns:a16="http://schemas.microsoft.com/office/drawing/2014/main" id="{F44317C9-41A3-50E1-173C-514E70E69C3B}"/>
            </a:ext>
          </a:extLst>
        </xdr:cNvPr>
        <xdr:cNvSpPr>
          <a:spLocks noChangeArrowheads="1"/>
        </xdr:cNvSpPr>
      </xdr:nvSpPr>
      <xdr:spPr bwMode="auto">
        <a:xfrm>
          <a:off x="1562100" y="21005800"/>
          <a:ext cx="749300" cy="139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905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381000</xdr:colOff>
      <xdr:row>120</xdr:row>
      <xdr:rowOff>38100</xdr:rowOff>
    </xdr:from>
    <xdr:to>
      <xdr:col>3</xdr:col>
      <xdr:colOff>381000</xdr:colOff>
      <xdr:row>120</xdr:row>
      <xdr:rowOff>101600</xdr:rowOff>
    </xdr:to>
    <xdr:sp macro="" textlink="">
      <xdr:nvSpPr>
        <xdr:cNvPr id="53554" name="Line 21">
          <a:extLst>
            <a:ext uri="{FF2B5EF4-FFF2-40B4-BE49-F238E27FC236}">
              <a16:creationId xmlns:a16="http://schemas.microsoft.com/office/drawing/2014/main" id="{11C3171A-A3E7-D1BB-CD53-45520BACFB2D}"/>
            </a:ext>
          </a:extLst>
        </xdr:cNvPr>
        <xdr:cNvSpPr>
          <a:spLocks noChangeShapeType="1"/>
        </xdr:cNvSpPr>
      </xdr:nvSpPr>
      <xdr:spPr bwMode="auto">
        <a:xfrm>
          <a:off x="2273300" y="21043900"/>
          <a:ext cx="0" cy="635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330200</xdr:colOff>
      <xdr:row>120</xdr:row>
      <xdr:rowOff>38100</xdr:rowOff>
    </xdr:from>
    <xdr:to>
      <xdr:col>3</xdr:col>
      <xdr:colOff>330200</xdr:colOff>
      <xdr:row>120</xdr:row>
      <xdr:rowOff>101600</xdr:rowOff>
    </xdr:to>
    <xdr:sp macro="" textlink="">
      <xdr:nvSpPr>
        <xdr:cNvPr id="53555" name="Line 22">
          <a:extLst>
            <a:ext uri="{FF2B5EF4-FFF2-40B4-BE49-F238E27FC236}">
              <a16:creationId xmlns:a16="http://schemas.microsoft.com/office/drawing/2014/main" id="{2A86816D-8F56-A09F-89C5-215AC8D8F032}"/>
            </a:ext>
          </a:extLst>
        </xdr:cNvPr>
        <xdr:cNvSpPr>
          <a:spLocks noChangeShapeType="1"/>
        </xdr:cNvSpPr>
      </xdr:nvSpPr>
      <xdr:spPr bwMode="auto">
        <a:xfrm>
          <a:off x="2222500" y="21043900"/>
          <a:ext cx="0" cy="635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266700</xdr:colOff>
      <xdr:row>120</xdr:row>
      <xdr:rowOff>38100</xdr:rowOff>
    </xdr:from>
    <xdr:to>
      <xdr:col>3</xdr:col>
      <xdr:colOff>266700</xdr:colOff>
      <xdr:row>120</xdr:row>
      <xdr:rowOff>101600</xdr:rowOff>
    </xdr:to>
    <xdr:sp macro="" textlink="">
      <xdr:nvSpPr>
        <xdr:cNvPr id="53556" name="Line 23">
          <a:extLst>
            <a:ext uri="{FF2B5EF4-FFF2-40B4-BE49-F238E27FC236}">
              <a16:creationId xmlns:a16="http://schemas.microsoft.com/office/drawing/2014/main" id="{DC603BDB-B72E-3E75-32F3-B63186EBB5C0}"/>
            </a:ext>
          </a:extLst>
        </xdr:cNvPr>
        <xdr:cNvSpPr>
          <a:spLocks noChangeShapeType="1"/>
        </xdr:cNvSpPr>
      </xdr:nvSpPr>
      <xdr:spPr bwMode="auto">
        <a:xfrm>
          <a:off x="2159000" y="21043900"/>
          <a:ext cx="0" cy="635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215900</xdr:colOff>
      <xdr:row>120</xdr:row>
      <xdr:rowOff>38100</xdr:rowOff>
    </xdr:from>
    <xdr:to>
      <xdr:col>3</xdr:col>
      <xdr:colOff>215900</xdr:colOff>
      <xdr:row>120</xdr:row>
      <xdr:rowOff>101600</xdr:rowOff>
    </xdr:to>
    <xdr:sp macro="" textlink="">
      <xdr:nvSpPr>
        <xdr:cNvPr id="53557" name="Line 25">
          <a:extLst>
            <a:ext uri="{FF2B5EF4-FFF2-40B4-BE49-F238E27FC236}">
              <a16:creationId xmlns:a16="http://schemas.microsoft.com/office/drawing/2014/main" id="{663202DB-58DD-6456-6FE6-C19D5EE8789C}"/>
            </a:ext>
          </a:extLst>
        </xdr:cNvPr>
        <xdr:cNvSpPr>
          <a:spLocks noChangeShapeType="1"/>
        </xdr:cNvSpPr>
      </xdr:nvSpPr>
      <xdr:spPr bwMode="auto">
        <a:xfrm>
          <a:off x="2108200" y="21043900"/>
          <a:ext cx="0" cy="635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165100</xdr:colOff>
      <xdr:row>120</xdr:row>
      <xdr:rowOff>38100</xdr:rowOff>
    </xdr:from>
    <xdr:to>
      <xdr:col>3</xdr:col>
      <xdr:colOff>165100</xdr:colOff>
      <xdr:row>120</xdr:row>
      <xdr:rowOff>101600</xdr:rowOff>
    </xdr:to>
    <xdr:sp macro="" textlink="">
      <xdr:nvSpPr>
        <xdr:cNvPr id="53558" name="Line 26">
          <a:extLst>
            <a:ext uri="{FF2B5EF4-FFF2-40B4-BE49-F238E27FC236}">
              <a16:creationId xmlns:a16="http://schemas.microsoft.com/office/drawing/2014/main" id="{7710A7E8-85B1-FC60-424E-C00FDCC054E9}"/>
            </a:ext>
          </a:extLst>
        </xdr:cNvPr>
        <xdr:cNvSpPr>
          <a:spLocks noChangeShapeType="1"/>
        </xdr:cNvSpPr>
      </xdr:nvSpPr>
      <xdr:spPr bwMode="auto">
        <a:xfrm>
          <a:off x="2057400" y="21043900"/>
          <a:ext cx="0" cy="635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469900</xdr:colOff>
      <xdr:row>121</xdr:row>
      <xdr:rowOff>139700</xdr:rowOff>
    </xdr:from>
    <xdr:to>
      <xdr:col>2</xdr:col>
      <xdr:colOff>469900</xdr:colOff>
      <xdr:row>123</xdr:row>
      <xdr:rowOff>101600</xdr:rowOff>
    </xdr:to>
    <xdr:sp macro="" textlink="">
      <xdr:nvSpPr>
        <xdr:cNvPr id="53559" name="Line 29">
          <a:extLst>
            <a:ext uri="{FF2B5EF4-FFF2-40B4-BE49-F238E27FC236}">
              <a16:creationId xmlns:a16="http://schemas.microsoft.com/office/drawing/2014/main" id="{51197158-2BFC-1528-D2B2-D6487EC3F684}"/>
            </a:ext>
          </a:extLst>
        </xdr:cNvPr>
        <xdr:cNvSpPr>
          <a:spLocks noChangeShapeType="1"/>
        </xdr:cNvSpPr>
      </xdr:nvSpPr>
      <xdr:spPr bwMode="auto">
        <a:xfrm>
          <a:off x="1384300" y="21310600"/>
          <a:ext cx="0" cy="2921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635000</xdr:colOff>
      <xdr:row>121</xdr:row>
      <xdr:rowOff>139700</xdr:rowOff>
    </xdr:from>
    <xdr:to>
      <xdr:col>2</xdr:col>
      <xdr:colOff>635000</xdr:colOff>
      <xdr:row>123</xdr:row>
      <xdr:rowOff>101600</xdr:rowOff>
    </xdr:to>
    <xdr:sp macro="" textlink="">
      <xdr:nvSpPr>
        <xdr:cNvPr id="53560" name="Line 30">
          <a:extLst>
            <a:ext uri="{FF2B5EF4-FFF2-40B4-BE49-F238E27FC236}">
              <a16:creationId xmlns:a16="http://schemas.microsoft.com/office/drawing/2014/main" id="{EAEAD233-E1D6-9CEA-47F4-F3962E71184E}"/>
            </a:ext>
          </a:extLst>
        </xdr:cNvPr>
        <xdr:cNvSpPr>
          <a:spLocks noChangeShapeType="1"/>
        </xdr:cNvSpPr>
      </xdr:nvSpPr>
      <xdr:spPr bwMode="auto">
        <a:xfrm>
          <a:off x="1549400" y="21310600"/>
          <a:ext cx="0" cy="2921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419100</xdr:colOff>
      <xdr:row>121</xdr:row>
      <xdr:rowOff>25400</xdr:rowOff>
    </xdr:from>
    <xdr:to>
      <xdr:col>3</xdr:col>
      <xdr:colOff>419100</xdr:colOff>
      <xdr:row>123</xdr:row>
      <xdr:rowOff>101600</xdr:rowOff>
    </xdr:to>
    <xdr:sp macro="" textlink="">
      <xdr:nvSpPr>
        <xdr:cNvPr id="53561" name="Line 31">
          <a:extLst>
            <a:ext uri="{FF2B5EF4-FFF2-40B4-BE49-F238E27FC236}">
              <a16:creationId xmlns:a16="http://schemas.microsoft.com/office/drawing/2014/main" id="{2FAEB21F-8EEA-F817-6703-A19407877ACD}"/>
            </a:ext>
          </a:extLst>
        </xdr:cNvPr>
        <xdr:cNvSpPr>
          <a:spLocks noChangeShapeType="1"/>
        </xdr:cNvSpPr>
      </xdr:nvSpPr>
      <xdr:spPr bwMode="auto">
        <a:xfrm>
          <a:off x="2311400" y="21196300"/>
          <a:ext cx="0" cy="4064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647700</xdr:colOff>
      <xdr:row>123</xdr:row>
      <xdr:rowOff>76200</xdr:rowOff>
    </xdr:from>
    <xdr:to>
      <xdr:col>3</xdr:col>
      <xdr:colOff>419100</xdr:colOff>
      <xdr:row>123</xdr:row>
      <xdr:rowOff>76200</xdr:rowOff>
    </xdr:to>
    <xdr:sp macro="" textlink="">
      <xdr:nvSpPr>
        <xdr:cNvPr id="53562" name="Line 32">
          <a:extLst>
            <a:ext uri="{FF2B5EF4-FFF2-40B4-BE49-F238E27FC236}">
              <a16:creationId xmlns:a16="http://schemas.microsoft.com/office/drawing/2014/main" id="{281E4413-880A-4E2A-B9C2-C99EE450ADF8}"/>
            </a:ext>
          </a:extLst>
        </xdr:cNvPr>
        <xdr:cNvSpPr>
          <a:spLocks noChangeShapeType="1"/>
        </xdr:cNvSpPr>
      </xdr:nvSpPr>
      <xdr:spPr bwMode="auto">
        <a:xfrm>
          <a:off x="1562100" y="21577300"/>
          <a:ext cx="7493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2</xdr:col>
      <xdr:colOff>669290</xdr:colOff>
      <xdr:row>122</xdr:row>
      <xdr:rowOff>57150</xdr:rowOff>
    </xdr:from>
    <xdr:ext cx="588238" cy="141001"/>
    <xdr:sp macro="" textlink="">
      <xdr:nvSpPr>
        <xdr:cNvPr id="29729" name="Text Box 33">
          <a:extLst>
            <a:ext uri="{FF2B5EF4-FFF2-40B4-BE49-F238E27FC236}">
              <a16:creationId xmlns:a16="http://schemas.microsoft.com/office/drawing/2014/main" id="{8653D97E-777D-F354-E6AB-41B11EDABF7B}"/>
            </a:ext>
          </a:extLst>
        </xdr:cNvPr>
        <xdr:cNvSpPr txBox="1">
          <a:spLocks noChangeArrowheads="1"/>
        </xdr:cNvSpPr>
      </xdr:nvSpPr>
      <xdr:spPr bwMode="auto">
        <a:xfrm>
          <a:off x="1583690" y="21393150"/>
          <a:ext cx="588238" cy="141001"/>
        </a:xfrm>
        <a:prstGeom prst="rect">
          <a:avLst/>
        </a:prstGeom>
        <a:noFill/>
        <a:ln>
          <a:noFill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1" i="0" u="none" strike="noStrike" baseline="0">
              <a:solidFill>
                <a:srgbClr val="000000"/>
              </a:solidFill>
              <a:latin typeface="Arial"/>
              <a:cs typeface="Arial"/>
            </a:rPr>
            <a:t>Bolt Length</a:t>
          </a:r>
        </a:p>
      </xdr:txBody>
    </xdr:sp>
    <xdr:clientData/>
  </xdr:oneCellAnchor>
  <xdr:twoCellAnchor>
    <xdr:from>
      <xdr:col>2</xdr:col>
      <xdr:colOff>292100</xdr:colOff>
      <xdr:row>123</xdr:row>
      <xdr:rowOff>76200</xdr:rowOff>
    </xdr:from>
    <xdr:to>
      <xdr:col>2</xdr:col>
      <xdr:colOff>457200</xdr:colOff>
      <xdr:row>123</xdr:row>
      <xdr:rowOff>76200</xdr:rowOff>
    </xdr:to>
    <xdr:sp macro="" textlink="">
      <xdr:nvSpPr>
        <xdr:cNvPr id="53564" name="Line 34">
          <a:extLst>
            <a:ext uri="{FF2B5EF4-FFF2-40B4-BE49-F238E27FC236}">
              <a16:creationId xmlns:a16="http://schemas.microsoft.com/office/drawing/2014/main" id="{8CF13B72-CCB2-CD69-CEBB-650EC5688B6D}"/>
            </a:ext>
          </a:extLst>
        </xdr:cNvPr>
        <xdr:cNvSpPr>
          <a:spLocks noChangeShapeType="1"/>
        </xdr:cNvSpPr>
      </xdr:nvSpPr>
      <xdr:spPr bwMode="auto">
        <a:xfrm flipH="1">
          <a:off x="1206500" y="21577300"/>
          <a:ext cx="1651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2</xdr:col>
      <xdr:colOff>502285</xdr:colOff>
      <xdr:row>122</xdr:row>
      <xdr:rowOff>107315</xdr:rowOff>
    </xdr:from>
    <xdr:ext cx="92526" cy="155101"/>
    <xdr:sp macro="" textlink="">
      <xdr:nvSpPr>
        <xdr:cNvPr id="29731" name="Text Box 35">
          <a:extLst>
            <a:ext uri="{FF2B5EF4-FFF2-40B4-BE49-F238E27FC236}">
              <a16:creationId xmlns:a16="http://schemas.microsoft.com/office/drawing/2014/main" id="{802AC4A8-14B0-B00C-A5FC-44CF4DFFD469}"/>
            </a:ext>
          </a:extLst>
        </xdr:cNvPr>
        <xdr:cNvSpPr txBox="1">
          <a:spLocks noChangeArrowheads="1"/>
        </xdr:cNvSpPr>
      </xdr:nvSpPr>
      <xdr:spPr bwMode="auto">
        <a:xfrm>
          <a:off x="1274445" y="21456015"/>
          <a:ext cx="92526" cy="141001"/>
        </a:xfrm>
        <a:prstGeom prst="rect">
          <a:avLst/>
        </a:prstGeom>
        <a:noFill/>
        <a:ln>
          <a:noFill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1" i="0" u="none" strike="noStrike" baseline="0">
              <a:solidFill>
                <a:srgbClr val="FF0000"/>
              </a:solidFill>
              <a:latin typeface="Arial"/>
              <a:cs typeface="Arial"/>
            </a:rPr>
            <a:t>H</a:t>
          </a:r>
        </a:p>
      </xdr:txBody>
    </xdr:sp>
    <xdr:clientData/>
  </xdr:oneCellAnchor>
  <xdr:twoCellAnchor>
    <xdr:from>
      <xdr:col>4</xdr:col>
      <xdr:colOff>165100</xdr:colOff>
      <xdr:row>119</xdr:row>
      <xdr:rowOff>101600</xdr:rowOff>
    </xdr:from>
    <xdr:to>
      <xdr:col>4</xdr:col>
      <xdr:colOff>533400</xdr:colOff>
      <xdr:row>121</xdr:row>
      <xdr:rowOff>63500</xdr:rowOff>
    </xdr:to>
    <xdr:sp macro="" textlink="">
      <xdr:nvSpPr>
        <xdr:cNvPr id="53566" name="AutoShape 36">
          <a:extLst>
            <a:ext uri="{FF2B5EF4-FFF2-40B4-BE49-F238E27FC236}">
              <a16:creationId xmlns:a16="http://schemas.microsoft.com/office/drawing/2014/main" id="{34E92AD8-6F4C-0142-9ABF-C10A7B66B724}"/>
            </a:ext>
          </a:extLst>
        </xdr:cNvPr>
        <xdr:cNvSpPr>
          <a:spLocks noChangeArrowheads="1"/>
        </xdr:cNvSpPr>
      </xdr:nvSpPr>
      <xdr:spPr bwMode="auto">
        <a:xfrm>
          <a:off x="3302000" y="20942300"/>
          <a:ext cx="368300" cy="292100"/>
        </a:xfrm>
        <a:prstGeom prst="hexagon">
          <a:avLst>
            <a:gd name="adj" fmla="val 31522"/>
            <a:gd name="vf" fmla="val 11547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1092200</xdr:colOff>
      <xdr:row>119</xdr:row>
      <xdr:rowOff>101600</xdr:rowOff>
    </xdr:from>
    <xdr:to>
      <xdr:col>7</xdr:col>
      <xdr:colOff>12700</xdr:colOff>
      <xdr:row>121</xdr:row>
      <xdr:rowOff>63500</xdr:rowOff>
    </xdr:to>
    <xdr:sp macro="" textlink="">
      <xdr:nvSpPr>
        <xdr:cNvPr id="53567" name="Rectangle 37">
          <a:extLst>
            <a:ext uri="{FF2B5EF4-FFF2-40B4-BE49-F238E27FC236}">
              <a16:creationId xmlns:a16="http://schemas.microsoft.com/office/drawing/2014/main" id="{DF89401B-FC3E-132B-8D3C-EC1EA1D86F8A}"/>
            </a:ext>
          </a:extLst>
        </xdr:cNvPr>
        <xdr:cNvSpPr>
          <a:spLocks noChangeArrowheads="1"/>
        </xdr:cNvSpPr>
      </xdr:nvSpPr>
      <xdr:spPr bwMode="auto">
        <a:xfrm>
          <a:off x="4229100" y="20942300"/>
          <a:ext cx="177800" cy="2921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905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1092200</xdr:colOff>
      <xdr:row>120</xdr:row>
      <xdr:rowOff>63500</xdr:rowOff>
    </xdr:from>
    <xdr:to>
      <xdr:col>4</xdr:col>
      <xdr:colOff>1231900</xdr:colOff>
      <xdr:row>120</xdr:row>
      <xdr:rowOff>63500</xdr:rowOff>
    </xdr:to>
    <xdr:sp macro="" textlink="">
      <xdr:nvSpPr>
        <xdr:cNvPr id="53568" name="Line 38">
          <a:extLst>
            <a:ext uri="{FF2B5EF4-FFF2-40B4-BE49-F238E27FC236}">
              <a16:creationId xmlns:a16="http://schemas.microsoft.com/office/drawing/2014/main" id="{C42B10C1-30D1-7C50-8857-3584DBF7D553}"/>
            </a:ext>
          </a:extLst>
        </xdr:cNvPr>
        <xdr:cNvSpPr>
          <a:spLocks noChangeShapeType="1"/>
        </xdr:cNvSpPr>
      </xdr:nvSpPr>
      <xdr:spPr bwMode="auto">
        <a:xfrm>
          <a:off x="4229100" y="21069300"/>
          <a:ext cx="1397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266700</xdr:colOff>
      <xdr:row>120</xdr:row>
      <xdr:rowOff>12700</xdr:rowOff>
    </xdr:from>
    <xdr:to>
      <xdr:col>4</xdr:col>
      <xdr:colOff>419100</xdr:colOff>
      <xdr:row>121</xdr:row>
      <xdr:rowOff>0</xdr:rowOff>
    </xdr:to>
    <xdr:sp macro="" textlink="">
      <xdr:nvSpPr>
        <xdr:cNvPr id="53569" name="Oval 39">
          <a:extLst>
            <a:ext uri="{FF2B5EF4-FFF2-40B4-BE49-F238E27FC236}">
              <a16:creationId xmlns:a16="http://schemas.microsoft.com/office/drawing/2014/main" id="{2B9F2458-388E-4011-9F56-28D02A48DD2B}"/>
            </a:ext>
          </a:extLst>
        </xdr:cNvPr>
        <xdr:cNvSpPr>
          <a:spLocks noChangeArrowheads="1"/>
        </xdr:cNvSpPr>
      </xdr:nvSpPr>
      <xdr:spPr bwMode="auto">
        <a:xfrm>
          <a:off x="3403600" y="21018500"/>
          <a:ext cx="152400" cy="1524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905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</xdr:spPr>
    </xdr:sp>
    <xdr:clientData/>
  </xdr:twoCellAnchor>
  <xdr:twoCellAnchor>
    <xdr:from>
      <xdr:col>4</xdr:col>
      <xdr:colOff>520700</xdr:colOff>
      <xdr:row>121</xdr:row>
      <xdr:rowOff>63500</xdr:rowOff>
    </xdr:from>
    <xdr:to>
      <xdr:col>4</xdr:col>
      <xdr:colOff>1016000</xdr:colOff>
      <xdr:row>121</xdr:row>
      <xdr:rowOff>63500</xdr:rowOff>
    </xdr:to>
    <xdr:sp macro="" textlink="">
      <xdr:nvSpPr>
        <xdr:cNvPr id="53570" name="Line 40">
          <a:extLst>
            <a:ext uri="{FF2B5EF4-FFF2-40B4-BE49-F238E27FC236}">
              <a16:creationId xmlns:a16="http://schemas.microsoft.com/office/drawing/2014/main" id="{3F8D9A7E-4C2D-75DD-EE56-137407C27879}"/>
            </a:ext>
          </a:extLst>
        </xdr:cNvPr>
        <xdr:cNvSpPr>
          <a:spLocks noChangeShapeType="1"/>
        </xdr:cNvSpPr>
      </xdr:nvSpPr>
      <xdr:spPr bwMode="auto">
        <a:xfrm>
          <a:off x="3657600" y="21234400"/>
          <a:ext cx="4953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533400</xdr:colOff>
      <xdr:row>119</xdr:row>
      <xdr:rowOff>101600</xdr:rowOff>
    </xdr:from>
    <xdr:to>
      <xdr:col>4</xdr:col>
      <xdr:colOff>1028700</xdr:colOff>
      <xdr:row>119</xdr:row>
      <xdr:rowOff>101600</xdr:rowOff>
    </xdr:to>
    <xdr:sp macro="" textlink="">
      <xdr:nvSpPr>
        <xdr:cNvPr id="53571" name="Line 41">
          <a:extLst>
            <a:ext uri="{FF2B5EF4-FFF2-40B4-BE49-F238E27FC236}">
              <a16:creationId xmlns:a16="http://schemas.microsoft.com/office/drawing/2014/main" id="{0230E6E6-C570-1F44-696E-0D6B57371E24}"/>
            </a:ext>
          </a:extLst>
        </xdr:cNvPr>
        <xdr:cNvSpPr>
          <a:spLocks noChangeShapeType="1"/>
        </xdr:cNvSpPr>
      </xdr:nvSpPr>
      <xdr:spPr bwMode="auto">
        <a:xfrm>
          <a:off x="3670300" y="20942300"/>
          <a:ext cx="4953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4</xdr:col>
      <xdr:colOff>676275</xdr:colOff>
      <xdr:row>119</xdr:row>
      <xdr:rowOff>148590</xdr:rowOff>
    </xdr:from>
    <xdr:ext cx="135875" cy="156234"/>
    <xdr:sp macro="" textlink="">
      <xdr:nvSpPr>
        <xdr:cNvPr id="29738" name="Text Box 42">
          <a:extLst>
            <a:ext uri="{FF2B5EF4-FFF2-40B4-BE49-F238E27FC236}">
              <a16:creationId xmlns:a16="http://schemas.microsoft.com/office/drawing/2014/main" id="{3F16058F-9DC8-D58F-C464-6BF642DAA5FC}"/>
            </a:ext>
          </a:extLst>
        </xdr:cNvPr>
        <xdr:cNvSpPr txBox="1">
          <a:spLocks noChangeArrowheads="1"/>
        </xdr:cNvSpPr>
      </xdr:nvSpPr>
      <xdr:spPr bwMode="auto">
        <a:xfrm>
          <a:off x="3423285" y="20975955"/>
          <a:ext cx="115288" cy="141001"/>
        </a:xfrm>
        <a:prstGeom prst="rect">
          <a:avLst/>
        </a:prstGeom>
        <a:noFill/>
        <a:ln>
          <a:noFill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1" i="0" u="none" strike="noStrike" baseline="0">
              <a:solidFill>
                <a:srgbClr val="FF0000"/>
              </a:solidFill>
              <a:latin typeface="Arial"/>
              <a:cs typeface="Arial"/>
            </a:rPr>
            <a:t>W</a:t>
          </a:r>
        </a:p>
      </xdr:txBody>
    </xdr:sp>
    <xdr:clientData/>
  </xdr:oneCellAnchor>
  <xdr:twoCellAnchor>
    <xdr:from>
      <xdr:col>4</xdr:col>
      <xdr:colOff>736600</xdr:colOff>
      <xdr:row>118</xdr:row>
      <xdr:rowOff>76200</xdr:rowOff>
    </xdr:from>
    <xdr:to>
      <xdr:col>4</xdr:col>
      <xdr:colOff>736600</xdr:colOff>
      <xdr:row>119</xdr:row>
      <xdr:rowOff>76200</xdr:rowOff>
    </xdr:to>
    <xdr:sp macro="" textlink="">
      <xdr:nvSpPr>
        <xdr:cNvPr id="53573" name="Line 43">
          <a:extLst>
            <a:ext uri="{FF2B5EF4-FFF2-40B4-BE49-F238E27FC236}">
              <a16:creationId xmlns:a16="http://schemas.microsoft.com/office/drawing/2014/main" id="{C10540CE-F948-059B-16DB-FFF970F8E4E4}"/>
            </a:ext>
          </a:extLst>
        </xdr:cNvPr>
        <xdr:cNvSpPr>
          <a:spLocks noChangeShapeType="1"/>
        </xdr:cNvSpPr>
      </xdr:nvSpPr>
      <xdr:spPr bwMode="auto">
        <a:xfrm flipV="1">
          <a:off x="3873500" y="20751800"/>
          <a:ext cx="0" cy="1651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736600</xdr:colOff>
      <xdr:row>121</xdr:row>
      <xdr:rowOff>63500</xdr:rowOff>
    </xdr:from>
    <xdr:to>
      <xdr:col>4</xdr:col>
      <xdr:colOff>736600</xdr:colOff>
      <xdr:row>122</xdr:row>
      <xdr:rowOff>63500</xdr:rowOff>
    </xdr:to>
    <xdr:sp macro="" textlink="">
      <xdr:nvSpPr>
        <xdr:cNvPr id="53574" name="Line 44">
          <a:extLst>
            <a:ext uri="{FF2B5EF4-FFF2-40B4-BE49-F238E27FC236}">
              <a16:creationId xmlns:a16="http://schemas.microsoft.com/office/drawing/2014/main" id="{99288B57-A075-C7C3-6767-A90E3BD6F0DB}"/>
            </a:ext>
          </a:extLst>
        </xdr:cNvPr>
        <xdr:cNvSpPr>
          <a:spLocks noChangeShapeType="1"/>
        </xdr:cNvSpPr>
      </xdr:nvSpPr>
      <xdr:spPr bwMode="auto">
        <a:xfrm flipV="1">
          <a:off x="3873500" y="21234400"/>
          <a:ext cx="0" cy="1651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1117600</xdr:colOff>
      <xdr:row>121</xdr:row>
      <xdr:rowOff>101600</xdr:rowOff>
    </xdr:from>
    <xdr:to>
      <xdr:col>4</xdr:col>
      <xdr:colOff>1117600</xdr:colOff>
      <xdr:row>123</xdr:row>
      <xdr:rowOff>63500</xdr:rowOff>
    </xdr:to>
    <xdr:sp macro="" textlink="">
      <xdr:nvSpPr>
        <xdr:cNvPr id="53575" name="Line 45">
          <a:extLst>
            <a:ext uri="{FF2B5EF4-FFF2-40B4-BE49-F238E27FC236}">
              <a16:creationId xmlns:a16="http://schemas.microsoft.com/office/drawing/2014/main" id="{E1CA3299-B245-AB9C-9D4C-6EC061FE769F}"/>
            </a:ext>
          </a:extLst>
        </xdr:cNvPr>
        <xdr:cNvSpPr>
          <a:spLocks noChangeShapeType="1"/>
        </xdr:cNvSpPr>
      </xdr:nvSpPr>
      <xdr:spPr bwMode="auto">
        <a:xfrm>
          <a:off x="4254500" y="21272500"/>
          <a:ext cx="0" cy="2921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121</xdr:row>
      <xdr:rowOff>101600</xdr:rowOff>
    </xdr:from>
    <xdr:to>
      <xdr:col>7</xdr:col>
      <xdr:colOff>0</xdr:colOff>
      <xdr:row>123</xdr:row>
      <xdr:rowOff>76200</xdr:rowOff>
    </xdr:to>
    <xdr:sp macro="" textlink="">
      <xdr:nvSpPr>
        <xdr:cNvPr id="53576" name="Line 46">
          <a:extLst>
            <a:ext uri="{FF2B5EF4-FFF2-40B4-BE49-F238E27FC236}">
              <a16:creationId xmlns:a16="http://schemas.microsoft.com/office/drawing/2014/main" id="{EE28E364-C52F-DBFF-045C-20D86F97A133}"/>
            </a:ext>
          </a:extLst>
        </xdr:cNvPr>
        <xdr:cNvSpPr>
          <a:spLocks noChangeShapeType="1"/>
        </xdr:cNvSpPr>
      </xdr:nvSpPr>
      <xdr:spPr bwMode="auto">
        <a:xfrm>
          <a:off x="4394200" y="21272500"/>
          <a:ext cx="0" cy="3048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889000</xdr:colOff>
      <xdr:row>123</xdr:row>
      <xdr:rowOff>50800</xdr:rowOff>
    </xdr:from>
    <xdr:to>
      <xdr:col>4</xdr:col>
      <xdr:colOff>1092200</xdr:colOff>
      <xdr:row>123</xdr:row>
      <xdr:rowOff>50800</xdr:rowOff>
    </xdr:to>
    <xdr:sp macro="" textlink="">
      <xdr:nvSpPr>
        <xdr:cNvPr id="53577" name="Line 47">
          <a:extLst>
            <a:ext uri="{FF2B5EF4-FFF2-40B4-BE49-F238E27FC236}">
              <a16:creationId xmlns:a16="http://schemas.microsoft.com/office/drawing/2014/main" id="{61113342-3220-B367-D78B-7D02072FB9E5}"/>
            </a:ext>
          </a:extLst>
        </xdr:cNvPr>
        <xdr:cNvSpPr>
          <a:spLocks noChangeShapeType="1"/>
        </xdr:cNvSpPr>
      </xdr:nvSpPr>
      <xdr:spPr bwMode="auto">
        <a:xfrm flipH="1">
          <a:off x="4025900" y="21551900"/>
          <a:ext cx="2032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12700</xdr:colOff>
      <xdr:row>123</xdr:row>
      <xdr:rowOff>38100</xdr:rowOff>
    </xdr:from>
    <xdr:to>
      <xdr:col>7</xdr:col>
      <xdr:colOff>215900</xdr:colOff>
      <xdr:row>123</xdr:row>
      <xdr:rowOff>38100</xdr:rowOff>
    </xdr:to>
    <xdr:sp macro="" textlink="">
      <xdr:nvSpPr>
        <xdr:cNvPr id="53578" name="Line 48">
          <a:extLst>
            <a:ext uri="{FF2B5EF4-FFF2-40B4-BE49-F238E27FC236}">
              <a16:creationId xmlns:a16="http://schemas.microsoft.com/office/drawing/2014/main" id="{E425213B-022A-0C27-B1C9-19EDBD131C8D}"/>
            </a:ext>
          </a:extLst>
        </xdr:cNvPr>
        <xdr:cNvSpPr>
          <a:spLocks noChangeShapeType="1"/>
        </xdr:cNvSpPr>
      </xdr:nvSpPr>
      <xdr:spPr bwMode="auto">
        <a:xfrm flipH="1">
          <a:off x="4406900" y="21539200"/>
          <a:ext cx="2032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4</xdr:col>
      <xdr:colOff>1099185</xdr:colOff>
      <xdr:row>122</xdr:row>
      <xdr:rowOff>102870</xdr:rowOff>
    </xdr:from>
    <xdr:ext cx="92526" cy="141001"/>
    <xdr:sp macro="" textlink="">
      <xdr:nvSpPr>
        <xdr:cNvPr id="29745" name="Text Box 49">
          <a:extLst>
            <a:ext uri="{FF2B5EF4-FFF2-40B4-BE49-F238E27FC236}">
              <a16:creationId xmlns:a16="http://schemas.microsoft.com/office/drawing/2014/main" id="{210E4074-1BBD-34EC-BB60-DE5A7AA6315C}"/>
            </a:ext>
          </a:extLst>
        </xdr:cNvPr>
        <xdr:cNvSpPr txBox="1">
          <a:spLocks noChangeArrowheads="1"/>
        </xdr:cNvSpPr>
      </xdr:nvSpPr>
      <xdr:spPr bwMode="auto">
        <a:xfrm>
          <a:off x="3811905" y="21438870"/>
          <a:ext cx="92526" cy="141001"/>
        </a:xfrm>
        <a:prstGeom prst="rect">
          <a:avLst/>
        </a:prstGeom>
        <a:noFill/>
        <a:ln>
          <a:noFill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1" i="0" u="none" strike="noStrike" baseline="0">
              <a:solidFill>
                <a:srgbClr val="FF0000"/>
              </a:solidFill>
              <a:latin typeface="Arial"/>
              <a:cs typeface="Arial"/>
            </a:rPr>
            <a:t>H</a:t>
          </a:r>
        </a:p>
      </xdr:txBody>
    </xdr:sp>
    <xdr:clientData/>
  </xdr:oneCellAnchor>
  <xdr:twoCellAnchor>
    <xdr:from>
      <xdr:col>11</xdr:col>
      <xdr:colOff>38100</xdr:colOff>
      <xdr:row>192</xdr:row>
      <xdr:rowOff>12700</xdr:rowOff>
    </xdr:from>
    <xdr:to>
      <xdr:col>14</xdr:col>
      <xdr:colOff>673100</xdr:colOff>
      <xdr:row>197</xdr:row>
      <xdr:rowOff>0</xdr:rowOff>
    </xdr:to>
    <xdr:sp macro="" textlink="">
      <xdr:nvSpPr>
        <xdr:cNvPr id="53580" name="Line 50">
          <a:extLst>
            <a:ext uri="{FF2B5EF4-FFF2-40B4-BE49-F238E27FC236}">
              <a16:creationId xmlns:a16="http://schemas.microsoft.com/office/drawing/2014/main" id="{F42D6FD6-AC69-4F07-A4D3-E5C1CD76BCF8}"/>
            </a:ext>
          </a:extLst>
        </xdr:cNvPr>
        <xdr:cNvSpPr>
          <a:spLocks noChangeShapeType="1"/>
        </xdr:cNvSpPr>
      </xdr:nvSpPr>
      <xdr:spPr bwMode="auto">
        <a:xfrm flipV="1">
          <a:off x="8394700" y="33566100"/>
          <a:ext cx="1676400" cy="838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12700</xdr:colOff>
      <xdr:row>192</xdr:row>
      <xdr:rowOff>0</xdr:rowOff>
    </xdr:from>
    <xdr:to>
      <xdr:col>14</xdr:col>
      <xdr:colOff>673100</xdr:colOff>
      <xdr:row>197</xdr:row>
      <xdr:rowOff>0</xdr:rowOff>
    </xdr:to>
    <xdr:sp macro="" textlink="">
      <xdr:nvSpPr>
        <xdr:cNvPr id="53581" name="Line 51">
          <a:extLst>
            <a:ext uri="{FF2B5EF4-FFF2-40B4-BE49-F238E27FC236}">
              <a16:creationId xmlns:a16="http://schemas.microsoft.com/office/drawing/2014/main" id="{14454EC6-EAC3-5CE3-5922-2AF9D4471438}"/>
            </a:ext>
          </a:extLst>
        </xdr:cNvPr>
        <xdr:cNvSpPr>
          <a:spLocks noChangeShapeType="1"/>
        </xdr:cNvSpPr>
      </xdr:nvSpPr>
      <xdr:spPr bwMode="auto">
        <a:xfrm>
          <a:off x="8369300" y="33553400"/>
          <a:ext cx="1701800" cy="8509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7</xdr:col>
      <xdr:colOff>61191</xdr:colOff>
      <xdr:row>7</xdr:row>
      <xdr:rowOff>81915</xdr:rowOff>
    </xdr:from>
    <xdr:ext cx="528852" cy="907941"/>
    <xdr:sp macro="" textlink="">
      <xdr:nvSpPr>
        <xdr:cNvPr id="29748" name="Text Box 52">
          <a:extLst>
            <a:ext uri="{FF2B5EF4-FFF2-40B4-BE49-F238E27FC236}">
              <a16:creationId xmlns:a16="http://schemas.microsoft.com/office/drawing/2014/main" id="{96218754-F635-758A-B2F1-50BE1DC96D80}"/>
            </a:ext>
          </a:extLst>
        </xdr:cNvPr>
        <xdr:cNvSpPr txBox="1">
          <a:spLocks noChangeArrowheads="1"/>
        </xdr:cNvSpPr>
      </xdr:nvSpPr>
      <xdr:spPr bwMode="auto">
        <a:xfrm>
          <a:off x="4015971" y="1339215"/>
          <a:ext cx="464358" cy="907941"/>
        </a:xfrm>
        <a:prstGeom prst="rect">
          <a:avLst/>
        </a:prstGeom>
        <a:noFill/>
        <a:ln>
          <a:noFill/>
        </a:ln>
      </xdr:spPr>
      <xdr:txBody>
        <a:bodyPr wrap="none" lIns="18288" tIns="22860" rIns="18288" bIns="0" anchor="t" upright="1">
          <a:spAutoFit/>
        </a:bodyPr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Adjust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Bolt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Length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to the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Next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1/4"</a:t>
          </a:r>
        </a:p>
      </xdr:txBody>
    </xdr:sp>
    <xdr:clientData/>
  </xdr:oneCellAnchor>
  <xdr:oneCellAnchor>
    <xdr:from>
      <xdr:col>14</xdr:col>
      <xdr:colOff>108181</xdr:colOff>
      <xdr:row>7</xdr:row>
      <xdr:rowOff>0</xdr:rowOff>
    </xdr:from>
    <xdr:ext cx="515954" cy="907941"/>
    <xdr:sp macro="" textlink="">
      <xdr:nvSpPr>
        <xdr:cNvPr id="29749" name="Text Box 53">
          <a:extLst>
            <a:ext uri="{FF2B5EF4-FFF2-40B4-BE49-F238E27FC236}">
              <a16:creationId xmlns:a16="http://schemas.microsoft.com/office/drawing/2014/main" id="{8A9A5958-605D-9207-806C-F9AACFC5EADA}"/>
            </a:ext>
          </a:extLst>
        </xdr:cNvPr>
        <xdr:cNvSpPr txBox="1">
          <a:spLocks noChangeArrowheads="1"/>
        </xdr:cNvSpPr>
      </xdr:nvSpPr>
      <xdr:spPr bwMode="auto">
        <a:xfrm>
          <a:off x="8553681" y="1257300"/>
          <a:ext cx="464359" cy="907941"/>
        </a:xfrm>
        <a:prstGeom prst="rect">
          <a:avLst/>
        </a:prstGeom>
        <a:noFill/>
        <a:ln>
          <a:noFill/>
        </a:ln>
      </xdr:spPr>
      <xdr:txBody>
        <a:bodyPr wrap="none" lIns="18288" tIns="22860" rIns="18288" bIns="0" anchor="t" upright="1">
          <a:spAutoFit/>
        </a:bodyPr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Adjust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Bolt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Length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to the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Next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6mm</a:t>
          </a:r>
        </a:p>
      </xdr:txBody>
    </xdr:sp>
    <xdr:clientData/>
  </xdr:oneCellAnchor>
  <xdr:twoCellAnchor>
    <xdr:from>
      <xdr:col>9</xdr:col>
      <xdr:colOff>723900</xdr:colOff>
      <xdr:row>79</xdr:row>
      <xdr:rowOff>38100</xdr:rowOff>
    </xdr:from>
    <xdr:to>
      <xdr:col>9</xdr:col>
      <xdr:colOff>895284</xdr:colOff>
      <xdr:row>79</xdr:row>
      <xdr:rowOff>162307</xdr:rowOff>
    </xdr:to>
    <xdr:sp macro="" textlink="">
      <xdr:nvSpPr>
        <xdr:cNvPr id="29750" name="AutoShape 54">
          <a:extLst>
            <a:ext uri="{FF2B5EF4-FFF2-40B4-BE49-F238E27FC236}">
              <a16:creationId xmlns:a16="http://schemas.microsoft.com/office/drawing/2014/main" id="{34D1F4C4-921E-1428-56CC-5576C1A06CE1}"/>
            </a:ext>
          </a:extLst>
        </xdr:cNvPr>
        <xdr:cNvSpPr>
          <a:spLocks noChangeArrowheads="1"/>
        </xdr:cNvSpPr>
      </xdr:nvSpPr>
      <xdr:spPr bwMode="auto">
        <a:xfrm>
          <a:off x="6143625" y="13620750"/>
          <a:ext cx="133350" cy="133350"/>
        </a:xfrm>
        <a:prstGeom prst="star5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905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miter lim="800000"/>
          <a:headEnd/>
          <a:tailEnd/>
        </a:ln>
      </xdr:spPr>
      <xdr:txBody>
        <a:bodyPr/>
        <a:lstStyle/>
        <a:p>
          <a:endParaRPr lang="en-US"/>
        </a:p>
      </xdr:txBody>
    </xdr:sp>
    <xdr:clientData/>
  </xdr:twoCellAnchor>
  <xdr:twoCellAnchor>
    <xdr:from>
      <xdr:col>9</xdr:col>
      <xdr:colOff>767080</xdr:colOff>
      <xdr:row>80</xdr:row>
      <xdr:rowOff>30480</xdr:rowOff>
    </xdr:from>
    <xdr:to>
      <xdr:col>9</xdr:col>
      <xdr:colOff>893196</xdr:colOff>
      <xdr:row>80</xdr:row>
      <xdr:rowOff>167865</xdr:rowOff>
    </xdr:to>
    <xdr:sp macro="" textlink="">
      <xdr:nvSpPr>
        <xdr:cNvPr id="29751" name="AutoShape 55">
          <a:extLst>
            <a:ext uri="{FF2B5EF4-FFF2-40B4-BE49-F238E27FC236}">
              <a16:creationId xmlns:a16="http://schemas.microsoft.com/office/drawing/2014/main" id="{A48D21EA-ABE2-D866-57AD-D70BC1511E4A}"/>
            </a:ext>
          </a:extLst>
        </xdr:cNvPr>
        <xdr:cNvSpPr>
          <a:spLocks noChangeArrowheads="1"/>
        </xdr:cNvSpPr>
      </xdr:nvSpPr>
      <xdr:spPr bwMode="auto">
        <a:xfrm>
          <a:off x="6162675" y="13820775"/>
          <a:ext cx="133350" cy="133350"/>
        </a:xfrm>
        <a:prstGeom prst="star5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905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miter lim="800000"/>
          <a:headEnd/>
          <a:tailEnd/>
        </a:ln>
      </xdr:spPr>
      <xdr:txBody>
        <a:bodyPr/>
        <a:lstStyle/>
        <a:p>
          <a:endParaRPr lang="en-US"/>
        </a:p>
      </xdr:txBody>
    </xdr:sp>
    <xdr:clientData/>
  </xdr:twoCellAnchor>
  <xdr:twoCellAnchor>
    <xdr:from>
      <xdr:col>8</xdr:col>
      <xdr:colOff>11430</xdr:colOff>
      <xdr:row>84</xdr:row>
      <xdr:rowOff>26670</xdr:rowOff>
    </xdr:from>
    <xdr:to>
      <xdr:col>8</xdr:col>
      <xdr:colOff>177213</xdr:colOff>
      <xdr:row>85</xdr:row>
      <xdr:rowOff>2339</xdr:rowOff>
    </xdr:to>
    <xdr:sp macro="" textlink="">
      <xdr:nvSpPr>
        <xdr:cNvPr id="29752" name="AutoShape 56">
          <a:extLst>
            <a:ext uri="{FF2B5EF4-FFF2-40B4-BE49-F238E27FC236}">
              <a16:creationId xmlns:a16="http://schemas.microsoft.com/office/drawing/2014/main" id="{F0EC98EE-059E-57DD-244D-2665CE2167D1}"/>
            </a:ext>
          </a:extLst>
        </xdr:cNvPr>
        <xdr:cNvSpPr>
          <a:spLocks noChangeArrowheads="1"/>
        </xdr:cNvSpPr>
      </xdr:nvSpPr>
      <xdr:spPr bwMode="auto">
        <a:xfrm>
          <a:off x="4714875" y="14497050"/>
          <a:ext cx="133350" cy="133350"/>
        </a:xfrm>
        <a:prstGeom prst="star5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905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miter lim="800000"/>
          <a:headEnd/>
          <a:tailEnd/>
        </a:ln>
      </xdr:spPr>
      <xdr:txBody>
        <a:bodyPr/>
        <a:lstStyle/>
        <a:p>
          <a:endParaRPr lang="en-US"/>
        </a:p>
      </xdr:txBody>
    </xdr:sp>
    <xdr:clientData/>
  </xdr:twoCellAnchor>
  <xdr:oneCellAnchor>
    <xdr:from>
      <xdr:col>10</xdr:col>
      <xdr:colOff>138661</xdr:colOff>
      <xdr:row>29</xdr:row>
      <xdr:rowOff>26670</xdr:rowOff>
    </xdr:from>
    <xdr:ext cx="515954" cy="1202893"/>
    <xdr:sp macro="" textlink="">
      <xdr:nvSpPr>
        <xdr:cNvPr id="29753" name="Text Box 57">
          <a:extLst>
            <a:ext uri="{FF2B5EF4-FFF2-40B4-BE49-F238E27FC236}">
              <a16:creationId xmlns:a16="http://schemas.microsoft.com/office/drawing/2014/main" id="{97A794A7-38A4-4292-C97F-47A1A3EFCAAB}"/>
            </a:ext>
          </a:extLst>
        </xdr:cNvPr>
        <xdr:cNvSpPr txBox="1">
          <a:spLocks noChangeArrowheads="1"/>
        </xdr:cNvSpPr>
      </xdr:nvSpPr>
      <xdr:spPr bwMode="auto">
        <a:xfrm>
          <a:off x="6694401" y="5139690"/>
          <a:ext cx="464359" cy="1202893"/>
        </a:xfrm>
        <a:prstGeom prst="rect">
          <a:avLst/>
        </a:prstGeom>
        <a:noFill/>
        <a:ln>
          <a:noFill/>
        </a:ln>
      </xdr:spPr>
      <xdr:txBody>
        <a:bodyPr wrap="none" lIns="18288" tIns="22860" rIns="18288" bIns="0" anchor="t" upright="1">
          <a:spAutoFit/>
        </a:bodyPr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Adjust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Bolt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Length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to the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Next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1/4"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or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6mm</a:t>
          </a:r>
        </a:p>
      </xdr:txBody>
    </xdr:sp>
    <xdr:clientData/>
  </xdr:oneCellAnchor>
  <xdr:twoCellAnchor>
    <xdr:from>
      <xdr:col>2</xdr:col>
      <xdr:colOff>749300</xdr:colOff>
      <xdr:row>91</xdr:row>
      <xdr:rowOff>63500</xdr:rowOff>
    </xdr:from>
    <xdr:to>
      <xdr:col>3</xdr:col>
      <xdr:colOff>571500</xdr:colOff>
      <xdr:row>95</xdr:row>
      <xdr:rowOff>12700</xdr:rowOff>
    </xdr:to>
    <xdr:sp macro="" textlink="">
      <xdr:nvSpPr>
        <xdr:cNvPr id="53588" name="AutoShape 58">
          <a:extLst>
            <a:ext uri="{FF2B5EF4-FFF2-40B4-BE49-F238E27FC236}">
              <a16:creationId xmlns:a16="http://schemas.microsoft.com/office/drawing/2014/main" id="{C9C64C03-0E3C-B52D-564A-E7F93CAB65BA}"/>
            </a:ext>
          </a:extLst>
        </xdr:cNvPr>
        <xdr:cNvSpPr>
          <a:spLocks noChangeArrowheads="1"/>
        </xdr:cNvSpPr>
      </xdr:nvSpPr>
      <xdr:spPr bwMode="auto">
        <a:xfrm>
          <a:off x="1663700" y="16090900"/>
          <a:ext cx="800100" cy="609600"/>
        </a:xfrm>
        <a:prstGeom prst="hexagon">
          <a:avLst>
            <a:gd name="adj" fmla="val 32813"/>
            <a:gd name="vf" fmla="val 11547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965200</xdr:colOff>
      <xdr:row>92</xdr:row>
      <xdr:rowOff>50800</xdr:rowOff>
    </xdr:from>
    <xdr:to>
      <xdr:col>3</xdr:col>
      <xdr:colOff>342900</xdr:colOff>
      <xdr:row>94</xdr:row>
      <xdr:rowOff>50800</xdr:rowOff>
    </xdr:to>
    <xdr:sp macro="" textlink="">
      <xdr:nvSpPr>
        <xdr:cNvPr id="53589" name="Oval 59">
          <a:extLst>
            <a:ext uri="{FF2B5EF4-FFF2-40B4-BE49-F238E27FC236}">
              <a16:creationId xmlns:a16="http://schemas.microsoft.com/office/drawing/2014/main" id="{7637E0A5-69D2-27DD-8716-1ED5119A3E06}"/>
            </a:ext>
          </a:extLst>
        </xdr:cNvPr>
        <xdr:cNvSpPr>
          <a:spLocks noChangeArrowheads="1"/>
        </xdr:cNvSpPr>
      </xdr:nvSpPr>
      <xdr:spPr bwMode="auto">
        <a:xfrm>
          <a:off x="1879600" y="16243300"/>
          <a:ext cx="355600" cy="3302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905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</xdr:spPr>
    </xdr:sp>
    <xdr:clientData/>
  </xdr:twoCellAnchor>
  <xdr:twoCellAnchor>
    <xdr:from>
      <xdr:col>4</xdr:col>
      <xdr:colOff>127000</xdr:colOff>
      <xdr:row>91</xdr:row>
      <xdr:rowOff>63500</xdr:rowOff>
    </xdr:from>
    <xdr:to>
      <xdr:col>4</xdr:col>
      <xdr:colOff>952500</xdr:colOff>
      <xdr:row>95</xdr:row>
      <xdr:rowOff>12700</xdr:rowOff>
    </xdr:to>
    <xdr:sp macro="" textlink="">
      <xdr:nvSpPr>
        <xdr:cNvPr id="53590" name="AutoShape 60">
          <a:extLst>
            <a:ext uri="{FF2B5EF4-FFF2-40B4-BE49-F238E27FC236}">
              <a16:creationId xmlns:a16="http://schemas.microsoft.com/office/drawing/2014/main" id="{90E39A94-B11E-A7F5-9520-A2F7384B4344}"/>
            </a:ext>
          </a:extLst>
        </xdr:cNvPr>
        <xdr:cNvSpPr>
          <a:spLocks noChangeArrowheads="1"/>
        </xdr:cNvSpPr>
      </xdr:nvSpPr>
      <xdr:spPr bwMode="auto">
        <a:xfrm>
          <a:off x="3263900" y="16090900"/>
          <a:ext cx="825500" cy="609600"/>
        </a:xfrm>
        <a:prstGeom prst="hexagon">
          <a:avLst>
            <a:gd name="adj" fmla="val 33854"/>
            <a:gd name="vf" fmla="val 11547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368300</xdr:colOff>
      <xdr:row>92</xdr:row>
      <xdr:rowOff>50800</xdr:rowOff>
    </xdr:from>
    <xdr:to>
      <xdr:col>4</xdr:col>
      <xdr:colOff>723900</xdr:colOff>
      <xdr:row>94</xdr:row>
      <xdr:rowOff>50800</xdr:rowOff>
    </xdr:to>
    <xdr:sp macro="" textlink="">
      <xdr:nvSpPr>
        <xdr:cNvPr id="53591" name="Oval 61">
          <a:extLst>
            <a:ext uri="{FF2B5EF4-FFF2-40B4-BE49-F238E27FC236}">
              <a16:creationId xmlns:a16="http://schemas.microsoft.com/office/drawing/2014/main" id="{D9F48CDD-29E7-5BC1-58F2-580BC5BC7281}"/>
            </a:ext>
          </a:extLst>
        </xdr:cNvPr>
        <xdr:cNvSpPr>
          <a:spLocks noChangeArrowheads="1"/>
        </xdr:cNvSpPr>
      </xdr:nvSpPr>
      <xdr:spPr bwMode="auto">
        <a:xfrm>
          <a:off x="3505200" y="16243300"/>
          <a:ext cx="355600" cy="3302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905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</xdr:spPr>
    </xdr:sp>
    <xdr:clientData/>
  </xdr:twoCellAnchor>
  <xdr:twoCellAnchor>
    <xdr:from>
      <xdr:col>2</xdr:col>
      <xdr:colOff>419100</xdr:colOff>
      <xdr:row>93</xdr:row>
      <xdr:rowOff>38100</xdr:rowOff>
    </xdr:from>
    <xdr:to>
      <xdr:col>4</xdr:col>
      <xdr:colOff>1219200</xdr:colOff>
      <xdr:row>93</xdr:row>
      <xdr:rowOff>38100</xdr:rowOff>
    </xdr:to>
    <xdr:sp macro="" textlink="">
      <xdr:nvSpPr>
        <xdr:cNvPr id="53592" name="Line 62">
          <a:extLst>
            <a:ext uri="{FF2B5EF4-FFF2-40B4-BE49-F238E27FC236}">
              <a16:creationId xmlns:a16="http://schemas.microsoft.com/office/drawing/2014/main" id="{99228F69-BE4D-6875-3EE0-1C65C219B067}"/>
            </a:ext>
          </a:extLst>
        </xdr:cNvPr>
        <xdr:cNvSpPr>
          <a:spLocks noChangeShapeType="1"/>
        </xdr:cNvSpPr>
      </xdr:nvSpPr>
      <xdr:spPr bwMode="auto">
        <a:xfrm>
          <a:off x="1333500" y="16395700"/>
          <a:ext cx="30226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165100</xdr:colOff>
      <xdr:row>90</xdr:row>
      <xdr:rowOff>114300</xdr:rowOff>
    </xdr:from>
    <xdr:to>
      <xdr:col>3</xdr:col>
      <xdr:colOff>165100</xdr:colOff>
      <xdr:row>99</xdr:row>
      <xdr:rowOff>101600</xdr:rowOff>
    </xdr:to>
    <xdr:sp macro="" textlink="">
      <xdr:nvSpPr>
        <xdr:cNvPr id="53593" name="Line 63">
          <a:extLst>
            <a:ext uri="{FF2B5EF4-FFF2-40B4-BE49-F238E27FC236}">
              <a16:creationId xmlns:a16="http://schemas.microsoft.com/office/drawing/2014/main" id="{87F1AC48-36D8-85C4-7D58-A1D92001DB34}"/>
            </a:ext>
          </a:extLst>
        </xdr:cNvPr>
        <xdr:cNvSpPr>
          <a:spLocks noChangeShapeType="1"/>
        </xdr:cNvSpPr>
      </xdr:nvSpPr>
      <xdr:spPr bwMode="auto">
        <a:xfrm>
          <a:off x="2057400" y="15976600"/>
          <a:ext cx="0" cy="14732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533400</xdr:colOff>
      <xdr:row>91</xdr:row>
      <xdr:rowOff>12700</xdr:rowOff>
    </xdr:from>
    <xdr:to>
      <xdr:col>4</xdr:col>
      <xdr:colOff>533400</xdr:colOff>
      <xdr:row>100</xdr:row>
      <xdr:rowOff>0</xdr:rowOff>
    </xdr:to>
    <xdr:sp macro="" textlink="">
      <xdr:nvSpPr>
        <xdr:cNvPr id="53594" name="Line 64">
          <a:extLst>
            <a:ext uri="{FF2B5EF4-FFF2-40B4-BE49-F238E27FC236}">
              <a16:creationId xmlns:a16="http://schemas.microsoft.com/office/drawing/2014/main" id="{F9EC17C8-BB88-AD43-2D8F-170138E177A8}"/>
            </a:ext>
          </a:extLst>
        </xdr:cNvPr>
        <xdr:cNvSpPr>
          <a:spLocks noChangeShapeType="1"/>
        </xdr:cNvSpPr>
      </xdr:nvSpPr>
      <xdr:spPr bwMode="auto">
        <a:xfrm>
          <a:off x="3670300" y="16040100"/>
          <a:ext cx="0" cy="14732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901700</xdr:colOff>
      <xdr:row>89</xdr:row>
      <xdr:rowOff>0</xdr:rowOff>
    </xdr:from>
    <xdr:to>
      <xdr:col>3</xdr:col>
      <xdr:colOff>901700</xdr:colOff>
      <xdr:row>93</xdr:row>
      <xdr:rowOff>38100</xdr:rowOff>
    </xdr:to>
    <xdr:sp macro="" textlink="">
      <xdr:nvSpPr>
        <xdr:cNvPr id="53595" name="Line 65">
          <a:extLst>
            <a:ext uri="{FF2B5EF4-FFF2-40B4-BE49-F238E27FC236}">
              <a16:creationId xmlns:a16="http://schemas.microsoft.com/office/drawing/2014/main" id="{8772F49A-992A-5C49-9773-1F864CA63EBF}"/>
            </a:ext>
          </a:extLst>
        </xdr:cNvPr>
        <xdr:cNvSpPr>
          <a:spLocks noChangeShapeType="1"/>
        </xdr:cNvSpPr>
      </xdr:nvSpPr>
      <xdr:spPr bwMode="auto">
        <a:xfrm flipV="1">
          <a:off x="2794000" y="15684500"/>
          <a:ext cx="0" cy="71120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165100</xdr:colOff>
      <xdr:row>99</xdr:row>
      <xdr:rowOff>0</xdr:rowOff>
    </xdr:from>
    <xdr:to>
      <xdr:col>4</xdr:col>
      <xdr:colOff>533400</xdr:colOff>
      <xdr:row>99</xdr:row>
      <xdr:rowOff>0</xdr:rowOff>
    </xdr:to>
    <xdr:sp macro="" textlink="">
      <xdr:nvSpPr>
        <xdr:cNvPr id="53596" name="Line 66">
          <a:extLst>
            <a:ext uri="{FF2B5EF4-FFF2-40B4-BE49-F238E27FC236}">
              <a16:creationId xmlns:a16="http://schemas.microsoft.com/office/drawing/2014/main" id="{C258F91E-BFA4-DDD3-C637-331BF0C61C2A}"/>
            </a:ext>
          </a:extLst>
        </xdr:cNvPr>
        <xdr:cNvSpPr>
          <a:spLocks noChangeShapeType="1"/>
        </xdr:cNvSpPr>
      </xdr:nvSpPr>
      <xdr:spPr bwMode="auto">
        <a:xfrm>
          <a:off x="2057400" y="17348200"/>
          <a:ext cx="1612900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533400</xdr:colOff>
      <xdr:row>99</xdr:row>
      <xdr:rowOff>0</xdr:rowOff>
    </xdr:from>
    <xdr:to>
      <xdr:col>4</xdr:col>
      <xdr:colOff>1244600</xdr:colOff>
      <xdr:row>99</xdr:row>
      <xdr:rowOff>0</xdr:rowOff>
    </xdr:to>
    <xdr:sp macro="" textlink="">
      <xdr:nvSpPr>
        <xdr:cNvPr id="53597" name="Line 67">
          <a:extLst>
            <a:ext uri="{FF2B5EF4-FFF2-40B4-BE49-F238E27FC236}">
              <a16:creationId xmlns:a16="http://schemas.microsoft.com/office/drawing/2014/main" id="{01C15E91-3E5D-6410-4ED6-8A0FCE986886}"/>
            </a:ext>
          </a:extLst>
        </xdr:cNvPr>
        <xdr:cNvSpPr>
          <a:spLocks noChangeShapeType="1"/>
        </xdr:cNvSpPr>
      </xdr:nvSpPr>
      <xdr:spPr bwMode="auto">
        <a:xfrm>
          <a:off x="3670300" y="17348200"/>
          <a:ext cx="711200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12700</xdr:colOff>
      <xdr:row>87</xdr:row>
      <xdr:rowOff>152400</xdr:rowOff>
    </xdr:from>
    <xdr:to>
      <xdr:col>7</xdr:col>
      <xdr:colOff>292100</xdr:colOff>
      <xdr:row>87</xdr:row>
      <xdr:rowOff>152400</xdr:rowOff>
    </xdr:to>
    <xdr:sp macro="" textlink="">
      <xdr:nvSpPr>
        <xdr:cNvPr id="53598" name="Line 68">
          <a:extLst>
            <a:ext uri="{FF2B5EF4-FFF2-40B4-BE49-F238E27FC236}">
              <a16:creationId xmlns:a16="http://schemas.microsoft.com/office/drawing/2014/main" id="{6198E142-FEA8-3D3E-A592-20BCFA9DF8F1}"/>
            </a:ext>
          </a:extLst>
        </xdr:cNvPr>
        <xdr:cNvSpPr>
          <a:spLocks noChangeShapeType="1"/>
        </xdr:cNvSpPr>
      </xdr:nvSpPr>
      <xdr:spPr bwMode="auto">
        <a:xfrm>
          <a:off x="927100" y="15494000"/>
          <a:ext cx="37592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279400</xdr:colOff>
      <xdr:row>88</xdr:row>
      <xdr:rowOff>0</xdr:rowOff>
    </xdr:from>
    <xdr:to>
      <xdr:col>7</xdr:col>
      <xdr:colOff>279400</xdr:colOff>
      <xdr:row>100</xdr:row>
      <xdr:rowOff>0</xdr:rowOff>
    </xdr:to>
    <xdr:sp macro="" textlink="">
      <xdr:nvSpPr>
        <xdr:cNvPr id="53599" name="Line 69">
          <a:extLst>
            <a:ext uri="{FF2B5EF4-FFF2-40B4-BE49-F238E27FC236}">
              <a16:creationId xmlns:a16="http://schemas.microsoft.com/office/drawing/2014/main" id="{C0CC3FCC-F7F3-239D-6BD3-C25CAEE37337}"/>
            </a:ext>
          </a:extLst>
        </xdr:cNvPr>
        <xdr:cNvSpPr>
          <a:spLocks noChangeShapeType="1"/>
        </xdr:cNvSpPr>
      </xdr:nvSpPr>
      <xdr:spPr bwMode="auto">
        <a:xfrm>
          <a:off x="4673600" y="15506700"/>
          <a:ext cx="0" cy="20066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3</xdr:col>
      <xdr:colOff>593090</xdr:colOff>
      <xdr:row>90</xdr:row>
      <xdr:rowOff>15240</xdr:rowOff>
    </xdr:from>
    <xdr:to>
      <xdr:col>3</xdr:col>
      <xdr:colOff>819150</xdr:colOff>
      <xdr:row>91</xdr:row>
      <xdr:rowOff>140535</xdr:rowOff>
    </xdr:to>
    <xdr:sp macro="" textlink="">
      <xdr:nvSpPr>
        <xdr:cNvPr id="29766" name="Text Box 70">
          <a:extLst>
            <a:ext uri="{FF2B5EF4-FFF2-40B4-BE49-F238E27FC236}">
              <a16:creationId xmlns:a16="http://schemas.microsoft.com/office/drawing/2014/main" id="{EBBE08E1-2C2F-EBB5-6813-529635ACB2E3}"/>
            </a:ext>
          </a:extLst>
        </xdr:cNvPr>
        <xdr:cNvSpPr txBox="1">
          <a:spLocks noChangeArrowheads="1"/>
        </xdr:cNvSpPr>
      </xdr:nvSpPr>
      <xdr:spPr bwMode="auto">
        <a:xfrm>
          <a:off x="2171700" y="15478125"/>
          <a:ext cx="209550" cy="285750"/>
        </a:xfrm>
        <a:prstGeom prst="rect">
          <a:avLst/>
        </a:prstGeom>
        <a:noFill/>
        <a:ln>
          <a:noFill/>
        </a:ln>
      </xdr:spPr>
      <xdr:txBody>
        <a:bodyPr vertOverflow="clip" wrap="square" lIns="36576" tIns="32004" rIns="0" bIns="0" anchor="t" upright="1"/>
        <a:lstStyle/>
        <a:p>
          <a:pPr algn="l" rtl="0">
            <a:defRPr sz="1000"/>
          </a:pPr>
          <a:r>
            <a:rPr lang="en-US" sz="1600" b="1" i="0" u="none" strike="noStrike" baseline="0">
              <a:solidFill>
                <a:srgbClr val="FF0000"/>
              </a:solidFill>
              <a:latin typeface="Arial"/>
              <a:cs typeface="Arial"/>
            </a:rPr>
            <a:t>c</a:t>
          </a:r>
        </a:p>
      </xdr:txBody>
    </xdr:sp>
    <xdr:clientData/>
  </xdr:twoCellAnchor>
  <xdr:twoCellAnchor editAs="oneCell">
    <xdr:from>
      <xdr:col>4</xdr:col>
      <xdr:colOff>762000</xdr:colOff>
      <xdr:row>97</xdr:row>
      <xdr:rowOff>15240</xdr:rowOff>
    </xdr:from>
    <xdr:to>
      <xdr:col>4</xdr:col>
      <xdr:colOff>981210</xdr:colOff>
      <xdr:row>98</xdr:row>
      <xdr:rowOff>140535</xdr:rowOff>
    </xdr:to>
    <xdr:sp macro="" textlink="">
      <xdr:nvSpPr>
        <xdr:cNvPr id="29767" name="Text Box 71">
          <a:extLst>
            <a:ext uri="{FF2B5EF4-FFF2-40B4-BE49-F238E27FC236}">
              <a16:creationId xmlns:a16="http://schemas.microsoft.com/office/drawing/2014/main" id="{EBA95FD7-F2A0-62FD-7DA5-9206CDB93FE6}"/>
            </a:ext>
          </a:extLst>
        </xdr:cNvPr>
        <xdr:cNvSpPr txBox="1">
          <a:spLocks noChangeArrowheads="1"/>
        </xdr:cNvSpPr>
      </xdr:nvSpPr>
      <xdr:spPr bwMode="auto">
        <a:xfrm>
          <a:off x="3400425" y="16611600"/>
          <a:ext cx="209550" cy="285750"/>
        </a:xfrm>
        <a:prstGeom prst="rect">
          <a:avLst/>
        </a:prstGeom>
        <a:noFill/>
        <a:ln>
          <a:noFill/>
        </a:ln>
      </xdr:spPr>
      <xdr:txBody>
        <a:bodyPr vertOverflow="clip" wrap="square" lIns="36576" tIns="32004" rIns="0" bIns="0" anchor="t" upright="1"/>
        <a:lstStyle/>
        <a:p>
          <a:pPr algn="l" rtl="0">
            <a:defRPr sz="1000"/>
          </a:pPr>
          <a:r>
            <a:rPr lang="en-US" sz="1600" b="1" i="0" u="none" strike="noStrike" baseline="0">
              <a:solidFill>
                <a:srgbClr val="FF0000"/>
              </a:solidFill>
              <a:latin typeface="Arial"/>
              <a:cs typeface="Arial"/>
            </a:rPr>
            <a:t>B</a:t>
          </a:r>
        </a:p>
      </xdr:txBody>
    </xdr:sp>
    <xdr:clientData/>
  </xdr:twoCellAnchor>
  <xdr:twoCellAnchor editAs="oneCell">
    <xdr:from>
      <xdr:col>3</xdr:col>
      <xdr:colOff>819150</xdr:colOff>
      <xdr:row>97</xdr:row>
      <xdr:rowOff>64770</xdr:rowOff>
    </xdr:from>
    <xdr:to>
      <xdr:col>3</xdr:col>
      <xdr:colOff>1059740</xdr:colOff>
      <xdr:row>99</xdr:row>
      <xdr:rowOff>11430</xdr:rowOff>
    </xdr:to>
    <xdr:sp macro="" textlink="">
      <xdr:nvSpPr>
        <xdr:cNvPr id="29768" name="Text Box 72">
          <a:extLst>
            <a:ext uri="{FF2B5EF4-FFF2-40B4-BE49-F238E27FC236}">
              <a16:creationId xmlns:a16="http://schemas.microsoft.com/office/drawing/2014/main" id="{94616A90-E91C-4E82-81E7-4A553EBF982C}"/>
            </a:ext>
          </a:extLst>
        </xdr:cNvPr>
        <xdr:cNvSpPr txBox="1">
          <a:spLocks noChangeArrowheads="1"/>
        </xdr:cNvSpPr>
      </xdr:nvSpPr>
      <xdr:spPr bwMode="auto">
        <a:xfrm>
          <a:off x="2381250" y="16659225"/>
          <a:ext cx="209550" cy="285750"/>
        </a:xfrm>
        <a:prstGeom prst="rect">
          <a:avLst/>
        </a:prstGeom>
        <a:noFill/>
        <a:ln>
          <a:noFill/>
        </a:ln>
      </xdr:spPr>
      <xdr:txBody>
        <a:bodyPr vertOverflow="clip" wrap="square" lIns="36576" tIns="32004" rIns="0" bIns="0" anchor="t" upright="1"/>
        <a:lstStyle/>
        <a:p>
          <a:pPr algn="l" rtl="0">
            <a:defRPr sz="1000"/>
          </a:pPr>
          <a:r>
            <a:rPr lang="en-US" sz="1600" b="1" i="0" u="none" strike="noStrike" baseline="0">
              <a:solidFill>
                <a:srgbClr val="FF0000"/>
              </a:solidFill>
              <a:latin typeface="Arial"/>
              <a:cs typeface="Arial"/>
            </a:rPr>
            <a:t>A</a:t>
          </a:r>
        </a:p>
      </xdr:txBody>
    </xdr:sp>
    <xdr:clientData/>
  </xdr:twoCellAnchor>
  <xdr:twoCellAnchor>
    <xdr:from>
      <xdr:col>4</xdr:col>
      <xdr:colOff>1244600</xdr:colOff>
      <xdr:row>88</xdr:row>
      <xdr:rowOff>165100</xdr:rowOff>
    </xdr:from>
    <xdr:to>
      <xdr:col>7</xdr:col>
      <xdr:colOff>279400</xdr:colOff>
      <xdr:row>100</xdr:row>
      <xdr:rowOff>0</xdr:rowOff>
    </xdr:to>
    <xdr:sp macro="" textlink="">
      <xdr:nvSpPr>
        <xdr:cNvPr id="53603" name="Rectangle 73">
          <a:extLst>
            <a:ext uri="{FF2B5EF4-FFF2-40B4-BE49-F238E27FC236}">
              <a16:creationId xmlns:a16="http://schemas.microsoft.com/office/drawing/2014/main" id="{5499DAFC-FFB6-1B4B-FFC9-9E780C04E213}"/>
            </a:ext>
          </a:extLst>
        </xdr:cNvPr>
        <xdr:cNvSpPr>
          <a:spLocks noChangeArrowheads="1"/>
        </xdr:cNvSpPr>
      </xdr:nvSpPr>
      <xdr:spPr bwMode="auto">
        <a:xfrm>
          <a:off x="4381500" y="15671800"/>
          <a:ext cx="292100" cy="184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FF" mc:Ignorable="a14" a14:legacySpreadsheetColorIndex="1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12700</xdr:colOff>
      <xdr:row>87</xdr:row>
      <xdr:rowOff>152400</xdr:rowOff>
    </xdr:from>
    <xdr:to>
      <xdr:col>7</xdr:col>
      <xdr:colOff>254000</xdr:colOff>
      <xdr:row>89</xdr:row>
      <xdr:rowOff>0</xdr:rowOff>
    </xdr:to>
    <xdr:sp macro="" textlink="">
      <xdr:nvSpPr>
        <xdr:cNvPr id="53604" name="Rectangle 74">
          <a:extLst>
            <a:ext uri="{FF2B5EF4-FFF2-40B4-BE49-F238E27FC236}">
              <a16:creationId xmlns:a16="http://schemas.microsoft.com/office/drawing/2014/main" id="{97CB276B-8512-2413-1860-E91381FE9CD7}"/>
            </a:ext>
          </a:extLst>
        </xdr:cNvPr>
        <xdr:cNvSpPr>
          <a:spLocks noChangeArrowheads="1"/>
        </xdr:cNvSpPr>
      </xdr:nvSpPr>
      <xdr:spPr bwMode="auto">
        <a:xfrm>
          <a:off x="927100" y="15494000"/>
          <a:ext cx="3721100" cy="190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FF" mc:Ignorable="a14" a14:legacySpreadsheetColorIndex="1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oneCellAnchor>
    <xdr:from>
      <xdr:col>2</xdr:col>
      <xdr:colOff>796290</xdr:colOff>
      <xdr:row>103</xdr:row>
      <xdr:rowOff>165735</xdr:rowOff>
    </xdr:from>
    <xdr:ext cx="1162973" cy="204736"/>
    <xdr:sp macro="" textlink="">
      <xdr:nvSpPr>
        <xdr:cNvPr id="29771" name="Text Box 75">
          <a:extLst>
            <a:ext uri="{FF2B5EF4-FFF2-40B4-BE49-F238E27FC236}">
              <a16:creationId xmlns:a16="http://schemas.microsoft.com/office/drawing/2014/main" id="{6A0D0D2A-4C77-61BD-9F44-3596DA8D098E}"/>
            </a:ext>
          </a:extLst>
        </xdr:cNvPr>
        <xdr:cNvSpPr txBox="1">
          <a:spLocks noChangeArrowheads="1"/>
        </xdr:cNvSpPr>
      </xdr:nvSpPr>
      <xdr:spPr bwMode="auto">
        <a:xfrm>
          <a:off x="1543050" y="18187035"/>
          <a:ext cx="1139479" cy="204736"/>
        </a:xfrm>
        <a:prstGeom prst="rect">
          <a:avLst/>
        </a:prstGeom>
        <a:noFill/>
        <a:ln>
          <a:noFill/>
        </a:ln>
      </xdr:spPr>
      <xdr:txBody>
        <a:bodyPr wrap="none" lIns="27432" tIns="27432" rIns="0" bIns="0" anchor="t" upright="1">
          <a:spAutoFit/>
        </a:bodyPr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Socket Wrench</a:t>
          </a:r>
        </a:p>
      </xdr:txBody>
    </xdr:sp>
    <xdr:clientData/>
  </xdr:oneCellAnchor>
  <xdr:oneCellAnchor>
    <xdr:from>
      <xdr:col>7</xdr:col>
      <xdr:colOff>721995</xdr:colOff>
      <xdr:row>104</xdr:row>
      <xdr:rowOff>0</xdr:rowOff>
    </xdr:from>
    <xdr:ext cx="1361527" cy="204736"/>
    <xdr:sp macro="" textlink="">
      <xdr:nvSpPr>
        <xdr:cNvPr id="29772" name="Text Box 76">
          <a:extLst>
            <a:ext uri="{FF2B5EF4-FFF2-40B4-BE49-F238E27FC236}">
              <a16:creationId xmlns:a16="http://schemas.microsoft.com/office/drawing/2014/main" id="{4E80CBCA-D4D5-F59C-6BB5-9B115400A83F}"/>
            </a:ext>
          </a:extLst>
        </xdr:cNvPr>
        <xdr:cNvSpPr txBox="1">
          <a:spLocks noChangeArrowheads="1"/>
        </xdr:cNvSpPr>
      </xdr:nvSpPr>
      <xdr:spPr bwMode="auto">
        <a:xfrm>
          <a:off x="5116195" y="18199100"/>
          <a:ext cx="1361527" cy="204736"/>
        </a:xfrm>
        <a:prstGeom prst="rect">
          <a:avLst/>
        </a:prstGeom>
        <a:noFill/>
        <a:ln>
          <a:noFill/>
        </a:ln>
      </xdr:spPr>
      <xdr:txBody>
        <a:bodyPr wrap="none" lIns="27432" tIns="27432" rIns="0" bIns="0" anchor="t" upright="1">
          <a:spAutoFit/>
        </a:bodyPr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Open End Wrench</a:t>
          </a:r>
        </a:p>
      </xdr:txBody>
    </xdr:sp>
    <xdr:clientData/>
  </xdr:oneCellAnchor>
  <xdr:oneCellAnchor>
    <xdr:from>
      <xdr:col>3</xdr:col>
      <xdr:colOff>45720</xdr:colOff>
      <xdr:row>100</xdr:row>
      <xdr:rowOff>110490</xdr:rowOff>
    </xdr:from>
    <xdr:ext cx="2835121" cy="346318"/>
    <xdr:sp macro="" textlink="">
      <xdr:nvSpPr>
        <xdr:cNvPr id="29773" name="Text Box 77">
          <a:extLst>
            <a:ext uri="{FF2B5EF4-FFF2-40B4-BE49-F238E27FC236}">
              <a16:creationId xmlns:a16="http://schemas.microsoft.com/office/drawing/2014/main" id="{1E155C9E-8908-550C-EEF9-48B17BE8B344}"/>
            </a:ext>
          </a:extLst>
        </xdr:cNvPr>
        <xdr:cNvSpPr txBox="1">
          <a:spLocks noChangeArrowheads="1"/>
        </xdr:cNvSpPr>
      </xdr:nvSpPr>
      <xdr:spPr bwMode="auto">
        <a:xfrm>
          <a:off x="1764030" y="17615535"/>
          <a:ext cx="2769156" cy="302390"/>
        </a:xfrm>
        <a:prstGeom prst="rect">
          <a:avLst/>
        </a:prstGeom>
        <a:noFill/>
        <a:ln>
          <a:noFill/>
        </a:ln>
      </xdr:spPr>
      <xdr:txBody>
        <a:bodyPr wrap="none" lIns="36576" tIns="36576" rIns="0" bIns="0" anchor="t" upright="1">
          <a:spAutoFit/>
        </a:bodyPr>
        <a:lstStyle/>
        <a:p>
          <a:pPr algn="l" rtl="0">
            <a:defRPr sz="1000"/>
          </a:pPr>
          <a:r>
            <a:rPr lang="en-US" sz="1800" b="1" i="1" u="sng" strike="noStrike" baseline="0">
              <a:solidFill>
                <a:srgbClr val="0000FF"/>
              </a:solidFill>
              <a:latin typeface="Arial"/>
              <a:cs typeface="Arial"/>
            </a:rPr>
            <a:t>Wrench Clearance Guide</a:t>
          </a:r>
        </a:p>
      </xdr:txBody>
    </xdr:sp>
    <xdr:clientData/>
  </xdr:oneCellAnchor>
  <xdr:twoCellAnchor editAs="oneCell">
    <xdr:from>
      <xdr:col>17</xdr:col>
      <xdr:colOff>368300</xdr:colOff>
      <xdr:row>22</xdr:row>
      <xdr:rowOff>88900</xdr:rowOff>
    </xdr:from>
    <xdr:to>
      <xdr:col>25</xdr:col>
      <xdr:colOff>393700</xdr:colOff>
      <xdr:row>37</xdr:row>
      <xdr:rowOff>114300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2E37E2D-6223-1444-56EB-E731B912D7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26900" y="3886200"/>
          <a:ext cx="5410200" cy="2692400"/>
        </a:xfrm>
        <a:prstGeom prst="rect">
          <a:avLst/>
        </a:prstGeom>
      </xdr:spPr>
    </xdr:pic>
    <xdr:clientData/>
  </xdr:twoCellAnchor>
  <xdr:twoCellAnchor editAs="oneCell">
    <xdr:from>
      <xdr:col>17</xdr:col>
      <xdr:colOff>368300</xdr:colOff>
      <xdr:row>22</xdr:row>
      <xdr:rowOff>88900</xdr:rowOff>
    </xdr:from>
    <xdr:to>
      <xdr:col>24</xdr:col>
      <xdr:colOff>647700</xdr:colOff>
      <xdr:row>27</xdr:row>
      <xdr:rowOff>114300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E1DBEC1-D6E8-B83A-3642-B1968832F7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026900" y="3886200"/>
          <a:ext cx="4991100" cy="952500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</xdr:row>
      <xdr:rowOff>25400</xdr:rowOff>
    </xdr:from>
    <xdr:to>
      <xdr:col>4</xdr:col>
      <xdr:colOff>25400</xdr:colOff>
      <xdr:row>4</xdr:row>
      <xdr:rowOff>127000</xdr:rowOff>
    </xdr:to>
    <xdr:sp macro="" textlink="">
      <xdr:nvSpPr>
        <xdr:cNvPr id="15022" name="Line 15">
          <a:extLst>
            <a:ext uri="{FF2B5EF4-FFF2-40B4-BE49-F238E27FC236}">
              <a16:creationId xmlns:a16="http://schemas.microsoft.com/office/drawing/2014/main" id="{8A3A1249-E4B3-F762-2FB1-B91BE25924D6}"/>
            </a:ext>
          </a:extLst>
        </xdr:cNvPr>
        <xdr:cNvSpPr>
          <a:spLocks noChangeShapeType="1"/>
        </xdr:cNvSpPr>
      </xdr:nvSpPr>
      <xdr:spPr bwMode="auto">
        <a:xfrm flipH="1" flipV="1">
          <a:off x="2832100" y="317500"/>
          <a:ext cx="12700" cy="7366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12700</xdr:colOff>
      <xdr:row>0</xdr:row>
      <xdr:rowOff>279400</xdr:rowOff>
    </xdr:from>
    <xdr:to>
      <xdr:col>6</xdr:col>
      <xdr:colOff>12700</xdr:colOff>
      <xdr:row>4</xdr:row>
      <xdr:rowOff>114300</xdr:rowOff>
    </xdr:to>
    <xdr:sp macro="" textlink="">
      <xdr:nvSpPr>
        <xdr:cNvPr id="15023" name="Line 16">
          <a:extLst>
            <a:ext uri="{FF2B5EF4-FFF2-40B4-BE49-F238E27FC236}">
              <a16:creationId xmlns:a16="http://schemas.microsoft.com/office/drawing/2014/main" id="{79CEDE6B-CA9A-6949-C283-10D246A654BC}"/>
            </a:ext>
          </a:extLst>
        </xdr:cNvPr>
        <xdr:cNvSpPr>
          <a:spLocks noChangeShapeType="1"/>
        </xdr:cNvSpPr>
      </xdr:nvSpPr>
      <xdr:spPr bwMode="auto">
        <a:xfrm flipH="1" flipV="1">
          <a:off x="4584700" y="279400"/>
          <a:ext cx="0" cy="7620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25400</xdr:colOff>
      <xdr:row>1</xdr:row>
      <xdr:rowOff>114300</xdr:rowOff>
    </xdr:from>
    <xdr:to>
      <xdr:col>6</xdr:col>
      <xdr:colOff>12700</xdr:colOff>
      <xdr:row>1</xdr:row>
      <xdr:rowOff>114300</xdr:rowOff>
    </xdr:to>
    <xdr:sp macro="" textlink="">
      <xdr:nvSpPr>
        <xdr:cNvPr id="15024" name="Line 17">
          <a:extLst>
            <a:ext uri="{FF2B5EF4-FFF2-40B4-BE49-F238E27FC236}">
              <a16:creationId xmlns:a16="http://schemas.microsoft.com/office/drawing/2014/main" id="{2FB111E9-0387-CD4F-C4BD-AFD71329F307}"/>
            </a:ext>
          </a:extLst>
        </xdr:cNvPr>
        <xdr:cNvSpPr>
          <a:spLocks noChangeShapeType="1"/>
        </xdr:cNvSpPr>
      </xdr:nvSpPr>
      <xdr:spPr bwMode="auto">
        <a:xfrm>
          <a:off x="2844800" y="406400"/>
          <a:ext cx="17399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469900</xdr:colOff>
      <xdr:row>5</xdr:row>
      <xdr:rowOff>0</xdr:rowOff>
    </xdr:from>
    <xdr:to>
      <xdr:col>3</xdr:col>
      <xdr:colOff>647700</xdr:colOff>
      <xdr:row>5</xdr:row>
      <xdr:rowOff>0</xdr:rowOff>
    </xdr:to>
    <xdr:sp macro="" textlink="">
      <xdr:nvSpPr>
        <xdr:cNvPr id="15025" name="Line 23">
          <a:extLst>
            <a:ext uri="{FF2B5EF4-FFF2-40B4-BE49-F238E27FC236}">
              <a16:creationId xmlns:a16="http://schemas.microsoft.com/office/drawing/2014/main" id="{94235F28-B03A-7325-9C42-F22F6B9A102E}"/>
            </a:ext>
          </a:extLst>
        </xdr:cNvPr>
        <xdr:cNvSpPr>
          <a:spLocks noChangeShapeType="1"/>
        </xdr:cNvSpPr>
      </xdr:nvSpPr>
      <xdr:spPr bwMode="auto">
        <a:xfrm flipH="1">
          <a:off x="1473200" y="1143000"/>
          <a:ext cx="9779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533400</xdr:colOff>
      <xdr:row>12</xdr:row>
      <xdr:rowOff>152400</xdr:rowOff>
    </xdr:from>
    <xdr:to>
      <xdr:col>3</xdr:col>
      <xdr:colOff>673100</xdr:colOff>
      <xdr:row>12</xdr:row>
      <xdr:rowOff>152400</xdr:rowOff>
    </xdr:to>
    <xdr:sp macro="" textlink="">
      <xdr:nvSpPr>
        <xdr:cNvPr id="15026" name="Line 24">
          <a:extLst>
            <a:ext uri="{FF2B5EF4-FFF2-40B4-BE49-F238E27FC236}">
              <a16:creationId xmlns:a16="http://schemas.microsoft.com/office/drawing/2014/main" id="{EDE9C6EA-EAA0-F04E-6E60-633D9B1857A0}"/>
            </a:ext>
          </a:extLst>
        </xdr:cNvPr>
        <xdr:cNvSpPr>
          <a:spLocks noChangeShapeType="1"/>
        </xdr:cNvSpPr>
      </xdr:nvSpPr>
      <xdr:spPr bwMode="auto">
        <a:xfrm flipH="1">
          <a:off x="1536700" y="2819400"/>
          <a:ext cx="9398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647700</xdr:colOff>
      <xdr:row>5</xdr:row>
      <xdr:rowOff>0</xdr:rowOff>
    </xdr:from>
    <xdr:to>
      <xdr:col>2</xdr:col>
      <xdr:colOff>647700</xdr:colOff>
      <xdr:row>12</xdr:row>
      <xdr:rowOff>139700</xdr:rowOff>
    </xdr:to>
    <xdr:sp macro="" textlink="">
      <xdr:nvSpPr>
        <xdr:cNvPr id="15027" name="Line 25">
          <a:extLst>
            <a:ext uri="{FF2B5EF4-FFF2-40B4-BE49-F238E27FC236}">
              <a16:creationId xmlns:a16="http://schemas.microsoft.com/office/drawing/2014/main" id="{00857E02-924D-1496-568A-03402228CEAA}"/>
            </a:ext>
          </a:extLst>
        </xdr:cNvPr>
        <xdr:cNvSpPr>
          <a:spLocks noChangeShapeType="1"/>
        </xdr:cNvSpPr>
      </xdr:nvSpPr>
      <xdr:spPr bwMode="auto">
        <a:xfrm flipV="1">
          <a:off x="1651000" y="1143000"/>
          <a:ext cx="0" cy="16637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368300</xdr:colOff>
      <xdr:row>7</xdr:row>
      <xdr:rowOff>114300</xdr:rowOff>
    </xdr:from>
    <xdr:to>
      <xdr:col>4</xdr:col>
      <xdr:colOff>800100</xdr:colOff>
      <xdr:row>7</xdr:row>
      <xdr:rowOff>114300</xdr:rowOff>
    </xdr:to>
    <xdr:sp macro="" textlink="">
      <xdr:nvSpPr>
        <xdr:cNvPr id="15028" name="Line 26">
          <a:extLst>
            <a:ext uri="{FF2B5EF4-FFF2-40B4-BE49-F238E27FC236}">
              <a16:creationId xmlns:a16="http://schemas.microsoft.com/office/drawing/2014/main" id="{E1B69C15-919D-F378-7EC6-9E19CDBBDC38}"/>
            </a:ext>
          </a:extLst>
        </xdr:cNvPr>
        <xdr:cNvSpPr>
          <a:spLocks noChangeShapeType="1"/>
        </xdr:cNvSpPr>
      </xdr:nvSpPr>
      <xdr:spPr bwMode="auto">
        <a:xfrm>
          <a:off x="3187700" y="1676400"/>
          <a:ext cx="4318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50800</xdr:colOff>
      <xdr:row>7</xdr:row>
      <xdr:rowOff>114300</xdr:rowOff>
    </xdr:from>
    <xdr:to>
      <xdr:col>5</xdr:col>
      <xdr:colOff>368300</xdr:colOff>
      <xdr:row>7</xdr:row>
      <xdr:rowOff>114300</xdr:rowOff>
    </xdr:to>
    <xdr:sp macro="" textlink="">
      <xdr:nvSpPr>
        <xdr:cNvPr id="15029" name="Line 27">
          <a:extLst>
            <a:ext uri="{FF2B5EF4-FFF2-40B4-BE49-F238E27FC236}">
              <a16:creationId xmlns:a16="http://schemas.microsoft.com/office/drawing/2014/main" id="{D4E16580-9B9F-16FF-04F9-C65FD1ED1B35}"/>
            </a:ext>
          </a:extLst>
        </xdr:cNvPr>
        <xdr:cNvSpPr>
          <a:spLocks noChangeShapeType="1"/>
        </xdr:cNvSpPr>
      </xdr:nvSpPr>
      <xdr:spPr bwMode="auto">
        <a:xfrm>
          <a:off x="3746500" y="1676400"/>
          <a:ext cx="3175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203200</xdr:colOff>
      <xdr:row>5</xdr:row>
      <xdr:rowOff>76200</xdr:rowOff>
    </xdr:from>
    <xdr:to>
      <xdr:col>3</xdr:col>
      <xdr:colOff>698500</xdr:colOff>
      <xdr:row>5</xdr:row>
      <xdr:rowOff>76200</xdr:rowOff>
    </xdr:to>
    <xdr:sp macro="" textlink="">
      <xdr:nvSpPr>
        <xdr:cNvPr id="15030" name="Line 28">
          <a:extLst>
            <a:ext uri="{FF2B5EF4-FFF2-40B4-BE49-F238E27FC236}">
              <a16:creationId xmlns:a16="http://schemas.microsoft.com/office/drawing/2014/main" id="{39B26D25-2AFD-96D7-4DC2-68D64368CFAC}"/>
            </a:ext>
          </a:extLst>
        </xdr:cNvPr>
        <xdr:cNvSpPr>
          <a:spLocks noChangeShapeType="1"/>
        </xdr:cNvSpPr>
      </xdr:nvSpPr>
      <xdr:spPr bwMode="auto">
        <a:xfrm flipH="1">
          <a:off x="2006600" y="1219200"/>
          <a:ext cx="4953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266700</xdr:colOff>
      <xdr:row>5</xdr:row>
      <xdr:rowOff>76200</xdr:rowOff>
    </xdr:from>
    <xdr:to>
      <xdr:col>3</xdr:col>
      <xdr:colOff>266700</xdr:colOff>
      <xdr:row>6</xdr:row>
      <xdr:rowOff>139700</xdr:rowOff>
    </xdr:to>
    <xdr:sp macro="" textlink="">
      <xdr:nvSpPr>
        <xdr:cNvPr id="15031" name="Line 29">
          <a:extLst>
            <a:ext uri="{FF2B5EF4-FFF2-40B4-BE49-F238E27FC236}">
              <a16:creationId xmlns:a16="http://schemas.microsoft.com/office/drawing/2014/main" id="{F18C42F0-2817-1300-3B27-7DEB7955D768}"/>
            </a:ext>
          </a:extLst>
        </xdr:cNvPr>
        <xdr:cNvSpPr>
          <a:spLocks noChangeShapeType="1"/>
        </xdr:cNvSpPr>
      </xdr:nvSpPr>
      <xdr:spPr bwMode="auto">
        <a:xfrm>
          <a:off x="2070100" y="1219200"/>
          <a:ext cx="0" cy="2667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266700</xdr:colOff>
      <xdr:row>3</xdr:row>
      <xdr:rowOff>76200</xdr:rowOff>
    </xdr:from>
    <xdr:to>
      <xdr:col>3</xdr:col>
      <xdr:colOff>266700</xdr:colOff>
      <xdr:row>5</xdr:row>
      <xdr:rowOff>0</xdr:rowOff>
    </xdr:to>
    <xdr:sp macro="" textlink="">
      <xdr:nvSpPr>
        <xdr:cNvPr id="15032" name="Line 30">
          <a:extLst>
            <a:ext uri="{FF2B5EF4-FFF2-40B4-BE49-F238E27FC236}">
              <a16:creationId xmlns:a16="http://schemas.microsoft.com/office/drawing/2014/main" id="{F04091C6-67B8-5FA8-F45C-71684E4A289A}"/>
            </a:ext>
          </a:extLst>
        </xdr:cNvPr>
        <xdr:cNvSpPr>
          <a:spLocks noChangeShapeType="1"/>
        </xdr:cNvSpPr>
      </xdr:nvSpPr>
      <xdr:spPr bwMode="auto">
        <a:xfrm flipV="1">
          <a:off x="2070100" y="787400"/>
          <a:ext cx="0" cy="3556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203200</xdr:colOff>
      <xdr:row>3</xdr:row>
      <xdr:rowOff>76200</xdr:rowOff>
    </xdr:from>
    <xdr:to>
      <xdr:col>3</xdr:col>
      <xdr:colOff>254000</xdr:colOff>
      <xdr:row>3</xdr:row>
      <xdr:rowOff>88900</xdr:rowOff>
    </xdr:to>
    <xdr:sp macro="" textlink="">
      <xdr:nvSpPr>
        <xdr:cNvPr id="15033" name="Line 31">
          <a:extLst>
            <a:ext uri="{FF2B5EF4-FFF2-40B4-BE49-F238E27FC236}">
              <a16:creationId xmlns:a16="http://schemas.microsoft.com/office/drawing/2014/main" id="{20DBFA9D-6AD8-26E9-B098-7FD5FDBC4482}"/>
            </a:ext>
          </a:extLst>
        </xdr:cNvPr>
        <xdr:cNvSpPr>
          <a:spLocks noChangeShapeType="1"/>
        </xdr:cNvSpPr>
      </xdr:nvSpPr>
      <xdr:spPr bwMode="auto">
        <a:xfrm>
          <a:off x="1206500" y="787400"/>
          <a:ext cx="850900" cy="127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76200</xdr:colOff>
      <xdr:row>12</xdr:row>
      <xdr:rowOff>63500</xdr:rowOff>
    </xdr:from>
    <xdr:to>
      <xdr:col>9</xdr:col>
      <xdr:colOff>685800</xdr:colOff>
      <xdr:row>12</xdr:row>
      <xdr:rowOff>63500</xdr:rowOff>
    </xdr:to>
    <xdr:sp macro="" textlink="">
      <xdr:nvSpPr>
        <xdr:cNvPr id="15034" name="Line 45">
          <a:extLst>
            <a:ext uri="{FF2B5EF4-FFF2-40B4-BE49-F238E27FC236}">
              <a16:creationId xmlns:a16="http://schemas.microsoft.com/office/drawing/2014/main" id="{5391065E-236C-EA1A-5E0B-CF1AB870652F}"/>
            </a:ext>
          </a:extLst>
        </xdr:cNvPr>
        <xdr:cNvSpPr>
          <a:spLocks noChangeShapeType="1"/>
        </xdr:cNvSpPr>
      </xdr:nvSpPr>
      <xdr:spPr bwMode="auto">
        <a:xfrm>
          <a:off x="4648200" y="2730500"/>
          <a:ext cx="36449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88900</xdr:colOff>
      <xdr:row>5</xdr:row>
      <xdr:rowOff>76200</xdr:rowOff>
    </xdr:from>
    <xdr:to>
      <xdr:col>9</xdr:col>
      <xdr:colOff>647700</xdr:colOff>
      <xdr:row>5</xdr:row>
      <xdr:rowOff>76200</xdr:rowOff>
    </xdr:to>
    <xdr:sp macro="" textlink="">
      <xdr:nvSpPr>
        <xdr:cNvPr id="15035" name="Line 46">
          <a:extLst>
            <a:ext uri="{FF2B5EF4-FFF2-40B4-BE49-F238E27FC236}">
              <a16:creationId xmlns:a16="http://schemas.microsoft.com/office/drawing/2014/main" id="{BC805CD5-4F89-D7FC-44B1-E2B8DF163529}"/>
            </a:ext>
          </a:extLst>
        </xdr:cNvPr>
        <xdr:cNvSpPr>
          <a:spLocks noChangeShapeType="1"/>
        </xdr:cNvSpPr>
      </xdr:nvSpPr>
      <xdr:spPr bwMode="auto">
        <a:xfrm>
          <a:off x="4660900" y="1219200"/>
          <a:ext cx="35941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495300</xdr:colOff>
      <xdr:row>10</xdr:row>
      <xdr:rowOff>38100</xdr:rowOff>
    </xdr:from>
    <xdr:to>
      <xdr:col>8</xdr:col>
      <xdr:colOff>495300</xdr:colOff>
      <xdr:row>12</xdr:row>
      <xdr:rowOff>63500</xdr:rowOff>
    </xdr:to>
    <xdr:sp macro="" textlink="">
      <xdr:nvSpPr>
        <xdr:cNvPr id="15036" name="Line 47">
          <a:extLst>
            <a:ext uri="{FF2B5EF4-FFF2-40B4-BE49-F238E27FC236}">
              <a16:creationId xmlns:a16="http://schemas.microsoft.com/office/drawing/2014/main" id="{F0314B58-3226-249A-DA45-C73489DFF1BA}"/>
            </a:ext>
          </a:extLst>
        </xdr:cNvPr>
        <xdr:cNvSpPr>
          <a:spLocks noChangeShapeType="1"/>
        </xdr:cNvSpPr>
      </xdr:nvSpPr>
      <xdr:spPr bwMode="auto">
        <a:xfrm flipV="1">
          <a:off x="7073900" y="2311400"/>
          <a:ext cx="0" cy="4191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457200</xdr:colOff>
      <xdr:row>5</xdr:row>
      <xdr:rowOff>76200</xdr:rowOff>
    </xdr:from>
    <xdr:to>
      <xdr:col>8</xdr:col>
      <xdr:colOff>457200</xdr:colOff>
      <xdr:row>8</xdr:row>
      <xdr:rowOff>0</xdr:rowOff>
    </xdr:to>
    <xdr:sp macro="" textlink="">
      <xdr:nvSpPr>
        <xdr:cNvPr id="15037" name="Line 49">
          <a:extLst>
            <a:ext uri="{FF2B5EF4-FFF2-40B4-BE49-F238E27FC236}">
              <a16:creationId xmlns:a16="http://schemas.microsoft.com/office/drawing/2014/main" id="{4561F334-1EEE-E253-6917-A85704670993}"/>
            </a:ext>
          </a:extLst>
        </xdr:cNvPr>
        <xdr:cNvSpPr>
          <a:spLocks noChangeShapeType="1"/>
        </xdr:cNvSpPr>
      </xdr:nvSpPr>
      <xdr:spPr bwMode="auto">
        <a:xfrm flipV="1">
          <a:off x="7035800" y="1219200"/>
          <a:ext cx="0" cy="5715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457200</xdr:colOff>
      <xdr:row>10</xdr:row>
      <xdr:rowOff>12700</xdr:rowOff>
    </xdr:from>
    <xdr:to>
      <xdr:col>9</xdr:col>
      <xdr:colOff>457200</xdr:colOff>
      <xdr:row>12</xdr:row>
      <xdr:rowOff>63500</xdr:rowOff>
    </xdr:to>
    <xdr:sp macro="" textlink="">
      <xdr:nvSpPr>
        <xdr:cNvPr id="15038" name="Line 50">
          <a:extLst>
            <a:ext uri="{FF2B5EF4-FFF2-40B4-BE49-F238E27FC236}">
              <a16:creationId xmlns:a16="http://schemas.microsoft.com/office/drawing/2014/main" id="{F3028404-A0C6-ED8B-812F-536D655E62DB}"/>
            </a:ext>
          </a:extLst>
        </xdr:cNvPr>
        <xdr:cNvSpPr>
          <a:spLocks noChangeShapeType="1"/>
        </xdr:cNvSpPr>
      </xdr:nvSpPr>
      <xdr:spPr bwMode="auto">
        <a:xfrm flipV="1">
          <a:off x="8064500" y="2286000"/>
          <a:ext cx="0" cy="4445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393700</xdr:colOff>
      <xdr:row>5</xdr:row>
      <xdr:rowOff>88900</xdr:rowOff>
    </xdr:from>
    <xdr:to>
      <xdr:col>9</xdr:col>
      <xdr:colOff>393700</xdr:colOff>
      <xdr:row>7</xdr:row>
      <xdr:rowOff>127000</xdr:rowOff>
    </xdr:to>
    <xdr:sp macro="" textlink="">
      <xdr:nvSpPr>
        <xdr:cNvPr id="15039" name="Line 51">
          <a:extLst>
            <a:ext uri="{FF2B5EF4-FFF2-40B4-BE49-F238E27FC236}">
              <a16:creationId xmlns:a16="http://schemas.microsoft.com/office/drawing/2014/main" id="{096D4301-60A1-6A2D-2F48-0B9F56BCC0D5}"/>
            </a:ext>
          </a:extLst>
        </xdr:cNvPr>
        <xdr:cNvSpPr>
          <a:spLocks noChangeShapeType="1"/>
        </xdr:cNvSpPr>
      </xdr:nvSpPr>
      <xdr:spPr bwMode="auto">
        <a:xfrm>
          <a:off x="8001000" y="1231900"/>
          <a:ext cx="0" cy="4572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12700</xdr:colOff>
      <xdr:row>5</xdr:row>
      <xdr:rowOff>0</xdr:rowOff>
    </xdr:from>
    <xdr:to>
      <xdr:col>6</xdr:col>
      <xdr:colOff>12700</xdr:colOff>
      <xdr:row>5</xdr:row>
      <xdr:rowOff>76200</xdr:rowOff>
    </xdr:to>
    <xdr:sp macro="" textlink="">
      <xdr:nvSpPr>
        <xdr:cNvPr id="15040" name="Rectangle 52">
          <a:extLst>
            <a:ext uri="{FF2B5EF4-FFF2-40B4-BE49-F238E27FC236}">
              <a16:creationId xmlns:a16="http://schemas.microsoft.com/office/drawing/2014/main" id="{628E7150-6238-19EB-9D3C-C41798FFFEAA}"/>
            </a:ext>
          </a:extLst>
        </xdr:cNvPr>
        <xdr:cNvSpPr>
          <a:spLocks noChangeArrowheads="1"/>
        </xdr:cNvSpPr>
      </xdr:nvSpPr>
      <xdr:spPr bwMode="auto">
        <a:xfrm>
          <a:off x="2832100" y="1143000"/>
          <a:ext cx="1752600" cy="76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381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0</xdr:colOff>
      <xdr:row>12</xdr:row>
      <xdr:rowOff>76200</xdr:rowOff>
    </xdr:from>
    <xdr:to>
      <xdr:col>6</xdr:col>
      <xdr:colOff>0</xdr:colOff>
      <xdr:row>13</xdr:row>
      <xdr:rowOff>0</xdr:rowOff>
    </xdr:to>
    <xdr:sp macro="" textlink="">
      <xdr:nvSpPr>
        <xdr:cNvPr id="15041" name="Rectangle 53">
          <a:extLst>
            <a:ext uri="{FF2B5EF4-FFF2-40B4-BE49-F238E27FC236}">
              <a16:creationId xmlns:a16="http://schemas.microsoft.com/office/drawing/2014/main" id="{5171739B-39F9-CFDD-99E8-8AD4C0CE12C6}"/>
            </a:ext>
          </a:extLst>
        </xdr:cNvPr>
        <xdr:cNvSpPr>
          <a:spLocks noChangeArrowheads="1"/>
        </xdr:cNvSpPr>
      </xdr:nvSpPr>
      <xdr:spPr bwMode="auto">
        <a:xfrm>
          <a:off x="2819400" y="2743200"/>
          <a:ext cx="1752600" cy="88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381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800100</xdr:colOff>
      <xdr:row>5</xdr:row>
      <xdr:rowOff>88900</xdr:rowOff>
    </xdr:from>
    <xdr:to>
      <xdr:col>5</xdr:col>
      <xdr:colOff>12700</xdr:colOff>
      <xdr:row>12</xdr:row>
      <xdr:rowOff>76200</xdr:rowOff>
    </xdr:to>
    <xdr:sp macro="" textlink="">
      <xdr:nvSpPr>
        <xdr:cNvPr id="15042" name="Rectangle 54">
          <a:extLst>
            <a:ext uri="{FF2B5EF4-FFF2-40B4-BE49-F238E27FC236}">
              <a16:creationId xmlns:a16="http://schemas.microsoft.com/office/drawing/2014/main" id="{7F105898-2D43-ED01-97B3-B40CA36F295C}"/>
            </a:ext>
          </a:extLst>
        </xdr:cNvPr>
        <xdr:cNvSpPr>
          <a:spLocks noChangeArrowheads="1"/>
        </xdr:cNvSpPr>
      </xdr:nvSpPr>
      <xdr:spPr bwMode="auto">
        <a:xfrm>
          <a:off x="3619500" y="1231900"/>
          <a:ext cx="88900" cy="1511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381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584200</xdr:colOff>
      <xdr:row>19</xdr:row>
      <xdr:rowOff>114300</xdr:rowOff>
    </xdr:from>
    <xdr:to>
      <xdr:col>9</xdr:col>
      <xdr:colOff>952500</xdr:colOff>
      <xdr:row>19</xdr:row>
      <xdr:rowOff>114300</xdr:rowOff>
    </xdr:to>
    <xdr:sp macro="" textlink="">
      <xdr:nvSpPr>
        <xdr:cNvPr id="15043" name="Line 55">
          <a:extLst>
            <a:ext uri="{FF2B5EF4-FFF2-40B4-BE49-F238E27FC236}">
              <a16:creationId xmlns:a16="http://schemas.microsoft.com/office/drawing/2014/main" id="{31A5F99D-65D0-0FB1-259E-920F916AF5F8}"/>
            </a:ext>
          </a:extLst>
        </xdr:cNvPr>
        <xdr:cNvSpPr>
          <a:spLocks noChangeShapeType="1"/>
        </xdr:cNvSpPr>
      </xdr:nvSpPr>
      <xdr:spPr bwMode="auto">
        <a:xfrm flipH="1">
          <a:off x="8191500" y="4191000"/>
          <a:ext cx="3683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622300</xdr:colOff>
      <xdr:row>19</xdr:row>
      <xdr:rowOff>114300</xdr:rowOff>
    </xdr:from>
    <xdr:to>
      <xdr:col>4</xdr:col>
      <xdr:colOff>863600</xdr:colOff>
      <xdr:row>19</xdr:row>
      <xdr:rowOff>114300</xdr:rowOff>
    </xdr:to>
    <xdr:sp macro="" textlink="">
      <xdr:nvSpPr>
        <xdr:cNvPr id="15044" name="Line 56">
          <a:extLst>
            <a:ext uri="{FF2B5EF4-FFF2-40B4-BE49-F238E27FC236}">
              <a16:creationId xmlns:a16="http://schemas.microsoft.com/office/drawing/2014/main" id="{EDE4EB19-9842-6C26-6A45-D8206057E124}"/>
            </a:ext>
          </a:extLst>
        </xdr:cNvPr>
        <xdr:cNvSpPr>
          <a:spLocks noChangeShapeType="1"/>
        </xdr:cNvSpPr>
      </xdr:nvSpPr>
      <xdr:spPr bwMode="auto">
        <a:xfrm flipH="1">
          <a:off x="3441700" y="4191000"/>
          <a:ext cx="2413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584200</xdr:colOff>
      <xdr:row>26</xdr:row>
      <xdr:rowOff>114300</xdr:rowOff>
    </xdr:from>
    <xdr:to>
      <xdr:col>9</xdr:col>
      <xdr:colOff>952500</xdr:colOff>
      <xdr:row>26</xdr:row>
      <xdr:rowOff>114300</xdr:rowOff>
    </xdr:to>
    <xdr:sp macro="" textlink="">
      <xdr:nvSpPr>
        <xdr:cNvPr id="15045" name="Line 58">
          <a:extLst>
            <a:ext uri="{FF2B5EF4-FFF2-40B4-BE49-F238E27FC236}">
              <a16:creationId xmlns:a16="http://schemas.microsoft.com/office/drawing/2014/main" id="{D45BA4A9-8769-B758-A6D4-938611C00B42}"/>
            </a:ext>
          </a:extLst>
        </xdr:cNvPr>
        <xdr:cNvSpPr>
          <a:spLocks noChangeShapeType="1"/>
        </xdr:cNvSpPr>
      </xdr:nvSpPr>
      <xdr:spPr bwMode="auto">
        <a:xfrm flipH="1">
          <a:off x="8191500" y="5651500"/>
          <a:ext cx="3683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622300</xdr:colOff>
      <xdr:row>26</xdr:row>
      <xdr:rowOff>114300</xdr:rowOff>
    </xdr:from>
    <xdr:to>
      <xdr:col>4</xdr:col>
      <xdr:colOff>863600</xdr:colOff>
      <xdr:row>26</xdr:row>
      <xdr:rowOff>114300</xdr:rowOff>
    </xdr:to>
    <xdr:sp macro="" textlink="">
      <xdr:nvSpPr>
        <xdr:cNvPr id="15046" name="Line 59">
          <a:extLst>
            <a:ext uri="{FF2B5EF4-FFF2-40B4-BE49-F238E27FC236}">
              <a16:creationId xmlns:a16="http://schemas.microsoft.com/office/drawing/2014/main" id="{2F0AFBF3-040E-F661-933C-13A93E2B04DA}"/>
            </a:ext>
          </a:extLst>
        </xdr:cNvPr>
        <xdr:cNvSpPr>
          <a:spLocks noChangeShapeType="1"/>
        </xdr:cNvSpPr>
      </xdr:nvSpPr>
      <xdr:spPr bwMode="auto">
        <a:xfrm flipH="1">
          <a:off x="3441700" y="5651500"/>
          <a:ext cx="2413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6</xdr:col>
      <xdr:colOff>972820</xdr:colOff>
      <xdr:row>1</xdr:row>
      <xdr:rowOff>45085</xdr:rowOff>
    </xdr:from>
    <xdr:ext cx="424732" cy="170560"/>
    <xdr:sp macro="" textlink="">
      <xdr:nvSpPr>
        <xdr:cNvPr id="14446" name="Text Box 110">
          <a:extLst>
            <a:ext uri="{FF2B5EF4-FFF2-40B4-BE49-F238E27FC236}">
              <a16:creationId xmlns:a16="http://schemas.microsoft.com/office/drawing/2014/main" id="{68619D41-B9AD-291D-3BD8-CFBDECA9B756}"/>
            </a:ext>
          </a:extLst>
        </xdr:cNvPr>
        <xdr:cNvSpPr txBox="1">
          <a:spLocks noChangeArrowheads="1"/>
        </xdr:cNvSpPr>
      </xdr:nvSpPr>
      <xdr:spPr bwMode="auto">
        <a:xfrm>
          <a:off x="5559761" y="343909"/>
          <a:ext cx="424732" cy="170560"/>
        </a:xfrm>
        <a:prstGeom prst="rect">
          <a:avLst/>
        </a:prstGeom>
        <a:noFill/>
        <a:ln>
          <a:noFill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Inches</a:t>
          </a:r>
        </a:p>
      </xdr:txBody>
    </xdr:sp>
    <xdr:clientData/>
  </xdr:oneCellAnchor>
  <xdr:oneCellAnchor>
    <xdr:from>
      <xdr:col>1</xdr:col>
      <xdr:colOff>885190</xdr:colOff>
      <xdr:row>4</xdr:row>
      <xdr:rowOff>0</xdr:rowOff>
    </xdr:from>
    <xdr:ext cx="424732" cy="170560"/>
    <xdr:sp macro="" textlink="">
      <xdr:nvSpPr>
        <xdr:cNvPr id="14448" name="Text Box 112">
          <a:extLst>
            <a:ext uri="{FF2B5EF4-FFF2-40B4-BE49-F238E27FC236}">
              <a16:creationId xmlns:a16="http://schemas.microsoft.com/office/drawing/2014/main" id="{C719458A-BE50-DD68-D9C6-627D2B845CAE}"/>
            </a:ext>
          </a:extLst>
        </xdr:cNvPr>
        <xdr:cNvSpPr txBox="1">
          <a:spLocks noChangeArrowheads="1"/>
        </xdr:cNvSpPr>
      </xdr:nvSpPr>
      <xdr:spPr bwMode="auto">
        <a:xfrm>
          <a:off x="959896" y="926353"/>
          <a:ext cx="424732" cy="170560"/>
        </a:xfrm>
        <a:prstGeom prst="rect">
          <a:avLst/>
        </a:prstGeom>
        <a:noFill/>
        <a:ln>
          <a:noFill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Inches</a:t>
          </a:r>
        </a:p>
      </xdr:txBody>
    </xdr:sp>
    <xdr:clientData/>
  </xdr:oneCellAnchor>
  <xdr:oneCellAnchor>
    <xdr:from>
      <xdr:col>1</xdr:col>
      <xdr:colOff>885190</xdr:colOff>
      <xdr:row>5</xdr:row>
      <xdr:rowOff>13970</xdr:rowOff>
    </xdr:from>
    <xdr:ext cx="246478" cy="170560"/>
    <xdr:sp macro="" textlink="">
      <xdr:nvSpPr>
        <xdr:cNvPr id="14449" name="Text Box 113">
          <a:extLst>
            <a:ext uri="{FF2B5EF4-FFF2-40B4-BE49-F238E27FC236}">
              <a16:creationId xmlns:a16="http://schemas.microsoft.com/office/drawing/2014/main" id="{16B40C7B-E0D3-ACD3-F783-61C36F80209F}"/>
            </a:ext>
          </a:extLst>
        </xdr:cNvPr>
        <xdr:cNvSpPr txBox="1">
          <a:spLocks noChangeArrowheads="1"/>
        </xdr:cNvSpPr>
      </xdr:nvSpPr>
      <xdr:spPr bwMode="auto">
        <a:xfrm>
          <a:off x="959896" y="1149499"/>
          <a:ext cx="246478" cy="170560"/>
        </a:xfrm>
        <a:prstGeom prst="rect">
          <a:avLst/>
        </a:prstGeom>
        <a:noFill/>
        <a:ln>
          <a:noFill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mm</a:t>
          </a:r>
        </a:p>
      </xdr:txBody>
    </xdr:sp>
    <xdr:clientData/>
  </xdr:oneCellAnchor>
  <xdr:oneCellAnchor>
    <xdr:from>
      <xdr:col>5</xdr:col>
      <xdr:colOff>773430</xdr:colOff>
      <xdr:row>8</xdr:row>
      <xdr:rowOff>41910</xdr:rowOff>
    </xdr:from>
    <xdr:ext cx="424732" cy="170560"/>
    <xdr:sp macro="" textlink="">
      <xdr:nvSpPr>
        <xdr:cNvPr id="14450" name="Text Box 114">
          <a:extLst>
            <a:ext uri="{FF2B5EF4-FFF2-40B4-BE49-F238E27FC236}">
              <a16:creationId xmlns:a16="http://schemas.microsoft.com/office/drawing/2014/main" id="{11D089FE-212B-0CF9-8F76-35AC49D6FF71}"/>
            </a:ext>
          </a:extLst>
        </xdr:cNvPr>
        <xdr:cNvSpPr txBox="1">
          <a:spLocks noChangeArrowheads="1"/>
        </xdr:cNvSpPr>
      </xdr:nvSpPr>
      <xdr:spPr bwMode="auto">
        <a:xfrm>
          <a:off x="4478842" y="1819910"/>
          <a:ext cx="424732" cy="170560"/>
        </a:xfrm>
        <a:prstGeom prst="rect">
          <a:avLst/>
        </a:prstGeom>
        <a:noFill/>
        <a:ln>
          <a:noFill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Inches</a:t>
          </a:r>
        </a:p>
      </xdr:txBody>
    </xdr:sp>
    <xdr:clientData/>
  </xdr:oneCellAnchor>
  <xdr:oneCellAnchor>
    <xdr:from>
      <xdr:col>5</xdr:col>
      <xdr:colOff>479425</xdr:colOff>
      <xdr:row>9</xdr:row>
      <xdr:rowOff>57150</xdr:rowOff>
    </xdr:from>
    <xdr:ext cx="271126" cy="183680"/>
    <xdr:sp macro="" textlink="">
      <xdr:nvSpPr>
        <xdr:cNvPr id="14451" name="Text Box 115">
          <a:extLst>
            <a:ext uri="{FF2B5EF4-FFF2-40B4-BE49-F238E27FC236}">
              <a16:creationId xmlns:a16="http://schemas.microsoft.com/office/drawing/2014/main" id="{48932963-A283-9A16-A8FE-70108029956A}"/>
            </a:ext>
          </a:extLst>
        </xdr:cNvPr>
        <xdr:cNvSpPr txBox="1">
          <a:spLocks noChangeArrowheads="1"/>
        </xdr:cNvSpPr>
      </xdr:nvSpPr>
      <xdr:spPr bwMode="auto">
        <a:xfrm>
          <a:off x="3763496" y="2020421"/>
          <a:ext cx="246478" cy="170560"/>
        </a:xfrm>
        <a:prstGeom prst="rect">
          <a:avLst/>
        </a:prstGeom>
        <a:noFill/>
        <a:ln>
          <a:noFill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mm</a:t>
          </a:r>
        </a:p>
      </xdr:txBody>
    </xdr:sp>
    <xdr:clientData/>
  </xdr:oneCellAnchor>
  <xdr:oneCellAnchor>
    <xdr:from>
      <xdr:col>6</xdr:col>
      <xdr:colOff>490855</xdr:colOff>
      <xdr:row>2</xdr:row>
      <xdr:rowOff>26670</xdr:rowOff>
    </xdr:from>
    <xdr:ext cx="272423" cy="170560"/>
    <xdr:sp macro="" textlink="">
      <xdr:nvSpPr>
        <xdr:cNvPr id="14452" name="Text Box 116">
          <a:extLst>
            <a:ext uri="{FF2B5EF4-FFF2-40B4-BE49-F238E27FC236}">
              <a16:creationId xmlns:a16="http://schemas.microsoft.com/office/drawing/2014/main" id="{8DEF65D5-BE65-F767-4963-CC3F72511AF9}"/>
            </a:ext>
          </a:extLst>
        </xdr:cNvPr>
        <xdr:cNvSpPr txBox="1">
          <a:spLocks noChangeArrowheads="1"/>
        </xdr:cNvSpPr>
      </xdr:nvSpPr>
      <xdr:spPr bwMode="auto">
        <a:xfrm>
          <a:off x="4563820" y="519729"/>
          <a:ext cx="246478" cy="170560"/>
        </a:xfrm>
        <a:prstGeom prst="rect">
          <a:avLst/>
        </a:prstGeom>
        <a:noFill/>
        <a:ln>
          <a:noFill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mm</a:t>
          </a:r>
        </a:p>
      </xdr:txBody>
    </xdr:sp>
    <xdr:clientData/>
  </xdr:oneCellAnchor>
  <xdr:oneCellAnchor>
    <xdr:from>
      <xdr:col>4</xdr:col>
      <xdr:colOff>0</xdr:colOff>
      <xdr:row>9</xdr:row>
      <xdr:rowOff>58420</xdr:rowOff>
    </xdr:from>
    <xdr:ext cx="258802" cy="170560"/>
    <xdr:sp macro="" textlink="">
      <xdr:nvSpPr>
        <xdr:cNvPr id="14453" name="Text Box 117">
          <a:extLst>
            <a:ext uri="{FF2B5EF4-FFF2-40B4-BE49-F238E27FC236}">
              <a16:creationId xmlns:a16="http://schemas.microsoft.com/office/drawing/2014/main" id="{A9CA11ED-D7FD-5125-E987-85EEF95925BB}"/>
            </a:ext>
          </a:extLst>
        </xdr:cNvPr>
        <xdr:cNvSpPr txBox="1">
          <a:spLocks noChangeArrowheads="1"/>
        </xdr:cNvSpPr>
      </xdr:nvSpPr>
      <xdr:spPr bwMode="auto">
        <a:xfrm>
          <a:off x="2545976" y="2008991"/>
          <a:ext cx="246478" cy="170560"/>
        </a:xfrm>
        <a:prstGeom prst="rect">
          <a:avLst/>
        </a:prstGeom>
        <a:noFill/>
        <a:ln>
          <a:noFill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mm</a:t>
          </a:r>
        </a:p>
      </xdr:txBody>
    </xdr:sp>
    <xdr:clientData/>
  </xdr:oneCellAnchor>
  <xdr:oneCellAnchor>
    <xdr:from>
      <xdr:col>3</xdr:col>
      <xdr:colOff>742950</xdr:colOff>
      <xdr:row>8</xdr:row>
      <xdr:rowOff>45720</xdr:rowOff>
    </xdr:from>
    <xdr:ext cx="424732" cy="170560"/>
    <xdr:sp macro="" textlink="">
      <xdr:nvSpPr>
        <xdr:cNvPr id="14454" name="Text Box 118">
          <a:extLst>
            <a:ext uri="{FF2B5EF4-FFF2-40B4-BE49-F238E27FC236}">
              <a16:creationId xmlns:a16="http://schemas.microsoft.com/office/drawing/2014/main" id="{E4CD5E1C-A969-75CD-F048-4953CE7E7F9A}"/>
            </a:ext>
          </a:extLst>
        </xdr:cNvPr>
        <xdr:cNvSpPr txBox="1">
          <a:spLocks noChangeArrowheads="1"/>
        </xdr:cNvSpPr>
      </xdr:nvSpPr>
      <xdr:spPr bwMode="auto">
        <a:xfrm>
          <a:off x="2550832" y="1823720"/>
          <a:ext cx="424732" cy="170560"/>
        </a:xfrm>
        <a:prstGeom prst="rect">
          <a:avLst/>
        </a:prstGeom>
        <a:noFill/>
        <a:ln>
          <a:noFill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Inches</a:t>
          </a:r>
        </a:p>
      </xdr:txBody>
    </xdr:sp>
    <xdr:clientData/>
  </xdr:oneCellAnchor>
  <xdr:twoCellAnchor editAs="oneCell">
    <xdr:from>
      <xdr:col>15</xdr:col>
      <xdr:colOff>612589</xdr:colOff>
      <xdr:row>14</xdr:row>
      <xdr:rowOff>134471</xdr:rowOff>
    </xdr:from>
    <xdr:to>
      <xdr:col>26</xdr:col>
      <xdr:colOff>506506</xdr:colOff>
      <xdr:row>26</xdr:row>
      <xdr:rowOff>173318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40CEC38-9CD0-5615-7EC6-F6BBA642F9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925177" y="3182471"/>
          <a:ext cx="7289800" cy="2489200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165100</xdr:colOff>
      <xdr:row>110</xdr:row>
      <xdr:rowOff>152400</xdr:rowOff>
    </xdr:from>
    <xdr:to>
      <xdr:col>10</xdr:col>
      <xdr:colOff>12700</xdr:colOff>
      <xdr:row>110</xdr:row>
      <xdr:rowOff>152400</xdr:rowOff>
    </xdr:to>
    <xdr:sp macro="" textlink="">
      <xdr:nvSpPr>
        <xdr:cNvPr id="51862" name="Line 19">
          <a:extLst>
            <a:ext uri="{FF2B5EF4-FFF2-40B4-BE49-F238E27FC236}">
              <a16:creationId xmlns:a16="http://schemas.microsoft.com/office/drawing/2014/main" id="{C1A075C9-839D-0CF4-8B26-29B7C20B662C}"/>
            </a:ext>
          </a:extLst>
        </xdr:cNvPr>
        <xdr:cNvSpPr>
          <a:spLocks noChangeShapeType="1"/>
        </xdr:cNvSpPr>
      </xdr:nvSpPr>
      <xdr:spPr bwMode="auto">
        <a:xfrm>
          <a:off x="5626100" y="20053300"/>
          <a:ext cx="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457200</xdr:colOff>
      <xdr:row>110</xdr:row>
      <xdr:rowOff>139700</xdr:rowOff>
    </xdr:from>
    <xdr:to>
      <xdr:col>9</xdr:col>
      <xdr:colOff>457200</xdr:colOff>
      <xdr:row>112</xdr:row>
      <xdr:rowOff>25400</xdr:rowOff>
    </xdr:to>
    <xdr:sp macro="" textlink="">
      <xdr:nvSpPr>
        <xdr:cNvPr id="51863" name="Line 20">
          <a:extLst>
            <a:ext uri="{FF2B5EF4-FFF2-40B4-BE49-F238E27FC236}">
              <a16:creationId xmlns:a16="http://schemas.microsoft.com/office/drawing/2014/main" id="{DE1832D5-3843-DAC0-840A-4F637FBE11EC}"/>
            </a:ext>
          </a:extLst>
        </xdr:cNvPr>
        <xdr:cNvSpPr>
          <a:spLocks noChangeShapeType="1"/>
        </xdr:cNvSpPr>
      </xdr:nvSpPr>
      <xdr:spPr bwMode="auto">
        <a:xfrm>
          <a:off x="5626100" y="20040600"/>
          <a:ext cx="0" cy="2159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419100</xdr:colOff>
      <xdr:row>114</xdr:row>
      <xdr:rowOff>152400</xdr:rowOff>
    </xdr:from>
    <xdr:to>
      <xdr:col>9</xdr:col>
      <xdr:colOff>419100</xdr:colOff>
      <xdr:row>115</xdr:row>
      <xdr:rowOff>76200</xdr:rowOff>
    </xdr:to>
    <xdr:sp macro="" textlink="">
      <xdr:nvSpPr>
        <xdr:cNvPr id="51864" name="Line 21">
          <a:extLst>
            <a:ext uri="{FF2B5EF4-FFF2-40B4-BE49-F238E27FC236}">
              <a16:creationId xmlns:a16="http://schemas.microsoft.com/office/drawing/2014/main" id="{E473E1D0-4A22-BB7F-3F9F-7D38D168B552}"/>
            </a:ext>
          </a:extLst>
        </xdr:cNvPr>
        <xdr:cNvSpPr>
          <a:spLocks noChangeShapeType="1"/>
        </xdr:cNvSpPr>
      </xdr:nvSpPr>
      <xdr:spPr bwMode="auto">
        <a:xfrm>
          <a:off x="5626100" y="20713700"/>
          <a:ext cx="0" cy="1016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444500</xdr:colOff>
      <xdr:row>118</xdr:row>
      <xdr:rowOff>139700</xdr:rowOff>
    </xdr:from>
    <xdr:to>
      <xdr:col>8</xdr:col>
      <xdr:colOff>444500</xdr:colOff>
      <xdr:row>119</xdr:row>
      <xdr:rowOff>76200</xdr:rowOff>
    </xdr:to>
    <xdr:sp macro="" textlink="">
      <xdr:nvSpPr>
        <xdr:cNvPr id="51865" name="Line 24">
          <a:extLst>
            <a:ext uri="{FF2B5EF4-FFF2-40B4-BE49-F238E27FC236}">
              <a16:creationId xmlns:a16="http://schemas.microsoft.com/office/drawing/2014/main" id="{3A90A222-3570-432F-0916-948D98C86456}"/>
            </a:ext>
          </a:extLst>
        </xdr:cNvPr>
        <xdr:cNvSpPr>
          <a:spLocks noChangeShapeType="1"/>
        </xdr:cNvSpPr>
      </xdr:nvSpPr>
      <xdr:spPr bwMode="auto">
        <a:xfrm>
          <a:off x="5626100" y="21386800"/>
          <a:ext cx="0" cy="1016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622300</xdr:colOff>
      <xdr:row>18</xdr:row>
      <xdr:rowOff>0</xdr:rowOff>
    </xdr:from>
    <xdr:to>
      <xdr:col>3</xdr:col>
      <xdr:colOff>127000</xdr:colOff>
      <xdr:row>22</xdr:row>
      <xdr:rowOff>177800</xdr:rowOff>
    </xdr:to>
    <xdr:sp macro="" textlink="">
      <xdr:nvSpPr>
        <xdr:cNvPr id="51866" name="Oval 41">
          <a:extLst>
            <a:ext uri="{FF2B5EF4-FFF2-40B4-BE49-F238E27FC236}">
              <a16:creationId xmlns:a16="http://schemas.microsoft.com/office/drawing/2014/main" id="{EBB8EAEB-518A-D2D2-6DFA-623260061E88}"/>
            </a:ext>
          </a:extLst>
        </xdr:cNvPr>
        <xdr:cNvSpPr>
          <a:spLocks noChangeArrowheads="1"/>
        </xdr:cNvSpPr>
      </xdr:nvSpPr>
      <xdr:spPr bwMode="auto">
        <a:xfrm>
          <a:off x="825500" y="3441700"/>
          <a:ext cx="1193800" cy="10033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905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</xdr:spPr>
    </xdr:sp>
    <xdr:clientData/>
  </xdr:twoCellAnchor>
  <xdr:twoCellAnchor>
    <xdr:from>
      <xdr:col>1</xdr:col>
      <xdr:colOff>647700</xdr:colOff>
      <xdr:row>18</xdr:row>
      <xdr:rowOff>38100</xdr:rowOff>
    </xdr:from>
    <xdr:to>
      <xdr:col>3</xdr:col>
      <xdr:colOff>88900</xdr:colOff>
      <xdr:row>22</xdr:row>
      <xdr:rowOff>139700</xdr:rowOff>
    </xdr:to>
    <xdr:sp macro="" textlink="">
      <xdr:nvSpPr>
        <xdr:cNvPr id="51867" name="Oval 42">
          <a:extLst>
            <a:ext uri="{FF2B5EF4-FFF2-40B4-BE49-F238E27FC236}">
              <a16:creationId xmlns:a16="http://schemas.microsoft.com/office/drawing/2014/main" id="{DC51437B-3BF1-17F6-4E55-56636D17E68A}"/>
            </a:ext>
          </a:extLst>
        </xdr:cNvPr>
        <xdr:cNvSpPr>
          <a:spLocks noChangeArrowheads="1"/>
        </xdr:cNvSpPr>
      </xdr:nvSpPr>
      <xdr:spPr bwMode="auto">
        <a:xfrm>
          <a:off x="850900" y="3479800"/>
          <a:ext cx="1130300" cy="9271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905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</xdr:spPr>
    </xdr:sp>
    <xdr:clientData/>
  </xdr:twoCellAnchor>
  <xdr:twoCellAnchor>
    <xdr:from>
      <xdr:col>1</xdr:col>
      <xdr:colOff>596900</xdr:colOff>
      <xdr:row>14</xdr:row>
      <xdr:rowOff>38100</xdr:rowOff>
    </xdr:from>
    <xdr:to>
      <xdr:col>1</xdr:col>
      <xdr:colOff>596900</xdr:colOff>
      <xdr:row>20</xdr:row>
      <xdr:rowOff>114300</xdr:rowOff>
    </xdr:to>
    <xdr:sp macro="" textlink="">
      <xdr:nvSpPr>
        <xdr:cNvPr id="51868" name="Line 43">
          <a:extLst>
            <a:ext uri="{FF2B5EF4-FFF2-40B4-BE49-F238E27FC236}">
              <a16:creationId xmlns:a16="http://schemas.microsoft.com/office/drawing/2014/main" id="{B97949E9-1A22-91EB-DB1B-6EA42784C0FB}"/>
            </a:ext>
          </a:extLst>
        </xdr:cNvPr>
        <xdr:cNvSpPr>
          <a:spLocks noChangeShapeType="1"/>
        </xdr:cNvSpPr>
      </xdr:nvSpPr>
      <xdr:spPr bwMode="auto">
        <a:xfrm flipV="1">
          <a:off x="800100" y="2755900"/>
          <a:ext cx="0" cy="12319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152400</xdr:colOff>
      <xdr:row>14</xdr:row>
      <xdr:rowOff>50800</xdr:rowOff>
    </xdr:from>
    <xdr:to>
      <xdr:col>3</xdr:col>
      <xdr:colOff>152400</xdr:colOff>
      <xdr:row>20</xdr:row>
      <xdr:rowOff>139700</xdr:rowOff>
    </xdr:to>
    <xdr:sp macro="" textlink="">
      <xdr:nvSpPr>
        <xdr:cNvPr id="51869" name="Line 44">
          <a:extLst>
            <a:ext uri="{FF2B5EF4-FFF2-40B4-BE49-F238E27FC236}">
              <a16:creationId xmlns:a16="http://schemas.microsoft.com/office/drawing/2014/main" id="{A7B276CF-5540-3261-D7F2-4A95B6E51973}"/>
            </a:ext>
          </a:extLst>
        </xdr:cNvPr>
        <xdr:cNvSpPr>
          <a:spLocks noChangeShapeType="1"/>
        </xdr:cNvSpPr>
      </xdr:nvSpPr>
      <xdr:spPr bwMode="auto">
        <a:xfrm flipV="1">
          <a:off x="2044700" y="2768600"/>
          <a:ext cx="0" cy="12446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304800</xdr:colOff>
      <xdr:row>14</xdr:row>
      <xdr:rowOff>114300</xdr:rowOff>
    </xdr:from>
    <xdr:to>
      <xdr:col>1</xdr:col>
      <xdr:colOff>596900</xdr:colOff>
      <xdr:row>14</xdr:row>
      <xdr:rowOff>114300</xdr:rowOff>
    </xdr:to>
    <xdr:sp macro="" textlink="">
      <xdr:nvSpPr>
        <xdr:cNvPr id="51870" name="Line 45">
          <a:extLst>
            <a:ext uri="{FF2B5EF4-FFF2-40B4-BE49-F238E27FC236}">
              <a16:creationId xmlns:a16="http://schemas.microsoft.com/office/drawing/2014/main" id="{529D9418-BB01-641D-BADC-BDA39B056E1B}"/>
            </a:ext>
          </a:extLst>
        </xdr:cNvPr>
        <xdr:cNvSpPr>
          <a:spLocks noChangeShapeType="1"/>
        </xdr:cNvSpPr>
      </xdr:nvSpPr>
      <xdr:spPr bwMode="auto">
        <a:xfrm flipH="1">
          <a:off x="508000" y="2832100"/>
          <a:ext cx="2921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139700</xdr:colOff>
      <xdr:row>14</xdr:row>
      <xdr:rowOff>114300</xdr:rowOff>
    </xdr:from>
    <xdr:to>
      <xdr:col>3</xdr:col>
      <xdr:colOff>431800</xdr:colOff>
      <xdr:row>14</xdr:row>
      <xdr:rowOff>114300</xdr:rowOff>
    </xdr:to>
    <xdr:sp macro="" textlink="">
      <xdr:nvSpPr>
        <xdr:cNvPr id="51871" name="Line 46">
          <a:extLst>
            <a:ext uri="{FF2B5EF4-FFF2-40B4-BE49-F238E27FC236}">
              <a16:creationId xmlns:a16="http://schemas.microsoft.com/office/drawing/2014/main" id="{DAD9D0CA-C149-67BA-5BEB-C970C35C35FE}"/>
            </a:ext>
          </a:extLst>
        </xdr:cNvPr>
        <xdr:cNvSpPr>
          <a:spLocks noChangeShapeType="1"/>
        </xdr:cNvSpPr>
      </xdr:nvSpPr>
      <xdr:spPr bwMode="auto">
        <a:xfrm flipH="1">
          <a:off x="2032000" y="2832100"/>
          <a:ext cx="2921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3</xdr:col>
      <xdr:colOff>654050</xdr:colOff>
      <xdr:row>16</xdr:row>
      <xdr:rowOff>0</xdr:rowOff>
    </xdr:from>
    <xdr:to>
      <xdr:col>5</xdr:col>
      <xdr:colOff>9847</xdr:colOff>
      <xdr:row>17</xdr:row>
      <xdr:rowOff>26518</xdr:rowOff>
    </xdr:to>
    <xdr:sp macro="" textlink="">
      <xdr:nvSpPr>
        <xdr:cNvPr id="27695" name="Text Box 47">
          <a:extLst>
            <a:ext uri="{FF2B5EF4-FFF2-40B4-BE49-F238E27FC236}">
              <a16:creationId xmlns:a16="http://schemas.microsoft.com/office/drawing/2014/main" id="{0CCF8A58-00EE-D4D5-EDC7-A59483662955}"/>
            </a:ext>
          </a:extLst>
        </xdr:cNvPr>
        <xdr:cNvSpPr txBox="1">
          <a:spLocks noChangeArrowheads="1"/>
        </xdr:cNvSpPr>
      </xdr:nvSpPr>
      <xdr:spPr bwMode="auto">
        <a:xfrm>
          <a:off x="2247900" y="2981325"/>
          <a:ext cx="866775" cy="190500"/>
        </a:xfrm>
        <a:prstGeom prst="rect">
          <a:avLst/>
        </a:prstGeom>
        <a:noFill/>
        <a:ln>
          <a:noFill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Pipe Weight</a:t>
          </a:r>
        </a:p>
        <a:p>
          <a:pPr algn="l" rtl="0">
            <a:defRPr sz="1000"/>
          </a:pP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</xdr:col>
      <xdr:colOff>254000</xdr:colOff>
      <xdr:row>22</xdr:row>
      <xdr:rowOff>165100</xdr:rowOff>
    </xdr:from>
    <xdr:to>
      <xdr:col>2</xdr:col>
      <xdr:colOff>254000</xdr:colOff>
      <xdr:row>24</xdr:row>
      <xdr:rowOff>114300</xdr:rowOff>
    </xdr:to>
    <xdr:sp macro="" textlink="">
      <xdr:nvSpPr>
        <xdr:cNvPr id="51873" name="Line 48">
          <a:extLst>
            <a:ext uri="{FF2B5EF4-FFF2-40B4-BE49-F238E27FC236}">
              <a16:creationId xmlns:a16="http://schemas.microsoft.com/office/drawing/2014/main" id="{936A0409-9E51-9105-EFDF-BCE369CA572A}"/>
            </a:ext>
          </a:extLst>
        </xdr:cNvPr>
        <xdr:cNvSpPr>
          <a:spLocks noChangeShapeType="1"/>
        </xdr:cNvSpPr>
      </xdr:nvSpPr>
      <xdr:spPr bwMode="auto">
        <a:xfrm>
          <a:off x="1422400" y="4432300"/>
          <a:ext cx="0" cy="3683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228600</xdr:colOff>
      <xdr:row>21</xdr:row>
      <xdr:rowOff>127000</xdr:rowOff>
    </xdr:from>
    <xdr:to>
      <xdr:col>2</xdr:col>
      <xdr:colOff>254000</xdr:colOff>
      <xdr:row>22</xdr:row>
      <xdr:rowOff>165100</xdr:rowOff>
    </xdr:to>
    <xdr:sp macro="" textlink="">
      <xdr:nvSpPr>
        <xdr:cNvPr id="51874" name="Line 49">
          <a:extLst>
            <a:ext uri="{FF2B5EF4-FFF2-40B4-BE49-F238E27FC236}">
              <a16:creationId xmlns:a16="http://schemas.microsoft.com/office/drawing/2014/main" id="{5C15B7BC-9E9B-5CE5-81E0-6F5D638C7F12}"/>
            </a:ext>
          </a:extLst>
        </xdr:cNvPr>
        <xdr:cNvSpPr>
          <a:spLocks noChangeShapeType="1"/>
        </xdr:cNvSpPr>
      </xdr:nvSpPr>
      <xdr:spPr bwMode="auto">
        <a:xfrm>
          <a:off x="1397000" y="4216400"/>
          <a:ext cx="25400" cy="2159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254000</xdr:colOff>
      <xdr:row>24</xdr:row>
      <xdr:rowOff>114300</xdr:rowOff>
    </xdr:from>
    <xdr:to>
      <xdr:col>2</xdr:col>
      <xdr:colOff>431800</xdr:colOff>
      <xdr:row>24</xdr:row>
      <xdr:rowOff>114300</xdr:rowOff>
    </xdr:to>
    <xdr:sp macro="" textlink="">
      <xdr:nvSpPr>
        <xdr:cNvPr id="51875" name="Line 50">
          <a:extLst>
            <a:ext uri="{FF2B5EF4-FFF2-40B4-BE49-F238E27FC236}">
              <a16:creationId xmlns:a16="http://schemas.microsoft.com/office/drawing/2014/main" id="{5AF39EA8-BD47-68C3-CDBA-B91DB92D453B}"/>
            </a:ext>
          </a:extLst>
        </xdr:cNvPr>
        <xdr:cNvSpPr>
          <a:spLocks noChangeShapeType="1"/>
        </xdr:cNvSpPr>
      </xdr:nvSpPr>
      <xdr:spPr bwMode="auto">
        <a:xfrm>
          <a:off x="1422400" y="4800600"/>
          <a:ext cx="1778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609600</xdr:colOff>
      <xdr:row>15</xdr:row>
      <xdr:rowOff>114300</xdr:rowOff>
    </xdr:from>
    <xdr:to>
      <xdr:col>11</xdr:col>
      <xdr:colOff>88900</xdr:colOff>
      <xdr:row>16</xdr:row>
      <xdr:rowOff>25400</xdr:rowOff>
    </xdr:to>
    <xdr:sp macro="" textlink="">
      <xdr:nvSpPr>
        <xdr:cNvPr id="51876" name="Rectangle 51">
          <a:extLst>
            <a:ext uri="{FF2B5EF4-FFF2-40B4-BE49-F238E27FC236}">
              <a16:creationId xmlns:a16="http://schemas.microsoft.com/office/drawing/2014/main" id="{3BCCC67B-7124-C6F5-AD01-3D7BF3E375D5}"/>
            </a:ext>
          </a:extLst>
        </xdr:cNvPr>
        <xdr:cNvSpPr>
          <a:spLocks noChangeArrowheads="1"/>
        </xdr:cNvSpPr>
      </xdr:nvSpPr>
      <xdr:spPr bwMode="auto">
        <a:xfrm>
          <a:off x="4889500" y="3048000"/>
          <a:ext cx="825500" cy="76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342900</xdr:colOff>
      <xdr:row>16</xdr:row>
      <xdr:rowOff>25400</xdr:rowOff>
    </xdr:from>
    <xdr:to>
      <xdr:col>7</xdr:col>
      <xdr:colOff>431800</xdr:colOff>
      <xdr:row>20</xdr:row>
      <xdr:rowOff>76200</xdr:rowOff>
    </xdr:to>
    <xdr:sp macro="" textlink="">
      <xdr:nvSpPr>
        <xdr:cNvPr id="51877" name="Rectangle 52">
          <a:extLst>
            <a:ext uri="{FF2B5EF4-FFF2-40B4-BE49-F238E27FC236}">
              <a16:creationId xmlns:a16="http://schemas.microsoft.com/office/drawing/2014/main" id="{37CB382F-FFD7-14A4-C73C-4326434B26CB}"/>
            </a:ext>
          </a:extLst>
        </xdr:cNvPr>
        <xdr:cNvSpPr>
          <a:spLocks noChangeArrowheads="1"/>
        </xdr:cNvSpPr>
      </xdr:nvSpPr>
      <xdr:spPr bwMode="auto">
        <a:xfrm>
          <a:off x="5245100" y="3124200"/>
          <a:ext cx="88900" cy="825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495300</xdr:colOff>
      <xdr:row>20</xdr:row>
      <xdr:rowOff>76200</xdr:rowOff>
    </xdr:from>
    <xdr:to>
      <xdr:col>12</xdr:col>
      <xdr:colOff>520700</xdr:colOff>
      <xdr:row>20</xdr:row>
      <xdr:rowOff>76200</xdr:rowOff>
    </xdr:to>
    <xdr:sp macro="" textlink="">
      <xdr:nvSpPr>
        <xdr:cNvPr id="51878" name="Line 53">
          <a:extLst>
            <a:ext uri="{FF2B5EF4-FFF2-40B4-BE49-F238E27FC236}">
              <a16:creationId xmlns:a16="http://schemas.microsoft.com/office/drawing/2014/main" id="{56B59AAF-ACF0-B911-A6BC-1BD4BB1260E8}"/>
            </a:ext>
          </a:extLst>
        </xdr:cNvPr>
        <xdr:cNvSpPr>
          <a:spLocks noChangeShapeType="1"/>
        </xdr:cNvSpPr>
      </xdr:nvSpPr>
      <xdr:spPr bwMode="auto">
        <a:xfrm>
          <a:off x="5397500" y="3949700"/>
          <a:ext cx="14224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165100</xdr:colOff>
      <xdr:row>15</xdr:row>
      <xdr:rowOff>152400</xdr:rowOff>
    </xdr:from>
    <xdr:to>
      <xdr:col>10</xdr:col>
      <xdr:colOff>12700</xdr:colOff>
      <xdr:row>15</xdr:row>
      <xdr:rowOff>152400</xdr:rowOff>
    </xdr:to>
    <xdr:sp macro="" textlink="">
      <xdr:nvSpPr>
        <xdr:cNvPr id="51879" name="Line 54">
          <a:extLst>
            <a:ext uri="{FF2B5EF4-FFF2-40B4-BE49-F238E27FC236}">
              <a16:creationId xmlns:a16="http://schemas.microsoft.com/office/drawing/2014/main" id="{F722A696-E1A5-E750-BE0A-CEF1FBBEB670}"/>
            </a:ext>
          </a:extLst>
        </xdr:cNvPr>
        <xdr:cNvSpPr>
          <a:spLocks noChangeShapeType="1"/>
        </xdr:cNvSpPr>
      </xdr:nvSpPr>
      <xdr:spPr bwMode="auto">
        <a:xfrm>
          <a:off x="5626100" y="3086100"/>
          <a:ext cx="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457200</xdr:colOff>
      <xdr:row>15</xdr:row>
      <xdr:rowOff>139700</xdr:rowOff>
    </xdr:from>
    <xdr:to>
      <xdr:col>9</xdr:col>
      <xdr:colOff>457200</xdr:colOff>
      <xdr:row>17</xdr:row>
      <xdr:rowOff>25400</xdr:rowOff>
    </xdr:to>
    <xdr:sp macro="" textlink="">
      <xdr:nvSpPr>
        <xdr:cNvPr id="51880" name="Line 55">
          <a:extLst>
            <a:ext uri="{FF2B5EF4-FFF2-40B4-BE49-F238E27FC236}">
              <a16:creationId xmlns:a16="http://schemas.microsoft.com/office/drawing/2014/main" id="{1F99363A-EDEB-A4CE-67CE-02B9C15D8AB9}"/>
            </a:ext>
          </a:extLst>
        </xdr:cNvPr>
        <xdr:cNvSpPr>
          <a:spLocks noChangeShapeType="1"/>
        </xdr:cNvSpPr>
      </xdr:nvSpPr>
      <xdr:spPr bwMode="auto">
        <a:xfrm>
          <a:off x="5626100" y="3073400"/>
          <a:ext cx="0" cy="2159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419100</xdr:colOff>
      <xdr:row>19</xdr:row>
      <xdr:rowOff>139700</xdr:rowOff>
    </xdr:from>
    <xdr:to>
      <xdr:col>9</xdr:col>
      <xdr:colOff>419100</xdr:colOff>
      <xdr:row>20</xdr:row>
      <xdr:rowOff>76200</xdr:rowOff>
    </xdr:to>
    <xdr:sp macro="" textlink="">
      <xdr:nvSpPr>
        <xdr:cNvPr id="51881" name="Line 56">
          <a:extLst>
            <a:ext uri="{FF2B5EF4-FFF2-40B4-BE49-F238E27FC236}">
              <a16:creationId xmlns:a16="http://schemas.microsoft.com/office/drawing/2014/main" id="{F342CE02-8C84-715B-3D81-DC9F0DE8DF36}"/>
            </a:ext>
          </a:extLst>
        </xdr:cNvPr>
        <xdr:cNvSpPr>
          <a:spLocks noChangeShapeType="1"/>
        </xdr:cNvSpPr>
      </xdr:nvSpPr>
      <xdr:spPr bwMode="auto">
        <a:xfrm>
          <a:off x="5626100" y="3797300"/>
          <a:ext cx="0" cy="1524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330200</xdr:colOff>
      <xdr:row>20</xdr:row>
      <xdr:rowOff>114300</xdr:rowOff>
    </xdr:from>
    <xdr:to>
      <xdr:col>7</xdr:col>
      <xdr:colOff>330200</xdr:colOff>
      <xdr:row>23</xdr:row>
      <xdr:rowOff>38100</xdr:rowOff>
    </xdr:to>
    <xdr:sp macro="" textlink="">
      <xdr:nvSpPr>
        <xdr:cNvPr id="51882" name="Line 57">
          <a:extLst>
            <a:ext uri="{FF2B5EF4-FFF2-40B4-BE49-F238E27FC236}">
              <a16:creationId xmlns:a16="http://schemas.microsoft.com/office/drawing/2014/main" id="{498355AE-70FB-4147-9BD1-36664AA71E8F}"/>
            </a:ext>
          </a:extLst>
        </xdr:cNvPr>
        <xdr:cNvSpPr>
          <a:spLocks noChangeShapeType="1"/>
        </xdr:cNvSpPr>
      </xdr:nvSpPr>
      <xdr:spPr bwMode="auto">
        <a:xfrm>
          <a:off x="5232400" y="3987800"/>
          <a:ext cx="0" cy="5334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431800</xdr:colOff>
      <xdr:row>20</xdr:row>
      <xdr:rowOff>114300</xdr:rowOff>
    </xdr:from>
    <xdr:to>
      <xdr:col>7</xdr:col>
      <xdr:colOff>431800</xdr:colOff>
      <xdr:row>23</xdr:row>
      <xdr:rowOff>38100</xdr:rowOff>
    </xdr:to>
    <xdr:sp macro="" textlink="">
      <xdr:nvSpPr>
        <xdr:cNvPr id="51883" name="Line 58">
          <a:extLst>
            <a:ext uri="{FF2B5EF4-FFF2-40B4-BE49-F238E27FC236}">
              <a16:creationId xmlns:a16="http://schemas.microsoft.com/office/drawing/2014/main" id="{76CF5F22-4BB1-0737-F2BA-6F6434BFB51F}"/>
            </a:ext>
          </a:extLst>
        </xdr:cNvPr>
        <xdr:cNvSpPr>
          <a:spLocks noChangeShapeType="1"/>
        </xdr:cNvSpPr>
      </xdr:nvSpPr>
      <xdr:spPr bwMode="auto">
        <a:xfrm>
          <a:off x="5334000" y="3987800"/>
          <a:ext cx="0" cy="5334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444500</xdr:colOff>
      <xdr:row>23</xdr:row>
      <xdr:rowOff>152400</xdr:rowOff>
    </xdr:from>
    <xdr:to>
      <xdr:col>8</xdr:col>
      <xdr:colOff>444500</xdr:colOff>
      <xdr:row>24</xdr:row>
      <xdr:rowOff>76200</xdr:rowOff>
    </xdr:to>
    <xdr:sp macro="" textlink="">
      <xdr:nvSpPr>
        <xdr:cNvPr id="51884" name="Line 59">
          <a:extLst>
            <a:ext uri="{FF2B5EF4-FFF2-40B4-BE49-F238E27FC236}">
              <a16:creationId xmlns:a16="http://schemas.microsoft.com/office/drawing/2014/main" id="{1B20F42E-2A88-0EDB-C094-C051C234329F}"/>
            </a:ext>
          </a:extLst>
        </xdr:cNvPr>
        <xdr:cNvSpPr>
          <a:spLocks noChangeShapeType="1"/>
        </xdr:cNvSpPr>
      </xdr:nvSpPr>
      <xdr:spPr bwMode="auto">
        <a:xfrm>
          <a:off x="5626100" y="4635500"/>
          <a:ext cx="0" cy="1270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609600</xdr:colOff>
      <xdr:row>12</xdr:row>
      <xdr:rowOff>152400</xdr:rowOff>
    </xdr:from>
    <xdr:to>
      <xdr:col>6</xdr:col>
      <xdr:colOff>609600</xdr:colOff>
      <xdr:row>15</xdr:row>
      <xdr:rowOff>63500</xdr:rowOff>
    </xdr:to>
    <xdr:sp macro="" textlink="">
      <xdr:nvSpPr>
        <xdr:cNvPr id="51885" name="Line 60">
          <a:extLst>
            <a:ext uri="{FF2B5EF4-FFF2-40B4-BE49-F238E27FC236}">
              <a16:creationId xmlns:a16="http://schemas.microsoft.com/office/drawing/2014/main" id="{46436943-C481-7D64-1361-37140850BDBA}"/>
            </a:ext>
          </a:extLst>
        </xdr:cNvPr>
        <xdr:cNvSpPr>
          <a:spLocks noChangeShapeType="1"/>
        </xdr:cNvSpPr>
      </xdr:nvSpPr>
      <xdr:spPr bwMode="auto">
        <a:xfrm>
          <a:off x="4889500" y="2476500"/>
          <a:ext cx="0" cy="5207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88900</xdr:colOff>
      <xdr:row>13</xdr:row>
      <xdr:rowOff>12700</xdr:rowOff>
    </xdr:from>
    <xdr:to>
      <xdr:col>11</xdr:col>
      <xdr:colOff>88900</xdr:colOff>
      <xdr:row>15</xdr:row>
      <xdr:rowOff>63500</xdr:rowOff>
    </xdr:to>
    <xdr:sp macro="" textlink="">
      <xdr:nvSpPr>
        <xdr:cNvPr id="51886" name="Line 61">
          <a:extLst>
            <a:ext uri="{FF2B5EF4-FFF2-40B4-BE49-F238E27FC236}">
              <a16:creationId xmlns:a16="http://schemas.microsoft.com/office/drawing/2014/main" id="{6EAEDC84-9D35-C00D-71CC-FDE338CE2859}"/>
            </a:ext>
          </a:extLst>
        </xdr:cNvPr>
        <xdr:cNvSpPr>
          <a:spLocks noChangeShapeType="1"/>
        </xdr:cNvSpPr>
      </xdr:nvSpPr>
      <xdr:spPr bwMode="auto">
        <a:xfrm>
          <a:off x="5715000" y="2514600"/>
          <a:ext cx="0" cy="4826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215900</xdr:colOff>
      <xdr:row>13</xdr:row>
      <xdr:rowOff>88900</xdr:rowOff>
    </xdr:from>
    <xdr:to>
      <xdr:col>6</xdr:col>
      <xdr:colOff>596900</xdr:colOff>
      <xdr:row>13</xdr:row>
      <xdr:rowOff>88900</xdr:rowOff>
    </xdr:to>
    <xdr:sp macro="" textlink="">
      <xdr:nvSpPr>
        <xdr:cNvPr id="51887" name="Line 62">
          <a:extLst>
            <a:ext uri="{FF2B5EF4-FFF2-40B4-BE49-F238E27FC236}">
              <a16:creationId xmlns:a16="http://schemas.microsoft.com/office/drawing/2014/main" id="{C743BEF5-DDCC-8113-4DC4-52572E958DCF}"/>
            </a:ext>
          </a:extLst>
        </xdr:cNvPr>
        <xdr:cNvSpPr>
          <a:spLocks noChangeShapeType="1"/>
        </xdr:cNvSpPr>
      </xdr:nvSpPr>
      <xdr:spPr bwMode="auto">
        <a:xfrm flipH="1">
          <a:off x="4495800" y="2590800"/>
          <a:ext cx="3810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114300</xdr:colOff>
      <xdr:row>13</xdr:row>
      <xdr:rowOff>88900</xdr:rowOff>
    </xdr:from>
    <xdr:to>
      <xdr:col>11</xdr:col>
      <xdr:colOff>444500</xdr:colOff>
      <xdr:row>13</xdr:row>
      <xdr:rowOff>88900</xdr:rowOff>
    </xdr:to>
    <xdr:sp macro="" textlink="">
      <xdr:nvSpPr>
        <xdr:cNvPr id="51888" name="Line 63">
          <a:extLst>
            <a:ext uri="{FF2B5EF4-FFF2-40B4-BE49-F238E27FC236}">
              <a16:creationId xmlns:a16="http://schemas.microsoft.com/office/drawing/2014/main" id="{4A6019E0-67C7-B3E4-9D5D-E0EC11BA4D8A}"/>
            </a:ext>
          </a:extLst>
        </xdr:cNvPr>
        <xdr:cNvSpPr>
          <a:spLocks noChangeShapeType="1"/>
        </xdr:cNvSpPr>
      </xdr:nvSpPr>
      <xdr:spPr bwMode="auto">
        <a:xfrm flipH="1">
          <a:off x="5740400" y="2590800"/>
          <a:ext cx="3302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635000</xdr:colOff>
      <xdr:row>22</xdr:row>
      <xdr:rowOff>127000</xdr:rowOff>
    </xdr:from>
    <xdr:to>
      <xdr:col>7</xdr:col>
      <xdr:colOff>317500</xdr:colOff>
      <xdr:row>22</xdr:row>
      <xdr:rowOff>127000</xdr:rowOff>
    </xdr:to>
    <xdr:sp macro="" textlink="">
      <xdr:nvSpPr>
        <xdr:cNvPr id="51889" name="Line 64">
          <a:extLst>
            <a:ext uri="{FF2B5EF4-FFF2-40B4-BE49-F238E27FC236}">
              <a16:creationId xmlns:a16="http://schemas.microsoft.com/office/drawing/2014/main" id="{897865CE-0A2B-33DC-CCC4-F2A97D4A2CAC}"/>
            </a:ext>
          </a:extLst>
        </xdr:cNvPr>
        <xdr:cNvSpPr>
          <a:spLocks noChangeShapeType="1"/>
        </xdr:cNvSpPr>
      </xdr:nvSpPr>
      <xdr:spPr bwMode="auto">
        <a:xfrm flipH="1">
          <a:off x="4902200" y="4394200"/>
          <a:ext cx="3175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444500</xdr:colOff>
      <xdr:row>22</xdr:row>
      <xdr:rowOff>127000</xdr:rowOff>
    </xdr:from>
    <xdr:to>
      <xdr:col>11</xdr:col>
      <xdr:colOff>419100</xdr:colOff>
      <xdr:row>22</xdr:row>
      <xdr:rowOff>127000</xdr:rowOff>
    </xdr:to>
    <xdr:sp macro="" textlink="">
      <xdr:nvSpPr>
        <xdr:cNvPr id="51890" name="Line 65">
          <a:extLst>
            <a:ext uri="{FF2B5EF4-FFF2-40B4-BE49-F238E27FC236}">
              <a16:creationId xmlns:a16="http://schemas.microsoft.com/office/drawing/2014/main" id="{8FA10E75-E4F8-4481-6676-4365D433EEED}"/>
            </a:ext>
          </a:extLst>
        </xdr:cNvPr>
        <xdr:cNvSpPr>
          <a:spLocks noChangeShapeType="1"/>
        </xdr:cNvSpPr>
      </xdr:nvSpPr>
      <xdr:spPr bwMode="auto">
        <a:xfrm flipH="1">
          <a:off x="5346700" y="4394200"/>
          <a:ext cx="6985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165100</xdr:colOff>
      <xdr:row>15</xdr:row>
      <xdr:rowOff>101600</xdr:rowOff>
    </xdr:from>
    <xdr:to>
      <xdr:col>12</xdr:col>
      <xdr:colOff>495300</xdr:colOff>
      <xdr:row>15</xdr:row>
      <xdr:rowOff>101600</xdr:rowOff>
    </xdr:to>
    <xdr:sp macro="" textlink="">
      <xdr:nvSpPr>
        <xdr:cNvPr id="51891" name="Line 66">
          <a:extLst>
            <a:ext uri="{FF2B5EF4-FFF2-40B4-BE49-F238E27FC236}">
              <a16:creationId xmlns:a16="http://schemas.microsoft.com/office/drawing/2014/main" id="{035693B5-4B5E-AA4B-805E-19DF9A871149}"/>
            </a:ext>
          </a:extLst>
        </xdr:cNvPr>
        <xdr:cNvSpPr>
          <a:spLocks noChangeShapeType="1"/>
        </xdr:cNvSpPr>
      </xdr:nvSpPr>
      <xdr:spPr bwMode="auto">
        <a:xfrm>
          <a:off x="5791200" y="3035300"/>
          <a:ext cx="10033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381000</xdr:colOff>
      <xdr:row>15</xdr:row>
      <xdr:rowOff>114300</xdr:rowOff>
    </xdr:from>
    <xdr:to>
      <xdr:col>12</xdr:col>
      <xdr:colOff>381000</xdr:colOff>
      <xdr:row>16</xdr:row>
      <xdr:rowOff>114300</xdr:rowOff>
    </xdr:to>
    <xdr:sp macro="" textlink="">
      <xdr:nvSpPr>
        <xdr:cNvPr id="51892" name="Line 67">
          <a:extLst>
            <a:ext uri="{FF2B5EF4-FFF2-40B4-BE49-F238E27FC236}">
              <a16:creationId xmlns:a16="http://schemas.microsoft.com/office/drawing/2014/main" id="{960C5F9B-A99C-8D8A-205D-67CD70E9FE0F}"/>
            </a:ext>
          </a:extLst>
        </xdr:cNvPr>
        <xdr:cNvSpPr>
          <a:spLocks noChangeShapeType="1"/>
        </xdr:cNvSpPr>
      </xdr:nvSpPr>
      <xdr:spPr bwMode="auto">
        <a:xfrm>
          <a:off x="6680200" y="3048000"/>
          <a:ext cx="0" cy="1651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381000</xdr:colOff>
      <xdr:row>19</xdr:row>
      <xdr:rowOff>50800</xdr:rowOff>
    </xdr:from>
    <xdr:to>
      <xdr:col>12</xdr:col>
      <xdr:colOff>381000</xdr:colOff>
      <xdr:row>20</xdr:row>
      <xdr:rowOff>76200</xdr:rowOff>
    </xdr:to>
    <xdr:sp macro="" textlink="">
      <xdr:nvSpPr>
        <xdr:cNvPr id="51893" name="Line 68">
          <a:extLst>
            <a:ext uri="{FF2B5EF4-FFF2-40B4-BE49-F238E27FC236}">
              <a16:creationId xmlns:a16="http://schemas.microsoft.com/office/drawing/2014/main" id="{7FDC8630-B4EF-B0A9-6B78-23B53B1622B3}"/>
            </a:ext>
          </a:extLst>
        </xdr:cNvPr>
        <xdr:cNvSpPr>
          <a:spLocks noChangeShapeType="1"/>
        </xdr:cNvSpPr>
      </xdr:nvSpPr>
      <xdr:spPr bwMode="auto">
        <a:xfrm>
          <a:off x="6680200" y="3708400"/>
          <a:ext cx="0" cy="2413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8</xdr:col>
      <xdr:colOff>0</xdr:colOff>
      <xdr:row>18</xdr:row>
      <xdr:rowOff>38100</xdr:rowOff>
    </xdr:from>
    <xdr:ext cx="351476" cy="153819"/>
    <xdr:sp macro="" textlink="">
      <xdr:nvSpPr>
        <xdr:cNvPr id="27717" name="Text Box 69">
          <a:extLst>
            <a:ext uri="{FF2B5EF4-FFF2-40B4-BE49-F238E27FC236}">
              <a16:creationId xmlns:a16="http://schemas.microsoft.com/office/drawing/2014/main" id="{74FBA3C0-7AD2-56C2-5EA6-3013AA605C6C}"/>
            </a:ext>
          </a:extLst>
        </xdr:cNvPr>
        <xdr:cNvSpPr txBox="1">
          <a:spLocks noChangeArrowheads="1"/>
        </xdr:cNvSpPr>
      </xdr:nvSpPr>
      <xdr:spPr bwMode="auto">
        <a:xfrm>
          <a:off x="5059680" y="3375660"/>
          <a:ext cx="326371" cy="141001"/>
        </a:xfrm>
        <a:prstGeom prst="rect">
          <a:avLst/>
        </a:prstGeom>
        <a:noFill/>
        <a:ln>
          <a:noFill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1" i="0" u="none" strike="noStrike" baseline="0">
              <a:solidFill>
                <a:srgbClr val="FF0000"/>
              </a:solidFill>
              <a:latin typeface="Arial"/>
              <a:cs typeface="Arial"/>
            </a:rPr>
            <a:t>Key In</a:t>
          </a:r>
        </a:p>
      </xdr:txBody>
    </xdr:sp>
    <xdr:clientData/>
  </xdr:oneCellAnchor>
  <xdr:twoCellAnchor>
    <xdr:from>
      <xdr:col>5</xdr:col>
      <xdr:colOff>762000</xdr:colOff>
      <xdr:row>15</xdr:row>
      <xdr:rowOff>101600</xdr:rowOff>
    </xdr:from>
    <xdr:to>
      <xdr:col>6</xdr:col>
      <xdr:colOff>584200</xdr:colOff>
      <xdr:row>15</xdr:row>
      <xdr:rowOff>101600</xdr:rowOff>
    </xdr:to>
    <xdr:sp macro="" textlink="">
      <xdr:nvSpPr>
        <xdr:cNvPr id="51895" name="Line 70">
          <a:extLst>
            <a:ext uri="{FF2B5EF4-FFF2-40B4-BE49-F238E27FC236}">
              <a16:creationId xmlns:a16="http://schemas.microsoft.com/office/drawing/2014/main" id="{1D8088B5-3C82-8116-E71D-288AECB347FF}"/>
            </a:ext>
          </a:extLst>
        </xdr:cNvPr>
        <xdr:cNvSpPr>
          <a:spLocks noChangeShapeType="1"/>
        </xdr:cNvSpPr>
      </xdr:nvSpPr>
      <xdr:spPr bwMode="auto">
        <a:xfrm>
          <a:off x="4279900" y="3035300"/>
          <a:ext cx="5842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774700</xdr:colOff>
      <xdr:row>16</xdr:row>
      <xdr:rowOff>38100</xdr:rowOff>
    </xdr:from>
    <xdr:to>
      <xdr:col>6</xdr:col>
      <xdr:colOff>584200</xdr:colOff>
      <xdr:row>16</xdr:row>
      <xdr:rowOff>38100</xdr:rowOff>
    </xdr:to>
    <xdr:sp macro="" textlink="">
      <xdr:nvSpPr>
        <xdr:cNvPr id="51896" name="Line 71">
          <a:extLst>
            <a:ext uri="{FF2B5EF4-FFF2-40B4-BE49-F238E27FC236}">
              <a16:creationId xmlns:a16="http://schemas.microsoft.com/office/drawing/2014/main" id="{722798BC-FEDB-B3AD-E676-7DEA92702A1C}"/>
            </a:ext>
          </a:extLst>
        </xdr:cNvPr>
        <xdr:cNvSpPr>
          <a:spLocks noChangeShapeType="1"/>
        </xdr:cNvSpPr>
      </xdr:nvSpPr>
      <xdr:spPr bwMode="auto">
        <a:xfrm>
          <a:off x="4279900" y="3136900"/>
          <a:ext cx="5842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838200</xdr:colOff>
      <xdr:row>16</xdr:row>
      <xdr:rowOff>38100</xdr:rowOff>
    </xdr:from>
    <xdr:to>
      <xdr:col>5</xdr:col>
      <xdr:colOff>838200</xdr:colOff>
      <xdr:row>19</xdr:row>
      <xdr:rowOff>139700</xdr:rowOff>
    </xdr:to>
    <xdr:sp macro="" textlink="">
      <xdr:nvSpPr>
        <xdr:cNvPr id="51897" name="Line 72">
          <a:extLst>
            <a:ext uri="{FF2B5EF4-FFF2-40B4-BE49-F238E27FC236}">
              <a16:creationId xmlns:a16="http://schemas.microsoft.com/office/drawing/2014/main" id="{1363164E-D4B9-D804-1206-88E5B9F34135}"/>
            </a:ext>
          </a:extLst>
        </xdr:cNvPr>
        <xdr:cNvSpPr>
          <a:spLocks noChangeShapeType="1"/>
        </xdr:cNvSpPr>
      </xdr:nvSpPr>
      <xdr:spPr bwMode="auto">
        <a:xfrm>
          <a:off x="4279900" y="3136900"/>
          <a:ext cx="0" cy="6604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850900</xdr:colOff>
      <xdr:row>19</xdr:row>
      <xdr:rowOff>127000</xdr:rowOff>
    </xdr:from>
    <xdr:to>
      <xdr:col>6</xdr:col>
      <xdr:colOff>0</xdr:colOff>
      <xdr:row>19</xdr:row>
      <xdr:rowOff>139700</xdr:rowOff>
    </xdr:to>
    <xdr:sp macro="" textlink="">
      <xdr:nvSpPr>
        <xdr:cNvPr id="51898" name="Line 73">
          <a:extLst>
            <a:ext uri="{FF2B5EF4-FFF2-40B4-BE49-F238E27FC236}">
              <a16:creationId xmlns:a16="http://schemas.microsoft.com/office/drawing/2014/main" id="{35FD0CB7-D5CE-FD03-3EC6-2FC298143772}"/>
            </a:ext>
          </a:extLst>
        </xdr:cNvPr>
        <xdr:cNvSpPr>
          <a:spLocks noChangeShapeType="1"/>
        </xdr:cNvSpPr>
      </xdr:nvSpPr>
      <xdr:spPr bwMode="auto">
        <a:xfrm>
          <a:off x="4279900" y="3784600"/>
          <a:ext cx="0" cy="127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838200</xdr:colOff>
      <xdr:row>14</xdr:row>
      <xdr:rowOff>38100</xdr:rowOff>
    </xdr:from>
    <xdr:to>
      <xdr:col>5</xdr:col>
      <xdr:colOff>838200</xdr:colOff>
      <xdr:row>15</xdr:row>
      <xdr:rowOff>101600</xdr:rowOff>
    </xdr:to>
    <xdr:sp macro="" textlink="">
      <xdr:nvSpPr>
        <xdr:cNvPr id="51899" name="Line 74">
          <a:extLst>
            <a:ext uri="{FF2B5EF4-FFF2-40B4-BE49-F238E27FC236}">
              <a16:creationId xmlns:a16="http://schemas.microsoft.com/office/drawing/2014/main" id="{EBDDDFB5-CE60-0A3A-A5D7-81371BDCB434}"/>
            </a:ext>
          </a:extLst>
        </xdr:cNvPr>
        <xdr:cNvSpPr>
          <a:spLocks noChangeShapeType="1"/>
        </xdr:cNvSpPr>
      </xdr:nvSpPr>
      <xdr:spPr bwMode="auto">
        <a:xfrm flipV="1">
          <a:off x="4279900" y="2755900"/>
          <a:ext cx="0" cy="2794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6</xdr:col>
      <xdr:colOff>255905</xdr:colOff>
      <xdr:row>24</xdr:row>
      <xdr:rowOff>49530</xdr:rowOff>
    </xdr:from>
    <xdr:to>
      <xdr:col>7</xdr:col>
      <xdr:colOff>641918</xdr:colOff>
      <xdr:row>25</xdr:row>
      <xdr:rowOff>39539</xdr:rowOff>
    </xdr:to>
    <xdr:sp macro="" textlink="">
      <xdr:nvSpPr>
        <xdr:cNvPr id="27723" name="Text Box 75">
          <a:extLst>
            <a:ext uri="{FF2B5EF4-FFF2-40B4-BE49-F238E27FC236}">
              <a16:creationId xmlns:a16="http://schemas.microsoft.com/office/drawing/2014/main" id="{DE4114D3-CD14-D8C7-7530-BF55606AEC79}"/>
            </a:ext>
          </a:extLst>
        </xdr:cNvPr>
        <xdr:cNvSpPr txBox="1">
          <a:spLocks noChangeArrowheads="1"/>
        </xdr:cNvSpPr>
      </xdr:nvSpPr>
      <xdr:spPr bwMode="auto">
        <a:xfrm>
          <a:off x="4000500" y="4572000"/>
          <a:ext cx="866775" cy="190500"/>
        </a:xfrm>
        <a:prstGeom prst="rect">
          <a:avLst/>
        </a:prstGeom>
        <a:noFill/>
        <a:ln>
          <a:noFill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Tee Weight</a:t>
          </a:r>
        </a:p>
        <a:p>
          <a:pPr algn="l" rtl="0">
            <a:defRPr sz="1000"/>
          </a:pP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oneCellAnchor>
    <xdr:from>
      <xdr:col>7</xdr:col>
      <xdr:colOff>81280</xdr:colOff>
      <xdr:row>30</xdr:row>
      <xdr:rowOff>38100</xdr:rowOff>
    </xdr:from>
    <xdr:ext cx="364029" cy="153819"/>
    <xdr:sp macro="" textlink="">
      <xdr:nvSpPr>
        <xdr:cNvPr id="27724" name="Text Box 76">
          <a:extLst>
            <a:ext uri="{FF2B5EF4-FFF2-40B4-BE49-F238E27FC236}">
              <a16:creationId xmlns:a16="http://schemas.microsoft.com/office/drawing/2014/main" id="{8C6D0810-99DB-FCEB-C34E-F050688AD8A3}"/>
            </a:ext>
          </a:extLst>
        </xdr:cNvPr>
        <xdr:cNvSpPr txBox="1">
          <a:spLocks noChangeArrowheads="1"/>
        </xdr:cNvSpPr>
      </xdr:nvSpPr>
      <xdr:spPr bwMode="auto">
        <a:xfrm>
          <a:off x="4480560" y="5722620"/>
          <a:ext cx="326371" cy="141001"/>
        </a:xfrm>
        <a:prstGeom prst="rect">
          <a:avLst/>
        </a:prstGeom>
        <a:noFill/>
        <a:ln>
          <a:noFill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1" i="0" u="none" strike="noStrike" baseline="0">
              <a:solidFill>
                <a:srgbClr val="FF0000"/>
              </a:solidFill>
              <a:latin typeface="Arial"/>
              <a:cs typeface="Arial"/>
            </a:rPr>
            <a:t>Key In</a:t>
          </a:r>
        </a:p>
      </xdr:txBody>
    </xdr:sp>
    <xdr:clientData/>
  </xdr:oneCellAnchor>
  <xdr:oneCellAnchor>
    <xdr:from>
      <xdr:col>2</xdr:col>
      <xdr:colOff>81280</xdr:colOff>
      <xdr:row>30</xdr:row>
      <xdr:rowOff>19050</xdr:rowOff>
    </xdr:from>
    <xdr:ext cx="364029" cy="141001"/>
    <xdr:sp macro="" textlink="">
      <xdr:nvSpPr>
        <xdr:cNvPr id="27725" name="Text Box 77">
          <a:extLst>
            <a:ext uri="{FF2B5EF4-FFF2-40B4-BE49-F238E27FC236}">
              <a16:creationId xmlns:a16="http://schemas.microsoft.com/office/drawing/2014/main" id="{549B1125-231A-54DF-DB43-93B5EFC96A7D}"/>
            </a:ext>
          </a:extLst>
        </xdr:cNvPr>
        <xdr:cNvSpPr txBox="1">
          <a:spLocks noChangeArrowheads="1"/>
        </xdr:cNvSpPr>
      </xdr:nvSpPr>
      <xdr:spPr bwMode="auto">
        <a:xfrm>
          <a:off x="1120140" y="5703570"/>
          <a:ext cx="326371" cy="141001"/>
        </a:xfrm>
        <a:prstGeom prst="rect">
          <a:avLst/>
        </a:prstGeom>
        <a:noFill/>
        <a:ln>
          <a:noFill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1" i="0" u="none" strike="noStrike" baseline="0">
              <a:solidFill>
                <a:srgbClr val="FF0000"/>
              </a:solidFill>
              <a:latin typeface="Arial"/>
              <a:cs typeface="Arial"/>
            </a:rPr>
            <a:t>Key In</a:t>
          </a:r>
        </a:p>
      </xdr:txBody>
    </xdr:sp>
    <xdr:clientData/>
  </xdr:oneCellAnchor>
  <xdr:oneCellAnchor>
    <xdr:from>
      <xdr:col>2</xdr:col>
      <xdr:colOff>81280</xdr:colOff>
      <xdr:row>32</xdr:row>
      <xdr:rowOff>19050</xdr:rowOff>
    </xdr:from>
    <xdr:ext cx="364029" cy="141001"/>
    <xdr:sp macro="" textlink="">
      <xdr:nvSpPr>
        <xdr:cNvPr id="27726" name="Text Box 78">
          <a:extLst>
            <a:ext uri="{FF2B5EF4-FFF2-40B4-BE49-F238E27FC236}">
              <a16:creationId xmlns:a16="http://schemas.microsoft.com/office/drawing/2014/main" id="{F5536202-2971-DB56-9EDE-8E10FD4877BF}"/>
            </a:ext>
          </a:extLst>
        </xdr:cNvPr>
        <xdr:cNvSpPr txBox="1">
          <a:spLocks noChangeArrowheads="1"/>
        </xdr:cNvSpPr>
      </xdr:nvSpPr>
      <xdr:spPr bwMode="auto">
        <a:xfrm>
          <a:off x="1120140" y="6061710"/>
          <a:ext cx="326371" cy="141001"/>
        </a:xfrm>
        <a:prstGeom prst="rect">
          <a:avLst/>
        </a:prstGeom>
        <a:noFill/>
        <a:ln>
          <a:noFill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1" i="0" u="none" strike="noStrike" baseline="0">
              <a:solidFill>
                <a:srgbClr val="FF0000"/>
              </a:solidFill>
              <a:latin typeface="Arial"/>
              <a:cs typeface="Arial"/>
            </a:rPr>
            <a:t>Key In</a:t>
          </a:r>
        </a:p>
      </xdr:txBody>
    </xdr:sp>
    <xdr:clientData/>
  </xdr:oneCellAnchor>
  <xdr:oneCellAnchor>
    <xdr:from>
      <xdr:col>2</xdr:col>
      <xdr:colOff>81280</xdr:colOff>
      <xdr:row>34</xdr:row>
      <xdr:rowOff>0</xdr:rowOff>
    </xdr:from>
    <xdr:ext cx="364029" cy="153819"/>
    <xdr:sp macro="" textlink="">
      <xdr:nvSpPr>
        <xdr:cNvPr id="27727" name="Text Box 79">
          <a:extLst>
            <a:ext uri="{FF2B5EF4-FFF2-40B4-BE49-F238E27FC236}">
              <a16:creationId xmlns:a16="http://schemas.microsoft.com/office/drawing/2014/main" id="{F271F01D-5106-AC57-00F8-9D66A456FEFE}"/>
            </a:ext>
          </a:extLst>
        </xdr:cNvPr>
        <xdr:cNvSpPr txBox="1">
          <a:spLocks noChangeArrowheads="1"/>
        </xdr:cNvSpPr>
      </xdr:nvSpPr>
      <xdr:spPr bwMode="auto">
        <a:xfrm>
          <a:off x="1120140" y="6393180"/>
          <a:ext cx="326371" cy="141001"/>
        </a:xfrm>
        <a:prstGeom prst="rect">
          <a:avLst/>
        </a:prstGeom>
        <a:noFill/>
        <a:ln>
          <a:noFill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1" i="0" u="none" strike="noStrike" baseline="0">
              <a:solidFill>
                <a:srgbClr val="FF0000"/>
              </a:solidFill>
              <a:latin typeface="Arial"/>
              <a:cs typeface="Arial"/>
            </a:rPr>
            <a:t>Key In</a:t>
          </a:r>
        </a:p>
      </xdr:txBody>
    </xdr:sp>
    <xdr:clientData/>
  </xdr:oneCellAnchor>
  <xdr:oneCellAnchor>
    <xdr:from>
      <xdr:col>2</xdr:col>
      <xdr:colOff>81280</xdr:colOff>
      <xdr:row>46</xdr:row>
      <xdr:rowOff>19050</xdr:rowOff>
    </xdr:from>
    <xdr:ext cx="364029" cy="141001"/>
    <xdr:sp macro="" textlink="">
      <xdr:nvSpPr>
        <xdr:cNvPr id="27728" name="Text Box 80">
          <a:extLst>
            <a:ext uri="{FF2B5EF4-FFF2-40B4-BE49-F238E27FC236}">
              <a16:creationId xmlns:a16="http://schemas.microsoft.com/office/drawing/2014/main" id="{E9F3F84E-BE8E-CA5F-E7A3-202E86ECDC0A}"/>
            </a:ext>
          </a:extLst>
        </xdr:cNvPr>
        <xdr:cNvSpPr txBox="1">
          <a:spLocks noChangeArrowheads="1"/>
        </xdr:cNvSpPr>
      </xdr:nvSpPr>
      <xdr:spPr bwMode="auto">
        <a:xfrm>
          <a:off x="1120140" y="8507730"/>
          <a:ext cx="326371" cy="141001"/>
        </a:xfrm>
        <a:prstGeom prst="rect">
          <a:avLst/>
        </a:prstGeom>
        <a:noFill/>
        <a:ln>
          <a:noFill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1" i="0" u="none" strike="noStrike" baseline="0">
              <a:solidFill>
                <a:srgbClr val="FF0000"/>
              </a:solidFill>
              <a:latin typeface="Arial"/>
              <a:cs typeface="Arial"/>
            </a:rPr>
            <a:t>Key In</a:t>
          </a:r>
        </a:p>
      </xdr:txBody>
    </xdr:sp>
    <xdr:clientData/>
  </xdr:oneCellAnchor>
  <xdr:oneCellAnchor>
    <xdr:from>
      <xdr:col>2</xdr:col>
      <xdr:colOff>81280</xdr:colOff>
      <xdr:row>47</xdr:row>
      <xdr:rowOff>152400</xdr:rowOff>
    </xdr:from>
    <xdr:ext cx="351476" cy="141001"/>
    <xdr:sp macro="" textlink="">
      <xdr:nvSpPr>
        <xdr:cNvPr id="27729" name="Text Box 81">
          <a:extLst>
            <a:ext uri="{FF2B5EF4-FFF2-40B4-BE49-F238E27FC236}">
              <a16:creationId xmlns:a16="http://schemas.microsoft.com/office/drawing/2014/main" id="{35A80AC1-3822-4928-FB07-189731FE5B95}"/>
            </a:ext>
          </a:extLst>
        </xdr:cNvPr>
        <xdr:cNvSpPr txBox="1">
          <a:spLocks noChangeArrowheads="1"/>
        </xdr:cNvSpPr>
      </xdr:nvSpPr>
      <xdr:spPr bwMode="auto">
        <a:xfrm>
          <a:off x="1120140" y="8823960"/>
          <a:ext cx="326371" cy="141001"/>
        </a:xfrm>
        <a:prstGeom prst="rect">
          <a:avLst/>
        </a:prstGeom>
        <a:noFill/>
        <a:ln>
          <a:noFill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1" i="0" u="none" strike="noStrike" baseline="0">
              <a:solidFill>
                <a:srgbClr val="FF0000"/>
              </a:solidFill>
              <a:latin typeface="Arial"/>
              <a:cs typeface="Arial"/>
            </a:rPr>
            <a:t>Key In</a:t>
          </a:r>
        </a:p>
      </xdr:txBody>
    </xdr:sp>
    <xdr:clientData/>
  </xdr:oneCellAnchor>
  <xdr:oneCellAnchor>
    <xdr:from>
      <xdr:col>7</xdr:col>
      <xdr:colOff>81280</xdr:colOff>
      <xdr:row>38</xdr:row>
      <xdr:rowOff>38100</xdr:rowOff>
    </xdr:from>
    <xdr:ext cx="364029" cy="153819"/>
    <xdr:sp macro="" textlink="">
      <xdr:nvSpPr>
        <xdr:cNvPr id="27730" name="Text Box 82">
          <a:extLst>
            <a:ext uri="{FF2B5EF4-FFF2-40B4-BE49-F238E27FC236}">
              <a16:creationId xmlns:a16="http://schemas.microsoft.com/office/drawing/2014/main" id="{DAB51552-6174-1E3F-6941-A4395C6A5045}"/>
            </a:ext>
          </a:extLst>
        </xdr:cNvPr>
        <xdr:cNvSpPr txBox="1">
          <a:spLocks noChangeArrowheads="1"/>
        </xdr:cNvSpPr>
      </xdr:nvSpPr>
      <xdr:spPr bwMode="auto">
        <a:xfrm>
          <a:off x="4480560" y="7139940"/>
          <a:ext cx="326371" cy="141001"/>
        </a:xfrm>
        <a:prstGeom prst="rect">
          <a:avLst/>
        </a:prstGeom>
        <a:noFill/>
        <a:ln>
          <a:noFill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1" i="0" u="none" strike="noStrike" baseline="0">
              <a:solidFill>
                <a:srgbClr val="FF0000"/>
              </a:solidFill>
              <a:latin typeface="Arial"/>
              <a:cs typeface="Arial"/>
            </a:rPr>
            <a:t>Key In</a:t>
          </a:r>
        </a:p>
      </xdr:txBody>
    </xdr:sp>
    <xdr:clientData/>
  </xdr:oneCellAnchor>
  <xdr:oneCellAnchor>
    <xdr:from>
      <xdr:col>2</xdr:col>
      <xdr:colOff>163195</xdr:colOff>
      <xdr:row>56</xdr:row>
      <xdr:rowOff>36195</xdr:rowOff>
    </xdr:from>
    <xdr:ext cx="364029" cy="141001"/>
    <xdr:sp macro="" textlink="">
      <xdr:nvSpPr>
        <xdr:cNvPr id="27731" name="Text Box 83">
          <a:extLst>
            <a:ext uri="{FF2B5EF4-FFF2-40B4-BE49-F238E27FC236}">
              <a16:creationId xmlns:a16="http://schemas.microsoft.com/office/drawing/2014/main" id="{3DE9D7B0-A642-77BC-0F96-E37FEE4D999A}"/>
            </a:ext>
          </a:extLst>
        </xdr:cNvPr>
        <xdr:cNvSpPr txBox="1">
          <a:spLocks noChangeArrowheads="1"/>
        </xdr:cNvSpPr>
      </xdr:nvSpPr>
      <xdr:spPr bwMode="auto">
        <a:xfrm>
          <a:off x="1202055" y="10262235"/>
          <a:ext cx="326371" cy="141001"/>
        </a:xfrm>
        <a:prstGeom prst="rect">
          <a:avLst/>
        </a:prstGeom>
        <a:noFill/>
        <a:ln>
          <a:noFill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1" i="0" u="none" strike="noStrike" baseline="0">
              <a:solidFill>
                <a:srgbClr val="FF0000"/>
              </a:solidFill>
              <a:latin typeface="Arial"/>
              <a:cs typeface="Arial"/>
            </a:rPr>
            <a:t>Key In</a:t>
          </a:r>
        </a:p>
      </xdr:txBody>
    </xdr:sp>
    <xdr:clientData/>
  </xdr:oneCellAnchor>
  <xdr:oneCellAnchor>
    <xdr:from>
      <xdr:col>2</xdr:col>
      <xdr:colOff>117475</xdr:colOff>
      <xdr:row>58</xdr:row>
      <xdr:rowOff>19050</xdr:rowOff>
    </xdr:from>
    <xdr:ext cx="364029" cy="141001"/>
    <xdr:sp macro="" textlink="">
      <xdr:nvSpPr>
        <xdr:cNvPr id="27732" name="Text Box 84">
          <a:extLst>
            <a:ext uri="{FF2B5EF4-FFF2-40B4-BE49-F238E27FC236}">
              <a16:creationId xmlns:a16="http://schemas.microsoft.com/office/drawing/2014/main" id="{5EDBD433-8E9E-A6B6-355C-A8EC69F1382E}"/>
            </a:ext>
          </a:extLst>
        </xdr:cNvPr>
        <xdr:cNvSpPr txBox="1">
          <a:spLocks noChangeArrowheads="1"/>
        </xdr:cNvSpPr>
      </xdr:nvSpPr>
      <xdr:spPr bwMode="auto">
        <a:xfrm>
          <a:off x="1156335" y="10603230"/>
          <a:ext cx="326371" cy="141001"/>
        </a:xfrm>
        <a:prstGeom prst="rect">
          <a:avLst/>
        </a:prstGeom>
        <a:noFill/>
        <a:ln>
          <a:noFill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1" i="0" u="none" strike="noStrike" baseline="0">
              <a:solidFill>
                <a:srgbClr val="FF0000"/>
              </a:solidFill>
              <a:latin typeface="Arial"/>
              <a:cs typeface="Arial"/>
            </a:rPr>
            <a:t>Key In</a:t>
          </a:r>
        </a:p>
      </xdr:txBody>
    </xdr:sp>
    <xdr:clientData/>
  </xdr:oneCellAnchor>
  <xdr:oneCellAnchor>
    <xdr:from>
      <xdr:col>2</xdr:col>
      <xdr:colOff>81280</xdr:colOff>
      <xdr:row>66</xdr:row>
      <xdr:rowOff>38100</xdr:rowOff>
    </xdr:from>
    <xdr:ext cx="364029" cy="153819"/>
    <xdr:sp macro="" textlink="">
      <xdr:nvSpPr>
        <xdr:cNvPr id="27733" name="Text Box 85">
          <a:extLst>
            <a:ext uri="{FF2B5EF4-FFF2-40B4-BE49-F238E27FC236}">
              <a16:creationId xmlns:a16="http://schemas.microsoft.com/office/drawing/2014/main" id="{0FA380A1-CB4B-3698-48B7-AF0801FBAF1A}"/>
            </a:ext>
          </a:extLst>
        </xdr:cNvPr>
        <xdr:cNvSpPr txBox="1">
          <a:spLocks noChangeArrowheads="1"/>
        </xdr:cNvSpPr>
      </xdr:nvSpPr>
      <xdr:spPr bwMode="auto">
        <a:xfrm>
          <a:off x="1120140" y="12001500"/>
          <a:ext cx="326371" cy="141001"/>
        </a:xfrm>
        <a:prstGeom prst="rect">
          <a:avLst/>
        </a:prstGeom>
        <a:noFill/>
        <a:ln>
          <a:noFill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1" i="0" u="none" strike="noStrike" baseline="0">
              <a:solidFill>
                <a:srgbClr val="FF0000"/>
              </a:solidFill>
              <a:latin typeface="Arial"/>
              <a:cs typeface="Arial"/>
            </a:rPr>
            <a:t>Key In</a:t>
          </a:r>
        </a:p>
      </xdr:txBody>
    </xdr:sp>
    <xdr:clientData/>
  </xdr:oneCellAnchor>
  <xdr:oneCellAnchor>
    <xdr:from>
      <xdr:col>2</xdr:col>
      <xdr:colOff>81280</xdr:colOff>
      <xdr:row>68</xdr:row>
      <xdr:rowOff>0</xdr:rowOff>
    </xdr:from>
    <xdr:ext cx="364029" cy="153819"/>
    <xdr:sp macro="" textlink="">
      <xdr:nvSpPr>
        <xdr:cNvPr id="27734" name="Text Box 86">
          <a:extLst>
            <a:ext uri="{FF2B5EF4-FFF2-40B4-BE49-F238E27FC236}">
              <a16:creationId xmlns:a16="http://schemas.microsoft.com/office/drawing/2014/main" id="{FF096A62-303D-7B04-9515-F91CEA0BFDF8}"/>
            </a:ext>
          </a:extLst>
        </xdr:cNvPr>
        <xdr:cNvSpPr txBox="1">
          <a:spLocks noChangeArrowheads="1"/>
        </xdr:cNvSpPr>
      </xdr:nvSpPr>
      <xdr:spPr bwMode="auto">
        <a:xfrm>
          <a:off x="1120140" y="12329160"/>
          <a:ext cx="326371" cy="141001"/>
        </a:xfrm>
        <a:prstGeom prst="rect">
          <a:avLst/>
        </a:prstGeom>
        <a:noFill/>
        <a:ln>
          <a:noFill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1" i="0" u="none" strike="noStrike" baseline="0">
              <a:solidFill>
                <a:srgbClr val="FF0000"/>
              </a:solidFill>
              <a:latin typeface="Arial"/>
              <a:cs typeface="Arial"/>
            </a:rPr>
            <a:t>Key In</a:t>
          </a:r>
        </a:p>
      </xdr:txBody>
    </xdr:sp>
    <xdr:clientData/>
  </xdr:oneCellAnchor>
  <xdr:oneCellAnchor>
    <xdr:from>
      <xdr:col>2</xdr:col>
      <xdr:colOff>123190</xdr:colOff>
      <xdr:row>78</xdr:row>
      <xdr:rowOff>19050</xdr:rowOff>
    </xdr:from>
    <xdr:ext cx="365536" cy="141001"/>
    <xdr:sp macro="" textlink="">
      <xdr:nvSpPr>
        <xdr:cNvPr id="27735" name="Text Box 87">
          <a:extLst>
            <a:ext uri="{FF2B5EF4-FFF2-40B4-BE49-F238E27FC236}">
              <a16:creationId xmlns:a16="http://schemas.microsoft.com/office/drawing/2014/main" id="{63245449-EE5B-EE9F-F84A-9566CFCBC4AF}"/>
            </a:ext>
          </a:extLst>
        </xdr:cNvPr>
        <xdr:cNvSpPr txBox="1">
          <a:spLocks noChangeArrowheads="1"/>
        </xdr:cNvSpPr>
      </xdr:nvSpPr>
      <xdr:spPr bwMode="auto">
        <a:xfrm>
          <a:off x="1162050" y="14062710"/>
          <a:ext cx="326371" cy="141001"/>
        </a:xfrm>
        <a:prstGeom prst="rect">
          <a:avLst/>
        </a:prstGeom>
        <a:noFill/>
        <a:ln>
          <a:noFill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1" i="0" u="none" strike="noStrike" baseline="0">
              <a:solidFill>
                <a:srgbClr val="FF0000"/>
              </a:solidFill>
              <a:latin typeface="Arial"/>
              <a:cs typeface="Arial"/>
            </a:rPr>
            <a:t>Key In</a:t>
          </a:r>
        </a:p>
      </xdr:txBody>
    </xdr:sp>
    <xdr:clientData/>
  </xdr:oneCellAnchor>
  <xdr:oneCellAnchor>
    <xdr:from>
      <xdr:col>2</xdr:col>
      <xdr:colOff>81280</xdr:colOff>
      <xdr:row>80</xdr:row>
      <xdr:rowOff>0</xdr:rowOff>
    </xdr:from>
    <xdr:ext cx="364029" cy="153819"/>
    <xdr:sp macro="" textlink="">
      <xdr:nvSpPr>
        <xdr:cNvPr id="27736" name="Text Box 88">
          <a:extLst>
            <a:ext uri="{FF2B5EF4-FFF2-40B4-BE49-F238E27FC236}">
              <a16:creationId xmlns:a16="http://schemas.microsoft.com/office/drawing/2014/main" id="{9A1A716D-EC89-F51F-6F7D-73A23406172E}"/>
            </a:ext>
          </a:extLst>
        </xdr:cNvPr>
        <xdr:cNvSpPr txBox="1">
          <a:spLocks noChangeArrowheads="1"/>
        </xdr:cNvSpPr>
      </xdr:nvSpPr>
      <xdr:spPr bwMode="auto">
        <a:xfrm>
          <a:off x="1120140" y="14401800"/>
          <a:ext cx="326371" cy="141001"/>
        </a:xfrm>
        <a:prstGeom prst="rect">
          <a:avLst/>
        </a:prstGeom>
        <a:noFill/>
        <a:ln>
          <a:noFill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1" i="0" u="none" strike="noStrike" baseline="0">
              <a:solidFill>
                <a:srgbClr val="FF0000"/>
              </a:solidFill>
              <a:latin typeface="Arial"/>
              <a:cs typeface="Arial"/>
            </a:rPr>
            <a:t>Key In</a:t>
          </a:r>
        </a:p>
      </xdr:txBody>
    </xdr:sp>
    <xdr:clientData/>
  </xdr:oneCellAnchor>
  <xdr:oneCellAnchor>
    <xdr:from>
      <xdr:col>2</xdr:col>
      <xdr:colOff>81280</xdr:colOff>
      <xdr:row>82</xdr:row>
      <xdr:rowOff>19050</xdr:rowOff>
    </xdr:from>
    <xdr:ext cx="364029" cy="141001"/>
    <xdr:sp macro="" textlink="">
      <xdr:nvSpPr>
        <xdr:cNvPr id="27737" name="Text Box 89">
          <a:extLst>
            <a:ext uri="{FF2B5EF4-FFF2-40B4-BE49-F238E27FC236}">
              <a16:creationId xmlns:a16="http://schemas.microsoft.com/office/drawing/2014/main" id="{8D985E7F-6C4C-3E71-AE67-FC704A5D6D20}"/>
            </a:ext>
          </a:extLst>
        </xdr:cNvPr>
        <xdr:cNvSpPr txBox="1">
          <a:spLocks noChangeArrowheads="1"/>
        </xdr:cNvSpPr>
      </xdr:nvSpPr>
      <xdr:spPr bwMode="auto">
        <a:xfrm>
          <a:off x="1120140" y="14771370"/>
          <a:ext cx="326371" cy="141001"/>
        </a:xfrm>
        <a:prstGeom prst="rect">
          <a:avLst/>
        </a:prstGeom>
        <a:noFill/>
        <a:ln>
          <a:noFill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1" i="0" u="none" strike="noStrike" baseline="0">
              <a:solidFill>
                <a:srgbClr val="FF0000"/>
              </a:solidFill>
              <a:latin typeface="Arial"/>
              <a:cs typeface="Arial"/>
            </a:rPr>
            <a:t>Key In</a:t>
          </a:r>
        </a:p>
      </xdr:txBody>
    </xdr:sp>
    <xdr:clientData/>
  </xdr:oneCellAnchor>
  <xdr:oneCellAnchor>
    <xdr:from>
      <xdr:col>7</xdr:col>
      <xdr:colOff>38100</xdr:colOff>
      <xdr:row>78</xdr:row>
      <xdr:rowOff>43180</xdr:rowOff>
    </xdr:from>
    <xdr:ext cx="364029" cy="141001"/>
    <xdr:sp macro="" textlink="">
      <xdr:nvSpPr>
        <xdr:cNvPr id="27738" name="Text Box 90">
          <a:extLst>
            <a:ext uri="{FF2B5EF4-FFF2-40B4-BE49-F238E27FC236}">
              <a16:creationId xmlns:a16="http://schemas.microsoft.com/office/drawing/2014/main" id="{DA00D240-5C14-F6B3-2E1A-C9E796AC9915}"/>
            </a:ext>
          </a:extLst>
        </xdr:cNvPr>
        <xdr:cNvSpPr txBox="1">
          <a:spLocks noChangeArrowheads="1"/>
        </xdr:cNvSpPr>
      </xdr:nvSpPr>
      <xdr:spPr bwMode="auto">
        <a:xfrm>
          <a:off x="4450080" y="14074140"/>
          <a:ext cx="326371" cy="141001"/>
        </a:xfrm>
        <a:prstGeom prst="rect">
          <a:avLst/>
        </a:prstGeom>
        <a:noFill/>
        <a:ln>
          <a:noFill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1" i="0" u="none" strike="noStrike" baseline="0">
              <a:solidFill>
                <a:srgbClr val="FF0000"/>
              </a:solidFill>
              <a:latin typeface="Arial"/>
              <a:cs typeface="Arial"/>
            </a:rPr>
            <a:t>Key In</a:t>
          </a:r>
        </a:p>
      </xdr:txBody>
    </xdr:sp>
    <xdr:clientData/>
  </xdr:oneCellAnchor>
  <xdr:oneCellAnchor>
    <xdr:from>
      <xdr:col>2</xdr:col>
      <xdr:colOff>81280</xdr:colOff>
      <xdr:row>84</xdr:row>
      <xdr:rowOff>19050</xdr:rowOff>
    </xdr:from>
    <xdr:ext cx="364029" cy="141001"/>
    <xdr:sp macro="" textlink="">
      <xdr:nvSpPr>
        <xdr:cNvPr id="27739" name="Text Box 91">
          <a:extLst>
            <a:ext uri="{FF2B5EF4-FFF2-40B4-BE49-F238E27FC236}">
              <a16:creationId xmlns:a16="http://schemas.microsoft.com/office/drawing/2014/main" id="{728CB627-0247-A6A8-4EC4-A4D086DE0691}"/>
            </a:ext>
          </a:extLst>
        </xdr:cNvPr>
        <xdr:cNvSpPr txBox="1">
          <a:spLocks noChangeArrowheads="1"/>
        </xdr:cNvSpPr>
      </xdr:nvSpPr>
      <xdr:spPr bwMode="auto">
        <a:xfrm>
          <a:off x="1120140" y="15121890"/>
          <a:ext cx="326371" cy="141001"/>
        </a:xfrm>
        <a:prstGeom prst="rect">
          <a:avLst/>
        </a:prstGeom>
        <a:noFill/>
        <a:ln>
          <a:noFill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1" i="0" u="none" strike="noStrike" baseline="0">
              <a:solidFill>
                <a:srgbClr val="FF0000"/>
              </a:solidFill>
              <a:latin typeface="Arial"/>
              <a:cs typeface="Arial"/>
            </a:rPr>
            <a:t>Key In</a:t>
          </a:r>
        </a:p>
      </xdr:txBody>
    </xdr:sp>
    <xdr:clientData/>
  </xdr:oneCellAnchor>
  <xdr:oneCellAnchor>
    <xdr:from>
      <xdr:col>7</xdr:col>
      <xdr:colOff>81280</xdr:colOff>
      <xdr:row>80</xdr:row>
      <xdr:rowOff>19050</xdr:rowOff>
    </xdr:from>
    <xdr:ext cx="364029" cy="141001"/>
    <xdr:sp macro="" textlink="">
      <xdr:nvSpPr>
        <xdr:cNvPr id="27740" name="Text Box 92">
          <a:extLst>
            <a:ext uri="{FF2B5EF4-FFF2-40B4-BE49-F238E27FC236}">
              <a16:creationId xmlns:a16="http://schemas.microsoft.com/office/drawing/2014/main" id="{E5562628-5388-DE55-438B-1001A11C61E1}"/>
            </a:ext>
          </a:extLst>
        </xdr:cNvPr>
        <xdr:cNvSpPr txBox="1">
          <a:spLocks noChangeArrowheads="1"/>
        </xdr:cNvSpPr>
      </xdr:nvSpPr>
      <xdr:spPr bwMode="auto">
        <a:xfrm>
          <a:off x="4480560" y="14420850"/>
          <a:ext cx="326371" cy="141001"/>
        </a:xfrm>
        <a:prstGeom prst="rect">
          <a:avLst/>
        </a:prstGeom>
        <a:noFill/>
        <a:ln>
          <a:noFill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1" i="0" u="none" strike="noStrike" baseline="0">
              <a:solidFill>
                <a:srgbClr val="FF0000"/>
              </a:solidFill>
              <a:latin typeface="Arial"/>
              <a:cs typeface="Arial"/>
            </a:rPr>
            <a:t>Key In</a:t>
          </a:r>
        </a:p>
      </xdr:txBody>
    </xdr:sp>
    <xdr:clientData/>
  </xdr:oneCellAnchor>
  <xdr:oneCellAnchor>
    <xdr:from>
      <xdr:col>7</xdr:col>
      <xdr:colOff>81280</xdr:colOff>
      <xdr:row>82</xdr:row>
      <xdr:rowOff>0</xdr:rowOff>
    </xdr:from>
    <xdr:ext cx="364029" cy="153819"/>
    <xdr:sp macro="" textlink="">
      <xdr:nvSpPr>
        <xdr:cNvPr id="27741" name="Text Box 93">
          <a:extLst>
            <a:ext uri="{FF2B5EF4-FFF2-40B4-BE49-F238E27FC236}">
              <a16:creationId xmlns:a16="http://schemas.microsoft.com/office/drawing/2014/main" id="{9DA97528-B6B5-B829-10F5-CB945CF786AE}"/>
            </a:ext>
          </a:extLst>
        </xdr:cNvPr>
        <xdr:cNvSpPr txBox="1">
          <a:spLocks noChangeArrowheads="1"/>
        </xdr:cNvSpPr>
      </xdr:nvSpPr>
      <xdr:spPr bwMode="auto">
        <a:xfrm>
          <a:off x="4480560" y="14752320"/>
          <a:ext cx="326371" cy="141001"/>
        </a:xfrm>
        <a:prstGeom prst="rect">
          <a:avLst/>
        </a:prstGeom>
        <a:noFill/>
        <a:ln>
          <a:noFill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1" i="0" u="none" strike="noStrike" baseline="0">
              <a:solidFill>
                <a:srgbClr val="FF0000"/>
              </a:solidFill>
              <a:latin typeface="Arial"/>
              <a:cs typeface="Arial"/>
            </a:rPr>
            <a:t>Key In</a:t>
          </a:r>
        </a:p>
      </xdr:txBody>
    </xdr:sp>
    <xdr:clientData/>
  </xdr:oneCellAnchor>
  <xdr:oneCellAnchor>
    <xdr:from>
      <xdr:col>7</xdr:col>
      <xdr:colOff>81280</xdr:colOff>
      <xdr:row>84</xdr:row>
      <xdr:rowOff>0</xdr:rowOff>
    </xdr:from>
    <xdr:ext cx="364029" cy="153819"/>
    <xdr:sp macro="" textlink="">
      <xdr:nvSpPr>
        <xdr:cNvPr id="27742" name="Text Box 94">
          <a:extLst>
            <a:ext uri="{FF2B5EF4-FFF2-40B4-BE49-F238E27FC236}">
              <a16:creationId xmlns:a16="http://schemas.microsoft.com/office/drawing/2014/main" id="{BA93F618-44A1-4177-7E79-926AFDE40267}"/>
            </a:ext>
          </a:extLst>
        </xdr:cNvPr>
        <xdr:cNvSpPr txBox="1">
          <a:spLocks noChangeArrowheads="1"/>
        </xdr:cNvSpPr>
      </xdr:nvSpPr>
      <xdr:spPr bwMode="auto">
        <a:xfrm>
          <a:off x="4480560" y="15102840"/>
          <a:ext cx="326371" cy="141001"/>
        </a:xfrm>
        <a:prstGeom prst="rect">
          <a:avLst/>
        </a:prstGeom>
        <a:noFill/>
        <a:ln>
          <a:noFill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1" i="0" u="none" strike="noStrike" baseline="0">
              <a:solidFill>
                <a:srgbClr val="FF0000"/>
              </a:solidFill>
              <a:latin typeface="Arial"/>
              <a:cs typeface="Arial"/>
            </a:rPr>
            <a:t>Key In</a:t>
          </a:r>
        </a:p>
      </xdr:txBody>
    </xdr:sp>
    <xdr:clientData/>
  </xdr:oneCellAnchor>
  <xdr:twoCellAnchor>
    <xdr:from>
      <xdr:col>12</xdr:col>
      <xdr:colOff>215900</xdr:colOff>
      <xdr:row>33</xdr:row>
      <xdr:rowOff>12700</xdr:rowOff>
    </xdr:from>
    <xdr:to>
      <xdr:col>12</xdr:col>
      <xdr:colOff>546100</xdr:colOff>
      <xdr:row>34</xdr:row>
      <xdr:rowOff>114300</xdr:rowOff>
    </xdr:to>
    <xdr:sp macro="" textlink="">
      <xdr:nvSpPr>
        <xdr:cNvPr id="51920" name="Oval 95">
          <a:extLst>
            <a:ext uri="{FF2B5EF4-FFF2-40B4-BE49-F238E27FC236}">
              <a16:creationId xmlns:a16="http://schemas.microsoft.com/office/drawing/2014/main" id="{11B62C9D-5EDD-1770-8BA0-1F945DF13667}"/>
            </a:ext>
          </a:extLst>
        </xdr:cNvPr>
        <xdr:cNvSpPr>
          <a:spLocks noChangeArrowheads="1"/>
        </xdr:cNvSpPr>
      </xdr:nvSpPr>
      <xdr:spPr bwMode="auto">
        <a:xfrm>
          <a:off x="6515100" y="6438900"/>
          <a:ext cx="330200" cy="2794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381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</xdr:spPr>
    </xdr:sp>
    <xdr:clientData/>
  </xdr:twoCellAnchor>
  <xdr:twoCellAnchor>
    <xdr:from>
      <xdr:col>12</xdr:col>
      <xdr:colOff>215900</xdr:colOff>
      <xdr:row>40</xdr:row>
      <xdr:rowOff>76200</xdr:rowOff>
    </xdr:from>
    <xdr:to>
      <xdr:col>12</xdr:col>
      <xdr:colOff>546100</xdr:colOff>
      <xdr:row>42</xdr:row>
      <xdr:rowOff>25400</xdr:rowOff>
    </xdr:to>
    <xdr:sp macro="" textlink="">
      <xdr:nvSpPr>
        <xdr:cNvPr id="51921" name="Oval 96">
          <a:extLst>
            <a:ext uri="{FF2B5EF4-FFF2-40B4-BE49-F238E27FC236}">
              <a16:creationId xmlns:a16="http://schemas.microsoft.com/office/drawing/2014/main" id="{AB337593-FCAA-6334-BA2E-68F36DFF3B59}"/>
            </a:ext>
          </a:extLst>
        </xdr:cNvPr>
        <xdr:cNvSpPr>
          <a:spLocks noChangeArrowheads="1"/>
        </xdr:cNvSpPr>
      </xdr:nvSpPr>
      <xdr:spPr bwMode="auto">
        <a:xfrm>
          <a:off x="6515100" y="7772400"/>
          <a:ext cx="330200" cy="2794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381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</xdr:spPr>
    </xdr:sp>
    <xdr:clientData/>
  </xdr:twoCellAnchor>
  <xdr:twoCellAnchor>
    <xdr:from>
      <xdr:col>4</xdr:col>
      <xdr:colOff>165100</xdr:colOff>
      <xdr:row>31</xdr:row>
      <xdr:rowOff>114300</xdr:rowOff>
    </xdr:from>
    <xdr:to>
      <xdr:col>4</xdr:col>
      <xdr:colOff>165100</xdr:colOff>
      <xdr:row>35</xdr:row>
      <xdr:rowOff>50800</xdr:rowOff>
    </xdr:to>
    <xdr:sp macro="" textlink="">
      <xdr:nvSpPr>
        <xdr:cNvPr id="51922" name="Line 97">
          <a:extLst>
            <a:ext uri="{FF2B5EF4-FFF2-40B4-BE49-F238E27FC236}">
              <a16:creationId xmlns:a16="http://schemas.microsoft.com/office/drawing/2014/main" id="{6F10844B-66B9-082D-35F5-03F17E9BACE3}"/>
            </a:ext>
          </a:extLst>
        </xdr:cNvPr>
        <xdr:cNvSpPr>
          <a:spLocks noChangeShapeType="1"/>
        </xdr:cNvSpPr>
      </xdr:nvSpPr>
      <xdr:spPr bwMode="auto">
        <a:xfrm>
          <a:off x="2730500" y="6184900"/>
          <a:ext cx="0" cy="6477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215900</xdr:colOff>
      <xdr:row>31</xdr:row>
      <xdr:rowOff>127000</xdr:rowOff>
    </xdr:from>
    <xdr:to>
      <xdr:col>4</xdr:col>
      <xdr:colOff>215900</xdr:colOff>
      <xdr:row>35</xdr:row>
      <xdr:rowOff>50800</xdr:rowOff>
    </xdr:to>
    <xdr:sp macro="" textlink="">
      <xdr:nvSpPr>
        <xdr:cNvPr id="51923" name="Line 98">
          <a:extLst>
            <a:ext uri="{FF2B5EF4-FFF2-40B4-BE49-F238E27FC236}">
              <a16:creationId xmlns:a16="http://schemas.microsoft.com/office/drawing/2014/main" id="{F44DB2A3-7AE0-6F40-B466-946BAF90AF11}"/>
            </a:ext>
          </a:extLst>
        </xdr:cNvPr>
        <xdr:cNvSpPr>
          <a:spLocks noChangeShapeType="1"/>
        </xdr:cNvSpPr>
      </xdr:nvSpPr>
      <xdr:spPr bwMode="auto">
        <a:xfrm>
          <a:off x="2781300" y="6197600"/>
          <a:ext cx="0" cy="6350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165100</xdr:colOff>
      <xdr:row>31</xdr:row>
      <xdr:rowOff>88900</xdr:rowOff>
    </xdr:from>
    <xdr:to>
      <xdr:col>4</xdr:col>
      <xdr:colOff>647700</xdr:colOff>
      <xdr:row>31</xdr:row>
      <xdr:rowOff>88900</xdr:rowOff>
    </xdr:to>
    <xdr:sp macro="" textlink="">
      <xdr:nvSpPr>
        <xdr:cNvPr id="51924" name="Line 99">
          <a:extLst>
            <a:ext uri="{FF2B5EF4-FFF2-40B4-BE49-F238E27FC236}">
              <a16:creationId xmlns:a16="http://schemas.microsoft.com/office/drawing/2014/main" id="{9010E0AA-B4D9-AC42-2266-D2A2829F35DF}"/>
            </a:ext>
          </a:extLst>
        </xdr:cNvPr>
        <xdr:cNvSpPr>
          <a:spLocks noChangeShapeType="1"/>
        </xdr:cNvSpPr>
      </xdr:nvSpPr>
      <xdr:spPr bwMode="auto">
        <a:xfrm>
          <a:off x="2730500" y="6159500"/>
          <a:ext cx="4826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228600</xdr:colOff>
      <xdr:row>31</xdr:row>
      <xdr:rowOff>127000</xdr:rowOff>
    </xdr:from>
    <xdr:to>
      <xdr:col>4</xdr:col>
      <xdr:colOff>647700</xdr:colOff>
      <xdr:row>31</xdr:row>
      <xdr:rowOff>127000</xdr:rowOff>
    </xdr:to>
    <xdr:sp macro="" textlink="">
      <xdr:nvSpPr>
        <xdr:cNvPr id="51925" name="Line 100">
          <a:extLst>
            <a:ext uri="{FF2B5EF4-FFF2-40B4-BE49-F238E27FC236}">
              <a16:creationId xmlns:a16="http://schemas.microsoft.com/office/drawing/2014/main" id="{8FAB7EA2-63B2-9C23-1438-6E5CBE5E335E}"/>
            </a:ext>
          </a:extLst>
        </xdr:cNvPr>
        <xdr:cNvSpPr>
          <a:spLocks noChangeShapeType="1"/>
        </xdr:cNvSpPr>
      </xdr:nvSpPr>
      <xdr:spPr bwMode="auto">
        <a:xfrm>
          <a:off x="2794000" y="6197600"/>
          <a:ext cx="4191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622300</xdr:colOff>
      <xdr:row>31</xdr:row>
      <xdr:rowOff>88900</xdr:rowOff>
    </xdr:from>
    <xdr:to>
      <xdr:col>4</xdr:col>
      <xdr:colOff>622300</xdr:colOff>
      <xdr:row>31</xdr:row>
      <xdr:rowOff>114300</xdr:rowOff>
    </xdr:to>
    <xdr:sp macro="" textlink="">
      <xdr:nvSpPr>
        <xdr:cNvPr id="51926" name="Line 101">
          <a:extLst>
            <a:ext uri="{FF2B5EF4-FFF2-40B4-BE49-F238E27FC236}">
              <a16:creationId xmlns:a16="http://schemas.microsoft.com/office/drawing/2014/main" id="{F74E43DB-EFBD-565C-8506-E70F948C4083}"/>
            </a:ext>
          </a:extLst>
        </xdr:cNvPr>
        <xdr:cNvSpPr>
          <a:spLocks noChangeShapeType="1"/>
        </xdr:cNvSpPr>
      </xdr:nvSpPr>
      <xdr:spPr bwMode="auto">
        <a:xfrm>
          <a:off x="3187700" y="6159500"/>
          <a:ext cx="0" cy="254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177800</xdr:colOff>
      <xdr:row>35</xdr:row>
      <xdr:rowOff>38100</xdr:rowOff>
    </xdr:from>
    <xdr:to>
      <xdr:col>4</xdr:col>
      <xdr:colOff>215900</xdr:colOff>
      <xdr:row>35</xdr:row>
      <xdr:rowOff>38100</xdr:rowOff>
    </xdr:to>
    <xdr:sp macro="" textlink="">
      <xdr:nvSpPr>
        <xdr:cNvPr id="51927" name="Line 102">
          <a:extLst>
            <a:ext uri="{FF2B5EF4-FFF2-40B4-BE49-F238E27FC236}">
              <a16:creationId xmlns:a16="http://schemas.microsoft.com/office/drawing/2014/main" id="{A4B325E3-2B2E-58CB-48A4-257186E5BD2E}"/>
            </a:ext>
          </a:extLst>
        </xdr:cNvPr>
        <xdr:cNvSpPr>
          <a:spLocks noChangeShapeType="1"/>
        </xdr:cNvSpPr>
      </xdr:nvSpPr>
      <xdr:spPr bwMode="auto">
        <a:xfrm>
          <a:off x="2743200" y="6819900"/>
          <a:ext cx="381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342900</xdr:colOff>
      <xdr:row>79</xdr:row>
      <xdr:rowOff>63500</xdr:rowOff>
    </xdr:from>
    <xdr:to>
      <xdr:col>4</xdr:col>
      <xdr:colOff>635000</xdr:colOff>
      <xdr:row>79</xdr:row>
      <xdr:rowOff>63500</xdr:rowOff>
    </xdr:to>
    <xdr:sp macro="" textlink="">
      <xdr:nvSpPr>
        <xdr:cNvPr id="51928" name="Line 103">
          <a:extLst>
            <a:ext uri="{FF2B5EF4-FFF2-40B4-BE49-F238E27FC236}">
              <a16:creationId xmlns:a16="http://schemas.microsoft.com/office/drawing/2014/main" id="{F6F75871-C124-C60A-3FAF-7BA77E523BC4}"/>
            </a:ext>
          </a:extLst>
        </xdr:cNvPr>
        <xdr:cNvSpPr>
          <a:spLocks noChangeShapeType="1"/>
        </xdr:cNvSpPr>
      </xdr:nvSpPr>
      <xdr:spPr bwMode="auto">
        <a:xfrm>
          <a:off x="2908300" y="14579600"/>
          <a:ext cx="2921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342900</xdr:colOff>
      <xdr:row>79</xdr:row>
      <xdr:rowOff>50800</xdr:rowOff>
    </xdr:from>
    <xdr:to>
      <xdr:col>4</xdr:col>
      <xdr:colOff>342900</xdr:colOff>
      <xdr:row>81</xdr:row>
      <xdr:rowOff>88900</xdr:rowOff>
    </xdr:to>
    <xdr:sp macro="" textlink="">
      <xdr:nvSpPr>
        <xdr:cNvPr id="51929" name="Line 104">
          <a:extLst>
            <a:ext uri="{FF2B5EF4-FFF2-40B4-BE49-F238E27FC236}">
              <a16:creationId xmlns:a16="http://schemas.microsoft.com/office/drawing/2014/main" id="{2F505ACA-61DC-71A7-2B97-779A14DBE0F9}"/>
            </a:ext>
          </a:extLst>
        </xdr:cNvPr>
        <xdr:cNvSpPr>
          <a:spLocks noChangeShapeType="1"/>
        </xdr:cNvSpPr>
      </xdr:nvSpPr>
      <xdr:spPr bwMode="auto">
        <a:xfrm>
          <a:off x="2908300" y="14566900"/>
          <a:ext cx="0" cy="3937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393700</xdr:colOff>
      <xdr:row>79</xdr:row>
      <xdr:rowOff>114300</xdr:rowOff>
    </xdr:from>
    <xdr:to>
      <xdr:col>4</xdr:col>
      <xdr:colOff>393700</xdr:colOff>
      <xdr:row>81</xdr:row>
      <xdr:rowOff>88900</xdr:rowOff>
    </xdr:to>
    <xdr:sp macro="" textlink="">
      <xdr:nvSpPr>
        <xdr:cNvPr id="51930" name="Line 105">
          <a:extLst>
            <a:ext uri="{FF2B5EF4-FFF2-40B4-BE49-F238E27FC236}">
              <a16:creationId xmlns:a16="http://schemas.microsoft.com/office/drawing/2014/main" id="{FC94201F-B809-6252-17D1-7E404FF8228B}"/>
            </a:ext>
          </a:extLst>
        </xdr:cNvPr>
        <xdr:cNvSpPr>
          <a:spLocks noChangeShapeType="1"/>
        </xdr:cNvSpPr>
      </xdr:nvSpPr>
      <xdr:spPr bwMode="auto">
        <a:xfrm>
          <a:off x="2959100" y="14630400"/>
          <a:ext cx="0" cy="3302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381000</xdr:colOff>
      <xdr:row>79</xdr:row>
      <xdr:rowOff>114300</xdr:rowOff>
    </xdr:from>
    <xdr:to>
      <xdr:col>4</xdr:col>
      <xdr:colOff>647700</xdr:colOff>
      <xdr:row>79</xdr:row>
      <xdr:rowOff>114300</xdr:rowOff>
    </xdr:to>
    <xdr:sp macro="" textlink="">
      <xdr:nvSpPr>
        <xdr:cNvPr id="51931" name="Line 106">
          <a:extLst>
            <a:ext uri="{FF2B5EF4-FFF2-40B4-BE49-F238E27FC236}">
              <a16:creationId xmlns:a16="http://schemas.microsoft.com/office/drawing/2014/main" id="{D9D3AEAF-79D7-884F-0129-1A670EE1E57B}"/>
            </a:ext>
          </a:extLst>
        </xdr:cNvPr>
        <xdr:cNvSpPr>
          <a:spLocks noChangeShapeType="1"/>
        </xdr:cNvSpPr>
      </xdr:nvSpPr>
      <xdr:spPr bwMode="auto">
        <a:xfrm>
          <a:off x="2946400" y="14630400"/>
          <a:ext cx="2667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342900</xdr:colOff>
      <xdr:row>81</xdr:row>
      <xdr:rowOff>76200</xdr:rowOff>
    </xdr:from>
    <xdr:to>
      <xdr:col>4</xdr:col>
      <xdr:colOff>393700</xdr:colOff>
      <xdr:row>81</xdr:row>
      <xdr:rowOff>76200</xdr:rowOff>
    </xdr:to>
    <xdr:sp macro="" textlink="">
      <xdr:nvSpPr>
        <xdr:cNvPr id="51932" name="Line 107">
          <a:extLst>
            <a:ext uri="{FF2B5EF4-FFF2-40B4-BE49-F238E27FC236}">
              <a16:creationId xmlns:a16="http://schemas.microsoft.com/office/drawing/2014/main" id="{D5FC062F-9FCB-280C-D8C9-5DB3B55C8CA2}"/>
            </a:ext>
          </a:extLst>
        </xdr:cNvPr>
        <xdr:cNvSpPr>
          <a:spLocks noChangeShapeType="1"/>
        </xdr:cNvSpPr>
      </xdr:nvSpPr>
      <xdr:spPr bwMode="auto">
        <a:xfrm>
          <a:off x="2908300" y="14947900"/>
          <a:ext cx="508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635000</xdr:colOff>
      <xdr:row>79</xdr:row>
      <xdr:rowOff>50800</xdr:rowOff>
    </xdr:from>
    <xdr:to>
      <xdr:col>4</xdr:col>
      <xdr:colOff>647700</xdr:colOff>
      <xdr:row>79</xdr:row>
      <xdr:rowOff>101600</xdr:rowOff>
    </xdr:to>
    <xdr:sp macro="" textlink="">
      <xdr:nvSpPr>
        <xdr:cNvPr id="51933" name="Line 108">
          <a:extLst>
            <a:ext uri="{FF2B5EF4-FFF2-40B4-BE49-F238E27FC236}">
              <a16:creationId xmlns:a16="http://schemas.microsoft.com/office/drawing/2014/main" id="{59965716-77C0-C5F7-3B2F-8D25C0DF5099}"/>
            </a:ext>
          </a:extLst>
        </xdr:cNvPr>
        <xdr:cNvSpPr>
          <a:spLocks noChangeShapeType="1"/>
        </xdr:cNvSpPr>
      </xdr:nvSpPr>
      <xdr:spPr bwMode="auto">
        <a:xfrm>
          <a:off x="3200400" y="14566900"/>
          <a:ext cx="12700" cy="508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292100</xdr:colOff>
      <xdr:row>79</xdr:row>
      <xdr:rowOff>63500</xdr:rowOff>
    </xdr:from>
    <xdr:to>
      <xdr:col>12</xdr:col>
      <xdr:colOff>762000</xdr:colOff>
      <xdr:row>79</xdr:row>
      <xdr:rowOff>101600</xdr:rowOff>
    </xdr:to>
    <xdr:sp macro="" textlink="">
      <xdr:nvSpPr>
        <xdr:cNvPr id="51934" name="Rectangle 109">
          <a:extLst>
            <a:ext uri="{FF2B5EF4-FFF2-40B4-BE49-F238E27FC236}">
              <a16:creationId xmlns:a16="http://schemas.microsoft.com/office/drawing/2014/main" id="{470991CA-6878-BBC3-F0C6-647D397E5529}"/>
            </a:ext>
          </a:extLst>
        </xdr:cNvPr>
        <xdr:cNvSpPr>
          <a:spLocks noChangeArrowheads="1"/>
        </xdr:cNvSpPr>
      </xdr:nvSpPr>
      <xdr:spPr bwMode="auto">
        <a:xfrm>
          <a:off x="6591300" y="14579600"/>
          <a:ext cx="469900" cy="381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miter lim="800000"/>
          <a:headEnd/>
          <a:tailEnd/>
        </a:ln>
      </xdr:spPr>
    </xdr:sp>
    <xdr:clientData/>
  </xdr:twoCellAnchor>
  <xdr:twoCellAnchor>
    <xdr:from>
      <xdr:col>12</xdr:col>
      <xdr:colOff>508000</xdr:colOff>
      <xdr:row>79</xdr:row>
      <xdr:rowOff>127000</xdr:rowOff>
    </xdr:from>
    <xdr:to>
      <xdr:col>12</xdr:col>
      <xdr:colOff>558800</xdr:colOff>
      <xdr:row>82</xdr:row>
      <xdr:rowOff>88900</xdr:rowOff>
    </xdr:to>
    <xdr:sp macro="" textlink="">
      <xdr:nvSpPr>
        <xdr:cNvPr id="51935" name="Rectangle 110">
          <a:extLst>
            <a:ext uri="{FF2B5EF4-FFF2-40B4-BE49-F238E27FC236}">
              <a16:creationId xmlns:a16="http://schemas.microsoft.com/office/drawing/2014/main" id="{F557EC2B-6E95-68DC-BFC8-22AC13D28272}"/>
            </a:ext>
          </a:extLst>
        </xdr:cNvPr>
        <xdr:cNvSpPr>
          <a:spLocks noChangeArrowheads="1"/>
        </xdr:cNvSpPr>
      </xdr:nvSpPr>
      <xdr:spPr bwMode="auto">
        <a:xfrm>
          <a:off x="6807200" y="14643100"/>
          <a:ext cx="50800" cy="495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miter lim="800000"/>
          <a:headEnd/>
          <a:tailEnd/>
        </a:ln>
      </xdr:spPr>
    </xdr:sp>
    <xdr:clientData/>
  </xdr:twoCellAnchor>
  <xdr:oneCellAnchor>
    <xdr:from>
      <xdr:col>2</xdr:col>
      <xdr:colOff>140335</xdr:colOff>
      <xdr:row>94</xdr:row>
      <xdr:rowOff>38100</xdr:rowOff>
    </xdr:from>
    <xdr:ext cx="364029" cy="153819"/>
    <xdr:sp macro="" textlink="">
      <xdr:nvSpPr>
        <xdr:cNvPr id="27759" name="Text Box 111">
          <a:extLst>
            <a:ext uri="{FF2B5EF4-FFF2-40B4-BE49-F238E27FC236}">
              <a16:creationId xmlns:a16="http://schemas.microsoft.com/office/drawing/2014/main" id="{4961178B-DF8B-0502-5F0B-F8F2DD108C22}"/>
            </a:ext>
          </a:extLst>
        </xdr:cNvPr>
        <xdr:cNvSpPr txBox="1">
          <a:spLocks noChangeArrowheads="1"/>
        </xdr:cNvSpPr>
      </xdr:nvSpPr>
      <xdr:spPr bwMode="auto">
        <a:xfrm>
          <a:off x="1179195" y="16855440"/>
          <a:ext cx="326371" cy="141001"/>
        </a:xfrm>
        <a:prstGeom prst="rect">
          <a:avLst/>
        </a:prstGeom>
        <a:noFill/>
        <a:ln>
          <a:noFill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1" i="0" u="none" strike="noStrike" baseline="0">
              <a:solidFill>
                <a:srgbClr val="FF0000"/>
              </a:solidFill>
              <a:latin typeface="Arial"/>
              <a:cs typeface="Arial"/>
            </a:rPr>
            <a:t>Key In</a:t>
          </a:r>
        </a:p>
      </xdr:txBody>
    </xdr:sp>
    <xdr:clientData/>
  </xdr:oneCellAnchor>
  <xdr:oneCellAnchor>
    <xdr:from>
      <xdr:col>2</xdr:col>
      <xdr:colOff>140335</xdr:colOff>
      <xdr:row>96</xdr:row>
      <xdr:rowOff>38100</xdr:rowOff>
    </xdr:from>
    <xdr:ext cx="364029" cy="141001"/>
    <xdr:sp macro="" textlink="">
      <xdr:nvSpPr>
        <xdr:cNvPr id="27760" name="Text Box 112">
          <a:extLst>
            <a:ext uri="{FF2B5EF4-FFF2-40B4-BE49-F238E27FC236}">
              <a16:creationId xmlns:a16="http://schemas.microsoft.com/office/drawing/2014/main" id="{54FDCD91-DE78-E9DF-0A34-E5ADA6C9F4A7}"/>
            </a:ext>
          </a:extLst>
        </xdr:cNvPr>
        <xdr:cNvSpPr txBox="1">
          <a:spLocks noChangeArrowheads="1"/>
        </xdr:cNvSpPr>
      </xdr:nvSpPr>
      <xdr:spPr bwMode="auto">
        <a:xfrm>
          <a:off x="1179195" y="17213580"/>
          <a:ext cx="326371" cy="141001"/>
        </a:xfrm>
        <a:prstGeom prst="rect">
          <a:avLst/>
        </a:prstGeom>
        <a:noFill/>
        <a:ln>
          <a:noFill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1" i="0" u="none" strike="noStrike" baseline="0">
              <a:solidFill>
                <a:srgbClr val="FF0000"/>
              </a:solidFill>
              <a:latin typeface="Arial"/>
              <a:cs typeface="Arial"/>
            </a:rPr>
            <a:t>Key In</a:t>
          </a:r>
        </a:p>
      </xdr:txBody>
    </xdr:sp>
    <xdr:clientData/>
  </xdr:oneCellAnchor>
  <xdr:twoCellAnchor>
    <xdr:from>
      <xdr:col>3</xdr:col>
      <xdr:colOff>330200</xdr:colOff>
      <xdr:row>95</xdr:row>
      <xdr:rowOff>12700</xdr:rowOff>
    </xdr:from>
    <xdr:to>
      <xdr:col>3</xdr:col>
      <xdr:colOff>330200</xdr:colOff>
      <xdr:row>98</xdr:row>
      <xdr:rowOff>101600</xdr:rowOff>
    </xdr:to>
    <xdr:sp macro="" textlink="">
      <xdr:nvSpPr>
        <xdr:cNvPr id="51938" name="Line 113">
          <a:extLst>
            <a:ext uri="{FF2B5EF4-FFF2-40B4-BE49-F238E27FC236}">
              <a16:creationId xmlns:a16="http://schemas.microsoft.com/office/drawing/2014/main" id="{BB6A580A-B38E-C998-BBB7-503061375673}"/>
            </a:ext>
          </a:extLst>
        </xdr:cNvPr>
        <xdr:cNvSpPr>
          <a:spLocks noChangeShapeType="1"/>
        </xdr:cNvSpPr>
      </xdr:nvSpPr>
      <xdr:spPr bwMode="auto">
        <a:xfrm>
          <a:off x="2222500" y="17322800"/>
          <a:ext cx="0" cy="6223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685800</xdr:colOff>
      <xdr:row>98</xdr:row>
      <xdr:rowOff>139700</xdr:rowOff>
    </xdr:from>
    <xdr:to>
      <xdr:col>3</xdr:col>
      <xdr:colOff>317500</xdr:colOff>
      <xdr:row>98</xdr:row>
      <xdr:rowOff>139700</xdr:rowOff>
    </xdr:to>
    <xdr:sp macro="" textlink="">
      <xdr:nvSpPr>
        <xdr:cNvPr id="51939" name="Line 114">
          <a:extLst>
            <a:ext uri="{FF2B5EF4-FFF2-40B4-BE49-F238E27FC236}">
              <a16:creationId xmlns:a16="http://schemas.microsoft.com/office/drawing/2014/main" id="{76BB9E12-BAD3-A936-292B-45E9B7A28420}"/>
            </a:ext>
          </a:extLst>
        </xdr:cNvPr>
        <xdr:cNvSpPr>
          <a:spLocks noChangeShapeType="1"/>
        </xdr:cNvSpPr>
      </xdr:nvSpPr>
      <xdr:spPr bwMode="auto">
        <a:xfrm>
          <a:off x="889000" y="17983200"/>
          <a:ext cx="13208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419100</xdr:colOff>
      <xdr:row>104</xdr:row>
      <xdr:rowOff>63500</xdr:rowOff>
    </xdr:from>
    <xdr:to>
      <xdr:col>3</xdr:col>
      <xdr:colOff>508000</xdr:colOff>
      <xdr:row>104</xdr:row>
      <xdr:rowOff>63500</xdr:rowOff>
    </xdr:to>
    <xdr:sp macro="" textlink="">
      <xdr:nvSpPr>
        <xdr:cNvPr id="51940" name="Line 115">
          <a:extLst>
            <a:ext uri="{FF2B5EF4-FFF2-40B4-BE49-F238E27FC236}">
              <a16:creationId xmlns:a16="http://schemas.microsoft.com/office/drawing/2014/main" id="{B3517637-3149-7D48-6F93-A89FC726C3D8}"/>
            </a:ext>
          </a:extLst>
        </xdr:cNvPr>
        <xdr:cNvSpPr>
          <a:spLocks noChangeShapeType="1"/>
        </xdr:cNvSpPr>
      </xdr:nvSpPr>
      <xdr:spPr bwMode="auto">
        <a:xfrm>
          <a:off x="622300" y="18923000"/>
          <a:ext cx="17780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304800</xdr:colOff>
      <xdr:row>98</xdr:row>
      <xdr:rowOff>139700</xdr:rowOff>
    </xdr:from>
    <xdr:to>
      <xdr:col>3</xdr:col>
      <xdr:colOff>533400</xdr:colOff>
      <xdr:row>104</xdr:row>
      <xdr:rowOff>63500</xdr:rowOff>
    </xdr:to>
    <xdr:sp macro="" textlink="">
      <xdr:nvSpPr>
        <xdr:cNvPr id="51941" name="Line 116">
          <a:extLst>
            <a:ext uri="{FF2B5EF4-FFF2-40B4-BE49-F238E27FC236}">
              <a16:creationId xmlns:a16="http://schemas.microsoft.com/office/drawing/2014/main" id="{DA33CB9F-BCD3-80D0-A64C-9F2FF53B7C62}"/>
            </a:ext>
          </a:extLst>
        </xdr:cNvPr>
        <xdr:cNvSpPr>
          <a:spLocks noChangeShapeType="1"/>
        </xdr:cNvSpPr>
      </xdr:nvSpPr>
      <xdr:spPr bwMode="auto">
        <a:xfrm>
          <a:off x="2197100" y="17983200"/>
          <a:ext cx="228600" cy="9398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203200</xdr:colOff>
      <xdr:row>98</xdr:row>
      <xdr:rowOff>139700</xdr:rowOff>
    </xdr:from>
    <xdr:to>
      <xdr:col>3</xdr:col>
      <xdr:colOff>431800</xdr:colOff>
      <xdr:row>104</xdr:row>
      <xdr:rowOff>63500</xdr:rowOff>
    </xdr:to>
    <xdr:sp macro="" textlink="">
      <xdr:nvSpPr>
        <xdr:cNvPr id="51942" name="Line 117">
          <a:extLst>
            <a:ext uri="{FF2B5EF4-FFF2-40B4-BE49-F238E27FC236}">
              <a16:creationId xmlns:a16="http://schemas.microsoft.com/office/drawing/2014/main" id="{546AAB7D-EC63-4B16-E3AD-29AE9D83D998}"/>
            </a:ext>
          </a:extLst>
        </xdr:cNvPr>
        <xdr:cNvSpPr>
          <a:spLocks noChangeShapeType="1"/>
        </xdr:cNvSpPr>
      </xdr:nvSpPr>
      <xdr:spPr bwMode="auto">
        <a:xfrm>
          <a:off x="2095500" y="17983200"/>
          <a:ext cx="228600" cy="9398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419100</xdr:colOff>
      <xdr:row>98</xdr:row>
      <xdr:rowOff>139700</xdr:rowOff>
    </xdr:from>
    <xdr:to>
      <xdr:col>1</xdr:col>
      <xdr:colOff>673100</xdr:colOff>
      <xdr:row>104</xdr:row>
      <xdr:rowOff>50800</xdr:rowOff>
    </xdr:to>
    <xdr:sp macro="" textlink="">
      <xdr:nvSpPr>
        <xdr:cNvPr id="51943" name="Line 118">
          <a:extLst>
            <a:ext uri="{FF2B5EF4-FFF2-40B4-BE49-F238E27FC236}">
              <a16:creationId xmlns:a16="http://schemas.microsoft.com/office/drawing/2014/main" id="{7DFD3A32-E1F0-3F60-26D2-A3AB7D514AFB}"/>
            </a:ext>
          </a:extLst>
        </xdr:cNvPr>
        <xdr:cNvSpPr>
          <a:spLocks noChangeShapeType="1"/>
        </xdr:cNvSpPr>
      </xdr:nvSpPr>
      <xdr:spPr bwMode="auto">
        <a:xfrm flipH="1">
          <a:off x="622300" y="17983200"/>
          <a:ext cx="254000" cy="9271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520700</xdr:colOff>
      <xdr:row>98</xdr:row>
      <xdr:rowOff>139700</xdr:rowOff>
    </xdr:from>
    <xdr:to>
      <xdr:col>1</xdr:col>
      <xdr:colOff>774700</xdr:colOff>
      <xdr:row>104</xdr:row>
      <xdr:rowOff>63500</xdr:rowOff>
    </xdr:to>
    <xdr:sp macro="" textlink="">
      <xdr:nvSpPr>
        <xdr:cNvPr id="51944" name="Line 119">
          <a:extLst>
            <a:ext uri="{FF2B5EF4-FFF2-40B4-BE49-F238E27FC236}">
              <a16:creationId xmlns:a16="http://schemas.microsoft.com/office/drawing/2014/main" id="{0DACE98D-E915-5FB6-57E6-071AA7A92741}"/>
            </a:ext>
          </a:extLst>
        </xdr:cNvPr>
        <xdr:cNvSpPr>
          <a:spLocks noChangeShapeType="1"/>
        </xdr:cNvSpPr>
      </xdr:nvSpPr>
      <xdr:spPr bwMode="auto">
        <a:xfrm flipH="1">
          <a:off x="723900" y="17983200"/>
          <a:ext cx="254000" cy="9398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203200</xdr:colOff>
      <xdr:row>97</xdr:row>
      <xdr:rowOff>0</xdr:rowOff>
    </xdr:from>
    <xdr:to>
      <xdr:col>3</xdr:col>
      <xdr:colOff>203200</xdr:colOff>
      <xdr:row>98</xdr:row>
      <xdr:rowOff>139700</xdr:rowOff>
    </xdr:to>
    <xdr:sp macro="" textlink="">
      <xdr:nvSpPr>
        <xdr:cNvPr id="51945" name="Line 120">
          <a:extLst>
            <a:ext uri="{FF2B5EF4-FFF2-40B4-BE49-F238E27FC236}">
              <a16:creationId xmlns:a16="http://schemas.microsoft.com/office/drawing/2014/main" id="{6B469236-FAA9-A323-3C85-BBEE805D9C95}"/>
            </a:ext>
          </a:extLst>
        </xdr:cNvPr>
        <xdr:cNvSpPr>
          <a:spLocks noChangeShapeType="1"/>
        </xdr:cNvSpPr>
      </xdr:nvSpPr>
      <xdr:spPr bwMode="auto">
        <a:xfrm flipV="1">
          <a:off x="2095500" y="17665700"/>
          <a:ext cx="0" cy="3175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12700</xdr:colOff>
      <xdr:row>97</xdr:row>
      <xdr:rowOff>88900</xdr:rowOff>
    </xdr:from>
    <xdr:to>
      <xdr:col>3</xdr:col>
      <xdr:colOff>203200</xdr:colOff>
      <xdr:row>97</xdr:row>
      <xdr:rowOff>88900</xdr:rowOff>
    </xdr:to>
    <xdr:sp macro="" textlink="">
      <xdr:nvSpPr>
        <xdr:cNvPr id="51946" name="Line 121">
          <a:extLst>
            <a:ext uri="{FF2B5EF4-FFF2-40B4-BE49-F238E27FC236}">
              <a16:creationId xmlns:a16="http://schemas.microsoft.com/office/drawing/2014/main" id="{0F1144E1-136E-129C-831B-61204001BFBE}"/>
            </a:ext>
          </a:extLst>
        </xdr:cNvPr>
        <xdr:cNvSpPr>
          <a:spLocks noChangeShapeType="1"/>
        </xdr:cNvSpPr>
      </xdr:nvSpPr>
      <xdr:spPr bwMode="auto">
        <a:xfrm flipH="1">
          <a:off x="1905000" y="17754600"/>
          <a:ext cx="1905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800100</xdr:colOff>
      <xdr:row>96</xdr:row>
      <xdr:rowOff>165100</xdr:rowOff>
    </xdr:from>
    <xdr:to>
      <xdr:col>1</xdr:col>
      <xdr:colOff>800100</xdr:colOff>
      <xdr:row>98</xdr:row>
      <xdr:rowOff>114300</xdr:rowOff>
    </xdr:to>
    <xdr:sp macro="" textlink="">
      <xdr:nvSpPr>
        <xdr:cNvPr id="51947" name="Line 122">
          <a:extLst>
            <a:ext uri="{FF2B5EF4-FFF2-40B4-BE49-F238E27FC236}">
              <a16:creationId xmlns:a16="http://schemas.microsoft.com/office/drawing/2014/main" id="{779EB76E-2BC2-75BC-8E91-A8A4E6087150}"/>
            </a:ext>
          </a:extLst>
        </xdr:cNvPr>
        <xdr:cNvSpPr>
          <a:spLocks noChangeShapeType="1"/>
        </xdr:cNvSpPr>
      </xdr:nvSpPr>
      <xdr:spPr bwMode="auto">
        <a:xfrm flipV="1">
          <a:off x="1003300" y="17653000"/>
          <a:ext cx="0" cy="3048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800100</xdr:colOff>
      <xdr:row>97</xdr:row>
      <xdr:rowOff>76200</xdr:rowOff>
    </xdr:from>
    <xdr:to>
      <xdr:col>2</xdr:col>
      <xdr:colOff>0</xdr:colOff>
      <xdr:row>97</xdr:row>
      <xdr:rowOff>76200</xdr:rowOff>
    </xdr:to>
    <xdr:sp macro="" textlink="">
      <xdr:nvSpPr>
        <xdr:cNvPr id="51948" name="Line 123">
          <a:extLst>
            <a:ext uri="{FF2B5EF4-FFF2-40B4-BE49-F238E27FC236}">
              <a16:creationId xmlns:a16="http://schemas.microsoft.com/office/drawing/2014/main" id="{AB52F12F-0BB6-F41D-1EA7-D82ADEB4A1B7}"/>
            </a:ext>
          </a:extLst>
        </xdr:cNvPr>
        <xdr:cNvSpPr>
          <a:spLocks noChangeShapeType="1"/>
        </xdr:cNvSpPr>
      </xdr:nvSpPr>
      <xdr:spPr bwMode="auto">
        <a:xfrm flipH="1">
          <a:off x="1003300" y="17741900"/>
          <a:ext cx="1651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673100</xdr:colOff>
      <xdr:row>95</xdr:row>
      <xdr:rowOff>25400</xdr:rowOff>
    </xdr:from>
    <xdr:to>
      <xdr:col>1</xdr:col>
      <xdr:colOff>673100</xdr:colOff>
      <xdr:row>98</xdr:row>
      <xdr:rowOff>139700</xdr:rowOff>
    </xdr:to>
    <xdr:sp macro="" textlink="">
      <xdr:nvSpPr>
        <xdr:cNvPr id="51949" name="Line 124">
          <a:extLst>
            <a:ext uri="{FF2B5EF4-FFF2-40B4-BE49-F238E27FC236}">
              <a16:creationId xmlns:a16="http://schemas.microsoft.com/office/drawing/2014/main" id="{F142FE84-FFB1-6569-8DDB-A4635CF0BB40}"/>
            </a:ext>
          </a:extLst>
        </xdr:cNvPr>
        <xdr:cNvSpPr>
          <a:spLocks noChangeShapeType="1"/>
        </xdr:cNvSpPr>
      </xdr:nvSpPr>
      <xdr:spPr bwMode="auto">
        <a:xfrm>
          <a:off x="876300" y="17335500"/>
          <a:ext cx="0" cy="6477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533400</xdr:colOff>
      <xdr:row>104</xdr:row>
      <xdr:rowOff>101600</xdr:rowOff>
    </xdr:from>
    <xdr:to>
      <xdr:col>3</xdr:col>
      <xdr:colOff>533400</xdr:colOff>
      <xdr:row>109</xdr:row>
      <xdr:rowOff>0</xdr:rowOff>
    </xdr:to>
    <xdr:sp macro="" textlink="">
      <xdr:nvSpPr>
        <xdr:cNvPr id="51950" name="Line 125">
          <a:extLst>
            <a:ext uri="{FF2B5EF4-FFF2-40B4-BE49-F238E27FC236}">
              <a16:creationId xmlns:a16="http://schemas.microsoft.com/office/drawing/2014/main" id="{C4D19A58-D540-D539-CE30-AFF28EB96154}"/>
            </a:ext>
          </a:extLst>
        </xdr:cNvPr>
        <xdr:cNvSpPr>
          <a:spLocks noChangeShapeType="1"/>
        </xdr:cNvSpPr>
      </xdr:nvSpPr>
      <xdr:spPr bwMode="auto">
        <a:xfrm>
          <a:off x="2425700" y="18961100"/>
          <a:ext cx="0" cy="7747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12700</xdr:colOff>
      <xdr:row>95</xdr:row>
      <xdr:rowOff>76200</xdr:rowOff>
    </xdr:from>
    <xdr:to>
      <xdr:col>3</xdr:col>
      <xdr:colOff>317500</xdr:colOff>
      <xdr:row>95</xdr:row>
      <xdr:rowOff>76200</xdr:rowOff>
    </xdr:to>
    <xdr:sp macro="" textlink="">
      <xdr:nvSpPr>
        <xdr:cNvPr id="51951" name="Line 126">
          <a:extLst>
            <a:ext uri="{FF2B5EF4-FFF2-40B4-BE49-F238E27FC236}">
              <a16:creationId xmlns:a16="http://schemas.microsoft.com/office/drawing/2014/main" id="{8EB3CDEC-4203-56F1-7B73-3ACA290975E0}"/>
            </a:ext>
          </a:extLst>
        </xdr:cNvPr>
        <xdr:cNvSpPr>
          <a:spLocks noChangeShapeType="1"/>
        </xdr:cNvSpPr>
      </xdr:nvSpPr>
      <xdr:spPr bwMode="auto">
        <a:xfrm flipH="1">
          <a:off x="1905000" y="17386300"/>
          <a:ext cx="3048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673100</xdr:colOff>
      <xdr:row>95</xdr:row>
      <xdr:rowOff>76200</xdr:rowOff>
    </xdr:from>
    <xdr:to>
      <xdr:col>2</xdr:col>
      <xdr:colOff>0</xdr:colOff>
      <xdr:row>95</xdr:row>
      <xdr:rowOff>76200</xdr:rowOff>
    </xdr:to>
    <xdr:sp macro="" textlink="">
      <xdr:nvSpPr>
        <xdr:cNvPr id="51952" name="Line 127">
          <a:extLst>
            <a:ext uri="{FF2B5EF4-FFF2-40B4-BE49-F238E27FC236}">
              <a16:creationId xmlns:a16="http://schemas.microsoft.com/office/drawing/2014/main" id="{4E5E9E0E-CE7D-345A-AF5B-920701B7DB74}"/>
            </a:ext>
          </a:extLst>
        </xdr:cNvPr>
        <xdr:cNvSpPr>
          <a:spLocks noChangeShapeType="1"/>
        </xdr:cNvSpPr>
      </xdr:nvSpPr>
      <xdr:spPr bwMode="auto">
        <a:xfrm flipH="1">
          <a:off x="876300" y="17386300"/>
          <a:ext cx="2921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2</xdr:col>
      <xdr:colOff>140335</xdr:colOff>
      <xdr:row>105</xdr:row>
      <xdr:rowOff>38100</xdr:rowOff>
    </xdr:from>
    <xdr:ext cx="364029" cy="141001"/>
    <xdr:sp macro="" textlink="">
      <xdr:nvSpPr>
        <xdr:cNvPr id="27776" name="Text Box 128">
          <a:extLst>
            <a:ext uri="{FF2B5EF4-FFF2-40B4-BE49-F238E27FC236}">
              <a16:creationId xmlns:a16="http://schemas.microsoft.com/office/drawing/2014/main" id="{002525C2-A821-5F92-D2AA-F99764F1ECAA}"/>
            </a:ext>
          </a:extLst>
        </xdr:cNvPr>
        <xdr:cNvSpPr txBox="1">
          <a:spLocks noChangeArrowheads="1"/>
        </xdr:cNvSpPr>
      </xdr:nvSpPr>
      <xdr:spPr bwMode="auto">
        <a:xfrm>
          <a:off x="1179195" y="18752820"/>
          <a:ext cx="326371" cy="141001"/>
        </a:xfrm>
        <a:prstGeom prst="rect">
          <a:avLst/>
        </a:prstGeom>
        <a:noFill/>
        <a:ln>
          <a:noFill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1" i="0" u="none" strike="noStrike" baseline="0">
              <a:solidFill>
                <a:srgbClr val="FF0000"/>
              </a:solidFill>
              <a:latin typeface="Arial"/>
              <a:cs typeface="Arial"/>
            </a:rPr>
            <a:t>Key In</a:t>
          </a:r>
        </a:p>
      </xdr:txBody>
    </xdr:sp>
    <xdr:clientData/>
  </xdr:oneCellAnchor>
  <xdr:oneCellAnchor>
    <xdr:from>
      <xdr:col>2</xdr:col>
      <xdr:colOff>140335</xdr:colOff>
      <xdr:row>107</xdr:row>
      <xdr:rowOff>38100</xdr:rowOff>
    </xdr:from>
    <xdr:ext cx="364029" cy="141001"/>
    <xdr:sp macro="" textlink="">
      <xdr:nvSpPr>
        <xdr:cNvPr id="27777" name="Text Box 129">
          <a:extLst>
            <a:ext uri="{FF2B5EF4-FFF2-40B4-BE49-F238E27FC236}">
              <a16:creationId xmlns:a16="http://schemas.microsoft.com/office/drawing/2014/main" id="{F3D4C6A9-5532-4D87-2782-342AF2B6019F}"/>
            </a:ext>
          </a:extLst>
        </xdr:cNvPr>
        <xdr:cNvSpPr txBox="1">
          <a:spLocks noChangeArrowheads="1"/>
        </xdr:cNvSpPr>
      </xdr:nvSpPr>
      <xdr:spPr bwMode="auto">
        <a:xfrm>
          <a:off x="1179195" y="19103340"/>
          <a:ext cx="326371" cy="141001"/>
        </a:xfrm>
        <a:prstGeom prst="rect">
          <a:avLst/>
        </a:prstGeom>
        <a:noFill/>
        <a:ln>
          <a:noFill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1" i="0" u="none" strike="noStrike" baseline="0">
              <a:solidFill>
                <a:srgbClr val="FF0000"/>
              </a:solidFill>
              <a:latin typeface="Arial"/>
              <a:cs typeface="Arial"/>
            </a:rPr>
            <a:t>Key In</a:t>
          </a:r>
        </a:p>
      </xdr:txBody>
    </xdr:sp>
    <xdr:clientData/>
  </xdr:oneCellAnchor>
  <xdr:twoCellAnchor>
    <xdr:from>
      <xdr:col>3</xdr:col>
      <xdr:colOff>0</xdr:colOff>
      <xdr:row>108</xdr:row>
      <xdr:rowOff>88900</xdr:rowOff>
    </xdr:from>
    <xdr:to>
      <xdr:col>3</xdr:col>
      <xdr:colOff>533400</xdr:colOff>
      <xdr:row>108</xdr:row>
      <xdr:rowOff>88900</xdr:rowOff>
    </xdr:to>
    <xdr:sp macro="" textlink="">
      <xdr:nvSpPr>
        <xdr:cNvPr id="51955" name="Line 130">
          <a:extLst>
            <a:ext uri="{FF2B5EF4-FFF2-40B4-BE49-F238E27FC236}">
              <a16:creationId xmlns:a16="http://schemas.microsoft.com/office/drawing/2014/main" id="{D13EBFA0-DC47-487D-44AA-995CF5100041}"/>
            </a:ext>
          </a:extLst>
        </xdr:cNvPr>
        <xdr:cNvSpPr>
          <a:spLocks noChangeShapeType="1"/>
        </xdr:cNvSpPr>
      </xdr:nvSpPr>
      <xdr:spPr bwMode="auto">
        <a:xfrm flipH="1">
          <a:off x="1892300" y="19646900"/>
          <a:ext cx="5334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419100</xdr:colOff>
      <xdr:row>104</xdr:row>
      <xdr:rowOff>101600</xdr:rowOff>
    </xdr:from>
    <xdr:to>
      <xdr:col>1</xdr:col>
      <xdr:colOff>419100</xdr:colOff>
      <xdr:row>109</xdr:row>
      <xdr:rowOff>12700</xdr:rowOff>
    </xdr:to>
    <xdr:sp macro="" textlink="">
      <xdr:nvSpPr>
        <xdr:cNvPr id="51956" name="Line 131">
          <a:extLst>
            <a:ext uri="{FF2B5EF4-FFF2-40B4-BE49-F238E27FC236}">
              <a16:creationId xmlns:a16="http://schemas.microsoft.com/office/drawing/2014/main" id="{99AD321E-1033-D3D4-5166-BA0F43150CBA}"/>
            </a:ext>
          </a:extLst>
        </xdr:cNvPr>
        <xdr:cNvSpPr>
          <a:spLocks noChangeShapeType="1"/>
        </xdr:cNvSpPr>
      </xdr:nvSpPr>
      <xdr:spPr bwMode="auto">
        <a:xfrm>
          <a:off x="622300" y="18961100"/>
          <a:ext cx="0" cy="7874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419100</xdr:colOff>
      <xdr:row>108</xdr:row>
      <xdr:rowOff>76200</xdr:rowOff>
    </xdr:from>
    <xdr:to>
      <xdr:col>2</xdr:col>
      <xdr:colOff>0</xdr:colOff>
      <xdr:row>108</xdr:row>
      <xdr:rowOff>76200</xdr:rowOff>
    </xdr:to>
    <xdr:sp macro="" textlink="">
      <xdr:nvSpPr>
        <xdr:cNvPr id="51957" name="Line 132">
          <a:extLst>
            <a:ext uri="{FF2B5EF4-FFF2-40B4-BE49-F238E27FC236}">
              <a16:creationId xmlns:a16="http://schemas.microsoft.com/office/drawing/2014/main" id="{BCCCCCF3-8D85-F19B-6886-9B68378BFE84}"/>
            </a:ext>
          </a:extLst>
        </xdr:cNvPr>
        <xdr:cNvSpPr>
          <a:spLocks noChangeShapeType="1"/>
        </xdr:cNvSpPr>
      </xdr:nvSpPr>
      <xdr:spPr bwMode="auto">
        <a:xfrm flipH="1">
          <a:off x="622300" y="19634200"/>
          <a:ext cx="5461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419100</xdr:colOff>
      <xdr:row>104</xdr:row>
      <xdr:rowOff>101600</xdr:rowOff>
    </xdr:from>
    <xdr:to>
      <xdr:col>3</xdr:col>
      <xdr:colOff>419100</xdr:colOff>
      <xdr:row>106</xdr:row>
      <xdr:rowOff>152400</xdr:rowOff>
    </xdr:to>
    <xdr:sp macro="" textlink="">
      <xdr:nvSpPr>
        <xdr:cNvPr id="51958" name="Line 133">
          <a:extLst>
            <a:ext uri="{FF2B5EF4-FFF2-40B4-BE49-F238E27FC236}">
              <a16:creationId xmlns:a16="http://schemas.microsoft.com/office/drawing/2014/main" id="{2BF13ECC-7B2E-6AB6-F659-08764B7E6A4C}"/>
            </a:ext>
          </a:extLst>
        </xdr:cNvPr>
        <xdr:cNvSpPr>
          <a:spLocks noChangeShapeType="1"/>
        </xdr:cNvSpPr>
      </xdr:nvSpPr>
      <xdr:spPr bwMode="auto">
        <a:xfrm>
          <a:off x="2311400" y="18961100"/>
          <a:ext cx="0" cy="3937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533400</xdr:colOff>
      <xdr:row>104</xdr:row>
      <xdr:rowOff>101600</xdr:rowOff>
    </xdr:from>
    <xdr:to>
      <xdr:col>1</xdr:col>
      <xdr:colOff>533400</xdr:colOff>
      <xdr:row>106</xdr:row>
      <xdr:rowOff>165100</xdr:rowOff>
    </xdr:to>
    <xdr:sp macro="" textlink="">
      <xdr:nvSpPr>
        <xdr:cNvPr id="51959" name="Line 134">
          <a:extLst>
            <a:ext uri="{FF2B5EF4-FFF2-40B4-BE49-F238E27FC236}">
              <a16:creationId xmlns:a16="http://schemas.microsoft.com/office/drawing/2014/main" id="{B37DA70B-D266-07BF-9ABD-CD5099B48A9B}"/>
            </a:ext>
          </a:extLst>
        </xdr:cNvPr>
        <xdr:cNvSpPr>
          <a:spLocks noChangeShapeType="1"/>
        </xdr:cNvSpPr>
      </xdr:nvSpPr>
      <xdr:spPr bwMode="auto">
        <a:xfrm>
          <a:off x="736600" y="18961100"/>
          <a:ext cx="0" cy="4064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12700</xdr:colOff>
      <xdr:row>106</xdr:row>
      <xdr:rowOff>88900</xdr:rowOff>
    </xdr:from>
    <xdr:to>
      <xdr:col>3</xdr:col>
      <xdr:colOff>419100</xdr:colOff>
      <xdr:row>106</xdr:row>
      <xdr:rowOff>88900</xdr:rowOff>
    </xdr:to>
    <xdr:sp macro="" textlink="">
      <xdr:nvSpPr>
        <xdr:cNvPr id="51960" name="Line 135">
          <a:extLst>
            <a:ext uri="{FF2B5EF4-FFF2-40B4-BE49-F238E27FC236}">
              <a16:creationId xmlns:a16="http://schemas.microsoft.com/office/drawing/2014/main" id="{2C59EBF9-76A8-55C8-96EA-BFEC2E140AE7}"/>
            </a:ext>
          </a:extLst>
        </xdr:cNvPr>
        <xdr:cNvSpPr>
          <a:spLocks noChangeShapeType="1"/>
        </xdr:cNvSpPr>
      </xdr:nvSpPr>
      <xdr:spPr bwMode="auto">
        <a:xfrm flipH="1">
          <a:off x="1905000" y="19291300"/>
          <a:ext cx="4064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546100</xdr:colOff>
      <xdr:row>106</xdr:row>
      <xdr:rowOff>88900</xdr:rowOff>
    </xdr:from>
    <xdr:to>
      <xdr:col>1</xdr:col>
      <xdr:colOff>965200</xdr:colOff>
      <xdr:row>106</xdr:row>
      <xdr:rowOff>88900</xdr:rowOff>
    </xdr:to>
    <xdr:sp macro="" textlink="">
      <xdr:nvSpPr>
        <xdr:cNvPr id="51961" name="Line 136">
          <a:extLst>
            <a:ext uri="{FF2B5EF4-FFF2-40B4-BE49-F238E27FC236}">
              <a16:creationId xmlns:a16="http://schemas.microsoft.com/office/drawing/2014/main" id="{FD4CC53E-3B46-EC81-153C-692BE7F5E117}"/>
            </a:ext>
          </a:extLst>
        </xdr:cNvPr>
        <xdr:cNvSpPr>
          <a:spLocks noChangeShapeType="1"/>
        </xdr:cNvSpPr>
      </xdr:nvSpPr>
      <xdr:spPr bwMode="auto">
        <a:xfrm flipH="1">
          <a:off x="749300" y="19291300"/>
          <a:ext cx="4191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381000</xdr:colOff>
      <xdr:row>98</xdr:row>
      <xdr:rowOff>139700</xdr:rowOff>
    </xdr:from>
    <xdr:to>
      <xdr:col>4</xdr:col>
      <xdr:colOff>495300</xdr:colOff>
      <xdr:row>98</xdr:row>
      <xdr:rowOff>139700</xdr:rowOff>
    </xdr:to>
    <xdr:sp macro="" textlink="">
      <xdr:nvSpPr>
        <xdr:cNvPr id="51962" name="Line 137">
          <a:extLst>
            <a:ext uri="{FF2B5EF4-FFF2-40B4-BE49-F238E27FC236}">
              <a16:creationId xmlns:a16="http://schemas.microsoft.com/office/drawing/2014/main" id="{9D2BCC7D-5EAA-3610-5C0A-59E7E16302DD}"/>
            </a:ext>
          </a:extLst>
        </xdr:cNvPr>
        <xdr:cNvSpPr>
          <a:spLocks noChangeShapeType="1"/>
        </xdr:cNvSpPr>
      </xdr:nvSpPr>
      <xdr:spPr bwMode="auto">
        <a:xfrm>
          <a:off x="2273300" y="17983200"/>
          <a:ext cx="7874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584200</xdr:colOff>
      <xdr:row>104</xdr:row>
      <xdr:rowOff>63500</xdr:rowOff>
    </xdr:from>
    <xdr:to>
      <xdr:col>4</xdr:col>
      <xdr:colOff>533400</xdr:colOff>
      <xdr:row>104</xdr:row>
      <xdr:rowOff>63500</xdr:rowOff>
    </xdr:to>
    <xdr:sp macro="" textlink="">
      <xdr:nvSpPr>
        <xdr:cNvPr id="51963" name="Line 138">
          <a:extLst>
            <a:ext uri="{FF2B5EF4-FFF2-40B4-BE49-F238E27FC236}">
              <a16:creationId xmlns:a16="http://schemas.microsoft.com/office/drawing/2014/main" id="{E8513470-4E62-FE19-FFEE-5AF34493FCE6}"/>
            </a:ext>
          </a:extLst>
        </xdr:cNvPr>
        <xdr:cNvSpPr>
          <a:spLocks noChangeShapeType="1"/>
        </xdr:cNvSpPr>
      </xdr:nvSpPr>
      <xdr:spPr bwMode="auto">
        <a:xfrm>
          <a:off x="2476500" y="18923000"/>
          <a:ext cx="6223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4</xdr:col>
      <xdr:colOff>252095</xdr:colOff>
      <xdr:row>100</xdr:row>
      <xdr:rowOff>19050</xdr:rowOff>
    </xdr:from>
    <xdr:ext cx="364029" cy="162772"/>
    <xdr:sp macro="" textlink="">
      <xdr:nvSpPr>
        <xdr:cNvPr id="27787" name="Text Box 139">
          <a:extLst>
            <a:ext uri="{FF2B5EF4-FFF2-40B4-BE49-F238E27FC236}">
              <a16:creationId xmlns:a16="http://schemas.microsoft.com/office/drawing/2014/main" id="{FDAF80B2-3D5E-2367-46A3-065FBED31A1A}"/>
            </a:ext>
          </a:extLst>
        </xdr:cNvPr>
        <xdr:cNvSpPr txBox="1">
          <a:spLocks noChangeArrowheads="1"/>
        </xdr:cNvSpPr>
      </xdr:nvSpPr>
      <xdr:spPr bwMode="auto">
        <a:xfrm>
          <a:off x="2543175" y="17870805"/>
          <a:ext cx="326371" cy="141001"/>
        </a:xfrm>
        <a:prstGeom prst="rect">
          <a:avLst/>
        </a:prstGeom>
        <a:noFill/>
        <a:ln>
          <a:noFill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1" i="0" u="none" strike="noStrike" baseline="0">
              <a:solidFill>
                <a:srgbClr val="FF0000"/>
              </a:solidFill>
              <a:latin typeface="Arial"/>
              <a:cs typeface="Arial"/>
            </a:rPr>
            <a:t>Key In</a:t>
          </a:r>
        </a:p>
      </xdr:txBody>
    </xdr:sp>
    <xdr:clientData/>
  </xdr:oneCellAnchor>
  <xdr:twoCellAnchor>
    <xdr:from>
      <xdr:col>4</xdr:col>
      <xdr:colOff>444500</xdr:colOff>
      <xdr:row>103</xdr:row>
      <xdr:rowOff>12700</xdr:rowOff>
    </xdr:from>
    <xdr:to>
      <xdr:col>4</xdr:col>
      <xdr:colOff>444500</xdr:colOff>
      <xdr:row>104</xdr:row>
      <xdr:rowOff>76200</xdr:rowOff>
    </xdr:to>
    <xdr:sp macro="" textlink="">
      <xdr:nvSpPr>
        <xdr:cNvPr id="51965" name="Line 140">
          <a:extLst>
            <a:ext uri="{FF2B5EF4-FFF2-40B4-BE49-F238E27FC236}">
              <a16:creationId xmlns:a16="http://schemas.microsoft.com/office/drawing/2014/main" id="{C7BABD44-BF9E-A7E3-91EF-058CA66BBDF7}"/>
            </a:ext>
          </a:extLst>
        </xdr:cNvPr>
        <xdr:cNvSpPr>
          <a:spLocks noChangeShapeType="1"/>
        </xdr:cNvSpPr>
      </xdr:nvSpPr>
      <xdr:spPr bwMode="auto">
        <a:xfrm flipV="1">
          <a:off x="3009900" y="18707100"/>
          <a:ext cx="0" cy="2286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419100</xdr:colOff>
      <xdr:row>98</xdr:row>
      <xdr:rowOff>152400</xdr:rowOff>
    </xdr:from>
    <xdr:to>
      <xdr:col>4</xdr:col>
      <xdr:colOff>419100</xdr:colOff>
      <xdr:row>100</xdr:row>
      <xdr:rowOff>38100</xdr:rowOff>
    </xdr:to>
    <xdr:sp macro="" textlink="">
      <xdr:nvSpPr>
        <xdr:cNvPr id="51966" name="Line 141">
          <a:extLst>
            <a:ext uri="{FF2B5EF4-FFF2-40B4-BE49-F238E27FC236}">
              <a16:creationId xmlns:a16="http://schemas.microsoft.com/office/drawing/2014/main" id="{2A18E5BF-A70B-14D4-3FFF-7A27D5D79F5A}"/>
            </a:ext>
          </a:extLst>
        </xdr:cNvPr>
        <xdr:cNvSpPr>
          <a:spLocks noChangeShapeType="1"/>
        </xdr:cNvSpPr>
      </xdr:nvSpPr>
      <xdr:spPr bwMode="auto">
        <a:xfrm>
          <a:off x="2984500" y="17995900"/>
          <a:ext cx="0" cy="2159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7</xdr:col>
      <xdr:colOff>168275</xdr:colOff>
      <xdr:row>94</xdr:row>
      <xdr:rowOff>38100</xdr:rowOff>
    </xdr:from>
    <xdr:ext cx="364029" cy="153819"/>
    <xdr:sp macro="" textlink="">
      <xdr:nvSpPr>
        <xdr:cNvPr id="27852" name="Text Box 204">
          <a:extLst>
            <a:ext uri="{FF2B5EF4-FFF2-40B4-BE49-F238E27FC236}">
              <a16:creationId xmlns:a16="http://schemas.microsoft.com/office/drawing/2014/main" id="{1E65F2EE-69CE-6061-6E88-365B940EF3E2}"/>
            </a:ext>
          </a:extLst>
        </xdr:cNvPr>
        <xdr:cNvSpPr txBox="1">
          <a:spLocks noChangeArrowheads="1"/>
        </xdr:cNvSpPr>
      </xdr:nvSpPr>
      <xdr:spPr bwMode="auto">
        <a:xfrm>
          <a:off x="4554855" y="16855440"/>
          <a:ext cx="326371" cy="141001"/>
        </a:xfrm>
        <a:prstGeom prst="rect">
          <a:avLst/>
        </a:prstGeom>
        <a:noFill/>
        <a:ln>
          <a:noFill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1" i="0" u="none" strike="noStrike" baseline="0">
              <a:solidFill>
                <a:srgbClr val="FF0000"/>
              </a:solidFill>
              <a:latin typeface="Arial"/>
              <a:cs typeface="Arial"/>
            </a:rPr>
            <a:t>Key In</a:t>
          </a:r>
        </a:p>
      </xdr:txBody>
    </xdr:sp>
    <xdr:clientData/>
  </xdr:oneCellAnchor>
  <xdr:oneCellAnchor>
    <xdr:from>
      <xdr:col>7</xdr:col>
      <xdr:colOff>168275</xdr:colOff>
      <xdr:row>96</xdr:row>
      <xdr:rowOff>38100</xdr:rowOff>
    </xdr:from>
    <xdr:ext cx="364029" cy="141001"/>
    <xdr:sp macro="" textlink="">
      <xdr:nvSpPr>
        <xdr:cNvPr id="27853" name="Text Box 205">
          <a:extLst>
            <a:ext uri="{FF2B5EF4-FFF2-40B4-BE49-F238E27FC236}">
              <a16:creationId xmlns:a16="http://schemas.microsoft.com/office/drawing/2014/main" id="{980EE43C-5142-CE67-901D-AC1D01381DDF}"/>
            </a:ext>
          </a:extLst>
        </xdr:cNvPr>
        <xdr:cNvSpPr txBox="1">
          <a:spLocks noChangeArrowheads="1"/>
        </xdr:cNvSpPr>
      </xdr:nvSpPr>
      <xdr:spPr bwMode="auto">
        <a:xfrm>
          <a:off x="4554855" y="17213580"/>
          <a:ext cx="326371" cy="141001"/>
        </a:xfrm>
        <a:prstGeom prst="rect">
          <a:avLst/>
        </a:prstGeom>
        <a:noFill/>
        <a:ln>
          <a:noFill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1" i="0" u="none" strike="noStrike" baseline="0">
              <a:solidFill>
                <a:srgbClr val="FF0000"/>
              </a:solidFill>
              <a:latin typeface="Arial"/>
              <a:cs typeface="Arial"/>
            </a:rPr>
            <a:t>Key In</a:t>
          </a:r>
        </a:p>
      </xdr:txBody>
    </xdr:sp>
    <xdr:clientData/>
  </xdr:oneCellAnchor>
  <xdr:twoCellAnchor>
    <xdr:from>
      <xdr:col>6</xdr:col>
      <xdr:colOff>431800</xdr:colOff>
      <xdr:row>98</xdr:row>
      <xdr:rowOff>139700</xdr:rowOff>
    </xdr:from>
    <xdr:to>
      <xdr:col>11</xdr:col>
      <xdr:colOff>203200</xdr:colOff>
      <xdr:row>98</xdr:row>
      <xdr:rowOff>139700</xdr:rowOff>
    </xdr:to>
    <xdr:sp macro="" textlink="">
      <xdr:nvSpPr>
        <xdr:cNvPr id="51969" name="Line 206">
          <a:extLst>
            <a:ext uri="{FF2B5EF4-FFF2-40B4-BE49-F238E27FC236}">
              <a16:creationId xmlns:a16="http://schemas.microsoft.com/office/drawing/2014/main" id="{FEFF35EB-79CF-1EFF-8B7B-6A31CEE94132}"/>
            </a:ext>
          </a:extLst>
        </xdr:cNvPr>
        <xdr:cNvSpPr>
          <a:spLocks noChangeShapeType="1"/>
        </xdr:cNvSpPr>
      </xdr:nvSpPr>
      <xdr:spPr bwMode="auto">
        <a:xfrm>
          <a:off x="4711700" y="17983200"/>
          <a:ext cx="11176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165100</xdr:colOff>
      <xdr:row>104</xdr:row>
      <xdr:rowOff>63500</xdr:rowOff>
    </xdr:from>
    <xdr:to>
      <xdr:col>11</xdr:col>
      <xdr:colOff>419100</xdr:colOff>
      <xdr:row>104</xdr:row>
      <xdr:rowOff>63500</xdr:rowOff>
    </xdr:to>
    <xdr:sp macro="" textlink="">
      <xdr:nvSpPr>
        <xdr:cNvPr id="51970" name="Line 207">
          <a:extLst>
            <a:ext uri="{FF2B5EF4-FFF2-40B4-BE49-F238E27FC236}">
              <a16:creationId xmlns:a16="http://schemas.microsoft.com/office/drawing/2014/main" id="{D1AA9583-5F30-1966-54D1-FC73ABD351D1}"/>
            </a:ext>
          </a:extLst>
        </xdr:cNvPr>
        <xdr:cNvSpPr>
          <a:spLocks noChangeShapeType="1"/>
        </xdr:cNvSpPr>
      </xdr:nvSpPr>
      <xdr:spPr bwMode="auto">
        <a:xfrm>
          <a:off x="4445000" y="18923000"/>
          <a:ext cx="16002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7</xdr:col>
      <xdr:colOff>168275</xdr:colOff>
      <xdr:row>105</xdr:row>
      <xdr:rowOff>38100</xdr:rowOff>
    </xdr:from>
    <xdr:ext cx="364029" cy="141001"/>
    <xdr:sp macro="" textlink="">
      <xdr:nvSpPr>
        <xdr:cNvPr id="27856" name="Text Box 208">
          <a:extLst>
            <a:ext uri="{FF2B5EF4-FFF2-40B4-BE49-F238E27FC236}">
              <a16:creationId xmlns:a16="http://schemas.microsoft.com/office/drawing/2014/main" id="{5BA24F7F-7E3D-6B87-CE6B-7F6CAF8504D2}"/>
            </a:ext>
          </a:extLst>
        </xdr:cNvPr>
        <xdr:cNvSpPr txBox="1">
          <a:spLocks noChangeArrowheads="1"/>
        </xdr:cNvSpPr>
      </xdr:nvSpPr>
      <xdr:spPr bwMode="auto">
        <a:xfrm>
          <a:off x="4554855" y="18752820"/>
          <a:ext cx="326371" cy="141001"/>
        </a:xfrm>
        <a:prstGeom prst="rect">
          <a:avLst/>
        </a:prstGeom>
        <a:noFill/>
        <a:ln>
          <a:noFill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1" i="0" u="none" strike="noStrike" baseline="0">
              <a:solidFill>
                <a:srgbClr val="FF0000"/>
              </a:solidFill>
              <a:latin typeface="Arial"/>
              <a:cs typeface="Arial"/>
            </a:rPr>
            <a:t>Key In</a:t>
          </a:r>
        </a:p>
      </xdr:txBody>
    </xdr:sp>
    <xdr:clientData/>
  </xdr:oneCellAnchor>
  <xdr:oneCellAnchor>
    <xdr:from>
      <xdr:col>7</xdr:col>
      <xdr:colOff>168275</xdr:colOff>
      <xdr:row>107</xdr:row>
      <xdr:rowOff>38100</xdr:rowOff>
    </xdr:from>
    <xdr:ext cx="364029" cy="141001"/>
    <xdr:sp macro="" textlink="">
      <xdr:nvSpPr>
        <xdr:cNvPr id="27857" name="Text Box 209">
          <a:extLst>
            <a:ext uri="{FF2B5EF4-FFF2-40B4-BE49-F238E27FC236}">
              <a16:creationId xmlns:a16="http://schemas.microsoft.com/office/drawing/2014/main" id="{362BFAE9-C2C2-A2A4-B6DE-7838825B4C50}"/>
            </a:ext>
          </a:extLst>
        </xdr:cNvPr>
        <xdr:cNvSpPr txBox="1">
          <a:spLocks noChangeArrowheads="1"/>
        </xdr:cNvSpPr>
      </xdr:nvSpPr>
      <xdr:spPr bwMode="auto">
        <a:xfrm>
          <a:off x="4554855" y="19103340"/>
          <a:ext cx="326371" cy="141001"/>
        </a:xfrm>
        <a:prstGeom prst="rect">
          <a:avLst/>
        </a:prstGeom>
        <a:noFill/>
        <a:ln>
          <a:noFill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1" i="0" u="none" strike="noStrike" baseline="0">
              <a:solidFill>
                <a:srgbClr val="FF0000"/>
              </a:solidFill>
              <a:latin typeface="Arial"/>
              <a:cs typeface="Arial"/>
            </a:rPr>
            <a:t>Key In</a:t>
          </a:r>
        </a:p>
      </xdr:txBody>
    </xdr:sp>
    <xdr:clientData/>
  </xdr:oneCellAnchor>
  <xdr:twoCellAnchor>
    <xdr:from>
      <xdr:col>6</xdr:col>
      <xdr:colOff>165100</xdr:colOff>
      <xdr:row>98</xdr:row>
      <xdr:rowOff>139700</xdr:rowOff>
    </xdr:from>
    <xdr:to>
      <xdr:col>6</xdr:col>
      <xdr:colOff>431800</xdr:colOff>
      <xdr:row>104</xdr:row>
      <xdr:rowOff>63500</xdr:rowOff>
    </xdr:to>
    <xdr:sp macro="" textlink="">
      <xdr:nvSpPr>
        <xdr:cNvPr id="51973" name="Line 220">
          <a:extLst>
            <a:ext uri="{FF2B5EF4-FFF2-40B4-BE49-F238E27FC236}">
              <a16:creationId xmlns:a16="http://schemas.microsoft.com/office/drawing/2014/main" id="{E7446FA4-8FD2-39B7-4898-94B7DCE5F9C3}"/>
            </a:ext>
          </a:extLst>
        </xdr:cNvPr>
        <xdr:cNvSpPr>
          <a:spLocks noChangeShapeType="1"/>
        </xdr:cNvSpPr>
      </xdr:nvSpPr>
      <xdr:spPr bwMode="auto">
        <a:xfrm flipH="1">
          <a:off x="4445000" y="17983200"/>
          <a:ext cx="266700" cy="9398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508000</xdr:colOff>
      <xdr:row>97</xdr:row>
      <xdr:rowOff>12700</xdr:rowOff>
    </xdr:from>
    <xdr:to>
      <xdr:col>6</xdr:col>
      <xdr:colOff>508000</xdr:colOff>
      <xdr:row>98</xdr:row>
      <xdr:rowOff>139700</xdr:rowOff>
    </xdr:to>
    <xdr:sp macro="" textlink="">
      <xdr:nvSpPr>
        <xdr:cNvPr id="51974" name="Line 222">
          <a:extLst>
            <a:ext uri="{FF2B5EF4-FFF2-40B4-BE49-F238E27FC236}">
              <a16:creationId xmlns:a16="http://schemas.microsoft.com/office/drawing/2014/main" id="{3207E085-536E-7DEA-8325-466A38769DCB}"/>
            </a:ext>
          </a:extLst>
        </xdr:cNvPr>
        <xdr:cNvSpPr>
          <a:spLocks noChangeShapeType="1"/>
        </xdr:cNvSpPr>
      </xdr:nvSpPr>
      <xdr:spPr bwMode="auto">
        <a:xfrm flipV="1">
          <a:off x="4787900" y="17678400"/>
          <a:ext cx="0" cy="3048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406400</xdr:colOff>
      <xdr:row>95</xdr:row>
      <xdr:rowOff>88900</xdr:rowOff>
    </xdr:from>
    <xdr:to>
      <xdr:col>6</xdr:col>
      <xdr:colOff>609600</xdr:colOff>
      <xdr:row>95</xdr:row>
      <xdr:rowOff>88900</xdr:rowOff>
    </xdr:to>
    <xdr:sp macro="" textlink="">
      <xdr:nvSpPr>
        <xdr:cNvPr id="51975" name="Line 223">
          <a:extLst>
            <a:ext uri="{FF2B5EF4-FFF2-40B4-BE49-F238E27FC236}">
              <a16:creationId xmlns:a16="http://schemas.microsoft.com/office/drawing/2014/main" id="{037E3DBA-3D9C-C1C0-B5FE-61B4A9B8BC87}"/>
            </a:ext>
          </a:extLst>
        </xdr:cNvPr>
        <xdr:cNvSpPr>
          <a:spLocks noChangeShapeType="1"/>
        </xdr:cNvSpPr>
      </xdr:nvSpPr>
      <xdr:spPr bwMode="auto">
        <a:xfrm flipH="1">
          <a:off x="4686300" y="17399000"/>
          <a:ext cx="2032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406400</xdr:colOff>
      <xdr:row>95</xdr:row>
      <xdr:rowOff>25400</xdr:rowOff>
    </xdr:from>
    <xdr:to>
      <xdr:col>6</xdr:col>
      <xdr:colOff>406400</xdr:colOff>
      <xdr:row>98</xdr:row>
      <xdr:rowOff>139700</xdr:rowOff>
    </xdr:to>
    <xdr:sp macro="" textlink="">
      <xdr:nvSpPr>
        <xdr:cNvPr id="51976" name="Line 224">
          <a:extLst>
            <a:ext uri="{FF2B5EF4-FFF2-40B4-BE49-F238E27FC236}">
              <a16:creationId xmlns:a16="http://schemas.microsoft.com/office/drawing/2014/main" id="{BE55043C-3E25-87AC-7426-168547D3A855}"/>
            </a:ext>
          </a:extLst>
        </xdr:cNvPr>
        <xdr:cNvSpPr>
          <a:spLocks noChangeShapeType="1"/>
        </xdr:cNvSpPr>
      </xdr:nvSpPr>
      <xdr:spPr bwMode="auto">
        <a:xfrm>
          <a:off x="4686300" y="17335500"/>
          <a:ext cx="0" cy="6477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508000</xdr:colOff>
      <xdr:row>97</xdr:row>
      <xdr:rowOff>88900</xdr:rowOff>
    </xdr:from>
    <xdr:to>
      <xdr:col>6</xdr:col>
      <xdr:colOff>520700</xdr:colOff>
      <xdr:row>97</xdr:row>
      <xdr:rowOff>88900</xdr:rowOff>
    </xdr:to>
    <xdr:sp macro="" textlink="">
      <xdr:nvSpPr>
        <xdr:cNvPr id="51977" name="Line 225">
          <a:extLst>
            <a:ext uri="{FF2B5EF4-FFF2-40B4-BE49-F238E27FC236}">
              <a16:creationId xmlns:a16="http://schemas.microsoft.com/office/drawing/2014/main" id="{30F1F0AF-D1A6-65A9-EE6D-83E0A3CE81BC}"/>
            </a:ext>
          </a:extLst>
        </xdr:cNvPr>
        <xdr:cNvSpPr>
          <a:spLocks noChangeShapeType="1"/>
        </xdr:cNvSpPr>
      </xdr:nvSpPr>
      <xdr:spPr bwMode="auto">
        <a:xfrm flipH="1">
          <a:off x="4787900" y="17754600"/>
          <a:ext cx="127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152400</xdr:colOff>
      <xdr:row>104</xdr:row>
      <xdr:rowOff>101600</xdr:rowOff>
    </xdr:from>
    <xdr:to>
      <xdr:col>6</xdr:col>
      <xdr:colOff>152400</xdr:colOff>
      <xdr:row>109</xdr:row>
      <xdr:rowOff>0</xdr:rowOff>
    </xdr:to>
    <xdr:sp macro="" textlink="">
      <xdr:nvSpPr>
        <xdr:cNvPr id="51978" name="Line 226">
          <a:extLst>
            <a:ext uri="{FF2B5EF4-FFF2-40B4-BE49-F238E27FC236}">
              <a16:creationId xmlns:a16="http://schemas.microsoft.com/office/drawing/2014/main" id="{AF711FCD-0D46-FBC7-768B-2A1C0FFB011A}"/>
            </a:ext>
          </a:extLst>
        </xdr:cNvPr>
        <xdr:cNvSpPr>
          <a:spLocks noChangeShapeType="1"/>
        </xdr:cNvSpPr>
      </xdr:nvSpPr>
      <xdr:spPr bwMode="auto">
        <a:xfrm>
          <a:off x="4432300" y="18961100"/>
          <a:ext cx="0" cy="7747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165100</xdr:colOff>
      <xdr:row>108</xdr:row>
      <xdr:rowOff>88900</xdr:rowOff>
    </xdr:from>
    <xdr:to>
      <xdr:col>6</xdr:col>
      <xdr:colOff>622300</xdr:colOff>
      <xdr:row>108</xdr:row>
      <xdr:rowOff>88900</xdr:rowOff>
    </xdr:to>
    <xdr:sp macro="" textlink="">
      <xdr:nvSpPr>
        <xdr:cNvPr id="51979" name="Line 227">
          <a:extLst>
            <a:ext uri="{FF2B5EF4-FFF2-40B4-BE49-F238E27FC236}">
              <a16:creationId xmlns:a16="http://schemas.microsoft.com/office/drawing/2014/main" id="{18AD8460-22A5-65B8-DC5E-3E15DE1094CA}"/>
            </a:ext>
          </a:extLst>
        </xdr:cNvPr>
        <xdr:cNvSpPr>
          <a:spLocks noChangeShapeType="1"/>
        </xdr:cNvSpPr>
      </xdr:nvSpPr>
      <xdr:spPr bwMode="auto">
        <a:xfrm flipH="1">
          <a:off x="4445000" y="19646900"/>
          <a:ext cx="4572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215900</xdr:colOff>
      <xdr:row>104</xdr:row>
      <xdr:rowOff>101600</xdr:rowOff>
    </xdr:from>
    <xdr:to>
      <xdr:col>6</xdr:col>
      <xdr:colOff>215900</xdr:colOff>
      <xdr:row>106</xdr:row>
      <xdr:rowOff>152400</xdr:rowOff>
    </xdr:to>
    <xdr:sp macro="" textlink="">
      <xdr:nvSpPr>
        <xdr:cNvPr id="51980" name="Line 228">
          <a:extLst>
            <a:ext uri="{FF2B5EF4-FFF2-40B4-BE49-F238E27FC236}">
              <a16:creationId xmlns:a16="http://schemas.microsoft.com/office/drawing/2014/main" id="{4DEC22DD-9F2C-10AE-73E3-366901A5B821}"/>
            </a:ext>
          </a:extLst>
        </xdr:cNvPr>
        <xdr:cNvSpPr>
          <a:spLocks noChangeShapeType="1"/>
        </xdr:cNvSpPr>
      </xdr:nvSpPr>
      <xdr:spPr bwMode="auto">
        <a:xfrm>
          <a:off x="4495800" y="18961100"/>
          <a:ext cx="0" cy="3937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215900</xdr:colOff>
      <xdr:row>106</xdr:row>
      <xdr:rowOff>63500</xdr:rowOff>
    </xdr:from>
    <xdr:to>
      <xdr:col>6</xdr:col>
      <xdr:colOff>596900</xdr:colOff>
      <xdr:row>106</xdr:row>
      <xdr:rowOff>63500</xdr:rowOff>
    </xdr:to>
    <xdr:sp macro="" textlink="">
      <xdr:nvSpPr>
        <xdr:cNvPr id="51981" name="Line 229">
          <a:extLst>
            <a:ext uri="{FF2B5EF4-FFF2-40B4-BE49-F238E27FC236}">
              <a16:creationId xmlns:a16="http://schemas.microsoft.com/office/drawing/2014/main" id="{512D82B3-A507-6BA3-8827-0B7FFEC5E3F1}"/>
            </a:ext>
          </a:extLst>
        </xdr:cNvPr>
        <xdr:cNvSpPr>
          <a:spLocks noChangeShapeType="1"/>
        </xdr:cNvSpPr>
      </xdr:nvSpPr>
      <xdr:spPr bwMode="auto">
        <a:xfrm flipH="1">
          <a:off x="4495800" y="19265900"/>
          <a:ext cx="3810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241300</xdr:colOff>
      <xdr:row>98</xdr:row>
      <xdr:rowOff>152400</xdr:rowOff>
    </xdr:from>
    <xdr:to>
      <xdr:col>6</xdr:col>
      <xdr:colOff>495300</xdr:colOff>
      <xdr:row>104</xdr:row>
      <xdr:rowOff>76200</xdr:rowOff>
    </xdr:to>
    <xdr:sp macro="" textlink="">
      <xdr:nvSpPr>
        <xdr:cNvPr id="51982" name="Line 230">
          <a:extLst>
            <a:ext uri="{FF2B5EF4-FFF2-40B4-BE49-F238E27FC236}">
              <a16:creationId xmlns:a16="http://schemas.microsoft.com/office/drawing/2014/main" id="{1176ECFF-6817-E376-1692-2CE921AE56AC}"/>
            </a:ext>
          </a:extLst>
        </xdr:cNvPr>
        <xdr:cNvSpPr>
          <a:spLocks noChangeShapeType="1"/>
        </xdr:cNvSpPr>
      </xdr:nvSpPr>
      <xdr:spPr bwMode="auto">
        <a:xfrm flipH="1">
          <a:off x="4521200" y="17995900"/>
          <a:ext cx="254000" cy="9398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215900</xdr:colOff>
      <xdr:row>95</xdr:row>
      <xdr:rowOff>38100</xdr:rowOff>
    </xdr:from>
    <xdr:to>
      <xdr:col>11</xdr:col>
      <xdr:colOff>215900</xdr:colOff>
      <xdr:row>98</xdr:row>
      <xdr:rowOff>139700</xdr:rowOff>
    </xdr:to>
    <xdr:sp macro="" textlink="">
      <xdr:nvSpPr>
        <xdr:cNvPr id="51983" name="Line 231">
          <a:extLst>
            <a:ext uri="{FF2B5EF4-FFF2-40B4-BE49-F238E27FC236}">
              <a16:creationId xmlns:a16="http://schemas.microsoft.com/office/drawing/2014/main" id="{A2296F4E-F2DF-026A-0E93-398EC36C32C5}"/>
            </a:ext>
          </a:extLst>
        </xdr:cNvPr>
        <xdr:cNvSpPr>
          <a:spLocks noChangeShapeType="1"/>
        </xdr:cNvSpPr>
      </xdr:nvSpPr>
      <xdr:spPr bwMode="auto">
        <a:xfrm>
          <a:off x="5842000" y="17348200"/>
          <a:ext cx="0" cy="6350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12700</xdr:colOff>
      <xdr:row>95</xdr:row>
      <xdr:rowOff>76200</xdr:rowOff>
    </xdr:from>
    <xdr:to>
      <xdr:col>11</xdr:col>
      <xdr:colOff>215900</xdr:colOff>
      <xdr:row>95</xdr:row>
      <xdr:rowOff>76200</xdr:rowOff>
    </xdr:to>
    <xdr:sp macro="" textlink="">
      <xdr:nvSpPr>
        <xdr:cNvPr id="51984" name="Line 232">
          <a:extLst>
            <a:ext uri="{FF2B5EF4-FFF2-40B4-BE49-F238E27FC236}">
              <a16:creationId xmlns:a16="http://schemas.microsoft.com/office/drawing/2014/main" id="{33E5AA42-264C-2C31-D2F0-235A6C4AFF7C}"/>
            </a:ext>
          </a:extLst>
        </xdr:cNvPr>
        <xdr:cNvSpPr>
          <a:spLocks noChangeShapeType="1"/>
        </xdr:cNvSpPr>
      </xdr:nvSpPr>
      <xdr:spPr bwMode="auto">
        <a:xfrm flipH="1">
          <a:off x="5638800" y="17386300"/>
          <a:ext cx="2032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88900</xdr:colOff>
      <xdr:row>97</xdr:row>
      <xdr:rowOff>76200</xdr:rowOff>
    </xdr:from>
    <xdr:to>
      <xdr:col>11</xdr:col>
      <xdr:colOff>114300</xdr:colOff>
      <xdr:row>97</xdr:row>
      <xdr:rowOff>76200</xdr:rowOff>
    </xdr:to>
    <xdr:sp macro="" textlink="">
      <xdr:nvSpPr>
        <xdr:cNvPr id="51985" name="Line 233">
          <a:extLst>
            <a:ext uri="{FF2B5EF4-FFF2-40B4-BE49-F238E27FC236}">
              <a16:creationId xmlns:a16="http://schemas.microsoft.com/office/drawing/2014/main" id="{3284A064-9603-62B3-5569-02E5F8254025}"/>
            </a:ext>
          </a:extLst>
        </xdr:cNvPr>
        <xdr:cNvSpPr>
          <a:spLocks noChangeShapeType="1"/>
        </xdr:cNvSpPr>
      </xdr:nvSpPr>
      <xdr:spPr bwMode="auto">
        <a:xfrm flipH="1">
          <a:off x="5715000" y="17741900"/>
          <a:ext cx="254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127000</xdr:colOff>
      <xdr:row>97</xdr:row>
      <xdr:rowOff>25400</xdr:rowOff>
    </xdr:from>
    <xdr:to>
      <xdr:col>11</xdr:col>
      <xdr:colOff>127000</xdr:colOff>
      <xdr:row>98</xdr:row>
      <xdr:rowOff>152400</xdr:rowOff>
    </xdr:to>
    <xdr:sp macro="" textlink="">
      <xdr:nvSpPr>
        <xdr:cNvPr id="51986" name="Line 234">
          <a:extLst>
            <a:ext uri="{FF2B5EF4-FFF2-40B4-BE49-F238E27FC236}">
              <a16:creationId xmlns:a16="http://schemas.microsoft.com/office/drawing/2014/main" id="{FE55E42B-5A09-674C-24BF-CEE87E231B37}"/>
            </a:ext>
          </a:extLst>
        </xdr:cNvPr>
        <xdr:cNvSpPr>
          <a:spLocks noChangeShapeType="1"/>
        </xdr:cNvSpPr>
      </xdr:nvSpPr>
      <xdr:spPr bwMode="auto">
        <a:xfrm flipV="1">
          <a:off x="5753100" y="17691100"/>
          <a:ext cx="0" cy="3048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114300</xdr:colOff>
      <xdr:row>98</xdr:row>
      <xdr:rowOff>139700</xdr:rowOff>
    </xdr:from>
    <xdr:to>
      <xdr:col>11</xdr:col>
      <xdr:colOff>355600</xdr:colOff>
      <xdr:row>104</xdr:row>
      <xdr:rowOff>76200</xdr:rowOff>
    </xdr:to>
    <xdr:sp macro="" textlink="">
      <xdr:nvSpPr>
        <xdr:cNvPr id="51987" name="Line 235">
          <a:extLst>
            <a:ext uri="{FF2B5EF4-FFF2-40B4-BE49-F238E27FC236}">
              <a16:creationId xmlns:a16="http://schemas.microsoft.com/office/drawing/2014/main" id="{DAE30E4F-18FC-6F4D-CA51-31844DE1324C}"/>
            </a:ext>
          </a:extLst>
        </xdr:cNvPr>
        <xdr:cNvSpPr>
          <a:spLocks noChangeShapeType="1"/>
        </xdr:cNvSpPr>
      </xdr:nvSpPr>
      <xdr:spPr bwMode="auto">
        <a:xfrm>
          <a:off x="5740400" y="17983200"/>
          <a:ext cx="241300" cy="952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203200</xdr:colOff>
      <xdr:row>98</xdr:row>
      <xdr:rowOff>139700</xdr:rowOff>
    </xdr:from>
    <xdr:to>
      <xdr:col>11</xdr:col>
      <xdr:colOff>444500</xdr:colOff>
      <xdr:row>104</xdr:row>
      <xdr:rowOff>76200</xdr:rowOff>
    </xdr:to>
    <xdr:sp macro="" textlink="">
      <xdr:nvSpPr>
        <xdr:cNvPr id="51988" name="Line 236">
          <a:extLst>
            <a:ext uri="{FF2B5EF4-FFF2-40B4-BE49-F238E27FC236}">
              <a16:creationId xmlns:a16="http://schemas.microsoft.com/office/drawing/2014/main" id="{F3659286-E099-543D-B356-6E6FED7CED14}"/>
            </a:ext>
          </a:extLst>
        </xdr:cNvPr>
        <xdr:cNvSpPr>
          <a:spLocks noChangeShapeType="1"/>
        </xdr:cNvSpPr>
      </xdr:nvSpPr>
      <xdr:spPr bwMode="auto">
        <a:xfrm>
          <a:off x="5829300" y="17983200"/>
          <a:ext cx="241300" cy="952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342900</xdr:colOff>
      <xdr:row>104</xdr:row>
      <xdr:rowOff>101600</xdr:rowOff>
    </xdr:from>
    <xdr:to>
      <xdr:col>11</xdr:col>
      <xdr:colOff>342900</xdr:colOff>
      <xdr:row>106</xdr:row>
      <xdr:rowOff>152400</xdr:rowOff>
    </xdr:to>
    <xdr:sp macro="" textlink="">
      <xdr:nvSpPr>
        <xdr:cNvPr id="51989" name="Line 237">
          <a:extLst>
            <a:ext uri="{FF2B5EF4-FFF2-40B4-BE49-F238E27FC236}">
              <a16:creationId xmlns:a16="http://schemas.microsoft.com/office/drawing/2014/main" id="{18F3EAA6-1348-EB22-9970-E136F72AC601}"/>
            </a:ext>
          </a:extLst>
        </xdr:cNvPr>
        <xdr:cNvSpPr>
          <a:spLocks noChangeShapeType="1"/>
        </xdr:cNvSpPr>
      </xdr:nvSpPr>
      <xdr:spPr bwMode="auto">
        <a:xfrm>
          <a:off x="5969000" y="18961100"/>
          <a:ext cx="0" cy="3937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711200</xdr:colOff>
      <xdr:row>106</xdr:row>
      <xdr:rowOff>76200</xdr:rowOff>
    </xdr:from>
    <xdr:to>
      <xdr:col>11</xdr:col>
      <xdr:colOff>342900</xdr:colOff>
      <xdr:row>106</xdr:row>
      <xdr:rowOff>76200</xdr:rowOff>
    </xdr:to>
    <xdr:sp macro="" textlink="">
      <xdr:nvSpPr>
        <xdr:cNvPr id="51990" name="Line 238">
          <a:extLst>
            <a:ext uri="{FF2B5EF4-FFF2-40B4-BE49-F238E27FC236}">
              <a16:creationId xmlns:a16="http://schemas.microsoft.com/office/drawing/2014/main" id="{39B02671-C6B1-98D0-A639-7464F2B92F1F}"/>
            </a:ext>
          </a:extLst>
        </xdr:cNvPr>
        <xdr:cNvSpPr>
          <a:spLocks noChangeShapeType="1"/>
        </xdr:cNvSpPr>
      </xdr:nvSpPr>
      <xdr:spPr bwMode="auto">
        <a:xfrm flipH="1">
          <a:off x="5613400" y="19278600"/>
          <a:ext cx="3556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444500</xdr:colOff>
      <xdr:row>104</xdr:row>
      <xdr:rowOff>101600</xdr:rowOff>
    </xdr:from>
    <xdr:to>
      <xdr:col>11</xdr:col>
      <xdr:colOff>444500</xdr:colOff>
      <xdr:row>109</xdr:row>
      <xdr:rowOff>0</xdr:rowOff>
    </xdr:to>
    <xdr:sp macro="" textlink="">
      <xdr:nvSpPr>
        <xdr:cNvPr id="51991" name="Line 239">
          <a:extLst>
            <a:ext uri="{FF2B5EF4-FFF2-40B4-BE49-F238E27FC236}">
              <a16:creationId xmlns:a16="http://schemas.microsoft.com/office/drawing/2014/main" id="{E0ADD44A-FBFE-2A49-3B34-AFDA4B6A1010}"/>
            </a:ext>
          </a:extLst>
        </xdr:cNvPr>
        <xdr:cNvSpPr>
          <a:spLocks noChangeShapeType="1"/>
        </xdr:cNvSpPr>
      </xdr:nvSpPr>
      <xdr:spPr bwMode="auto">
        <a:xfrm>
          <a:off x="6070600" y="18961100"/>
          <a:ext cx="0" cy="7747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12700</xdr:colOff>
      <xdr:row>108</xdr:row>
      <xdr:rowOff>76200</xdr:rowOff>
    </xdr:from>
    <xdr:to>
      <xdr:col>11</xdr:col>
      <xdr:colOff>444500</xdr:colOff>
      <xdr:row>108</xdr:row>
      <xdr:rowOff>76200</xdr:rowOff>
    </xdr:to>
    <xdr:sp macro="" textlink="">
      <xdr:nvSpPr>
        <xdr:cNvPr id="51992" name="Line 240">
          <a:extLst>
            <a:ext uri="{FF2B5EF4-FFF2-40B4-BE49-F238E27FC236}">
              <a16:creationId xmlns:a16="http://schemas.microsoft.com/office/drawing/2014/main" id="{3BEB4E7C-3995-99C2-704A-0A5E3B2168E3}"/>
            </a:ext>
          </a:extLst>
        </xdr:cNvPr>
        <xdr:cNvSpPr>
          <a:spLocks noChangeShapeType="1"/>
        </xdr:cNvSpPr>
      </xdr:nvSpPr>
      <xdr:spPr bwMode="auto">
        <a:xfrm flipH="1">
          <a:off x="5638800" y="19634200"/>
          <a:ext cx="4318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12</xdr:col>
      <xdr:colOff>252095</xdr:colOff>
      <xdr:row>100</xdr:row>
      <xdr:rowOff>19050</xdr:rowOff>
    </xdr:from>
    <xdr:ext cx="364029" cy="162772"/>
    <xdr:sp macro="" textlink="">
      <xdr:nvSpPr>
        <xdr:cNvPr id="27889" name="Text Box 241">
          <a:extLst>
            <a:ext uri="{FF2B5EF4-FFF2-40B4-BE49-F238E27FC236}">
              <a16:creationId xmlns:a16="http://schemas.microsoft.com/office/drawing/2014/main" id="{EF506B52-F0E1-5DDA-F183-96858F970197}"/>
            </a:ext>
          </a:extLst>
        </xdr:cNvPr>
        <xdr:cNvSpPr txBox="1">
          <a:spLocks noChangeArrowheads="1"/>
        </xdr:cNvSpPr>
      </xdr:nvSpPr>
      <xdr:spPr bwMode="auto">
        <a:xfrm>
          <a:off x="5895975" y="17870805"/>
          <a:ext cx="326371" cy="141001"/>
        </a:xfrm>
        <a:prstGeom prst="rect">
          <a:avLst/>
        </a:prstGeom>
        <a:noFill/>
        <a:ln>
          <a:noFill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1" i="0" u="none" strike="noStrike" baseline="0">
              <a:solidFill>
                <a:srgbClr val="FF0000"/>
              </a:solidFill>
              <a:latin typeface="Arial"/>
              <a:cs typeface="Arial"/>
            </a:rPr>
            <a:t>Key In</a:t>
          </a:r>
        </a:p>
      </xdr:txBody>
    </xdr:sp>
    <xdr:clientData/>
  </xdr:oneCellAnchor>
  <xdr:twoCellAnchor>
    <xdr:from>
      <xdr:col>12</xdr:col>
      <xdr:colOff>431800</xdr:colOff>
      <xdr:row>103</xdr:row>
      <xdr:rowOff>12700</xdr:rowOff>
    </xdr:from>
    <xdr:to>
      <xdr:col>12</xdr:col>
      <xdr:colOff>431800</xdr:colOff>
      <xdr:row>104</xdr:row>
      <xdr:rowOff>76200</xdr:rowOff>
    </xdr:to>
    <xdr:sp macro="" textlink="">
      <xdr:nvSpPr>
        <xdr:cNvPr id="51994" name="Line 242">
          <a:extLst>
            <a:ext uri="{FF2B5EF4-FFF2-40B4-BE49-F238E27FC236}">
              <a16:creationId xmlns:a16="http://schemas.microsoft.com/office/drawing/2014/main" id="{379659B4-F66B-50CE-2CD3-96037135CEEE}"/>
            </a:ext>
          </a:extLst>
        </xdr:cNvPr>
        <xdr:cNvSpPr>
          <a:spLocks noChangeShapeType="1"/>
        </xdr:cNvSpPr>
      </xdr:nvSpPr>
      <xdr:spPr bwMode="auto">
        <a:xfrm flipV="1">
          <a:off x="6731000" y="18707100"/>
          <a:ext cx="0" cy="2286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419100</xdr:colOff>
      <xdr:row>98</xdr:row>
      <xdr:rowOff>152400</xdr:rowOff>
    </xdr:from>
    <xdr:to>
      <xdr:col>12</xdr:col>
      <xdr:colOff>419100</xdr:colOff>
      <xdr:row>100</xdr:row>
      <xdr:rowOff>38100</xdr:rowOff>
    </xdr:to>
    <xdr:sp macro="" textlink="">
      <xdr:nvSpPr>
        <xdr:cNvPr id="51995" name="Line 243">
          <a:extLst>
            <a:ext uri="{FF2B5EF4-FFF2-40B4-BE49-F238E27FC236}">
              <a16:creationId xmlns:a16="http://schemas.microsoft.com/office/drawing/2014/main" id="{0B9ABE57-890A-A4AA-87B3-3CA2320EFDC1}"/>
            </a:ext>
          </a:extLst>
        </xdr:cNvPr>
        <xdr:cNvSpPr>
          <a:spLocks noChangeShapeType="1"/>
        </xdr:cNvSpPr>
      </xdr:nvSpPr>
      <xdr:spPr bwMode="auto">
        <a:xfrm>
          <a:off x="6718300" y="17995900"/>
          <a:ext cx="0" cy="2159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342900</xdr:colOff>
      <xdr:row>98</xdr:row>
      <xdr:rowOff>139700</xdr:rowOff>
    </xdr:from>
    <xdr:to>
      <xdr:col>12</xdr:col>
      <xdr:colOff>495300</xdr:colOff>
      <xdr:row>98</xdr:row>
      <xdr:rowOff>139700</xdr:rowOff>
    </xdr:to>
    <xdr:sp macro="" textlink="">
      <xdr:nvSpPr>
        <xdr:cNvPr id="51996" name="Line 244">
          <a:extLst>
            <a:ext uri="{FF2B5EF4-FFF2-40B4-BE49-F238E27FC236}">
              <a16:creationId xmlns:a16="http://schemas.microsoft.com/office/drawing/2014/main" id="{A6239AAC-0386-AC42-2B18-1B9F38066914}"/>
            </a:ext>
          </a:extLst>
        </xdr:cNvPr>
        <xdr:cNvSpPr>
          <a:spLocks noChangeShapeType="1"/>
        </xdr:cNvSpPr>
      </xdr:nvSpPr>
      <xdr:spPr bwMode="auto">
        <a:xfrm>
          <a:off x="5969000" y="17983200"/>
          <a:ext cx="8255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533400</xdr:colOff>
      <xdr:row>104</xdr:row>
      <xdr:rowOff>63500</xdr:rowOff>
    </xdr:from>
    <xdr:to>
      <xdr:col>12</xdr:col>
      <xdr:colOff>520700</xdr:colOff>
      <xdr:row>104</xdr:row>
      <xdr:rowOff>63500</xdr:rowOff>
    </xdr:to>
    <xdr:sp macro="" textlink="">
      <xdr:nvSpPr>
        <xdr:cNvPr id="51997" name="Line 245">
          <a:extLst>
            <a:ext uri="{FF2B5EF4-FFF2-40B4-BE49-F238E27FC236}">
              <a16:creationId xmlns:a16="http://schemas.microsoft.com/office/drawing/2014/main" id="{506A2489-106C-6465-CE6A-9030911169E7}"/>
            </a:ext>
          </a:extLst>
        </xdr:cNvPr>
        <xdr:cNvSpPr>
          <a:spLocks noChangeShapeType="1"/>
        </xdr:cNvSpPr>
      </xdr:nvSpPr>
      <xdr:spPr bwMode="auto">
        <a:xfrm>
          <a:off x="6159500" y="18923000"/>
          <a:ext cx="6604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330200</xdr:colOff>
      <xdr:row>98</xdr:row>
      <xdr:rowOff>50800</xdr:rowOff>
    </xdr:from>
    <xdr:to>
      <xdr:col>2</xdr:col>
      <xdr:colOff>330200</xdr:colOff>
      <xdr:row>105</xdr:row>
      <xdr:rowOff>0</xdr:rowOff>
    </xdr:to>
    <xdr:sp macro="" textlink="">
      <xdr:nvSpPr>
        <xdr:cNvPr id="51998" name="Line 246">
          <a:extLst>
            <a:ext uri="{FF2B5EF4-FFF2-40B4-BE49-F238E27FC236}">
              <a16:creationId xmlns:a16="http://schemas.microsoft.com/office/drawing/2014/main" id="{4091C000-A2E9-5954-A56E-6D723C0E8F15}"/>
            </a:ext>
          </a:extLst>
        </xdr:cNvPr>
        <xdr:cNvSpPr>
          <a:spLocks noChangeShapeType="1"/>
        </xdr:cNvSpPr>
      </xdr:nvSpPr>
      <xdr:spPr bwMode="auto">
        <a:xfrm flipV="1">
          <a:off x="1498600" y="17894300"/>
          <a:ext cx="0" cy="11303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368300</xdr:colOff>
      <xdr:row>98</xdr:row>
      <xdr:rowOff>38100</xdr:rowOff>
    </xdr:from>
    <xdr:to>
      <xdr:col>7</xdr:col>
      <xdr:colOff>368300</xdr:colOff>
      <xdr:row>104</xdr:row>
      <xdr:rowOff>152400</xdr:rowOff>
    </xdr:to>
    <xdr:sp macro="" textlink="">
      <xdr:nvSpPr>
        <xdr:cNvPr id="51999" name="Line 247">
          <a:extLst>
            <a:ext uri="{FF2B5EF4-FFF2-40B4-BE49-F238E27FC236}">
              <a16:creationId xmlns:a16="http://schemas.microsoft.com/office/drawing/2014/main" id="{08B3EB86-04C4-F91A-10CB-1FB10365A8DA}"/>
            </a:ext>
          </a:extLst>
        </xdr:cNvPr>
        <xdr:cNvSpPr>
          <a:spLocks noChangeShapeType="1"/>
        </xdr:cNvSpPr>
      </xdr:nvSpPr>
      <xdr:spPr bwMode="auto">
        <a:xfrm flipV="1">
          <a:off x="5270500" y="17881600"/>
          <a:ext cx="0" cy="11303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215900</xdr:colOff>
      <xdr:row>97</xdr:row>
      <xdr:rowOff>88900</xdr:rowOff>
    </xdr:from>
    <xdr:to>
      <xdr:col>11</xdr:col>
      <xdr:colOff>596900</xdr:colOff>
      <xdr:row>97</xdr:row>
      <xdr:rowOff>88900</xdr:rowOff>
    </xdr:to>
    <xdr:sp macro="" textlink="">
      <xdr:nvSpPr>
        <xdr:cNvPr id="52000" name="Line 248">
          <a:extLst>
            <a:ext uri="{FF2B5EF4-FFF2-40B4-BE49-F238E27FC236}">
              <a16:creationId xmlns:a16="http://schemas.microsoft.com/office/drawing/2014/main" id="{00D1D1AF-32D4-BE89-DEF2-2E1A0088D785}"/>
            </a:ext>
          </a:extLst>
        </xdr:cNvPr>
        <xdr:cNvSpPr>
          <a:spLocks noChangeShapeType="1"/>
        </xdr:cNvSpPr>
      </xdr:nvSpPr>
      <xdr:spPr bwMode="auto">
        <a:xfrm>
          <a:off x="5842000" y="17754600"/>
          <a:ext cx="381000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25400</xdr:colOff>
      <xdr:row>202</xdr:row>
      <xdr:rowOff>63500</xdr:rowOff>
    </xdr:from>
    <xdr:to>
      <xdr:col>14</xdr:col>
      <xdr:colOff>406400</xdr:colOff>
      <xdr:row>202</xdr:row>
      <xdr:rowOff>63500</xdr:rowOff>
    </xdr:to>
    <xdr:sp macro="" textlink="">
      <xdr:nvSpPr>
        <xdr:cNvPr id="52001" name="Line 249">
          <a:extLst>
            <a:ext uri="{FF2B5EF4-FFF2-40B4-BE49-F238E27FC236}">
              <a16:creationId xmlns:a16="http://schemas.microsoft.com/office/drawing/2014/main" id="{3518EC21-BD0B-D4D4-82F3-46E20D9ABA06}"/>
            </a:ext>
          </a:extLst>
        </xdr:cNvPr>
        <xdr:cNvSpPr>
          <a:spLocks noChangeShapeType="1"/>
        </xdr:cNvSpPr>
      </xdr:nvSpPr>
      <xdr:spPr bwMode="auto">
        <a:xfrm>
          <a:off x="7734300" y="35179000"/>
          <a:ext cx="3810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342900</xdr:colOff>
      <xdr:row>97</xdr:row>
      <xdr:rowOff>76200</xdr:rowOff>
    </xdr:from>
    <xdr:to>
      <xdr:col>3</xdr:col>
      <xdr:colOff>673100</xdr:colOff>
      <xdr:row>97</xdr:row>
      <xdr:rowOff>76200</xdr:rowOff>
    </xdr:to>
    <xdr:sp macro="" textlink="">
      <xdr:nvSpPr>
        <xdr:cNvPr id="52002" name="Line 250">
          <a:extLst>
            <a:ext uri="{FF2B5EF4-FFF2-40B4-BE49-F238E27FC236}">
              <a16:creationId xmlns:a16="http://schemas.microsoft.com/office/drawing/2014/main" id="{7B6B7A76-F911-6E6D-6747-AE80B8A810C0}"/>
            </a:ext>
          </a:extLst>
        </xdr:cNvPr>
        <xdr:cNvSpPr>
          <a:spLocks noChangeShapeType="1"/>
        </xdr:cNvSpPr>
      </xdr:nvSpPr>
      <xdr:spPr bwMode="auto">
        <a:xfrm>
          <a:off x="2235200" y="17741900"/>
          <a:ext cx="3302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12700</xdr:colOff>
      <xdr:row>211</xdr:row>
      <xdr:rowOff>101600</xdr:rowOff>
    </xdr:from>
    <xdr:to>
      <xdr:col>15</xdr:col>
      <xdr:colOff>419100</xdr:colOff>
      <xdr:row>211</xdr:row>
      <xdr:rowOff>101600</xdr:rowOff>
    </xdr:to>
    <xdr:sp macro="" textlink="">
      <xdr:nvSpPr>
        <xdr:cNvPr id="52003" name="Line 251">
          <a:extLst>
            <a:ext uri="{FF2B5EF4-FFF2-40B4-BE49-F238E27FC236}">
              <a16:creationId xmlns:a16="http://schemas.microsoft.com/office/drawing/2014/main" id="{E6403596-CB8A-F260-2FC4-3AEB9F5795A1}"/>
            </a:ext>
          </a:extLst>
        </xdr:cNvPr>
        <xdr:cNvSpPr>
          <a:spLocks noChangeShapeType="1"/>
        </xdr:cNvSpPr>
      </xdr:nvSpPr>
      <xdr:spPr bwMode="auto">
        <a:xfrm>
          <a:off x="8394700" y="36703000"/>
          <a:ext cx="406400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457200</xdr:colOff>
      <xdr:row>106</xdr:row>
      <xdr:rowOff>76200</xdr:rowOff>
    </xdr:from>
    <xdr:to>
      <xdr:col>12</xdr:col>
      <xdr:colOff>228600</xdr:colOff>
      <xdr:row>106</xdr:row>
      <xdr:rowOff>76200</xdr:rowOff>
    </xdr:to>
    <xdr:sp macro="" textlink="">
      <xdr:nvSpPr>
        <xdr:cNvPr id="52004" name="Line 252">
          <a:extLst>
            <a:ext uri="{FF2B5EF4-FFF2-40B4-BE49-F238E27FC236}">
              <a16:creationId xmlns:a16="http://schemas.microsoft.com/office/drawing/2014/main" id="{3DA1C745-0CDD-6C82-017F-8A26D3EFA597}"/>
            </a:ext>
          </a:extLst>
        </xdr:cNvPr>
        <xdr:cNvSpPr>
          <a:spLocks noChangeShapeType="1"/>
        </xdr:cNvSpPr>
      </xdr:nvSpPr>
      <xdr:spPr bwMode="auto">
        <a:xfrm>
          <a:off x="6083300" y="19278600"/>
          <a:ext cx="444500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546100</xdr:colOff>
      <xdr:row>106</xdr:row>
      <xdr:rowOff>88900</xdr:rowOff>
    </xdr:from>
    <xdr:to>
      <xdr:col>4</xdr:col>
      <xdr:colOff>266700</xdr:colOff>
      <xdr:row>106</xdr:row>
      <xdr:rowOff>88900</xdr:rowOff>
    </xdr:to>
    <xdr:sp macro="" textlink="">
      <xdr:nvSpPr>
        <xdr:cNvPr id="52005" name="Line 253">
          <a:extLst>
            <a:ext uri="{FF2B5EF4-FFF2-40B4-BE49-F238E27FC236}">
              <a16:creationId xmlns:a16="http://schemas.microsoft.com/office/drawing/2014/main" id="{BDB3C153-B70C-66DC-76AA-376F5368E84E}"/>
            </a:ext>
          </a:extLst>
        </xdr:cNvPr>
        <xdr:cNvSpPr>
          <a:spLocks noChangeShapeType="1"/>
        </xdr:cNvSpPr>
      </xdr:nvSpPr>
      <xdr:spPr bwMode="auto">
        <a:xfrm>
          <a:off x="2438400" y="19291300"/>
          <a:ext cx="3937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17</xdr:col>
      <xdr:colOff>622300</xdr:colOff>
      <xdr:row>18</xdr:row>
      <xdr:rowOff>63500</xdr:rowOff>
    </xdr:from>
    <xdr:to>
      <xdr:col>43</xdr:col>
      <xdr:colOff>279400</xdr:colOff>
      <xdr:row>36</xdr:row>
      <xdr:rowOff>76200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2CC6F47-3AC1-3E29-5885-57874092DE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312400" y="3505200"/>
          <a:ext cx="7569200" cy="3530600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457200</xdr:colOff>
      <xdr:row>8</xdr:row>
      <xdr:rowOff>152400</xdr:rowOff>
    </xdr:from>
    <xdr:to>
      <xdr:col>9</xdr:col>
      <xdr:colOff>635000</xdr:colOff>
      <xdr:row>8</xdr:row>
      <xdr:rowOff>152400</xdr:rowOff>
    </xdr:to>
    <xdr:sp macro="" textlink="">
      <xdr:nvSpPr>
        <xdr:cNvPr id="57725" name="Line 1">
          <a:extLst>
            <a:ext uri="{FF2B5EF4-FFF2-40B4-BE49-F238E27FC236}">
              <a16:creationId xmlns:a16="http://schemas.microsoft.com/office/drawing/2014/main" id="{A465D18C-05DB-528D-EE44-23F220ECB864}"/>
            </a:ext>
          </a:extLst>
        </xdr:cNvPr>
        <xdr:cNvSpPr>
          <a:spLocks noChangeShapeType="1"/>
        </xdr:cNvSpPr>
      </xdr:nvSpPr>
      <xdr:spPr bwMode="auto">
        <a:xfrm>
          <a:off x="2832100" y="1866900"/>
          <a:ext cx="41910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495300</xdr:colOff>
      <xdr:row>4</xdr:row>
      <xdr:rowOff>190500</xdr:rowOff>
    </xdr:from>
    <xdr:to>
      <xdr:col>10</xdr:col>
      <xdr:colOff>12700</xdr:colOff>
      <xdr:row>5</xdr:row>
      <xdr:rowOff>0</xdr:rowOff>
    </xdr:to>
    <xdr:sp macro="" textlink="">
      <xdr:nvSpPr>
        <xdr:cNvPr id="57726" name="Line 2">
          <a:extLst>
            <a:ext uri="{FF2B5EF4-FFF2-40B4-BE49-F238E27FC236}">
              <a16:creationId xmlns:a16="http://schemas.microsoft.com/office/drawing/2014/main" id="{2D296B98-B3D2-9634-0C57-6CDD6DC8542D}"/>
            </a:ext>
          </a:extLst>
        </xdr:cNvPr>
        <xdr:cNvSpPr>
          <a:spLocks noChangeShapeType="1"/>
        </xdr:cNvSpPr>
      </xdr:nvSpPr>
      <xdr:spPr bwMode="auto">
        <a:xfrm flipV="1">
          <a:off x="2870200" y="1092200"/>
          <a:ext cx="4203700" cy="127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12700</xdr:colOff>
      <xdr:row>2</xdr:row>
      <xdr:rowOff>152400</xdr:rowOff>
    </xdr:from>
    <xdr:to>
      <xdr:col>5</xdr:col>
      <xdr:colOff>12700</xdr:colOff>
      <xdr:row>26</xdr:row>
      <xdr:rowOff>12700</xdr:rowOff>
    </xdr:to>
    <xdr:sp macro="" textlink="">
      <xdr:nvSpPr>
        <xdr:cNvPr id="57727" name="Line 3">
          <a:extLst>
            <a:ext uri="{FF2B5EF4-FFF2-40B4-BE49-F238E27FC236}">
              <a16:creationId xmlns:a16="http://schemas.microsoft.com/office/drawing/2014/main" id="{2F600F20-8A3A-4DEF-EA97-DF97127C3D9F}"/>
            </a:ext>
          </a:extLst>
        </xdr:cNvPr>
        <xdr:cNvSpPr>
          <a:spLocks noChangeShapeType="1"/>
        </xdr:cNvSpPr>
      </xdr:nvSpPr>
      <xdr:spPr bwMode="auto">
        <a:xfrm>
          <a:off x="3098800" y="660400"/>
          <a:ext cx="0" cy="47371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Dot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139700</xdr:colOff>
      <xdr:row>8</xdr:row>
      <xdr:rowOff>152400</xdr:rowOff>
    </xdr:from>
    <xdr:to>
      <xdr:col>5</xdr:col>
      <xdr:colOff>139700</xdr:colOff>
      <xdr:row>25</xdr:row>
      <xdr:rowOff>12700</xdr:rowOff>
    </xdr:to>
    <xdr:sp macro="" textlink="">
      <xdr:nvSpPr>
        <xdr:cNvPr id="57728" name="Line 4">
          <a:extLst>
            <a:ext uri="{FF2B5EF4-FFF2-40B4-BE49-F238E27FC236}">
              <a16:creationId xmlns:a16="http://schemas.microsoft.com/office/drawing/2014/main" id="{6D9CD343-8838-AC4C-A841-CE03C8D36751}"/>
            </a:ext>
          </a:extLst>
        </xdr:cNvPr>
        <xdr:cNvSpPr>
          <a:spLocks noChangeShapeType="1"/>
        </xdr:cNvSpPr>
      </xdr:nvSpPr>
      <xdr:spPr bwMode="auto">
        <a:xfrm>
          <a:off x="3225800" y="1866900"/>
          <a:ext cx="0" cy="3365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558800</xdr:colOff>
      <xdr:row>8</xdr:row>
      <xdr:rowOff>152400</xdr:rowOff>
    </xdr:from>
    <xdr:to>
      <xdr:col>4</xdr:col>
      <xdr:colOff>558800</xdr:colOff>
      <xdr:row>25</xdr:row>
      <xdr:rowOff>12700</xdr:rowOff>
    </xdr:to>
    <xdr:sp macro="" textlink="">
      <xdr:nvSpPr>
        <xdr:cNvPr id="57729" name="Line 5">
          <a:extLst>
            <a:ext uri="{FF2B5EF4-FFF2-40B4-BE49-F238E27FC236}">
              <a16:creationId xmlns:a16="http://schemas.microsoft.com/office/drawing/2014/main" id="{216C1749-B7F0-3D51-AD45-80ADAE2A116A}"/>
            </a:ext>
          </a:extLst>
        </xdr:cNvPr>
        <xdr:cNvSpPr>
          <a:spLocks noChangeShapeType="1"/>
        </xdr:cNvSpPr>
      </xdr:nvSpPr>
      <xdr:spPr bwMode="auto">
        <a:xfrm>
          <a:off x="2933700" y="1866900"/>
          <a:ext cx="0" cy="3365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419100</xdr:colOff>
      <xdr:row>25</xdr:row>
      <xdr:rowOff>12700</xdr:rowOff>
    </xdr:from>
    <xdr:to>
      <xdr:col>10</xdr:col>
      <xdr:colOff>342900</xdr:colOff>
      <xdr:row>25</xdr:row>
      <xdr:rowOff>12700</xdr:rowOff>
    </xdr:to>
    <xdr:sp macro="" textlink="">
      <xdr:nvSpPr>
        <xdr:cNvPr id="57730" name="Line 6">
          <a:extLst>
            <a:ext uri="{FF2B5EF4-FFF2-40B4-BE49-F238E27FC236}">
              <a16:creationId xmlns:a16="http://schemas.microsoft.com/office/drawing/2014/main" id="{25DFB145-A1D9-5E0B-B2C8-B13F8AEB7262}"/>
            </a:ext>
          </a:extLst>
        </xdr:cNvPr>
        <xdr:cNvSpPr>
          <a:spLocks noChangeShapeType="1"/>
        </xdr:cNvSpPr>
      </xdr:nvSpPr>
      <xdr:spPr bwMode="auto">
        <a:xfrm>
          <a:off x="2794000" y="5232400"/>
          <a:ext cx="46101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368300</xdr:colOff>
      <xdr:row>4</xdr:row>
      <xdr:rowOff>190500</xdr:rowOff>
    </xdr:from>
    <xdr:to>
      <xdr:col>4</xdr:col>
      <xdr:colOff>393700</xdr:colOff>
      <xdr:row>4</xdr:row>
      <xdr:rowOff>190500</xdr:rowOff>
    </xdr:to>
    <xdr:sp macro="" textlink="">
      <xdr:nvSpPr>
        <xdr:cNvPr id="57731" name="Line 7">
          <a:extLst>
            <a:ext uri="{FF2B5EF4-FFF2-40B4-BE49-F238E27FC236}">
              <a16:creationId xmlns:a16="http://schemas.microsoft.com/office/drawing/2014/main" id="{BF772108-9F44-66F7-0054-F040BDE6638B}"/>
            </a:ext>
          </a:extLst>
        </xdr:cNvPr>
        <xdr:cNvSpPr>
          <a:spLocks noChangeShapeType="1"/>
        </xdr:cNvSpPr>
      </xdr:nvSpPr>
      <xdr:spPr bwMode="auto">
        <a:xfrm flipH="1">
          <a:off x="1854200" y="1092200"/>
          <a:ext cx="9144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368300</xdr:colOff>
      <xdr:row>8</xdr:row>
      <xdr:rowOff>152400</xdr:rowOff>
    </xdr:from>
    <xdr:to>
      <xdr:col>4</xdr:col>
      <xdr:colOff>406400</xdr:colOff>
      <xdr:row>8</xdr:row>
      <xdr:rowOff>152400</xdr:rowOff>
    </xdr:to>
    <xdr:sp macro="" textlink="">
      <xdr:nvSpPr>
        <xdr:cNvPr id="57732" name="Line 8">
          <a:extLst>
            <a:ext uri="{FF2B5EF4-FFF2-40B4-BE49-F238E27FC236}">
              <a16:creationId xmlns:a16="http://schemas.microsoft.com/office/drawing/2014/main" id="{65249C51-521D-8913-3EC5-22E43A92E204}"/>
            </a:ext>
          </a:extLst>
        </xdr:cNvPr>
        <xdr:cNvSpPr>
          <a:spLocks noChangeShapeType="1"/>
        </xdr:cNvSpPr>
      </xdr:nvSpPr>
      <xdr:spPr bwMode="auto">
        <a:xfrm flipH="1">
          <a:off x="1854200" y="1866900"/>
          <a:ext cx="9271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444500</xdr:colOff>
      <xdr:row>5</xdr:row>
      <xdr:rowOff>0</xdr:rowOff>
    </xdr:from>
    <xdr:to>
      <xdr:col>3</xdr:col>
      <xdr:colOff>444500</xdr:colOff>
      <xdr:row>8</xdr:row>
      <xdr:rowOff>152400</xdr:rowOff>
    </xdr:to>
    <xdr:sp macro="" textlink="">
      <xdr:nvSpPr>
        <xdr:cNvPr id="57733" name="Line 9">
          <a:extLst>
            <a:ext uri="{FF2B5EF4-FFF2-40B4-BE49-F238E27FC236}">
              <a16:creationId xmlns:a16="http://schemas.microsoft.com/office/drawing/2014/main" id="{1E54F1CE-4156-9278-C614-754135C839BE}"/>
            </a:ext>
          </a:extLst>
        </xdr:cNvPr>
        <xdr:cNvSpPr>
          <a:spLocks noChangeShapeType="1"/>
        </xdr:cNvSpPr>
      </xdr:nvSpPr>
      <xdr:spPr bwMode="auto">
        <a:xfrm>
          <a:off x="1930400" y="1104900"/>
          <a:ext cx="0" cy="7620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825500</xdr:colOff>
      <xdr:row>6</xdr:row>
      <xdr:rowOff>139700</xdr:rowOff>
    </xdr:from>
    <xdr:to>
      <xdr:col>3</xdr:col>
      <xdr:colOff>444500</xdr:colOff>
      <xdr:row>7</xdr:row>
      <xdr:rowOff>88900</xdr:rowOff>
    </xdr:to>
    <xdr:sp macro="" textlink="">
      <xdr:nvSpPr>
        <xdr:cNvPr id="57734" name="Line 10">
          <a:extLst>
            <a:ext uri="{FF2B5EF4-FFF2-40B4-BE49-F238E27FC236}">
              <a16:creationId xmlns:a16="http://schemas.microsoft.com/office/drawing/2014/main" id="{7B2F4CFB-0D37-E9C9-901D-0F2326D17712}"/>
            </a:ext>
          </a:extLst>
        </xdr:cNvPr>
        <xdr:cNvSpPr>
          <a:spLocks noChangeShapeType="1"/>
        </xdr:cNvSpPr>
      </xdr:nvSpPr>
      <xdr:spPr bwMode="auto">
        <a:xfrm flipH="1">
          <a:off x="1473200" y="1422400"/>
          <a:ext cx="457200" cy="1651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oval" w="med" len="med"/>
          <a:tailEnd type="oval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342900</xdr:colOff>
      <xdr:row>8</xdr:row>
      <xdr:rowOff>152400</xdr:rowOff>
    </xdr:from>
    <xdr:to>
      <xdr:col>9</xdr:col>
      <xdr:colOff>342900</xdr:colOff>
      <xdr:row>25</xdr:row>
      <xdr:rowOff>12700</xdr:rowOff>
    </xdr:to>
    <xdr:sp macro="" textlink="">
      <xdr:nvSpPr>
        <xdr:cNvPr id="57735" name="Line 11">
          <a:extLst>
            <a:ext uri="{FF2B5EF4-FFF2-40B4-BE49-F238E27FC236}">
              <a16:creationId xmlns:a16="http://schemas.microsoft.com/office/drawing/2014/main" id="{9CD3FDC7-3BD0-B028-69EF-860559C3B187}"/>
            </a:ext>
          </a:extLst>
        </xdr:cNvPr>
        <xdr:cNvSpPr>
          <a:spLocks noChangeShapeType="1"/>
        </xdr:cNvSpPr>
      </xdr:nvSpPr>
      <xdr:spPr bwMode="auto">
        <a:xfrm>
          <a:off x="6731000" y="1866900"/>
          <a:ext cx="0" cy="3365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431800</xdr:colOff>
      <xdr:row>2</xdr:row>
      <xdr:rowOff>152400</xdr:rowOff>
    </xdr:from>
    <xdr:to>
      <xdr:col>9</xdr:col>
      <xdr:colOff>457200</xdr:colOff>
      <xdr:row>27</xdr:row>
      <xdr:rowOff>25400</xdr:rowOff>
    </xdr:to>
    <xdr:sp macro="" textlink="">
      <xdr:nvSpPr>
        <xdr:cNvPr id="57736" name="Line 12">
          <a:extLst>
            <a:ext uri="{FF2B5EF4-FFF2-40B4-BE49-F238E27FC236}">
              <a16:creationId xmlns:a16="http://schemas.microsoft.com/office/drawing/2014/main" id="{7A336071-5F4C-57B2-80C3-DAF7A93F73FF}"/>
            </a:ext>
          </a:extLst>
        </xdr:cNvPr>
        <xdr:cNvSpPr>
          <a:spLocks noChangeShapeType="1"/>
        </xdr:cNvSpPr>
      </xdr:nvSpPr>
      <xdr:spPr bwMode="auto">
        <a:xfrm>
          <a:off x="6819900" y="660400"/>
          <a:ext cx="25400" cy="49149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Dot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190500</xdr:colOff>
      <xdr:row>8</xdr:row>
      <xdr:rowOff>152400</xdr:rowOff>
    </xdr:from>
    <xdr:to>
      <xdr:col>8</xdr:col>
      <xdr:colOff>711200</xdr:colOff>
      <xdr:row>25</xdr:row>
      <xdr:rowOff>0</xdr:rowOff>
    </xdr:to>
    <xdr:sp macro="" textlink="">
      <xdr:nvSpPr>
        <xdr:cNvPr id="57737" name="Line 13">
          <a:extLst>
            <a:ext uri="{FF2B5EF4-FFF2-40B4-BE49-F238E27FC236}">
              <a16:creationId xmlns:a16="http://schemas.microsoft.com/office/drawing/2014/main" id="{B041F4BE-50FC-AA88-BB32-010B3631FE26}"/>
            </a:ext>
          </a:extLst>
        </xdr:cNvPr>
        <xdr:cNvSpPr>
          <a:spLocks noChangeShapeType="1"/>
        </xdr:cNvSpPr>
      </xdr:nvSpPr>
      <xdr:spPr bwMode="auto">
        <a:xfrm>
          <a:off x="3276600" y="1866900"/>
          <a:ext cx="2997200" cy="33528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533400</xdr:colOff>
      <xdr:row>8</xdr:row>
      <xdr:rowOff>152400</xdr:rowOff>
    </xdr:from>
    <xdr:to>
      <xdr:col>9</xdr:col>
      <xdr:colOff>266700</xdr:colOff>
      <xdr:row>24</xdr:row>
      <xdr:rowOff>152400</xdr:rowOff>
    </xdr:to>
    <xdr:sp macro="" textlink="">
      <xdr:nvSpPr>
        <xdr:cNvPr id="57738" name="Line 14">
          <a:extLst>
            <a:ext uri="{FF2B5EF4-FFF2-40B4-BE49-F238E27FC236}">
              <a16:creationId xmlns:a16="http://schemas.microsoft.com/office/drawing/2014/main" id="{487F0F16-ED21-9194-DF37-FD1DEB93E1C7}"/>
            </a:ext>
          </a:extLst>
        </xdr:cNvPr>
        <xdr:cNvSpPr>
          <a:spLocks noChangeShapeType="1"/>
        </xdr:cNvSpPr>
      </xdr:nvSpPr>
      <xdr:spPr bwMode="auto">
        <a:xfrm flipH="1" flipV="1">
          <a:off x="3619500" y="1866900"/>
          <a:ext cx="3035300" cy="33401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6</xdr:row>
      <xdr:rowOff>177800</xdr:rowOff>
    </xdr:from>
    <xdr:to>
      <xdr:col>9</xdr:col>
      <xdr:colOff>457200</xdr:colOff>
      <xdr:row>27</xdr:row>
      <xdr:rowOff>50800</xdr:rowOff>
    </xdr:to>
    <xdr:sp macro="" textlink="">
      <xdr:nvSpPr>
        <xdr:cNvPr id="57739" name="Line 15">
          <a:extLst>
            <a:ext uri="{FF2B5EF4-FFF2-40B4-BE49-F238E27FC236}">
              <a16:creationId xmlns:a16="http://schemas.microsoft.com/office/drawing/2014/main" id="{67E5DF57-659E-9AED-72F3-152CA08B56CE}"/>
            </a:ext>
          </a:extLst>
        </xdr:cNvPr>
        <xdr:cNvSpPr>
          <a:spLocks noChangeShapeType="1"/>
        </xdr:cNvSpPr>
      </xdr:nvSpPr>
      <xdr:spPr bwMode="auto">
        <a:xfrm flipH="1" flipV="1">
          <a:off x="3086100" y="1460500"/>
          <a:ext cx="3759200" cy="41402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lgDashDot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546100</xdr:colOff>
      <xdr:row>8</xdr:row>
      <xdr:rowOff>152400</xdr:rowOff>
    </xdr:from>
    <xdr:to>
      <xdr:col>9</xdr:col>
      <xdr:colOff>546100</xdr:colOff>
      <xdr:row>25</xdr:row>
      <xdr:rowOff>12700</xdr:rowOff>
    </xdr:to>
    <xdr:sp macro="" textlink="">
      <xdr:nvSpPr>
        <xdr:cNvPr id="57740" name="Line 16">
          <a:extLst>
            <a:ext uri="{FF2B5EF4-FFF2-40B4-BE49-F238E27FC236}">
              <a16:creationId xmlns:a16="http://schemas.microsoft.com/office/drawing/2014/main" id="{8797D94E-B6D2-D4B9-FBEC-C3367FA49528}"/>
            </a:ext>
          </a:extLst>
        </xdr:cNvPr>
        <xdr:cNvSpPr>
          <a:spLocks noChangeShapeType="1"/>
        </xdr:cNvSpPr>
      </xdr:nvSpPr>
      <xdr:spPr bwMode="auto">
        <a:xfrm>
          <a:off x="6934200" y="1866900"/>
          <a:ext cx="0" cy="3365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76200</xdr:colOff>
      <xdr:row>5</xdr:row>
      <xdr:rowOff>0</xdr:rowOff>
    </xdr:from>
    <xdr:to>
      <xdr:col>12</xdr:col>
      <xdr:colOff>406400</xdr:colOff>
      <xdr:row>5</xdr:row>
      <xdr:rowOff>0</xdr:rowOff>
    </xdr:to>
    <xdr:sp macro="" textlink="">
      <xdr:nvSpPr>
        <xdr:cNvPr id="57741" name="Line 17">
          <a:extLst>
            <a:ext uri="{FF2B5EF4-FFF2-40B4-BE49-F238E27FC236}">
              <a16:creationId xmlns:a16="http://schemas.microsoft.com/office/drawing/2014/main" id="{DAF804AD-10E3-D4A8-3394-F9F72566C51C}"/>
            </a:ext>
          </a:extLst>
        </xdr:cNvPr>
        <xdr:cNvSpPr>
          <a:spLocks noChangeShapeType="1"/>
        </xdr:cNvSpPr>
      </xdr:nvSpPr>
      <xdr:spPr bwMode="auto">
        <a:xfrm>
          <a:off x="7137400" y="1104900"/>
          <a:ext cx="20320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393700</xdr:colOff>
      <xdr:row>25</xdr:row>
      <xdr:rowOff>12700</xdr:rowOff>
    </xdr:from>
    <xdr:to>
      <xdr:col>12</xdr:col>
      <xdr:colOff>457200</xdr:colOff>
      <xdr:row>25</xdr:row>
      <xdr:rowOff>12700</xdr:rowOff>
    </xdr:to>
    <xdr:sp macro="" textlink="">
      <xdr:nvSpPr>
        <xdr:cNvPr id="57742" name="Line 18">
          <a:extLst>
            <a:ext uri="{FF2B5EF4-FFF2-40B4-BE49-F238E27FC236}">
              <a16:creationId xmlns:a16="http://schemas.microsoft.com/office/drawing/2014/main" id="{3F36ED75-854F-E17D-BE46-9951C818181E}"/>
            </a:ext>
          </a:extLst>
        </xdr:cNvPr>
        <xdr:cNvSpPr>
          <a:spLocks noChangeShapeType="1"/>
        </xdr:cNvSpPr>
      </xdr:nvSpPr>
      <xdr:spPr bwMode="auto">
        <a:xfrm>
          <a:off x="7454900" y="5232400"/>
          <a:ext cx="17653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381000</xdr:colOff>
      <xdr:row>5</xdr:row>
      <xdr:rowOff>0</xdr:rowOff>
    </xdr:from>
    <xdr:to>
      <xdr:col>12</xdr:col>
      <xdr:colOff>381000</xdr:colOff>
      <xdr:row>25</xdr:row>
      <xdr:rowOff>0</xdr:rowOff>
    </xdr:to>
    <xdr:sp macro="" textlink="">
      <xdr:nvSpPr>
        <xdr:cNvPr id="57743" name="Line 19">
          <a:extLst>
            <a:ext uri="{FF2B5EF4-FFF2-40B4-BE49-F238E27FC236}">
              <a16:creationId xmlns:a16="http://schemas.microsoft.com/office/drawing/2014/main" id="{2ECB6509-D50A-3946-E90A-A3D41DC318BB}"/>
            </a:ext>
          </a:extLst>
        </xdr:cNvPr>
        <xdr:cNvSpPr>
          <a:spLocks noChangeShapeType="1"/>
        </xdr:cNvSpPr>
      </xdr:nvSpPr>
      <xdr:spPr bwMode="auto">
        <a:xfrm flipV="1">
          <a:off x="9144000" y="1104900"/>
          <a:ext cx="0" cy="41148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381000</xdr:colOff>
      <xdr:row>14</xdr:row>
      <xdr:rowOff>101600</xdr:rowOff>
    </xdr:from>
    <xdr:to>
      <xdr:col>12</xdr:col>
      <xdr:colOff>800100</xdr:colOff>
      <xdr:row>14</xdr:row>
      <xdr:rowOff>101600</xdr:rowOff>
    </xdr:to>
    <xdr:sp macro="" textlink="">
      <xdr:nvSpPr>
        <xdr:cNvPr id="57744" name="Line 20">
          <a:extLst>
            <a:ext uri="{FF2B5EF4-FFF2-40B4-BE49-F238E27FC236}">
              <a16:creationId xmlns:a16="http://schemas.microsoft.com/office/drawing/2014/main" id="{2A038855-0538-8586-2D6B-7E2B46B4EC16}"/>
            </a:ext>
          </a:extLst>
        </xdr:cNvPr>
        <xdr:cNvSpPr>
          <a:spLocks noChangeShapeType="1"/>
        </xdr:cNvSpPr>
      </xdr:nvSpPr>
      <xdr:spPr bwMode="auto">
        <a:xfrm flipH="1">
          <a:off x="9144000" y="3022600"/>
          <a:ext cx="4191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oval" w="med" len="med"/>
          <a:tailEnd type="oval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152400</xdr:colOff>
      <xdr:row>15</xdr:row>
      <xdr:rowOff>88900</xdr:rowOff>
    </xdr:from>
    <xdr:to>
      <xdr:col>6</xdr:col>
      <xdr:colOff>571500</xdr:colOff>
      <xdr:row>16</xdr:row>
      <xdr:rowOff>177800</xdr:rowOff>
    </xdr:to>
    <xdr:sp macro="" textlink="">
      <xdr:nvSpPr>
        <xdr:cNvPr id="57745" name="Line 21">
          <a:extLst>
            <a:ext uri="{FF2B5EF4-FFF2-40B4-BE49-F238E27FC236}">
              <a16:creationId xmlns:a16="http://schemas.microsoft.com/office/drawing/2014/main" id="{16B7A95D-2724-127C-2932-7D08BC33ABD4}"/>
            </a:ext>
          </a:extLst>
        </xdr:cNvPr>
        <xdr:cNvSpPr>
          <a:spLocks noChangeShapeType="1"/>
        </xdr:cNvSpPr>
      </xdr:nvSpPr>
      <xdr:spPr bwMode="auto">
        <a:xfrm flipH="1">
          <a:off x="4089400" y="3225800"/>
          <a:ext cx="419100" cy="3048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787400</xdr:colOff>
      <xdr:row>13</xdr:row>
      <xdr:rowOff>76200</xdr:rowOff>
    </xdr:from>
    <xdr:to>
      <xdr:col>7</xdr:col>
      <xdr:colOff>292100</xdr:colOff>
      <xdr:row>14</xdr:row>
      <xdr:rowOff>165100</xdr:rowOff>
    </xdr:to>
    <xdr:sp macro="" textlink="">
      <xdr:nvSpPr>
        <xdr:cNvPr id="57746" name="Line 22">
          <a:extLst>
            <a:ext uri="{FF2B5EF4-FFF2-40B4-BE49-F238E27FC236}">
              <a16:creationId xmlns:a16="http://schemas.microsoft.com/office/drawing/2014/main" id="{64C77088-1185-06E2-612E-F20AA6EE317B}"/>
            </a:ext>
          </a:extLst>
        </xdr:cNvPr>
        <xdr:cNvSpPr>
          <a:spLocks noChangeShapeType="1"/>
        </xdr:cNvSpPr>
      </xdr:nvSpPr>
      <xdr:spPr bwMode="auto">
        <a:xfrm flipV="1">
          <a:off x="4724400" y="2768600"/>
          <a:ext cx="381000" cy="317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292100</xdr:colOff>
      <xdr:row>13</xdr:row>
      <xdr:rowOff>76200</xdr:rowOff>
    </xdr:from>
    <xdr:to>
      <xdr:col>8</xdr:col>
      <xdr:colOff>0</xdr:colOff>
      <xdr:row>13</xdr:row>
      <xdr:rowOff>76200</xdr:rowOff>
    </xdr:to>
    <xdr:sp macro="" textlink="">
      <xdr:nvSpPr>
        <xdr:cNvPr id="57747" name="Line 23">
          <a:extLst>
            <a:ext uri="{FF2B5EF4-FFF2-40B4-BE49-F238E27FC236}">
              <a16:creationId xmlns:a16="http://schemas.microsoft.com/office/drawing/2014/main" id="{012919F9-D18A-AA89-C4E0-7A9CDBAED09B}"/>
            </a:ext>
          </a:extLst>
        </xdr:cNvPr>
        <xdr:cNvSpPr>
          <a:spLocks noChangeShapeType="1"/>
        </xdr:cNvSpPr>
      </xdr:nvSpPr>
      <xdr:spPr bwMode="auto">
        <a:xfrm>
          <a:off x="5105400" y="2768600"/>
          <a:ext cx="4572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546100</xdr:colOff>
      <xdr:row>10</xdr:row>
      <xdr:rowOff>114300</xdr:rowOff>
    </xdr:from>
    <xdr:to>
      <xdr:col>10</xdr:col>
      <xdr:colOff>622300</xdr:colOff>
      <xdr:row>10</xdr:row>
      <xdr:rowOff>114300</xdr:rowOff>
    </xdr:to>
    <xdr:sp macro="" textlink="">
      <xdr:nvSpPr>
        <xdr:cNvPr id="57748" name="Line 24">
          <a:extLst>
            <a:ext uri="{FF2B5EF4-FFF2-40B4-BE49-F238E27FC236}">
              <a16:creationId xmlns:a16="http://schemas.microsoft.com/office/drawing/2014/main" id="{ACD3864B-07A8-B850-2C26-88DE9ECF5CDA}"/>
            </a:ext>
          </a:extLst>
        </xdr:cNvPr>
        <xdr:cNvSpPr>
          <a:spLocks noChangeShapeType="1"/>
        </xdr:cNvSpPr>
      </xdr:nvSpPr>
      <xdr:spPr bwMode="auto">
        <a:xfrm>
          <a:off x="6934200" y="2209800"/>
          <a:ext cx="7493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76200</xdr:colOff>
      <xdr:row>10</xdr:row>
      <xdr:rowOff>114300</xdr:rowOff>
    </xdr:from>
    <xdr:to>
      <xdr:col>9</xdr:col>
      <xdr:colOff>330200</xdr:colOff>
      <xdr:row>10</xdr:row>
      <xdr:rowOff>114300</xdr:rowOff>
    </xdr:to>
    <xdr:sp macro="" textlink="">
      <xdr:nvSpPr>
        <xdr:cNvPr id="57749" name="Line 25">
          <a:extLst>
            <a:ext uri="{FF2B5EF4-FFF2-40B4-BE49-F238E27FC236}">
              <a16:creationId xmlns:a16="http://schemas.microsoft.com/office/drawing/2014/main" id="{9762B916-ADD3-C900-8360-0FD57E3A8729}"/>
            </a:ext>
          </a:extLst>
        </xdr:cNvPr>
        <xdr:cNvSpPr>
          <a:spLocks noChangeShapeType="1"/>
        </xdr:cNvSpPr>
      </xdr:nvSpPr>
      <xdr:spPr bwMode="auto">
        <a:xfrm flipH="1">
          <a:off x="6464300" y="2209800"/>
          <a:ext cx="2540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</xdr:row>
      <xdr:rowOff>76200</xdr:rowOff>
    </xdr:from>
    <xdr:to>
      <xdr:col>6</xdr:col>
      <xdr:colOff>800100</xdr:colOff>
      <xdr:row>3</xdr:row>
      <xdr:rowOff>76200</xdr:rowOff>
    </xdr:to>
    <xdr:sp macro="" textlink="">
      <xdr:nvSpPr>
        <xdr:cNvPr id="57750" name="Line 26">
          <a:extLst>
            <a:ext uri="{FF2B5EF4-FFF2-40B4-BE49-F238E27FC236}">
              <a16:creationId xmlns:a16="http://schemas.microsoft.com/office/drawing/2014/main" id="{6D5C1151-9E6F-BC34-FA97-5C4276C4850C}"/>
            </a:ext>
          </a:extLst>
        </xdr:cNvPr>
        <xdr:cNvSpPr>
          <a:spLocks noChangeShapeType="1"/>
        </xdr:cNvSpPr>
      </xdr:nvSpPr>
      <xdr:spPr bwMode="auto">
        <a:xfrm>
          <a:off x="3086100" y="762000"/>
          <a:ext cx="16510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12700</xdr:colOff>
      <xdr:row>3</xdr:row>
      <xdr:rowOff>76200</xdr:rowOff>
    </xdr:from>
    <xdr:to>
      <xdr:col>9</xdr:col>
      <xdr:colOff>431800</xdr:colOff>
      <xdr:row>3</xdr:row>
      <xdr:rowOff>76200</xdr:rowOff>
    </xdr:to>
    <xdr:sp macro="" textlink="">
      <xdr:nvSpPr>
        <xdr:cNvPr id="57751" name="Line 27">
          <a:extLst>
            <a:ext uri="{FF2B5EF4-FFF2-40B4-BE49-F238E27FC236}">
              <a16:creationId xmlns:a16="http://schemas.microsoft.com/office/drawing/2014/main" id="{CC71FFA6-FA04-6618-F114-2D371A9BDF7A}"/>
            </a:ext>
          </a:extLst>
        </xdr:cNvPr>
        <xdr:cNvSpPr>
          <a:spLocks noChangeShapeType="1"/>
        </xdr:cNvSpPr>
      </xdr:nvSpPr>
      <xdr:spPr bwMode="auto">
        <a:xfrm>
          <a:off x="5575300" y="762000"/>
          <a:ext cx="12446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10</xdr:col>
      <xdr:colOff>305435</xdr:colOff>
      <xdr:row>19</xdr:row>
      <xdr:rowOff>0</xdr:rowOff>
    </xdr:from>
    <xdr:ext cx="525407" cy="259877"/>
    <xdr:sp macro="" textlink="">
      <xdr:nvSpPr>
        <xdr:cNvPr id="16412" name="AutoShape 28">
          <a:extLst>
            <a:ext uri="{FF2B5EF4-FFF2-40B4-BE49-F238E27FC236}">
              <a16:creationId xmlns:a16="http://schemas.microsoft.com/office/drawing/2014/main" id="{B5D2BE4D-4688-AAE1-0CDD-21BB6938B2D9}"/>
            </a:ext>
          </a:extLst>
        </xdr:cNvPr>
        <xdr:cNvSpPr>
          <a:spLocks/>
        </xdr:cNvSpPr>
      </xdr:nvSpPr>
      <xdr:spPr bwMode="auto">
        <a:xfrm>
          <a:off x="6654165" y="3881120"/>
          <a:ext cx="450829" cy="200119"/>
        </a:xfrm>
        <a:prstGeom prst="borderCallout2">
          <a:avLst>
            <a:gd name="adj1" fmla="val 46153"/>
            <a:gd name="adj2" fmla="val -14546"/>
            <a:gd name="adj3" fmla="val 46153"/>
            <a:gd name="adj4" fmla="val -36366"/>
            <a:gd name="adj5" fmla="val 465384"/>
            <a:gd name="adj6" fmla="val -118181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FF0000"/>
              </a:solidFill>
              <a:latin typeface="Arial"/>
              <a:cs typeface="Arial"/>
            </a:rPr>
            <a:t>2" clr.</a:t>
          </a:r>
        </a:p>
      </xdr:txBody>
    </xdr:sp>
    <xdr:clientData/>
  </xdr:oneCellAnchor>
  <xdr:oneCellAnchor>
    <xdr:from>
      <xdr:col>5</xdr:col>
      <xdr:colOff>680720</xdr:colOff>
      <xdr:row>5</xdr:row>
      <xdr:rowOff>120015</xdr:rowOff>
    </xdr:from>
    <xdr:ext cx="462735" cy="261934"/>
    <xdr:sp macro="" textlink="">
      <xdr:nvSpPr>
        <xdr:cNvPr id="16413" name="AutoShape 29">
          <a:extLst>
            <a:ext uri="{FF2B5EF4-FFF2-40B4-BE49-F238E27FC236}">
              <a16:creationId xmlns:a16="http://schemas.microsoft.com/office/drawing/2014/main" id="{33273270-7D49-162A-6BAC-3DB4AB1AF4FC}"/>
            </a:ext>
          </a:extLst>
        </xdr:cNvPr>
        <xdr:cNvSpPr>
          <a:spLocks/>
        </xdr:cNvSpPr>
      </xdr:nvSpPr>
      <xdr:spPr bwMode="auto">
        <a:xfrm>
          <a:off x="3399155" y="1219835"/>
          <a:ext cx="450829" cy="200119"/>
        </a:xfrm>
        <a:prstGeom prst="borderCallout2">
          <a:avLst>
            <a:gd name="adj1" fmla="val 44444"/>
            <a:gd name="adj2" fmla="val -14287"/>
            <a:gd name="adj3" fmla="val 44444"/>
            <a:gd name="adj4" fmla="val -28569"/>
            <a:gd name="adj5" fmla="val 255556"/>
            <a:gd name="adj6" fmla="val -82144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FF0000"/>
              </a:solidFill>
              <a:latin typeface="Arial"/>
              <a:cs typeface="Arial"/>
            </a:rPr>
            <a:t>2" clr.</a:t>
          </a:r>
        </a:p>
      </xdr:txBody>
    </xdr:sp>
    <xdr:clientData/>
  </xdr:oneCellAnchor>
  <xdr:twoCellAnchor>
    <xdr:from>
      <xdr:col>4</xdr:col>
      <xdr:colOff>12700</xdr:colOff>
      <xdr:row>8</xdr:row>
      <xdr:rowOff>152400</xdr:rowOff>
    </xdr:from>
    <xdr:to>
      <xdr:col>5</xdr:col>
      <xdr:colOff>190500</xdr:colOff>
      <xdr:row>12</xdr:row>
      <xdr:rowOff>152400</xdr:rowOff>
    </xdr:to>
    <xdr:sp macro="" textlink="">
      <xdr:nvSpPr>
        <xdr:cNvPr id="57754" name="Line 30">
          <a:extLst>
            <a:ext uri="{FF2B5EF4-FFF2-40B4-BE49-F238E27FC236}">
              <a16:creationId xmlns:a16="http://schemas.microsoft.com/office/drawing/2014/main" id="{E35E7FD8-E68A-8B36-4203-14E90C662823}"/>
            </a:ext>
          </a:extLst>
        </xdr:cNvPr>
        <xdr:cNvSpPr>
          <a:spLocks noChangeShapeType="1"/>
        </xdr:cNvSpPr>
      </xdr:nvSpPr>
      <xdr:spPr bwMode="auto">
        <a:xfrm flipH="1">
          <a:off x="2387600" y="1866900"/>
          <a:ext cx="889000" cy="8001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38100</xdr:colOff>
      <xdr:row>25</xdr:row>
      <xdr:rowOff>0</xdr:rowOff>
    </xdr:from>
    <xdr:to>
      <xdr:col>9</xdr:col>
      <xdr:colOff>279400</xdr:colOff>
      <xdr:row>29</xdr:row>
      <xdr:rowOff>127000</xdr:rowOff>
    </xdr:to>
    <xdr:sp macro="" textlink="">
      <xdr:nvSpPr>
        <xdr:cNvPr id="57755" name="Line 31">
          <a:extLst>
            <a:ext uri="{FF2B5EF4-FFF2-40B4-BE49-F238E27FC236}">
              <a16:creationId xmlns:a16="http://schemas.microsoft.com/office/drawing/2014/main" id="{615C1CDB-1CCA-C6B3-0256-BABC7C793B00}"/>
            </a:ext>
          </a:extLst>
        </xdr:cNvPr>
        <xdr:cNvSpPr>
          <a:spLocks noChangeShapeType="1"/>
        </xdr:cNvSpPr>
      </xdr:nvSpPr>
      <xdr:spPr bwMode="auto">
        <a:xfrm flipH="1">
          <a:off x="5600700" y="5219700"/>
          <a:ext cx="1066800" cy="7874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88900</xdr:colOff>
      <xdr:row>12</xdr:row>
      <xdr:rowOff>50800</xdr:rowOff>
    </xdr:from>
    <xdr:to>
      <xdr:col>8</xdr:col>
      <xdr:colOff>76200</xdr:colOff>
      <xdr:row>29</xdr:row>
      <xdr:rowOff>88900</xdr:rowOff>
    </xdr:to>
    <xdr:sp macro="" textlink="">
      <xdr:nvSpPr>
        <xdr:cNvPr id="57756" name="Line 32">
          <a:extLst>
            <a:ext uri="{FF2B5EF4-FFF2-40B4-BE49-F238E27FC236}">
              <a16:creationId xmlns:a16="http://schemas.microsoft.com/office/drawing/2014/main" id="{3D4A1B6B-AC93-1443-F406-27A84854FCFC}"/>
            </a:ext>
          </a:extLst>
        </xdr:cNvPr>
        <xdr:cNvSpPr>
          <a:spLocks noChangeShapeType="1"/>
        </xdr:cNvSpPr>
      </xdr:nvSpPr>
      <xdr:spPr bwMode="auto">
        <a:xfrm flipH="1" flipV="1">
          <a:off x="2463800" y="2565400"/>
          <a:ext cx="3175000" cy="34036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177800</xdr:colOff>
      <xdr:row>19</xdr:row>
      <xdr:rowOff>38100</xdr:rowOff>
    </xdr:from>
    <xdr:to>
      <xdr:col>6</xdr:col>
      <xdr:colOff>342900</xdr:colOff>
      <xdr:row>20</xdr:row>
      <xdr:rowOff>12700</xdr:rowOff>
    </xdr:to>
    <xdr:sp macro="" textlink="">
      <xdr:nvSpPr>
        <xdr:cNvPr id="57757" name="Line 33">
          <a:extLst>
            <a:ext uri="{FF2B5EF4-FFF2-40B4-BE49-F238E27FC236}">
              <a16:creationId xmlns:a16="http://schemas.microsoft.com/office/drawing/2014/main" id="{4E288037-85F7-17FB-2A93-3840306FFAF1}"/>
            </a:ext>
          </a:extLst>
        </xdr:cNvPr>
        <xdr:cNvSpPr>
          <a:spLocks noChangeShapeType="1"/>
        </xdr:cNvSpPr>
      </xdr:nvSpPr>
      <xdr:spPr bwMode="auto">
        <a:xfrm flipH="1">
          <a:off x="4114800" y="4051300"/>
          <a:ext cx="165100" cy="19050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oval" w="med" len="med"/>
          <a:tailEnd type="oval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12700</xdr:colOff>
      <xdr:row>18</xdr:row>
      <xdr:rowOff>127000</xdr:rowOff>
    </xdr:from>
    <xdr:to>
      <xdr:col>4</xdr:col>
      <xdr:colOff>571500</xdr:colOff>
      <xdr:row>18</xdr:row>
      <xdr:rowOff>127000</xdr:rowOff>
    </xdr:to>
    <xdr:sp macro="" textlink="">
      <xdr:nvSpPr>
        <xdr:cNvPr id="57758" name="Line 34">
          <a:extLst>
            <a:ext uri="{FF2B5EF4-FFF2-40B4-BE49-F238E27FC236}">
              <a16:creationId xmlns:a16="http://schemas.microsoft.com/office/drawing/2014/main" id="{7D4FD99B-C9C8-75FA-81ED-8D9E1C33B8EA}"/>
            </a:ext>
          </a:extLst>
        </xdr:cNvPr>
        <xdr:cNvSpPr>
          <a:spLocks noChangeShapeType="1"/>
        </xdr:cNvSpPr>
      </xdr:nvSpPr>
      <xdr:spPr bwMode="auto">
        <a:xfrm flipH="1">
          <a:off x="2387600" y="3924300"/>
          <a:ext cx="5588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139700</xdr:colOff>
      <xdr:row>18</xdr:row>
      <xdr:rowOff>139700</xdr:rowOff>
    </xdr:from>
    <xdr:to>
      <xdr:col>5</xdr:col>
      <xdr:colOff>342900</xdr:colOff>
      <xdr:row>18</xdr:row>
      <xdr:rowOff>139700</xdr:rowOff>
    </xdr:to>
    <xdr:sp macro="" textlink="">
      <xdr:nvSpPr>
        <xdr:cNvPr id="57759" name="Line 35">
          <a:extLst>
            <a:ext uri="{FF2B5EF4-FFF2-40B4-BE49-F238E27FC236}">
              <a16:creationId xmlns:a16="http://schemas.microsoft.com/office/drawing/2014/main" id="{514C2ACD-9348-92BE-7385-3E6A5AEB54DB}"/>
            </a:ext>
          </a:extLst>
        </xdr:cNvPr>
        <xdr:cNvSpPr>
          <a:spLocks noChangeShapeType="1"/>
        </xdr:cNvSpPr>
      </xdr:nvSpPr>
      <xdr:spPr bwMode="auto">
        <a:xfrm>
          <a:off x="3225800" y="3937000"/>
          <a:ext cx="2032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520700</xdr:colOff>
      <xdr:row>5</xdr:row>
      <xdr:rowOff>38100</xdr:rowOff>
    </xdr:from>
    <xdr:to>
      <xdr:col>9</xdr:col>
      <xdr:colOff>635000</xdr:colOff>
      <xdr:row>5</xdr:row>
      <xdr:rowOff>38100</xdr:rowOff>
    </xdr:to>
    <xdr:sp macro="" textlink="">
      <xdr:nvSpPr>
        <xdr:cNvPr id="57760" name="Line 43">
          <a:extLst>
            <a:ext uri="{FF2B5EF4-FFF2-40B4-BE49-F238E27FC236}">
              <a16:creationId xmlns:a16="http://schemas.microsoft.com/office/drawing/2014/main" id="{75494F5D-4043-B214-BA19-1D109ACCB3D9}"/>
            </a:ext>
          </a:extLst>
        </xdr:cNvPr>
        <xdr:cNvSpPr>
          <a:spLocks noChangeShapeType="1"/>
        </xdr:cNvSpPr>
      </xdr:nvSpPr>
      <xdr:spPr bwMode="auto">
        <a:xfrm>
          <a:off x="2895600" y="1143000"/>
          <a:ext cx="41275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457200</xdr:colOff>
      <xdr:row>8</xdr:row>
      <xdr:rowOff>114300</xdr:rowOff>
    </xdr:from>
    <xdr:to>
      <xdr:col>9</xdr:col>
      <xdr:colOff>622300</xdr:colOff>
      <xdr:row>8</xdr:row>
      <xdr:rowOff>114300</xdr:rowOff>
    </xdr:to>
    <xdr:sp macro="" textlink="">
      <xdr:nvSpPr>
        <xdr:cNvPr id="57761" name="Line 44">
          <a:extLst>
            <a:ext uri="{FF2B5EF4-FFF2-40B4-BE49-F238E27FC236}">
              <a16:creationId xmlns:a16="http://schemas.microsoft.com/office/drawing/2014/main" id="{9032BF47-378D-5A4D-0E2F-9236A00D764C}"/>
            </a:ext>
          </a:extLst>
        </xdr:cNvPr>
        <xdr:cNvSpPr>
          <a:spLocks noChangeShapeType="1"/>
        </xdr:cNvSpPr>
      </xdr:nvSpPr>
      <xdr:spPr bwMode="auto">
        <a:xfrm>
          <a:off x="2832100" y="1828800"/>
          <a:ext cx="41783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457200</xdr:colOff>
      <xdr:row>40</xdr:row>
      <xdr:rowOff>152400</xdr:rowOff>
    </xdr:from>
    <xdr:to>
      <xdr:col>9</xdr:col>
      <xdr:colOff>635000</xdr:colOff>
      <xdr:row>40</xdr:row>
      <xdr:rowOff>152400</xdr:rowOff>
    </xdr:to>
    <xdr:sp macro="" textlink="">
      <xdr:nvSpPr>
        <xdr:cNvPr id="57762" name="Line 45">
          <a:extLst>
            <a:ext uri="{FF2B5EF4-FFF2-40B4-BE49-F238E27FC236}">
              <a16:creationId xmlns:a16="http://schemas.microsoft.com/office/drawing/2014/main" id="{C1489223-0F0E-D078-EB5D-EA535706389B}"/>
            </a:ext>
          </a:extLst>
        </xdr:cNvPr>
        <xdr:cNvSpPr>
          <a:spLocks noChangeShapeType="1"/>
        </xdr:cNvSpPr>
      </xdr:nvSpPr>
      <xdr:spPr bwMode="auto">
        <a:xfrm>
          <a:off x="2832100" y="8267700"/>
          <a:ext cx="41910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495300</xdr:colOff>
      <xdr:row>36</xdr:row>
      <xdr:rowOff>12700</xdr:rowOff>
    </xdr:from>
    <xdr:to>
      <xdr:col>10</xdr:col>
      <xdr:colOff>12700</xdr:colOff>
      <xdr:row>36</xdr:row>
      <xdr:rowOff>25400</xdr:rowOff>
    </xdr:to>
    <xdr:sp macro="" textlink="">
      <xdr:nvSpPr>
        <xdr:cNvPr id="57763" name="Line 46">
          <a:extLst>
            <a:ext uri="{FF2B5EF4-FFF2-40B4-BE49-F238E27FC236}">
              <a16:creationId xmlns:a16="http://schemas.microsoft.com/office/drawing/2014/main" id="{780D7D65-FC03-9219-F8A7-72908520AB2A}"/>
            </a:ext>
          </a:extLst>
        </xdr:cNvPr>
        <xdr:cNvSpPr>
          <a:spLocks noChangeShapeType="1"/>
        </xdr:cNvSpPr>
      </xdr:nvSpPr>
      <xdr:spPr bwMode="auto">
        <a:xfrm flipV="1">
          <a:off x="2870200" y="7302500"/>
          <a:ext cx="4203700" cy="127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673100</xdr:colOff>
      <xdr:row>33</xdr:row>
      <xdr:rowOff>50800</xdr:rowOff>
    </xdr:from>
    <xdr:to>
      <xdr:col>5</xdr:col>
      <xdr:colOff>12700</xdr:colOff>
      <xdr:row>59</xdr:row>
      <xdr:rowOff>12700</xdr:rowOff>
    </xdr:to>
    <xdr:sp macro="" textlink="">
      <xdr:nvSpPr>
        <xdr:cNvPr id="57764" name="Line 47">
          <a:extLst>
            <a:ext uri="{FF2B5EF4-FFF2-40B4-BE49-F238E27FC236}">
              <a16:creationId xmlns:a16="http://schemas.microsoft.com/office/drawing/2014/main" id="{0E889991-902A-F2ED-DA85-DE046B94F3AB}"/>
            </a:ext>
          </a:extLst>
        </xdr:cNvPr>
        <xdr:cNvSpPr>
          <a:spLocks noChangeShapeType="1"/>
        </xdr:cNvSpPr>
      </xdr:nvSpPr>
      <xdr:spPr bwMode="auto">
        <a:xfrm>
          <a:off x="3048000" y="6705600"/>
          <a:ext cx="50800" cy="51562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Dot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419100</xdr:colOff>
      <xdr:row>57</xdr:row>
      <xdr:rowOff>12700</xdr:rowOff>
    </xdr:from>
    <xdr:to>
      <xdr:col>10</xdr:col>
      <xdr:colOff>342900</xdr:colOff>
      <xdr:row>57</xdr:row>
      <xdr:rowOff>25400</xdr:rowOff>
    </xdr:to>
    <xdr:sp macro="" textlink="">
      <xdr:nvSpPr>
        <xdr:cNvPr id="57765" name="Line 50">
          <a:extLst>
            <a:ext uri="{FF2B5EF4-FFF2-40B4-BE49-F238E27FC236}">
              <a16:creationId xmlns:a16="http://schemas.microsoft.com/office/drawing/2014/main" id="{EBB7B718-478A-9690-401F-50797D65AAF2}"/>
            </a:ext>
          </a:extLst>
        </xdr:cNvPr>
        <xdr:cNvSpPr>
          <a:spLocks noChangeShapeType="1"/>
        </xdr:cNvSpPr>
      </xdr:nvSpPr>
      <xdr:spPr bwMode="auto">
        <a:xfrm>
          <a:off x="2794000" y="11468100"/>
          <a:ext cx="4610100" cy="127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419100</xdr:colOff>
      <xdr:row>36</xdr:row>
      <xdr:rowOff>12700</xdr:rowOff>
    </xdr:from>
    <xdr:to>
      <xdr:col>4</xdr:col>
      <xdr:colOff>431800</xdr:colOff>
      <xdr:row>36</xdr:row>
      <xdr:rowOff>12700</xdr:rowOff>
    </xdr:to>
    <xdr:sp macro="" textlink="">
      <xdr:nvSpPr>
        <xdr:cNvPr id="57766" name="Line 51">
          <a:extLst>
            <a:ext uri="{FF2B5EF4-FFF2-40B4-BE49-F238E27FC236}">
              <a16:creationId xmlns:a16="http://schemas.microsoft.com/office/drawing/2014/main" id="{FBE0E129-4327-7A29-8F63-629692BFC20A}"/>
            </a:ext>
          </a:extLst>
        </xdr:cNvPr>
        <xdr:cNvSpPr>
          <a:spLocks noChangeShapeType="1"/>
        </xdr:cNvSpPr>
      </xdr:nvSpPr>
      <xdr:spPr bwMode="auto">
        <a:xfrm flipH="1">
          <a:off x="1905000" y="7302500"/>
          <a:ext cx="9017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368300</xdr:colOff>
      <xdr:row>40</xdr:row>
      <xdr:rowOff>152400</xdr:rowOff>
    </xdr:from>
    <xdr:to>
      <xdr:col>4</xdr:col>
      <xdr:colOff>406400</xdr:colOff>
      <xdr:row>40</xdr:row>
      <xdr:rowOff>152400</xdr:rowOff>
    </xdr:to>
    <xdr:sp macro="" textlink="">
      <xdr:nvSpPr>
        <xdr:cNvPr id="57767" name="Line 52">
          <a:extLst>
            <a:ext uri="{FF2B5EF4-FFF2-40B4-BE49-F238E27FC236}">
              <a16:creationId xmlns:a16="http://schemas.microsoft.com/office/drawing/2014/main" id="{8A51E81A-69CF-30D7-9991-2942BC3765BA}"/>
            </a:ext>
          </a:extLst>
        </xdr:cNvPr>
        <xdr:cNvSpPr>
          <a:spLocks noChangeShapeType="1"/>
        </xdr:cNvSpPr>
      </xdr:nvSpPr>
      <xdr:spPr bwMode="auto">
        <a:xfrm flipH="1">
          <a:off x="1854200" y="8267700"/>
          <a:ext cx="9271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444500</xdr:colOff>
      <xdr:row>36</xdr:row>
      <xdr:rowOff>25400</xdr:rowOff>
    </xdr:from>
    <xdr:to>
      <xdr:col>3</xdr:col>
      <xdr:colOff>444500</xdr:colOff>
      <xdr:row>40</xdr:row>
      <xdr:rowOff>152400</xdr:rowOff>
    </xdr:to>
    <xdr:sp macro="" textlink="">
      <xdr:nvSpPr>
        <xdr:cNvPr id="57768" name="Line 53">
          <a:extLst>
            <a:ext uri="{FF2B5EF4-FFF2-40B4-BE49-F238E27FC236}">
              <a16:creationId xmlns:a16="http://schemas.microsoft.com/office/drawing/2014/main" id="{460E6405-505B-9F7C-ECF0-70D86E553183}"/>
            </a:ext>
          </a:extLst>
        </xdr:cNvPr>
        <xdr:cNvSpPr>
          <a:spLocks noChangeShapeType="1"/>
        </xdr:cNvSpPr>
      </xdr:nvSpPr>
      <xdr:spPr bwMode="auto">
        <a:xfrm>
          <a:off x="1930400" y="7315200"/>
          <a:ext cx="0" cy="952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431800</xdr:colOff>
      <xdr:row>33</xdr:row>
      <xdr:rowOff>25400</xdr:rowOff>
    </xdr:from>
    <xdr:to>
      <xdr:col>9</xdr:col>
      <xdr:colOff>444500</xdr:colOff>
      <xdr:row>59</xdr:row>
      <xdr:rowOff>76200</xdr:rowOff>
    </xdr:to>
    <xdr:sp macro="" textlink="">
      <xdr:nvSpPr>
        <xdr:cNvPr id="57769" name="Line 56">
          <a:extLst>
            <a:ext uri="{FF2B5EF4-FFF2-40B4-BE49-F238E27FC236}">
              <a16:creationId xmlns:a16="http://schemas.microsoft.com/office/drawing/2014/main" id="{D7628D19-46E2-1E39-6578-620177454535}"/>
            </a:ext>
          </a:extLst>
        </xdr:cNvPr>
        <xdr:cNvSpPr>
          <a:spLocks noChangeShapeType="1"/>
        </xdr:cNvSpPr>
      </xdr:nvSpPr>
      <xdr:spPr bwMode="auto">
        <a:xfrm>
          <a:off x="6819900" y="6680200"/>
          <a:ext cx="12700" cy="52451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Dot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190500</xdr:colOff>
      <xdr:row>40</xdr:row>
      <xdr:rowOff>152400</xdr:rowOff>
    </xdr:from>
    <xdr:to>
      <xdr:col>8</xdr:col>
      <xdr:colOff>685800</xdr:colOff>
      <xdr:row>57</xdr:row>
      <xdr:rowOff>0</xdr:rowOff>
    </xdr:to>
    <xdr:sp macro="" textlink="">
      <xdr:nvSpPr>
        <xdr:cNvPr id="57770" name="Line 57">
          <a:extLst>
            <a:ext uri="{FF2B5EF4-FFF2-40B4-BE49-F238E27FC236}">
              <a16:creationId xmlns:a16="http://schemas.microsoft.com/office/drawing/2014/main" id="{754A321A-7D08-7E32-C24B-52F769ADD247}"/>
            </a:ext>
          </a:extLst>
        </xdr:cNvPr>
        <xdr:cNvSpPr>
          <a:spLocks noChangeShapeType="1"/>
        </xdr:cNvSpPr>
      </xdr:nvSpPr>
      <xdr:spPr bwMode="auto">
        <a:xfrm>
          <a:off x="3276600" y="8267700"/>
          <a:ext cx="2971800" cy="31877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533400</xdr:colOff>
      <xdr:row>40</xdr:row>
      <xdr:rowOff>152400</xdr:rowOff>
    </xdr:from>
    <xdr:to>
      <xdr:col>9</xdr:col>
      <xdr:colOff>279400</xdr:colOff>
      <xdr:row>57</xdr:row>
      <xdr:rowOff>25400</xdr:rowOff>
    </xdr:to>
    <xdr:sp macro="" textlink="">
      <xdr:nvSpPr>
        <xdr:cNvPr id="57771" name="Line 58">
          <a:extLst>
            <a:ext uri="{FF2B5EF4-FFF2-40B4-BE49-F238E27FC236}">
              <a16:creationId xmlns:a16="http://schemas.microsoft.com/office/drawing/2014/main" id="{12A69772-5F6B-99E3-5F50-6ECE9BA9C2BE}"/>
            </a:ext>
          </a:extLst>
        </xdr:cNvPr>
        <xdr:cNvSpPr>
          <a:spLocks noChangeShapeType="1"/>
        </xdr:cNvSpPr>
      </xdr:nvSpPr>
      <xdr:spPr bwMode="auto">
        <a:xfrm flipH="1" flipV="1">
          <a:off x="3619500" y="8267700"/>
          <a:ext cx="3048000" cy="32131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38</xdr:row>
      <xdr:rowOff>114300</xdr:rowOff>
    </xdr:from>
    <xdr:to>
      <xdr:col>9</xdr:col>
      <xdr:colOff>431800</xdr:colOff>
      <xdr:row>59</xdr:row>
      <xdr:rowOff>76200</xdr:rowOff>
    </xdr:to>
    <xdr:sp macro="" textlink="">
      <xdr:nvSpPr>
        <xdr:cNvPr id="57772" name="Line 59">
          <a:extLst>
            <a:ext uri="{FF2B5EF4-FFF2-40B4-BE49-F238E27FC236}">
              <a16:creationId xmlns:a16="http://schemas.microsoft.com/office/drawing/2014/main" id="{23C71BFE-705F-1624-4135-96C4C6A3D528}"/>
            </a:ext>
          </a:extLst>
        </xdr:cNvPr>
        <xdr:cNvSpPr>
          <a:spLocks noChangeShapeType="1"/>
        </xdr:cNvSpPr>
      </xdr:nvSpPr>
      <xdr:spPr bwMode="auto">
        <a:xfrm flipH="1" flipV="1">
          <a:off x="3086100" y="7835900"/>
          <a:ext cx="3733800" cy="40894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lgDashDot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76200</xdr:colOff>
      <xdr:row>36</xdr:row>
      <xdr:rowOff>25400</xdr:rowOff>
    </xdr:from>
    <xdr:to>
      <xdr:col>12</xdr:col>
      <xdr:colOff>406400</xdr:colOff>
      <xdr:row>36</xdr:row>
      <xdr:rowOff>25400</xdr:rowOff>
    </xdr:to>
    <xdr:sp macro="" textlink="">
      <xdr:nvSpPr>
        <xdr:cNvPr id="57773" name="Line 61">
          <a:extLst>
            <a:ext uri="{FF2B5EF4-FFF2-40B4-BE49-F238E27FC236}">
              <a16:creationId xmlns:a16="http://schemas.microsoft.com/office/drawing/2014/main" id="{51C52C53-4AAE-7D5B-0536-5537AFB43A02}"/>
            </a:ext>
          </a:extLst>
        </xdr:cNvPr>
        <xdr:cNvSpPr>
          <a:spLocks noChangeShapeType="1"/>
        </xdr:cNvSpPr>
      </xdr:nvSpPr>
      <xdr:spPr bwMode="auto">
        <a:xfrm>
          <a:off x="7137400" y="7315200"/>
          <a:ext cx="20320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393700</xdr:colOff>
      <xdr:row>57</xdr:row>
      <xdr:rowOff>12700</xdr:rowOff>
    </xdr:from>
    <xdr:to>
      <xdr:col>12</xdr:col>
      <xdr:colOff>457200</xdr:colOff>
      <xdr:row>57</xdr:row>
      <xdr:rowOff>12700</xdr:rowOff>
    </xdr:to>
    <xdr:sp macro="" textlink="">
      <xdr:nvSpPr>
        <xdr:cNvPr id="57774" name="Line 62">
          <a:extLst>
            <a:ext uri="{FF2B5EF4-FFF2-40B4-BE49-F238E27FC236}">
              <a16:creationId xmlns:a16="http://schemas.microsoft.com/office/drawing/2014/main" id="{7D99484B-2B7E-4CEE-001D-2A3CA8B66BC6}"/>
            </a:ext>
          </a:extLst>
        </xdr:cNvPr>
        <xdr:cNvSpPr>
          <a:spLocks noChangeShapeType="1"/>
        </xdr:cNvSpPr>
      </xdr:nvSpPr>
      <xdr:spPr bwMode="auto">
        <a:xfrm>
          <a:off x="7454900" y="11468100"/>
          <a:ext cx="17653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381000</xdr:colOff>
      <xdr:row>36</xdr:row>
      <xdr:rowOff>38100</xdr:rowOff>
    </xdr:from>
    <xdr:to>
      <xdr:col>12</xdr:col>
      <xdr:colOff>381000</xdr:colOff>
      <xdr:row>57</xdr:row>
      <xdr:rowOff>0</xdr:rowOff>
    </xdr:to>
    <xdr:sp macro="" textlink="">
      <xdr:nvSpPr>
        <xdr:cNvPr id="57775" name="Line 63">
          <a:extLst>
            <a:ext uri="{FF2B5EF4-FFF2-40B4-BE49-F238E27FC236}">
              <a16:creationId xmlns:a16="http://schemas.microsoft.com/office/drawing/2014/main" id="{BE0EE3BF-F8B8-3E33-BD71-A0063983571A}"/>
            </a:ext>
          </a:extLst>
        </xdr:cNvPr>
        <xdr:cNvSpPr>
          <a:spLocks noChangeShapeType="1"/>
        </xdr:cNvSpPr>
      </xdr:nvSpPr>
      <xdr:spPr bwMode="auto">
        <a:xfrm flipV="1">
          <a:off x="9144000" y="7327900"/>
          <a:ext cx="0" cy="4127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381000</xdr:colOff>
      <xdr:row>46</xdr:row>
      <xdr:rowOff>101600</xdr:rowOff>
    </xdr:from>
    <xdr:to>
      <xdr:col>12</xdr:col>
      <xdr:colOff>812800</xdr:colOff>
      <xdr:row>46</xdr:row>
      <xdr:rowOff>101600</xdr:rowOff>
    </xdr:to>
    <xdr:sp macro="" textlink="">
      <xdr:nvSpPr>
        <xdr:cNvPr id="57776" name="Line 64">
          <a:extLst>
            <a:ext uri="{FF2B5EF4-FFF2-40B4-BE49-F238E27FC236}">
              <a16:creationId xmlns:a16="http://schemas.microsoft.com/office/drawing/2014/main" id="{7A0098ED-22C0-A302-453A-DD889DA435BB}"/>
            </a:ext>
          </a:extLst>
        </xdr:cNvPr>
        <xdr:cNvSpPr>
          <a:spLocks noChangeShapeType="1"/>
        </xdr:cNvSpPr>
      </xdr:nvSpPr>
      <xdr:spPr bwMode="auto">
        <a:xfrm flipH="1">
          <a:off x="9144000" y="9398000"/>
          <a:ext cx="4318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oval" w="med" len="med"/>
          <a:tailEnd type="oval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203200</xdr:colOff>
      <xdr:row>47</xdr:row>
      <xdr:rowOff>50800</xdr:rowOff>
    </xdr:from>
    <xdr:to>
      <xdr:col>6</xdr:col>
      <xdr:colOff>596900</xdr:colOff>
      <xdr:row>48</xdr:row>
      <xdr:rowOff>127000</xdr:rowOff>
    </xdr:to>
    <xdr:sp macro="" textlink="">
      <xdr:nvSpPr>
        <xdr:cNvPr id="57777" name="Line 65">
          <a:extLst>
            <a:ext uri="{FF2B5EF4-FFF2-40B4-BE49-F238E27FC236}">
              <a16:creationId xmlns:a16="http://schemas.microsoft.com/office/drawing/2014/main" id="{FB67A6ED-7788-6859-3BF6-18591EF0D660}"/>
            </a:ext>
          </a:extLst>
        </xdr:cNvPr>
        <xdr:cNvSpPr>
          <a:spLocks noChangeShapeType="1"/>
        </xdr:cNvSpPr>
      </xdr:nvSpPr>
      <xdr:spPr bwMode="auto">
        <a:xfrm flipH="1">
          <a:off x="4140200" y="9575800"/>
          <a:ext cx="393700" cy="2921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800100</xdr:colOff>
      <xdr:row>45</xdr:row>
      <xdr:rowOff>63500</xdr:rowOff>
    </xdr:from>
    <xdr:to>
      <xdr:col>7</xdr:col>
      <xdr:colOff>292100</xdr:colOff>
      <xdr:row>46</xdr:row>
      <xdr:rowOff>88900</xdr:rowOff>
    </xdr:to>
    <xdr:sp macro="" textlink="">
      <xdr:nvSpPr>
        <xdr:cNvPr id="57778" name="Line 66">
          <a:extLst>
            <a:ext uri="{FF2B5EF4-FFF2-40B4-BE49-F238E27FC236}">
              <a16:creationId xmlns:a16="http://schemas.microsoft.com/office/drawing/2014/main" id="{DD91589D-2559-6532-E461-DE780DB63B2E}"/>
            </a:ext>
          </a:extLst>
        </xdr:cNvPr>
        <xdr:cNvSpPr>
          <a:spLocks noChangeShapeType="1"/>
        </xdr:cNvSpPr>
      </xdr:nvSpPr>
      <xdr:spPr bwMode="auto">
        <a:xfrm flipV="1">
          <a:off x="4737100" y="9169400"/>
          <a:ext cx="368300" cy="2159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292100</xdr:colOff>
      <xdr:row>45</xdr:row>
      <xdr:rowOff>63500</xdr:rowOff>
    </xdr:from>
    <xdr:to>
      <xdr:col>8</xdr:col>
      <xdr:colOff>0</xdr:colOff>
      <xdr:row>45</xdr:row>
      <xdr:rowOff>63500</xdr:rowOff>
    </xdr:to>
    <xdr:sp macro="" textlink="">
      <xdr:nvSpPr>
        <xdr:cNvPr id="57779" name="Line 67">
          <a:extLst>
            <a:ext uri="{FF2B5EF4-FFF2-40B4-BE49-F238E27FC236}">
              <a16:creationId xmlns:a16="http://schemas.microsoft.com/office/drawing/2014/main" id="{B9EA2C0D-9B29-7877-61E7-8ACF886A5206}"/>
            </a:ext>
          </a:extLst>
        </xdr:cNvPr>
        <xdr:cNvSpPr>
          <a:spLocks noChangeShapeType="1"/>
        </xdr:cNvSpPr>
      </xdr:nvSpPr>
      <xdr:spPr bwMode="auto">
        <a:xfrm>
          <a:off x="5105400" y="9169400"/>
          <a:ext cx="4572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25400</xdr:colOff>
      <xdr:row>33</xdr:row>
      <xdr:rowOff>114300</xdr:rowOff>
    </xdr:from>
    <xdr:to>
      <xdr:col>6</xdr:col>
      <xdr:colOff>825500</xdr:colOff>
      <xdr:row>33</xdr:row>
      <xdr:rowOff>114300</xdr:rowOff>
    </xdr:to>
    <xdr:sp macro="" textlink="">
      <xdr:nvSpPr>
        <xdr:cNvPr id="57780" name="Line 70">
          <a:extLst>
            <a:ext uri="{FF2B5EF4-FFF2-40B4-BE49-F238E27FC236}">
              <a16:creationId xmlns:a16="http://schemas.microsoft.com/office/drawing/2014/main" id="{0258D1C9-3FA8-AD20-6DBF-B1C19AD45C33}"/>
            </a:ext>
          </a:extLst>
        </xdr:cNvPr>
        <xdr:cNvSpPr>
          <a:spLocks noChangeShapeType="1"/>
        </xdr:cNvSpPr>
      </xdr:nvSpPr>
      <xdr:spPr bwMode="auto">
        <a:xfrm>
          <a:off x="3111500" y="6769100"/>
          <a:ext cx="16510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12700</xdr:colOff>
      <xdr:row>33</xdr:row>
      <xdr:rowOff>88900</xdr:rowOff>
    </xdr:from>
    <xdr:to>
      <xdr:col>9</xdr:col>
      <xdr:colOff>431800</xdr:colOff>
      <xdr:row>33</xdr:row>
      <xdr:rowOff>88900</xdr:rowOff>
    </xdr:to>
    <xdr:sp macro="" textlink="">
      <xdr:nvSpPr>
        <xdr:cNvPr id="57781" name="Line 71">
          <a:extLst>
            <a:ext uri="{FF2B5EF4-FFF2-40B4-BE49-F238E27FC236}">
              <a16:creationId xmlns:a16="http://schemas.microsoft.com/office/drawing/2014/main" id="{7954BF6C-73AA-06A1-5056-F4E61EA29077}"/>
            </a:ext>
          </a:extLst>
        </xdr:cNvPr>
        <xdr:cNvSpPr>
          <a:spLocks noChangeShapeType="1"/>
        </xdr:cNvSpPr>
      </xdr:nvSpPr>
      <xdr:spPr bwMode="auto">
        <a:xfrm>
          <a:off x="5575300" y="6743700"/>
          <a:ext cx="12446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12700</xdr:colOff>
      <xdr:row>40</xdr:row>
      <xdr:rowOff>152400</xdr:rowOff>
    </xdr:from>
    <xdr:to>
      <xdr:col>5</xdr:col>
      <xdr:colOff>190500</xdr:colOff>
      <xdr:row>44</xdr:row>
      <xdr:rowOff>152400</xdr:rowOff>
    </xdr:to>
    <xdr:sp macro="" textlink="">
      <xdr:nvSpPr>
        <xdr:cNvPr id="57782" name="Line 74">
          <a:extLst>
            <a:ext uri="{FF2B5EF4-FFF2-40B4-BE49-F238E27FC236}">
              <a16:creationId xmlns:a16="http://schemas.microsoft.com/office/drawing/2014/main" id="{2C82C6C1-6DB6-292E-68B8-37377175EBDD}"/>
            </a:ext>
          </a:extLst>
        </xdr:cNvPr>
        <xdr:cNvSpPr>
          <a:spLocks noChangeShapeType="1"/>
        </xdr:cNvSpPr>
      </xdr:nvSpPr>
      <xdr:spPr bwMode="auto">
        <a:xfrm flipH="1">
          <a:off x="2387600" y="8267700"/>
          <a:ext cx="889000" cy="8128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38100</xdr:colOff>
      <xdr:row>57</xdr:row>
      <xdr:rowOff>0</xdr:rowOff>
    </xdr:from>
    <xdr:to>
      <xdr:col>9</xdr:col>
      <xdr:colOff>279400</xdr:colOff>
      <xdr:row>60</xdr:row>
      <xdr:rowOff>139700</xdr:rowOff>
    </xdr:to>
    <xdr:sp macro="" textlink="">
      <xdr:nvSpPr>
        <xdr:cNvPr id="57783" name="Line 75">
          <a:extLst>
            <a:ext uri="{FF2B5EF4-FFF2-40B4-BE49-F238E27FC236}">
              <a16:creationId xmlns:a16="http://schemas.microsoft.com/office/drawing/2014/main" id="{F7496395-60D1-F528-24FE-DA141BE123AB}"/>
            </a:ext>
          </a:extLst>
        </xdr:cNvPr>
        <xdr:cNvSpPr>
          <a:spLocks noChangeShapeType="1"/>
        </xdr:cNvSpPr>
      </xdr:nvSpPr>
      <xdr:spPr bwMode="auto">
        <a:xfrm flipH="1">
          <a:off x="5600700" y="11455400"/>
          <a:ext cx="1066800" cy="7366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88900</xdr:colOff>
      <xdr:row>44</xdr:row>
      <xdr:rowOff>50800</xdr:rowOff>
    </xdr:from>
    <xdr:to>
      <xdr:col>8</xdr:col>
      <xdr:colOff>76200</xdr:colOff>
      <xdr:row>60</xdr:row>
      <xdr:rowOff>101600</xdr:rowOff>
    </xdr:to>
    <xdr:sp macro="" textlink="">
      <xdr:nvSpPr>
        <xdr:cNvPr id="57784" name="Line 76">
          <a:extLst>
            <a:ext uri="{FF2B5EF4-FFF2-40B4-BE49-F238E27FC236}">
              <a16:creationId xmlns:a16="http://schemas.microsoft.com/office/drawing/2014/main" id="{D053ED41-432E-2637-45E0-8862D68F53D5}"/>
            </a:ext>
          </a:extLst>
        </xdr:cNvPr>
        <xdr:cNvSpPr>
          <a:spLocks noChangeShapeType="1"/>
        </xdr:cNvSpPr>
      </xdr:nvSpPr>
      <xdr:spPr bwMode="auto">
        <a:xfrm flipH="1" flipV="1">
          <a:off x="2463800" y="8978900"/>
          <a:ext cx="3175000" cy="31750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177800</xdr:colOff>
      <xdr:row>51</xdr:row>
      <xdr:rowOff>38100</xdr:rowOff>
    </xdr:from>
    <xdr:to>
      <xdr:col>6</xdr:col>
      <xdr:colOff>342900</xdr:colOff>
      <xdr:row>52</xdr:row>
      <xdr:rowOff>12700</xdr:rowOff>
    </xdr:to>
    <xdr:sp macro="" textlink="">
      <xdr:nvSpPr>
        <xdr:cNvPr id="57785" name="Line 77">
          <a:extLst>
            <a:ext uri="{FF2B5EF4-FFF2-40B4-BE49-F238E27FC236}">
              <a16:creationId xmlns:a16="http://schemas.microsoft.com/office/drawing/2014/main" id="{2DB17452-6F01-A3BE-452F-0E9BB97C76E3}"/>
            </a:ext>
          </a:extLst>
        </xdr:cNvPr>
        <xdr:cNvSpPr>
          <a:spLocks noChangeShapeType="1"/>
        </xdr:cNvSpPr>
      </xdr:nvSpPr>
      <xdr:spPr bwMode="auto">
        <a:xfrm flipH="1">
          <a:off x="4114800" y="10401300"/>
          <a:ext cx="165100" cy="1905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oval" w="med" len="med"/>
          <a:tailEnd type="oval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495300</xdr:colOff>
      <xdr:row>36</xdr:row>
      <xdr:rowOff>50800</xdr:rowOff>
    </xdr:from>
    <xdr:to>
      <xdr:col>9</xdr:col>
      <xdr:colOff>635000</xdr:colOff>
      <xdr:row>36</xdr:row>
      <xdr:rowOff>50800</xdr:rowOff>
    </xdr:to>
    <xdr:sp macro="" textlink="">
      <xdr:nvSpPr>
        <xdr:cNvPr id="57786" name="Line 80">
          <a:extLst>
            <a:ext uri="{FF2B5EF4-FFF2-40B4-BE49-F238E27FC236}">
              <a16:creationId xmlns:a16="http://schemas.microsoft.com/office/drawing/2014/main" id="{49A68634-8ABF-E999-00FB-27E44C4EAF39}"/>
            </a:ext>
          </a:extLst>
        </xdr:cNvPr>
        <xdr:cNvSpPr>
          <a:spLocks noChangeShapeType="1"/>
        </xdr:cNvSpPr>
      </xdr:nvSpPr>
      <xdr:spPr bwMode="auto">
        <a:xfrm>
          <a:off x="2870200" y="7340600"/>
          <a:ext cx="41529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457200</xdr:colOff>
      <xdr:row>40</xdr:row>
      <xdr:rowOff>114300</xdr:rowOff>
    </xdr:from>
    <xdr:to>
      <xdr:col>9</xdr:col>
      <xdr:colOff>622300</xdr:colOff>
      <xdr:row>40</xdr:row>
      <xdr:rowOff>114300</xdr:rowOff>
    </xdr:to>
    <xdr:sp macro="" textlink="">
      <xdr:nvSpPr>
        <xdr:cNvPr id="57787" name="Line 81">
          <a:extLst>
            <a:ext uri="{FF2B5EF4-FFF2-40B4-BE49-F238E27FC236}">
              <a16:creationId xmlns:a16="http://schemas.microsoft.com/office/drawing/2014/main" id="{8172AF5C-C9AC-E193-E586-51E17BA013FD}"/>
            </a:ext>
          </a:extLst>
        </xdr:cNvPr>
        <xdr:cNvSpPr>
          <a:spLocks noChangeShapeType="1"/>
        </xdr:cNvSpPr>
      </xdr:nvSpPr>
      <xdr:spPr bwMode="auto">
        <a:xfrm>
          <a:off x="2832100" y="8229600"/>
          <a:ext cx="41783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50800</xdr:colOff>
      <xdr:row>38</xdr:row>
      <xdr:rowOff>114300</xdr:rowOff>
    </xdr:from>
    <xdr:to>
      <xdr:col>5</xdr:col>
      <xdr:colOff>0</xdr:colOff>
      <xdr:row>38</xdr:row>
      <xdr:rowOff>114300</xdr:rowOff>
    </xdr:to>
    <xdr:sp macro="" textlink="">
      <xdr:nvSpPr>
        <xdr:cNvPr id="57788" name="Line 85">
          <a:extLst>
            <a:ext uri="{FF2B5EF4-FFF2-40B4-BE49-F238E27FC236}">
              <a16:creationId xmlns:a16="http://schemas.microsoft.com/office/drawing/2014/main" id="{9A3F6E3C-ABBE-AE37-811E-2043AB2DC2C7}"/>
            </a:ext>
          </a:extLst>
        </xdr:cNvPr>
        <xdr:cNvSpPr>
          <a:spLocks noChangeShapeType="1"/>
        </xdr:cNvSpPr>
      </xdr:nvSpPr>
      <xdr:spPr bwMode="auto">
        <a:xfrm flipH="1">
          <a:off x="2425700" y="7835900"/>
          <a:ext cx="6604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Dot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36</xdr:row>
      <xdr:rowOff>0</xdr:rowOff>
    </xdr:from>
    <xdr:to>
      <xdr:col>4</xdr:col>
      <xdr:colOff>114300</xdr:colOff>
      <xdr:row>38</xdr:row>
      <xdr:rowOff>114300</xdr:rowOff>
    </xdr:to>
    <xdr:sp macro="" textlink="">
      <xdr:nvSpPr>
        <xdr:cNvPr id="57789" name="Line 86">
          <a:extLst>
            <a:ext uri="{FF2B5EF4-FFF2-40B4-BE49-F238E27FC236}">
              <a16:creationId xmlns:a16="http://schemas.microsoft.com/office/drawing/2014/main" id="{0F66C652-606C-4DDA-8F42-7066F6231052}"/>
            </a:ext>
          </a:extLst>
        </xdr:cNvPr>
        <xdr:cNvSpPr>
          <a:spLocks noChangeShapeType="1"/>
        </xdr:cNvSpPr>
      </xdr:nvSpPr>
      <xdr:spPr bwMode="auto">
        <a:xfrm flipH="1" flipV="1">
          <a:off x="2489200" y="7289800"/>
          <a:ext cx="0" cy="5461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139700</xdr:colOff>
      <xdr:row>34</xdr:row>
      <xdr:rowOff>114300</xdr:rowOff>
    </xdr:from>
    <xdr:to>
      <xdr:col>4</xdr:col>
      <xdr:colOff>139700</xdr:colOff>
      <xdr:row>36</xdr:row>
      <xdr:rowOff>0</xdr:rowOff>
    </xdr:to>
    <xdr:sp macro="" textlink="">
      <xdr:nvSpPr>
        <xdr:cNvPr id="57790" name="Line 87">
          <a:extLst>
            <a:ext uri="{FF2B5EF4-FFF2-40B4-BE49-F238E27FC236}">
              <a16:creationId xmlns:a16="http://schemas.microsoft.com/office/drawing/2014/main" id="{F3E5504F-F6DE-512D-4982-223D926A1F2A}"/>
            </a:ext>
          </a:extLst>
        </xdr:cNvPr>
        <xdr:cNvSpPr>
          <a:spLocks noChangeShapeType="1"/>
        </xdr:cNvSpPr>
      </xdr:nvSpPr>
      <xdr:spPr bwMode="auto">
        <a:xfrm flipH="1" flipV="1">
          <a:off x="2514600" y="6985000"/>
          <a:ext cx="0" cy="3048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12700</xdr:colOff>
      <xdr:row>34</xdr:row>
      <xdr:rowOff>114300</xdr:rowOff>
    </xdr:from>
    <xdr:to>
      <xdr:col>4</xdr:col>
      <xdr:colOff>127000</xdr:colOff>
      <xdr:row>34</xdr:row>
      <xdr:rowOff>114300</xdr:rowOff>
    </xdr:to>
    <xdr:sp macro="" textlink="">
      <xdr:nvSpPr>
        <xdr:cNvPr id="57791" name="Line 89">
          <a:extLst>
            <a:ext uri="{FF2B5EF4-FFF2-40B4-BE49-F238E27FC236}">
              <a16:creationId xmlns:a16="http://schemas.microsoft.com/office/drawing/2014/main" id="{9D0851D8-002F-82D9-2022-673CD7FE6527}"/>
            </a:ext>
          </a:extLst>
        </xdr:cNvPr>
        <xdr:cNvSpPr>
          <a:spLocks noChangeShapeType="1"/>
        </xdr:cNvSpPr>
      </xdr:nvSpPr>
      <xdr:spPr bwMode="auto">
        <a:xfrm flipH="1">
          <a:off x="2387600" y="6985000"/>
          <a:ext cx="1143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12700</xdr:colOff>
      <xdr:row>38</xdr:row>
      <xdr:rowOff>152400</xdr:rowOff>
    </xdr:from>
    <xdr:to>
      <xdr:col>3</xdr:col>
      <xdr:colOff>444500</xdr:colOff>
      <xdr:row>39</xdr:row>
      <xdr:rowOff>139700</xdr:rowOff>
    </xdr:to>
    <xdr:sp macro="" textlink="">
      <xdr:nvSpPr>
        <xdr:cNvPr id="57792" name="Line 92">
          <a:extLst>
            <a:ext uri="{FF2B5EF4-FFF2-40B4-BE49-F238E27FC236}">
              <a16:creationId xmlns:a16="http://schemas.microsoft.com/office/drawing/2014/main" id="{AABBDA96-F870-2F82-58C2-DC48342F2CDD}"/>
            </a:ext>
          </a:extLst>
        </xdr:cNvPr>
        <xdr:cNvSpPr>
          <a:spLocks noChangeShapeType="1"/>
        </xdr:cNvSpPr>
      </xdr:nvSpPr>
      <xdr:spPr bwMode="auto">
        <a:xfrm flipH="1">
          <a:off x="1498600" y="7874000"/>
          <a:ext cx="431800" cy="1651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oval" w="med" len="med"/>
          <a:tailEnd type="oval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431800</xdr:colOff>
      <xdr:row>59</xdr:row>
      <xdr:rowOff>76200</xdr:rowOff>
    </xdr:from>
    <xdr:to>
      <xdr:col>11</xdr:col>
      <xdr:colOff>381000</xdr:colOff>
      <xdr:row>59</xdr:row>
      <xdr:rowOff>76200</xdr:rowOff>
    </xdr:to>
    <xdr:sp macro="" textlink="">
      <xdr:nvSpPr>
        <xdr:cNvPr id="57793" name="Line 95">
          <a:extLst>
            <a:ext uri="{FF2B5EF4-FFF2-40B4-BE49-F238E27FC236}">
              <a16:creationId xmlns:a16="http://schemas.microsoft.com/office/drawing/2014/main" id="{63496408-9074-FF9F-CF70-C4FB3612F01C}"/>
            </a:ext>
          </a:extLst>
        </xdr:cNvPr>
        <xdr:cNvSpPr>
          <a:spLocks noChangeShapeType="1"/>
        </xdr:cNvSpPr>
      </xdr:nvSpPr>
      <xdr:spPr bwMode="auto">
        <a:xfrm>
          <a:off x="6819900" y="11925300"/>
          <a:ext cx="14859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Dot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241300</xdr:colOff>
      <xdr:row>57</xdr:row>
      <xdr:rowOff>12700</xdr:rowOff>
    </xdr:from>
    <xdr:to>
      <xdr:col>11</xdr:col>
      <xdr:colOff>241300</xdr:colOff>
      <xdr:row>59</xdr:row>
      <xdr:rowOff>76200</xdr:rowOff>
    </xdr:to>
    <xdr:sp macro="" textlink="">
      <xdr:nvSpPr>
        <xdr:cNvPr id="57794" name="Line 96">
          <a:extLst>
            <a:ext uri="{FF2B5EF4-FFF2-40B4-BE49-F238E27FC236}">
              <a16:creationId xmlns:a16="http://schemas.microsoft.com/office/drawing/2014/main" id="{9AA4EB3D-2C79-3218-DE75-22CEC6A8EACB}"/>
            </a:ext>
          </a:extLst>
        </xdr:cNvPr>
        <xdr:cNvSpPr>
          <a:spLocks noChangeShapeType="1"/>
        </xdr:cNvSpPr>
      </xdr:nvSpPr>
      <xdr:spPr bwMode="auto">
        <a:xfrm>
          <a:off x="8166100" y="11468100"/>
          <a:ext cx="0" cy="4572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241300</xdr:colOff>
      <xdr:row>58</xdr:row>
      <xdr:rowOff>50800</xdr:rowOff>
    </xdr:from>
    <xdr:to>
      <xdr:col>11</xdr:col>
      <xdr:colOff>800100</xdr:colOff>
      <xdr:row>58</xdr:row>
      <xdr:rowOff>88900</xdr:rowOff>
    </xdr:to>
    <xdr:sp macro="" textlink="">
      <xdr:nvSpPr>
        <xdr:cNvPr id="57795" name="Line 99">
          <a:extLst>
            <a:ext uri="{FF2B5EF4-FFF2-40B4-BE49-F238E27FC236}">
              <a16:creationId xmlns:a16="http://schemas.microsoft.com/office/drawing/2014/main" id="{A67C1419-48DB-44F7-0BEF-2E8456BF3CDC}"/>
            </a:ext>
          </a:extLst>
        </xdr:cNvPr>
        <xdr:cNvSpPr>
          <a:spLocks noChangeShapeType="1"/>
        </xdr:cNvSpPr>
      </xdr:nvSpPr>
      <xdr:spPr bwMode="auto">
        <a:xfrm>
          <a:off x="8166100" y="11684000"/>
          <a:ext cx="558800" cy="381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oval" w="med" len="med"/>
          <a:tailEnd type="oval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266700</xdr:colOff>
      <xdr:row>51</xdr:row>
      <xdr:rowOff>139700</xdr:rowOff>
    </xdr:from>
    <xdr:to>
      <xdr:col>9</xdr:col>
      <xdr:colOff>266700</xdr:colOff>
      <xdr:row>57</xdr:row>
      <xdr:rowOff>12700</xdr:rowOff>
    </xdr:to>
    <xdr:sp macro="" textlink="">
      <xdr:nvSpPr>
        <xdr:cNvPr id="57796" name="Line 100">
          <a:extLst>
            <a:ext uri="{FF2B5EF4-FFF2-40B4-BE49-F238E27FC236}">
              <a16:creationId xmlns:a16="http://schemas.microsoft.com/office/drawing/2014/main" id="{AFA6B254-608B-13B2-9252-4D72F04DCD80}"/>
            </a:ext>
          </a:extLst>
        </xdr:cNvPr>
        <xdr:cNvSpPr>
          <a:spLocks noChangeShapeType="1"/>
        </xdr:cNvSpPr>
      </xdr:nvSpPr>
      <xdr:spPr bwMode="auto">
        <a:xfrm flipV="1">
          <a:off x="6654800" y="10502900"/>
          <a:ext cx="0" cy="9652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609600</xdr:colOff>
      <xdr:row>52</xdr:row>
      <xdr:rowOff>50800</xdr:rowOff>
    </xdr:from>
    <xdr:to>
      <xdr:col>9</xdr:col>
      <xdr:colOff>279400</xdr:colOff>
      <xdr:row>52</xdr:row>
      <xdr:rowOff>50800</xdr:rowOff>
    </xdr:to>
    <xdr:sp macro="" textlink="">
      <xdr:nvSpPr>
        <xdr:cNvPr id="57797" name="Line 101">
          <a:extLst>
            <a:ext uri="{FF2B5EF4-FFF2-40B4-BE49-F238E27FC236}">
              <a16:creationId xmlns:a16="http://schemas.microsoft.com/office/drawing/2014/main" id="{B4F232C2-1A93-E592-CF58-672425DDD440}"/>
            </a:ext>
          </a:extLst>
        </xdr:cNvPr>
        <xdr:cNvSpPr>
          <a:spLocks noChangeShapeType="1"/>
        </xdr:cNvSpPr>
      </xdr:nvSpPr>
      <xdr:spPr bwMode="auto">
        <a:xfrm flipH="1">
          <a:off x="6172200" y="10629900"/>
          <a:ext cx="4953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431800</xdr:colOff>
      <xdr:row>52</xdr:row>
      <xdr:rowOff>76200</xdr:rowOff>
    </xdr:from>
    <xdr:to>
      <xdr:col>9</xdr:col>
      <xdr:colOff>647700</xdr:colOff>
      <xdr:row>52</xdr:row>
      <xdr:rowOff>76200</xdr:rowOff>
    </xdr:to>
    <xdr:sp macro="" textlink="">
      <xdr:nvSpPr>
        <xdr:cNvPr id="57798" name="Line 102">
          <a:extLst>
            <a:ext uri="{FF2B5EF4-FFF2-40B4-BE49-F238E27FC236}">
              <a16:creationId xmlns:a16="http://schemas.microsoft.com/office/drawing/2014/main" id="{91915E9C-68A3-FBA9-DBD5-79811D240B56}"/>
            </a:ext>
          </a:extLst>
        </xdr:cNvPr>
        <xdr:cNvSpPr>
          <a:spLocks noChangeShapeType="1"/>
        </xdr:cNvSpPr>
      </xdr:nvSpPr>
      <xdr:spPr bwMode="auto">
        <a:xfrm flipH="1">
          <a:off x="6819900" y="10655300"/>
          <a:ext cx="2159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190500</xdr:colOff>
      <xdr:row>40</xdr:row>
      <xdr:rowOff>152400</xdr:rowOff>
    </xdr:from>
    <xdr:to>
      <xdr:col>5</xdr:col>
      <xdr:colOff>190500</xdr:colOff>
      <xdr:row>44</xdr:row>
      <xdr:rowOff>12700</xdr:rowOff>
    </xdr:to>
    <xdr:sp macro="" textlink="">
      <xdr:nvSpPr>
        <xdr:cNvPr id="57799" name="Line 103">
          <a:extLst>
            <a:ext uri="{FF2B5EF4-FFF2-40B4-BE49-F238E27FC236}">
              <a16:creationId xmlns:a16="http://schemas.microsoft.com/office/drawing/2014/main" id="{F37F6331-E68F-99FF-DEE0-1AC933A3D0BF}"/>
            </a:ext>
          </a:extLst>
        </xdr:cNvPr>
        <xdr:cNvSpPr>
          <a:spLocks noChangeShapeType="1"/>
        </xdr:cNvSpPr>
      </xdr:nvSpPr>
      <xdr:spPr bwMode="auto">
        <a:xfrm>
          <a:off x="3276600" y="8267700"/>
          <a:ext cx="0" cy="6731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38100</xdr:colOff>
      <xdr:row>43</xdr:row>
      <xdr:rowOff>127000</xdr:rowOff>
    </xdr:from>
    <xdr:to>
      <xdr:col>5</xdr:col>
      <xdr:colOff>25400</xdr:colOff>
      <xdr:row>43</xdr:row>
      <xdr:rowOff>127000</xdr:rowOff>
    </xdr:to>
    <xdr:sp macro="" textlink="">
      <xdr:nvSpPr>
        <xdr:cNvPr id="57800" name="Line 104">
          <a:extLst>
            <a:ext uri="{FF2B5EF4-FFF2-40B4-BE49-F238E27FC236}">
              <a16:creationId xmlns:a16="http://schemas.microsoft.com/office/drawing/2014/main" id="{E067B889-1B64-F3D7-2CE5-80BA2439A43D}"/>
            </a:ext>
          </a:extLst>
        </xdr:cNvPr>
        <xdr:cNvSpPr>
          <a:spLocks noChangeShapeType="1"/>
        </xdr:cNvSpPr>
      </xdr:nvSpPr>
      <xdr:spPr bwMode="auto">
        <a:xfrm flipH="1">
          <a:off x="1524000" y="8839200"/>
          <a:ext cx="15875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203200</xdr:colOff>
      <xdr:row>43</xdr:row>
      <xdr:rowOff>127000</xdr:rowOff>
    </xdr:from>
    <xdr:to>
      <xdr:col>5</xdr:col>
      <xdr:colOff>495300</xdr:colOff>
      <xdr:row>43</xdr:row>
      <xdr:rowOff>127000</xdr:rowOff>
    </xdr:to>
    <xdr:sp macro="" textlink="">
      <xdr:nvSpPr>
        <xdr:cNvPr id="57801" name="Line 105">
          <a:extLst>
            <a:ext uri="{FF2B5EF4-FFF2-40B4-BE49-F238E27FC236}">
              <a16:creationId xmlns:a16="http://schemas.microsoft.com/office/drawing/2014/main" id="{4414A8E3-2CE9-CF7F-BC0B-7B9774FDC460}"/>
            </a:ext>
          </a:extLst>
        </xdr:cNvPr>
        <xdr:cNvSpPr>
          <a:spLocks noChangeShapeType="1"/>
        </xdr:cNvSpPr>
      </xdr:nvSpPr>
      <xdr:spPr bwMode="auto">
        <a:xfrm>
          <a:off x="3289300" y="8839200"/>
          <a:ext cx="2921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355600</xdr:colOff>
      <xdr:row>37</xdr:row>
      <xdr:rowOff>38100</xdr:rowOff>
    </xdr:from>
    <xdr:to>
      <xdr:col>5</xdr:col>
      <xdr:colOff>355600</xdr:colOff>
      <xdr:row>40</xdr:row>
      <xdr:rowOff>152400</xdr:rowOff>
    </xdr:to>
    <xdr:sp macro="" textlink="">
      <xdr:nvSpPr>
        <xdr:cNvPr id="57802" name="Line 108">
          <a:extLst>
            <a:ext uri="{FF2B5EF4-FFF2-40B4-BE49-F238E27FC236}">
              <a16:creationId xmlns:a16="http://schemas.microsoft.com/office/drawing/2014/main" id="{4058C764-D04B-DF63-32DA-37F5964FCA72}"/>
            </a:ext>
          </a:extLst>
        </xdr:cNvPr>
        <xdr:cNvSpPr>
          <a:spLocks noChangeShapeType="1"/>
        </xdr:cNvSpPr>
      </xdr:nvSpPr>
      <xdr:spPr bwMode="auto">
        <a:xfrm flipV="1">
          <a:off x="3441700" y="7543800"/>
          <a:ext cx="0" cy="7239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Dot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355600</xdr:colOff>
      <xdr:row>37</xdr:row>
      <xdr:rowOff>101600</xdr:rowOff>
    </xdr:from>
    <xdr:to>
      <xdr:col>5</xdr:col>
      <xdr:colOff>825500</xdr:colOff>
      <xdr:row>37</xdr:row>
      <xdr:rowOff>101600</xdr:rowOff>
    </xdr:to>
    <xdr:sp macro="" textlink="">
      <xdr:nvSpPr>
        <xdr:cNvPr id="57803" name="Line 109">
          <a:extLst>
            <a:ext uri="{FF2B5EF4-FFF2-40B4-BE49-F238E27FC236}">
              <a16:creationId xmlns:a16="http://schemas.microsoft.com/office/drawing/2014/main" id="{29C92A64-C4DE-7092-1FA1-10CE595CCD74}"/>
            </a:ext>
          </a:extLst>
        </xdr:cNvPr>
        <xdr:cNvSpPr>
          <a:spLocks noChangeShapeType="1"/>
        </xdr:cNvSpPr>
      </xdr:nvSpPr>
      <xdr:spPr bwMode="auto">
        <a:xfrm>
          <a:off x="3441700" y="7607300"/>
          <a:ext cx="4699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368300</xdr:colOff>
      <xdr:row>37</xdr:row>
      <xdr:rowOff>101600</xdr:rowOff>
    </xdr:from>
    <xdr:to>
      <xdr:col>5</xdr:col>
      <xdr:colOff>0</xdr:colOff>
      <xdr:row>37</xdr:row>
      <xdr:rowOff>101600</xdr:rowOff>
    </xdr:to>
    <xdr:sp macro="" textlink="">
      <xdr:nvSpPr>
        <xdr:cNvPr id="57804" name="Line 110">
          <a:extLst>
            <a:ext uri="{FF2B5EF4-FFF2-40B4-BE49-F238E27FC236}">
              <a16:creationId xmlns:a16="http://schemas.microsoft.com/office/drawing/2014/main" id="{37CC8562-D7E8-FB8A-1C23-07DCFCEE3A0B}"/>
            </a:ext>
          </a:extLst>
        </xdr:cNvPr>
        <xdr:cNvSpPr>
          <a:spLocks noChangeShapeType="1"/>
        </xdr:cNvSpPr>
      </xdr:nvSpPr>
      <xdr:spPr bwMode="auto">
        <a:xfrm flipH="1">
          <a:off x="2743200" y="7607300"/>
          <a:ext cx="3429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63500</xdr:colOff>
      <xdr:row>39</xdr:row>
      <xdr:rowOff>38100</xdr:rowOff>
    </xdr:from>
    <xdr:to>
      <xdr:col>9</xdr:col>
      <xdr:colOff>63500</xdr:colOff>
      <xdr:row>57</xdr:row>
      <xdr:rowOff>0</xdr:rowOff>
    </xdr:to>
    <xdr:sp macro="" textlink="">
      <xdr:nvSpPr>
        <xdr:cNvPr id="57805" name="Line 111">
          <a:extLst>
            <a:ext uri="{FF2B5EF4-FFF2-40B4-BE49-F238E27FC236}">
              <a16:creationId xmlns:a16="http://schemas.microsoft.com/office/drawing/2014/main" id="{83632624-950E-C185-5D62-5E60A40AF320}"/>
            </a:ext>
          </a:extLst>
        </xdr:cNvPr>
        <xdr:cNvSpPr>
          <a:spLocks noChangeShapeType="1"/>
        </xdr:cNvSpPr>
      </xdr:nvSpPr>
      <xdr:spPr bwMode="auto">
        <a:xfrm flipH="1" flipV="1">
          <a:off x="6451600" y="7937500"/>
          <a:ext cx="0" cy="35179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Dot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444500</xdr:colOff>
      <xdr:row>49</xdr:row>
      <xdr:rowOff>76200</xdr:rowOff>
    </xdr:from>
    <xdr:to>
      <xdr:col>9</xdr:col>
      <xdr:colOff>63500</xdr:colOff>
      <xdr:row>49</xdr:row>
      <xdr:rowOff>76200</xdr:rowOff>
    </xdr:to>
    <xdr:sp macro="" textlink="">
      <xdr:nvSpPr>
        <xdr:cNvPr id="57806" name="Line 112">
          <a:extLst>
            <a:ext uri="{FF2B5EF4-FFF2-40B4-BE49-F238E27FC236}">
              <a16:creationId xmlns:a16="http://schemas.microsoft.com/office/drawing/2014/main" id="{1A7A2A51-8C22-012D-5561-411A0ADCEF17}"/>
            </a:ext>
          </a:extLst>
        </xdr:cNvPr>
        <xdr:cNvSpPr>
          <a:spLocks noChangeShapeType="1"/>
        </xdr:cNvSpPr>
      </xdr:nvSpPr>
      <xdr:spPr bwMode="auto">
        <a:xfrm flipH="1">
          <a:off x="6007100" y="10007600"/>
          <a:ext cx="4445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457200</xdr:colOff>
      <xdr:row>49</xdr:row>
      <xdr:rowOff>76200</xdr:rowOff>
    </xdr:from>
    <xdr:to>
      <xdr:col>10</xdr:col>
      <xdr:colOff>38100</xdr:colOff>
      <xdr:row>49</xdr:row>
      <xdr:rowOff>76200</xdr:rowOff>
    </xdr:to>
    <xdr:sp macro="" textlink="">
      <xdr:nvSpPr>
        <xdr:cNvPr id="57807" name="Line 113">
          <a:extLst>
            <a:ext uri="{FF2B5EF4-FFF2-40B4-BE49-F238E27FC236}">
              <a16:creationId xmlns:a16="http://schemas.microsoft.com/office/drawing/2014/main" id="{4667CED9-DA41-DA70-FCBF-522E25F78FE5}"/>
            </a:ext>
          </a:extLst>
        </xdr:cNvPr>
        <xdr:cNvSpPr>
          <a:spLocks noChangeShapeType="1"/>
        </xdr:cNvSpPr>
      </xdr:nvSpPr>
      <xdr:spPr bwMode="auto">
        <a:xfrm>
          <a:off x="6845300" y="10007600"/>
          <a:ext cx="2540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342900</xdr:colOff>
      <xdr:row>39</xdr:row>
      <xdr:rowOff>139700</xdr:rowOff>
    </xdr:from>
    <xdr:to>
      <xdr:col>6</xdr:col>
      <xdr:colOff>850900</xdr:colOff>
      <xdr:row>39</xdr:row>
      <xdr:rowOff>139700</xdr:rowOff>
    </xdr:to>
    <xdr:sp macro="" textlink="">
      <xdr:nvSpPr>
        <xdr:cNvPr id="57808" name="Line 120">
          <a:extLst>
            <a:ext uri="{FF2B5EF4-FFF2-40B4-BE49-F238E27FC236}">
              <a16:creationId xmlns:a16="http://schemas.microsoft.com/office/drawing/2014/main" id="{00D5BB24-C0F1-6EB7-DFF5-373DA2B17019}"/>
            </a:ext>
          </a:extLst>
        </xdr:cNvPr>
        <xdr:cNvSpPr>
          <a:spLocks noChangeShapeType="1"/>
        </xdr:cNvSpPr>
      </xdr:nvSpPr>
      <xdr:spPr bwMode="auto">
        <a:xfrm>
          <a:off x="3429000" y="8039100"/>
          <a:ext cx="13589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39</xdr:row>
      <xdr:rowOff>139700</xdr:rowOff>
    </xdr:from>
    <xdr:to>
      <xdr:col>9</xdr:col>
      <xdr:colOff>50800</xdr:colOff>
      <xdr:row>39</xdr:row>
      <xdr:rowOff>139700</xdr:rowOff>
    </xdr:to>
    <xdr:sp macro="" textlink="">
      <xdr:nvSpPr>
        <xdr:cNvPr id="57809" name="Line 121">
          <a:extLst>
            <a:ext uri="{FF2B5EF4-FFF2-40B4-BE49-F238E27FC236}">
              <a16:creationId xmlns:a16="http://schemas.microsoft.com/office/drawing/2014/main" id="{464F73D8-B513-79BA-265D-47CAB17BF272}"/>
            </a:ext>
          </a:extLst>
        </xdr:cNvPr>
        <xdr:cNvSpPr>
          <a:spLocks noChangeShapeType="1"/>
        </xdr:cNvSpPr>
      </xdr:nvSpPr>
      <xdr:spPr bwMode="auto">
        <a:xfrm>
          <a:off x="5562600" y="8039100"/>
          <a:ext cx="8763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266700</xdr:colOff>
      <xdr:row>57</xdr:row>
      <xdr:rowOff>25400</xdr:rowOff>
    </xdr:from>
    <xdr:to>
      <xdr:col>4</xdr:col>
      <xdr:colOff>304800</xdr:colOff>
      <xdr:row>57</xdr:row>
      <xdr:rowOff>25400</xdr:rowOff>
    </xdr:to>
    <xdr:sp macro="" textlink="">
      <xdr:nvSpPr>
        <xdr:cNvPr id="57810" name="Line 122">
          <a:extLst>
            <a:ext uri="{FF2B5EF4-FFF2-40B4-BE49-F238E27FC236}">
              <a16:creationId xmlns:a16="http://schemas.microsoft.com/office/drawing/2014/main" id="{DDC5049B-DBB0-475F-C99C-842B64C532DF}"/>
            </a:ext>
          </a:extLst>
        </xdr:cNvPr>
        <xdr:cNvSpPr>
          <a:spLocks noChangeShapeType="1"/>
        </xdr:cNvSpPr>
      </xdr:nvSpPr>
      <xdr:spPr bwMode="auto">
        <a:xfrm flipH="1">
          <a:off x="1752600" y="11480800"/>
          <a:ext cx="9271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431800</xdr:colOff>
      <xdr:row>40</xdr:row>
      <xdr:rowOff>152400</xdr:rowOff>
    </xdr:from>
    <xdr:to>
      <xdr:col>3</xdr:col>
      <xdr:colOff>431800</xdr:colOff>
      <xdr:row>47</xdr:row>
      <xdr:rowOff>139700</xdr:rowOff>
    </xdr:to>
    <xdr:sp macro="" textlink="">
      <xdr:nvSpPr>
        <xdr:cNvPr id="57811" name="Line 123">
          <a:extLst>
            <a:ext uri="{FF2B5EF4-FFF2-40B4-BE49-F238E27FC236}">
              <a16:creationId xmlns:a16="http://schemas.microsoft.com/office/drawing/2014/main" id="{1B797A94-F7BC-DCD2-AEAA-D0AA14621ADD}"/>
            </a:ext>
          </a:extLst>
        </xdr:cNvPr>
        <xdr:cNvSpPr>
          <a:spLocks noChangeShapeType="1"/>
        </xdr:cNvSpPr>
      </xdr:nvSpPr>
      <xdr:spPr bwMode="auto">
        <a:xfrm>
          <a:off x="1917700" y="8267700"/>
          <a:ext cx="0" cy="13970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419100</xdr:colOff>
      <xdr:row>50</xdr:row>
      <xdr:rowOff>12700</xdr:rowOff>
    </xdr:from>
    <xdr:to>
      <xdr:col>3</xdr:col>
      <xdr:colOff>419100</xdr:colOff>
      <xdr:row>57</xdr:row>
      <xdr:rowOff>0</xdr:rowOff>
    </xdr:to>
    <xdr:sp macro="" textlink="">
      <xdr:nvSpPr>
        <xdr:cNvPr id="57812" name="Line 124">
          <a:extLst>
            <a:ext uri="{FF2B5EF4-FFF2-40B4-BE49-F238E27FC236}">
              <a16:creationId xmlns:a16="http://schemas.microsoft.com/office/drawing/2014/main" id="{22755DF4-5A9A-FBB0-3D23-845645E09C4B}"/>
            </a:ext>
          </a:extLst>
        </xdr:cNvPr>
        <xdr:cNvSpPr>
          <a:spLocks noChangeShapeType="1"/>
        </xdr:cNvSpPr>
      </xdr:nvSpPr>
      <xdr:spPr bwMode="auto">
        <a:xfrm flipV="1">
          <a:off x="1905000" y="10160000"/>
          <a:ext cx="0" cy="12954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5</xdr:col>
      <xdr:colOff>513715</xdr:colOff>
      <xdr:row>34</xdr:row>
      <xdr:rowOff>66675</xdr:rowOff>
    </xdr:from>
    <xdr:ext cx="333207" cy="251525"/>
    <xdr:sp macro="" textlink="">
      <xdr:nvSpPr>
        <xdr:cNvPr id="16515" name="AutoShape 131">
          <a:extLst>
            <a:ext uri="{FF2B5EF4-FFF2-40B4-BE49-F238E27FC236}">
              <a16:creationId xmlns:a16="http://schemas.microsoft.com/office/drawing/2014/main" id="{74F462D1-FB68-1C65-E47D-6DDEBC3D60E6}"/>
            </a:ext>
          </a:extLst>
        </xdr:cNvPr>
        <xdr:cNvSpPr>
          <a:spLocks/>
        </xdr:cNvSpPr>
      </xdr:nvSpPr>
      <xdr:spPr bwMode="auto">
        <a:xfrm>
          <a:off x="3239135" y="6781165"/>
          <a:ext cx="296363" cy="170560"/>
        </a:xfrm>
        <a:prstGeom prst="borderCallout2">
          <a:avLst>
            <a:gd name="adj1" fmla="val 54546"/>
            <a:gd name="adj2" fmla="val -19046"/>
            <a:gd name="adj3" fmla="val 54546"/>
            <a:gd name="adj4" fmla="val -38097"/>
            <a:gd name="adj5" fmla="val 427273"/>
            <a:gd name="adj6" fmla="val -11428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W.P.</a:t>
          </a:r>
        </a:p>
      </xdr:txBody>
    </xdr:sp>
    <xdr:clientData/>
  </xdr:oneCellAnchor>
  <xdr:oneCellAnchor>
    <xdr:from>
      <xdr:col>10</xdr:col>
      <xdr:colOff>297815</xdr:colOff>
      <xdr:row>54</xdr:row>
      <xdr:rowOff>17780</xdr:rowOff>
    </xdr:from>
    <xdr:ext cx="402146" cy="264846"/>
    <xdr:sp macro="" textlink="">
      <xdr:nvSpPr>
        <xdr:cNvPr id="16516" name="AutoShape 132">
          <a:extLst>
            <a:ext uri="{FF2B5EF4-FFF2-40B4-BE49-F238E27FC236}">
              <a16:creationId xmlns:a16="http://schemas.microsoft.com/office/drawing/2014/main" id="{EC7A42E6-1A4E-BCB8-73AC-065259DEEA8F}"/>
            </a:ext>
          </a:extLst>
        </xdr:cNvPr>
        <xdr:cNvSpPr>
          <a:spLocks/>
        </xdr:cNvSpPr>
      </xdr:nvSpPr>
      <xdr:spPr bwMode="auto">
        <a:xfrm>
          <a:off x="6635115" y="10675620"/>
          <a:ext cx="296363" cy="170560"/>
        </a:xfrm>
        <a:prstGeom prst="borderCallout2">
          <a:avLst>
            <a:gd name="adj1" fmla="val 54546"/>
            <a:gd name="adj2" fmla="val -19046"/>
            <a:gd name="adj3" fmla="val 54546"/>
            <a:gd name="adj4" fmla="val -42856"/>
            <a:gd name="adj5" fmla="val 422727"/>
            <a:gd name="adj6" fmla="val -111903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W.P.</a:t>
          </a:r>
        </a:p>
      </xdr:txBody>
    </xdr:sp>
    <xdr:clientData/>
  </xdr:oneCellAnchor>
  <xdr:twoCellAnchor>
    <xdr:from>
      <xdr:col>4</xdr:col>
      <xdr:colOff>457200</xdr:colOff>
      <xdr:row>72</xdr:row>
      <xdr:rowOff>152400</xdr:rowOff>
    </xdr:from>
    <xdr:to>
      <xdr:col>10</xdr:col>
      <xdr:colOff>368300</xdr:colOff>
      <xdr:row>72</xdr:row>
      <xdr:rowOff>152400</xdr:rowOff>
    </xdr:to>
    <xdr:sp macro="" textlink="">
      <xdr:nvSpPr>
        <xdr:cNvPr id="57815" name="Line 135">
          <a:extLst>
            <a:ext uri="{FF2B5EF4-FFF2-40B4-BE49-F238E27FC236}">
              <a16:creationId xmlns:a16="http://schemas.microsoft.com/office/drawing/2014/main" id="{2B986F3B-4FBE-13B4-4870-BF827B53E345}"/>
            </a:ext>
          </a:extLst>
        </xdr:cNvPr>
        <xdr:cNvSpPr>
          <a:spLocks noChangeShapeType="1"/>
        </xdr:cNvSpPr>
      </xdr:nvSpPr>
      <xdr:spPr bwMode="auto">
        <a:xfrm>
          <a:off x="2832100" y="14630400"/>
          <a:ext cx="45974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495300</xdr:colOff>
      <xdr:row>68</xdr:row>
      <xdr:rowOff>12700</xdr:rowOff>
    </xdr:from>
    <xdr:to>
      <xdr:col>10</xdr:col>
      <xdr:colOff>228600</xdr:colOff>
      <xdr:row>68</xdr:row>
      <xdr:rowOff>25400</xdr:rowOff>
    </xdr:to>
    <xdr:sp macro="" textlink="">
      <xdr:nvSpPr>
        <xdr:cNvPr id="57816" name="Line 136">
          <a:extLst>
            <a:ext uri="{FF2B5EF4-FFF2-40B4-BE49-F238E27FC236}">
              <a16:creationId xmlns:a16="http://schemas.microsoft.com/office/drawing/2014/main" id="{2BEDD43C-8AD4-B652-EC94-2F0864A36A36}"/>
            </a:ext>
          </a:extLst>
        </xdr:cNvPr>
        <xdr:cNvSpPr>
          <a:spLocks noChangeShapeType="1"/>
        </xdr:cNvSpPr>
      </xdr:nvSpPr>
      <xdr:spPr bwMode="auto">
        <a:xfrm flipV="1">
          <a:off x="2870200" y="13652500"/>
          <a:ext cx="4419600" cy="127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673100</xdr:colOff>
      <xdr:row>65</xdr:row>
      <xdr:rowOff>50800</xdr:rowOff>
    </xdr:from>
    <xdr:to>
      <xdr:col>5</xdr:col>
      <xdr:colOff>12700</xdr:colOff>
      <xdr:row>91</xdr:row>
      <xdr:rowOff>12700</xdr:rowOff>
    </xdr:to>
    <xdr:sp macro="" textlink="">
      <xdr:nvSpPr>
        <xdr:cNvPr id="57817" name="Line 137">
          <a:extLst>
            <a:ext uri="{FF2B5EF4-FFF2-40B4-BE49-F238E27FC236}">
              <a16:creationId xmlns:a16="http://schemas.microsoft.com/office/drawing/2014/main" id="{6E849044-86A6-6B0F-1CAD-87AEF8664582}"/>
            </a:ext>
          </a:extLst>
        </xdr:cNvPr>
        <xdr:cNvSpPr>
          <a:spLocks noChangeShapeType="1"/>
        </xdr:cNvSpPr>
      </xdr:nvSpPr>
      <xdr:spPr bwMode="auto">
        <a:xfrm>
          <a:off x="3048000" y="13042900"/>
          <a:ext cx="50800" cy="51054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Dot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419100</xdr:colOff>
      <xdr:row>68</xdr:row>
      <xdr:rowOff>12700</xdr:rowOff>
    </xdr:from>
    <xdr:to>
      <xdr:col>4</xdr:col>
      <xdr:colOff>431800</xdr:colOff>
      <xdr:row>68</xdr:row>
      <xdr:rowOff>12700</xdr:rowOff>
    </xdr:to>
    <xdr:sp macro="" textlink="">
      <xdr:nvSpPr>
        <xdr:cNvPr id="57818" name="Line 139">
          <a:extLst>
            <a:ext uri="{FF2B5EF4-FFF2-40B4-BE49-F238E27FC236}">
              <a16:creationId xmlns:a16="http://schemas.microsoft.com/office/drawing/2014/main" id="{E20D444B-BDE0-643F-323D-AD55BCAAB8E0}"/>
            </a:ext>
          </a:extLst>
        </xdr:cNvPr>
        <xdr:cNvSpPr>
          <a:spLocks noChangeShapeType="1"/>
        </xdr:cNvSpPr>
      </xdr:nvSpPr>
      <xdr:spPr bwMode="auto">
        <a:xfrm flipH="1">
          <a:off x="1905000" y="13652500"/>
          <a:ext cx="9017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368300</xdr:colOff>
      <xdr:row>72</xdr:row>
      <xdr:rowOff>152400</xdr:rowOff>
    </xdr:from>
    <xdr:to>
      <xdr:col>4</xdr:col>
      <xdr:colOff>406400</xdr:colOff>
      <xdr:row>72</xdr:row>
      <xdr:rowOff>152400</xdr:rowOff>
    </xdr:to>
    <xdr:sp macro="" textlink="">
      <xdr:nvSpPr>
        <xdr:cNvPr id="57819" name="Line 140">
          <a:extLst>
            <a:ext uri="{FF2B5EF4-FFF2-40B4-BE49-F238E27FC236}">
              <a16:creationId xmlns:a16="http://schemas.microsoft.com/office/drawing/2014/main" id="{505F3C09-B488-633B-A8A6-A5AA8775F152}"/>
            </a:ext>
          </a:extLst>
        </xdr:cNvPr>
        <xdr:cNvSpPr>
          <a:spLocks noChangeShapeType="1"/>
        </xdr:cNvSpPr>
      </xdr:nvSpPr>
      <xdr:spPr bwMode="auto">
        <a:xfrm flipH="1">
          <a:off x="1854200" y="14630400"/>
          <a:ext cx="9271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444500</xdr:colOff>
      <xdr:row>68</xdr:row>
      <xdr:rowOff>25400</xdr:rowOff>
    </xdr:from>
    <xdr:to>
      <xdr:col>3</xdr:col>
      <xdr:colOff>444500</xdr:colOff>
      <xdr:row>72</xdr:row>
      <xdr:rowOff>152400</xdr:rowOff>
    </xdr:to>
    <xdr:sp macro="" textlink="">
      <xdr:nvSpPr>
        <xdr:cNvPr id="57820" name="Line 141">
          <a:extLst>
            <a:ext uri="{FF2B5EF4-FFF2-40B4-BE49-F238E27FC236}">
              <a16:creationId xmlns:a16="http://schemas.microsoft.com/office/drawing/2014/main" id="{8300D88E-F12D-9D85-16BB-E17E6374B430}"/>
            </a:ext>
          </a:extLst>
        </xdr:cNvPr>
        <xdr:cNvSpPr>
          <a:spLocks noChangeShapeType="1"/>
        </xdr:cNvSpPr>
      </xdr:nvSpPr>
      <xdr:spPr bwMode="auto">
        <a:xfrm>
          <a:off x="1930400" y="13665200"/>
          <a:ext cx="0" cy="9652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266700</xdr:colOff>
      <xdr:row>65</xdr:row>
      <xdr:rowOff>38100</xdr:rowOff>
    </xdr:from>
    <xdr:to>
      <xdr:col>9</xdr:col>
      <xdr:colOff>279400</xdr:colOff>
      <xdr:row>91</xdr:row>
      <xdr:rowOff>88900</xdr:rowOff>
    </xdr:to>
    <xdr:sp macro="" textlink="">
      <xdr:nvSpPr>
        <xdr:cNvPr id="57821" name="Line 142">
          <a:extLst>
            <a:ext uri="{FF2B5EF4-FFF2-40B4-BE49-F238E27FC236}">
              <a16:creationId xmlns:a16="http://schemas.microsoft.com/office/drawing/2014/main" id="{B75FE832-9E96-5109-F206-0903ACCB7DA2}"/>
            </a:ext>
          </a:extLst>
        </xdr:cNvPr>
        <xdr:cNvSpPr>
          <a:spLocks noChangeShapeType="1"/>
        </xdr:cNvSpPr>
      </xdr:nvSpPr>
      <xdr:spPr bwMode="auto">
        <a:xfrm>
          <a:off x="6654800" y="13030200"/>
          <a:ext cx="12700" cy="51943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Dot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190500</xdr:colOff>
      <xdr:row>72</xdr:row>
      <xdr:rowOff>152400</xdr:rowOff>
    </xdr:from>
    <xdr:to>
      <xdr:col>9</xdr:col>
      <xdr:colOff>38100</xdr:colOff>
      <xdr:row>89</xdr:row>
      <xdr:rowOff>139700</xdr:rowOff>
    </xdr:to>
    <xdr:sp macro="" textlink="">
      <xdr:nvSpPr>
        <xdr:cNvPr id="57822" name="Line 143">
          <a:extLst>
            <a:ext uri="{FF2B5EF4-FFF2-40B4-BE49-F238E27FC236}">
              <a16:creationId xmlns:a16="http://schemas.microsoft.com/office/drawing/2014/main" id="{BEEA9958-9C6B-8470-7109-DE86F6206510}"/>
            </a:ext>
          </a:extLst>
        </xdr:cNvPr>
        <xdr:cNvSpPr>
          <a:spLocks noChangeShapeType="1"/>
        </xdr:cNvSpPr>
      </xdr:nvSpPr>
      <xdr:spPr bwMode="auto">
        <a:xfrm>
          <a:off x="3276600" y="14630400"/>
          <a:ext cx="3149600" cy="32639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533400</xdr:colOff>
      <xdr:row>72</xdr:row>
      <xdr:rowOff>152400</xdr:rowOff>
    </xdr:from>
    <xdr:to>
      <xdr:col>9</xdr:col>
      <xdr:colOff>50800</xdr:colOff>
      <xdr:row>87</xdr:row>
      <xdr:rowOff>139700</xdr:rowOff>
    </xdr:to>
    <xdr:sp macro="" textlink="">
      <xdr:nvSpPr>
        <xdr:cNvPr id="57823" name="Line 144">
          <a:extLst>
            <a:ext uri="{FF2B5EF4-FFF2-40B4-BE49-F238E27FC236}">
              <a16:creationId xmlns:a16="http://schemas.microsoft.com/office/drawing/2014/main" id="{0008554A-6CE5-4DCD-1C95-1C164345EC57}"/>
            </a:ext>
          </a:extLst>
        </xdr:cNvPr>
        <xdr:cNvSpPr>
          <a:spLocks noChangeShapeType="1"/>
        </xdr:cNvSpPr>
      </xdr:nvSpPr>
      <xdr:spPr bwMode="auto">
        <a:xfrm flipH="1" flipV="1">
          <a:off x="3619500" y="14630400"/>
          <a:ext cx="2819400" cy="29337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70</xdr:row>
      <xdr:rowOff>114300</xdr:rowOff>
    </xdr:from>
    <xdr:to>
      <xdr:col>9</xdr:col>
      <xdr:colOff>241300</xdr:colOff>
      <xdr:row>90</xdr:row>
      <xdr:rowOff>76200</xdr:rowOff>
    </xdr:to>
    <xdr:sp macro="" textlink="">
      <xdr:nvSpPr>
        <xdr:cNvPr id="57824" name="Line 145">
          <a:extLst>
            <a:ext uri="{FF2B5EF4-FFF2-40B4-BE49-F238E27FC236}">
              <a16:creationId xmlns:a16="http://schemas.microsoft.com/office/drawing/2014/main" id="{0D1F7355-C18E-B8C9-2763-453FC89DFF3F}"/>
            </a:ext>
          </a:extLst>
        </xdr:cNvPr>
        <xdr:cNvSpPr>
          <a:spLocks noChangeShapeType="1"/>
        </xdr:cNvSpPr>
      </xdr:nvSpPr>
      <xdr:spPr bwMode="auto">
        <a:xfrm flipH="1" flipV="1">
          <a:off x="3086100" y="14198600"/>
          <a:ext cx="3543300" cy="37973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lgDashDot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317500</xdr:colOff>
      <xdr:row>68</xdr:row>
      <xdr:rowOff>38100</xdr:rowOff>
    </xdr:from>
    <xdr:to>
      <xdr:col>12</xdr:col>
      <xdr:colOff>533400</xdr:colOff>
      <xdr:row>68</xdr:row>
      <xdr:rowOff>38100</xdr:rowOff>
    </xdr:to>
    <xdr:sp macro="" textlink="">
      <xdr:nvSpPr>
        <xdr:cNvPr id="57825" name="Line 146">
          <a:extLst>
            <a:ext uri="{FF2B5EF4-FFF2-40B4-BE49-F238E27FC236}">
              <a16:creationId xmlns:a16="http://schemas.microsoft.com/office/drawing/2014/main" id="{7D4DEA58-05DF-C2C1-E634-53657F5A498B}"/>
            </a:ext>
          </a:extLst>
        </xdr:cNvPr>
        <xdr:cNvSpPr>
          <a:spLocks noChangeShapeType="1"/>
        </xdr:cNvSpPr>
      </xdr:nvSpPr>
      <xdr:spPr bwMode="auto">
        <a:xfrm flipV="1">
          <a:off x="7378700" y="13677900"/>
          <a:ext cx="19177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368300</xdr:colOff>
      <xdr:row>68</xdr:row>
      <xdr:rowOff>38100</xdr:rowOff>
    </xdr:from>
    <xdr:to>
      <xdr:col>12</xdr:col>
      <xdr:colOff>381000</xdr:colOff>
      <xdr:row>90</xdr:row>
      <xdr:rowOff>76200</xdr:rowOff>
    </xdr:to>
    <xdr:sp macro="" textlink="">
      <xdr:nvSpPr>
        <xdr:cNvPr id="57826" name="Line 148">
          <a:extLst>
            <a:ext uri="{FF2B5EF4-FFF2-40B4-BE49-F238E27FC236}">
              <a16:creationId xmlns:a16="http://schemas.microsoft.com/office/drawing/2014/main" id="{B9E84C7A-43A8-7B5E-D800-88728C7FF516}"/>
            </a:ext>
          </a:extLst>
        </xdr:cNvPr>
        <xdr:cNvSpPr>
          <a:spLocks noChangeShapeType="1"/>
        </xdr:cNvSpPr>
      </xdr:nvSpPr>
      <xdr:spPr bwMode="auto">
        <a:xfrm flipV="1">
          <a:off x="9131300" y="13677900"/>
          <a:ext cx="12700" cy="43180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381000</xdr:colOff>
      <xdr:row>78</xdr:row>
      <xdr:rowOff>101600</xdr:rowOff>
    </xdr:from>
    <xdr:to>
      <xdr:col>12</xdr:col>
      <xdr:colOff>812800</xdr:colOff>
      <xdr:row>78</xdr:row>
      <xdr:rowOff>101600</xdr:rowOff>
    </xdr:to>
    <xdr:sp macro="" textlink="">
      <xdr:nvSpPr>
        <xdr:cNvPr id="57827" name="Line 149">
          <a:extLst>
            <a:ext uri="{FF2B5EF4-FFF2-40B4-BE49-F238E27FC236}">
              <a16:creationId xmlns:a16="http://schemas.microsoft.com/office/drawing/2014/main" id="{B15D37CE-022A-39C8-0B24-ED46F1C54BEC}"/>
            </a:ext>
          </a:extLst>
        </xdr:cNvPr>
        <xdr:cNvSpPr>
          <a:spLocks noChangeShapeType="1"/>
        </xdr:cNvSpPr>
      </xdr:nvSpPr>
      <xdr:spPr bwMode="auto">
        <a:xfrm flipH="1">
          <a:off x="9144000" y="15760700"/>
          <a:ext cx="4318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oval" w="med" len="med"/>
          <a:tailEnd type="oval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203200</xdr:colOff>
      <xdr:row>79</xdr:row>
      <xdr:rowOff>50800</xdr:rowOff>
    </xdr:from>
    <xdr:to>
      <xdr:col>6</xdr:col>
      <xdr:colOff>596900</xdr:colOff>
      <xdr:row>80</xdr:row>
      <xdr:rowOff>127000</xdr:rowOff>
    </xdr:to>
    <xdr:sp macro="" textlink="">
      <xdr:nvSpPr>
        <xdr:cNvPr id="57828" name="Line 150">
          <a:extLst>
            <a:ext uri="{FF2B5EF4-FFF2-40B4-BE49-F238E27FC236}">
              <a16:creationId xmlns:a16="http://schemas.microsoft.com/office/drawing/2014/main" id="{C97963A3-D75D-342A-C7DA-6435206AE4CC}"/>
            </a:ext>
          </a:extLst>
        </xdr:cNvPr>
        <xdr:cNvSpPr>
          <a:spLocks noChangeShapeType="1"/>
        </xdr:cNvSpPr>
      </xdr:nvSpPr>
      <xdr:spPr bwMode="auto">
        <a:xfrm flipH="1">
          <a:off x="4140200" y="15925800"/>
          <a:ext cx="393700" cy="2794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787400</xdr:colOff>
      <xdr:row>77</xdr:row>
      <xdr:rowOff>63500</xdr:rowOff>
    </xdr:from>
    <xdr:to>
      <xdr:col>7</xdr:col>
      <xdr:colOff>292100</xdr:colOff>
      <xdr:row>78</xdr:row>
      <xdr:rowOff>114300</xdr:rowOff>
    </xdr:to>
    <xdr:sp macro="" textlink="">
      <xdr:nvSpPr>
        <xdr:cNvPr id="57829" name="Line 151">
          <a:extLst>
            <a:ext uri="{FF2B5EF4-FFF2-40B4-BE49-F238E27FC236}">
              <a16:creationId xmlns:a16="http://schemas.microsoft.com/office/drawing/2014/main" id="{1BDCC9CE-ACEC-D570-E7EB-65C0E2FC658E}"/>
            </a:ext>
          </a:extLst>
        </xdr:cNvPr>
        <xdr:cNvSpPr>
          <a:spLocks noChangeShapeType="1"/>
        </xdr:cNvSpPr>
      </xdr:nvSpPr>
      <xdr:spPr bwMode="auto">
        <a:xfrm flipV="1">
          <a:off x="4724400" y="15532100"/>
          <a:ext cx="381000" cy="2413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292100</xdr:colOff>
      <xdr:row>77</xdr:row>
      <xdr:rowOff>63500</xdr:rowOff>
    </xdr:from>
    <xdr:to>
      <xdr:col>8</xdr:col>
      <xdr:colOff>0</xdr:colOff>
      <xdr:row>77</xdr:row>
      <xdr:rowOff>63500</xdr:rowOff>
    </xdr:to>
    <xdr:sp macro="" textlink="">
      <xdr:nvSpPr>
        <xdr:cNvPr id="57830" name="Line 152">
          <a:extLst>
            <a:ext uri="{FF2B5EF4-FFF2-40B4-BE49-F238E27FC236}">
              <a16:creationId xmlns:a16="http://schemas.microsoft.com/office/drawing/2014/main" id="{C1B75BF4-F767-64AF-65D7-CFE231858702}"/>
            </a:ext>
          </a:extLst>
        </xdr:cNvPr>
        <xdr:cNvSpPr>
          <a:spLocks noChangeShapeType="1"/>
        </xdr:cNvSpPr>
      </xdr:nvSpPr>
      <xdr:spPr bwMode="auto">
        <a:xfrm>
          <a:off x="5105400" y="15532100"/>
          <a:ext cx="4572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25400</xdr:colOff>
      <xdr:row>65</xdr:row>
      <xdr:rowOff>114300</xdr:rowOff>
    </xdr:from>
    <xdr:to>
      <xdr:col>6</xdr:col>
      <xdr:colOff>825500</xdr:colOff>
      <xdr:row>65</xdr:row>
      <xdr:rowOff>114300</xdr:rowOff>
    </xdr:to>
    <xdr:sp macro="" textlink="">
      <xdr:nvSpPr>
        <xdr:cNvPr id="57831" name="Line 153">
          <a:extLst>
            <a:ext uri="{FF2B5EF4-FFF2-40B4-BE49-F238E27FC236}">
              <a16:creationId xmlns:a16="http://schemas.microsoft.com/office/drawing/2014/main" id="{70960ADD-AFC3-F850-333D-A478CCB2147B}"/>
            </a:ext>
          </a:extLst>
        </xdr:cNvPr>
        <xdr:cNvSpPr>
          <a:spLocks noChangeShapeType="1"/>
        </xdr:cNvSpPr>
      </xdr:nvSpPr>
      <xdr:spPr bwMode="auto">
        <a:xfrm>
          <a:off x="3111500" y="13106400"/>
          <a:ext cx="16510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12700</xdr:colOff>
      <xdr:row>65</xdr:row>
      <xdr:rowOff>88900</xdr:rowOff>
    </xdr:from>
    <xdr:to>
      <xdr:col>9</xdr:col>
      <xdr:colOff>292100</xdr:colOff>
      <xdr:row>65</xdr:row>
      <xdr:rowOff>88900</xdr:rowOff>
    </xdr:to>
    <xdr:sp macro="" textlink="">
      <xdr:nvSpPr>
        <xdr:cNvPr id="57832" name="Line 154">
          <a:extLst>
            <a:ext uri="{FF2B5EF4-FFF2-40B4-BE49-F238E27FC236}">
              <a16:creationId xmlns:a16="http://schemas.microsoft.com/office/drawing/2014/main" id="{9929EDC6-B31A-0C70-195C-F2AC42963FC8}"/>
            </a:ext>
          </a:extLst>
        </xdr:cNvPr>
        <xdr:cNvSpPr>
          <a:spLocks noChangeShapeType="1"/>
        </xdr:cNvSpPr>
      </xdr:nvSpPr>
      <xdr:spPr bwMode="auto">
        <a:xfrm>
          <a:off x="5575300" y="13081000"/>
          <a:ext cx="11049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12700</xdr:colOff>
      <xdr:row>72</xdr:row>
      <xdr:rowOff>152400</xdr:rowOff>
    </xdr:from>
    <xdr:to>
      <xdr:col>5</xdr:col>
      <xdr:colOff>190500</xdr:colOff>
      <xdr:row>76</xdr:row>
      <xdr:rowOff>152400</xdr:rowOff>
    </xdr:to>
    <xdr:sp macro="" textlink="">
      <xdr:nvSpPr>
        <xdr:cNvPr id="57833" name="Line 155">
          <a:extLst>
            <a:ext uri="{FF2B5EF4-FFF2-40B4-BE49-F238E27FC236}">
              <a16:creationId xmlns:a16="http://schemas.microsoft.com/office/drawing/2014/main" id="{8769380D-E3CC-7281-65BF-D2CFD8FFA4CF}"/>
            </a:ext>
          </a:extLst>
        </xdr:cNvPr>
        <xdr:cNvSpPr>
          <a:spLocks noChangeShapeType="1"/>
        </xdr:cNvSpPr>
      </xdr:nvSpPr>
      <xdr:spPr bwMode="auto">
        <a:xfrm flipH="1">
          <a:off x="2387600" y="14630400"/>
          <a:ext cx="889000" cy="8128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38100</xdr:colOff>
      <xdr:row>89</xdr:row>
      <xdr:rowOff>139700</xdr:rowOff>
    </xdr:from>
    <xdr:to>
      <xdr:col>9</xdr:col>
      <xdr:colOff>50800</xdr:colOff>
      <xdr:row>92</xdr:row>
      <xdr:rowOff>139700</xdr:rowOff>
    </xdr:to>
    <xdr:sp macro="" textlink="">
      <xdr:nvSpPr>
        <xdr:cNvPr id="57834" name="Line 156">
          <a:extLst>
            <a:ext uri="{FF2B5EF4-FFF2-40B4-BE49-F238E27FC236}">
              <a16:creationId xmlns:a16="http://schemas.microsoft.com/office/drawing/2014/main" id="{049DB270-8EA9-FF28-F2BD-F0DB6A584CB2}"/>
            </a:ext>
          </a:extLst>
        </xdr:cNvPr>
        <xdr:cNvSpPr>
          <a:spLocks noChangeShapeType="1"/>
        </xdr:cNvSpPr>
      </xdr:nvSpPr>
      <xdr:spPr bwMode="auto">
        <a:xfrm flipH="1">
          <a:off x="5600700" y="17894300"/>
          <a:ext cx="838200" cy="5969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88900</xdr:colOff>
      <xdr:row>76</xdr:row>
      <xdr:rowOff>50800</xdr:rowOff>
    </xdr:from>
    <xdr:to>
      <xdr:col>8</xdr:col>
      <xdr:colOff>76200</xdr:colOff>
      <xdr:row>92</xdr:row>
      <xdr:rowOff>101600</xdr:rowOff>
    </xdr:to>
    <xdr:sp macro="" textlink="">
      <xdr:nvSpPr>
        <xdr:cNvPr id="57835" name="Line 157">
          <a:extLst>
            <a:ext uri="{FF2B5EF4-FFF2-40B4-BE49-F238E27FC236}">
              <a16:creationId xmlns:a16="http://schemas.microsoft.com/office/drawing/2014/main" id="{9A709E6F-70CF-B139-3598-DA1AF025A9D5}"/>
            </a:ext>
          </a:extLst>
        </xdr:cNvPr>
        <xdr:cNvSpPr>
          <a:spLocks noChangeShapeType="1"/>
        </xdr:cNvSpPr>
      </xdr:nvSpPr>
      <xdr:spPr bwMode="auto">
        <a:xfrm flipH="1" flipV="1">
          <a:off x="2463800" y="15341600"/>
          <a:ext cx="3175000" cy="3111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177800</xdr:colOff>
      <xdr:row>83</xdr:row>
      <xdr:rowOff>38100</xdr:rowOff>
    </xdr:from>
    <xdr:to>
      <xdr:col>6</xdr:col>
      <xdr:colOff>342900</xdr:colOff>
      <xdr:row>84</xdr:row>
      <xdr:rowOff>12700</xdr:rowOff>
    </xdr:to>
    <xdr:sp macro="" textlink="">
      <xdr:nvSpPr>
        <xdr:cNvPr id="57836" name="Line 158">
          <a:extLst>
            <a:ext uri="{FF2B5EF4-FFF2-40B4-BE49-F238E27FC236}">
              <a16:creationId xmlns:a16="http://schemas.microsoft.com/office/drawing/2014/main" id="{5A2987EB-36B4-F866-C2E0-845E321DB7EB}"/>
            </a:ext>
          </a:extLst>
        </xdr:cNvPr>
        <xdr:cNvSpPr>
          <a:spLocks noChangeShapeType="1"/>
        </xdr:cNvSpPr>
      </xdr:nvSpPr>
      <xdr:spPr bwMode="auto">
        <a:xfrm flipH="1">
          <a:off x="4114800" y="16725900"/>
          <a:ext cx="165100" cy="1778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oval" w="med" len="med"/>
          <a:tailEnd type="oval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520700</xdr:colOff>
      <xdr:row>68</xdr:row>
      <xdr:rowOff>50800</xdr:rowOff>
    </xdr:from>
    <xdr:to>
      <xdr:col>10</xdr:col>
      <xdr:colOff>215900</xdr:colOff>
      <xdr:row>68</xdr:row>
      <xdr:rowOff>50800</xdr:rowOff>
    </xdr:to>
    <xdr:sp macro="" textlink="">
      <xdr:nvSpPr>
        <xdr:cNvPr id="57837" name="Line 159">
          <a:extLst>
            <a:ext uri="{FF2B5EF4-FFF2-40B4-BE49-F238E27FC236}">
              <a16:creationId xmlns:a16="http://schemas.microsoft.com/office/drawing/2014/main" id="{FCF28BAF-3F4C-832B-7C9F-DCDE13EA14DA}"/>
            </a:ext>
          </a:extLst>
        </xdr:cNvPr>
        <xdr:cNvSpPr>
          <a:spLocks noChangeShapeType="1"/>
        </xdr:cNvSpPr>
      </xdr:nvSpPr>
      <xdr:spPr bwMode="auto">
        <a:xfrm flipV="1">
          <a:off x="2895600" y="13690600"/>
          <a:ext cx="43815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457200</xdr:colOff>
      <xdr:row>72</xdr:row>
      <xdr:rowOff>114300</xdr:rowOff>
    </xdr:from>
    <xdr:to>
      <xdr:col>10</xdr:col>
      <xdr:colOff>266700</xdr:colOff>
      <xdr:row>72</xdr:row>
      <xdr:rowOff>114300</xdr:rowOff>
    </xdr:to>
    <xdr:sp macro="" textlink="">
      <xdr:nvSpPr>
        <xdr:cNvPr id="57838" name="Line 160">
          <a:extLst>
            <a:ext uri="{FF2B5EF4-FFF2-40B4-BE49-F238E27FC236}">
              <a16:creationId xmlns:a16="http://schemas.microsoft.com/office/drawing/2014/main" id="{F03F9CE9-730A-C9EC-2870-84AAF128D845}"/>
            </a:ext>
          </a:extLst>
        </xdr:cNvPr>
        <xdr:cNvSpPr>
          <a:spLocks noChangeShapeType="1"/>
        </xdr:cNvSpPr>
      </xdr:nvSpPr>
      <xdr:spPr bwMode="auto">
        <a:xfrm>
          <a:off x="2832100" y="14592300"/>
          <a:ext cx="44958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50800</xdr:colOff>
      <xdr:row>70</xdr:row>
      <xdr:rowOff>114300</xdr:rowOff>
    </xdr:from>
    <xdr:to>
      <xdr:col>5</xdr:col>
      <xdr:colOff>0</xdr:colOff>
      <xdr:row>70</xdr:row>
      <xdr:rowOff>114300</xdr:rowOff>
    </xdr:to>
    <xdr:sp macro="" textlink="">
      <xdr:nvSpPr>
        <xdr:cNvPr id="57839" name="Line 161">
          <a:extLst>
            <a:ext uri="{FF2B5EF4-FFF2-40B4-BE49-F238E27FC236}">
              <a16:creationId xmlns:a16="http://schemas.microsoft.com/office/drawing/2014/main" id="{C06BF57A-E30A-CD44-E0C9-7C1157BAE52F}"/>
            </a:ext>
          </a:extLst>
        </xdr:cNvPr>
        <xdr:cNvSpPr>
          <a:spLocks noChangeShapeType="1"/>
        </xdr:cNvSpPr>
      </xdr:nvSpPr>
      <xdr:spPr bwMode="auto">
        <a:xfrm flipH="1">
          <a:off x="2425700" y="14198600"/>
          <a:ext cx="6604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Dot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68</xdr:row>
      <xdr:rowOff>0</xdr:rowOff>
    </xdr:from>
    <xdr:to>
      <xdr:col>4</xdr:col>
      <xdr:colOff>139700</xdr:colOff>
      <xdr:row>70</xdr:row>
      <xdr:rowOff>114300</xdr:rowOff>
    </xdr:to>
    <xdr:sp macro="" textlink="">
      <xdr:nvSpPr>
        <xdr:cNvPr id="57840" name="Line 162">
          <a:extLst>
            <a:ext uri="{FF2B5EF4-FFF2-40B4-BE49-F238E27FC236}">
              <a16:creationId xmlns:a16="http://schemas.microsoft.com/office/drawing/2014/main" id="{9C30CBBB-264F-F5C0-2730-6678C959AF1A}"/>
            </a:ext>
          </a:extLst>
        </xdr:cNvPr>
        <xdr:cNvSpPr>
          <a:spLocks noChangeShapeType="1"/>
        </xdr:cNvSpPr>
      </xdr:nvSpPr>
      <xdr:spPr bwMode="auto">
        <a:xfrm flipH="1" flipV="1">
          <a:off x="2489200" y="13639800"/>
          <a:ext cx="25400" cy="5588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139700</xdr:colOff>
      <xdr:row>66</xdr:row>
      <xdr:rowOff>114300</xdr:rowOff>
    </xdr:from>
    <xdr:to>
      <xdr:col>4</xdr:col>
      <xdr:colOff>139700</xdr:colOff>
      <xdr:row>68</xdr:row>
      <xdr:rowOff>0</xdr:rowOff>
    </xdr:to>
    <xdr:sp macro="" textlink="">
      <xdr:nvSpPr>
        <xdr:cNvPr id="57841" name="Line 163">
          <a:extLst>
            <a:ext uri="{FF2B5EF4-FFF2-40B4-BE49-F238E27FC236}">
              <a16:creationId xmlns:a16="http://schemas.microsoft.com/office/drawing/2014/main" id="{4A18F227-2951-6A91-9774-45A3E78B0A55}"/>
            </a:ext>
          </a:extLst>
        </xdr:cNvPr>
        <xdr:cNvSpPr>
          <a:spLocks noChangeShapeType="1"/>
        </xdr:cNvSpPr>
      </xdr:nvSpPr>
      <xdr:spPr bwMode="auto">
        <a:xfrm flipH="1" flipV="1">
          <a:off x="2514600" y="13322300"/>
          <a:ext cx="0" cy="317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12700</xdr:colOff>
      <xdr:row>66</xdr:row>
      <xdr:rowOff>114300</xdr:rowOff>
    </xdr:from>
    <xdr:to>
      <xdr:col>4</xdr:col>
      <xdr:colOff>127000</xdr:colOff>
      <xdr:row>66</xdr:row>
      <xdr:rowOff>114300</xdr:rowOff>
    </xdr:to>
    <xdr:sp macro="" textlink="">
      <xdr:nvSpPr>
        <xdr:cNvPr id="57842" name="Line 164">
          <a:extLst>
            <a:ext uri="{FF2B5EF4-FFF2-40B4-BE49-F238E27FC236}">
              <a16:creationId xmlns:a16="http://schemas.microsoft.com/office/drawing/2014/main" id="{3CFC8F8E-EB31-76E8-CDF4-0C90750186F2}"/>
            </a:ext>
          </a:extLst>
        </xdr:cNvPr>
        <xdr:cNvSpPr>
          <a:spLocks noChangeShapeType="1"/>
        </xdr:cNvSpPr>
      </xdr:nvSpPr>
      <xdr:spPr bwMode="auto">
        <a:xfrm flipH="1">
          <a:off x="2387600" y="13322300"/>
          <a:ext cx="1143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12700</xdr:colOff>
      <xdr:row>70</xdr:row>
      <xdr:rowOff>152400</xdr:rowOff>
    </xdr:from>
    <xdr:to>
      <xdr:col>3</xdr:col>
      <xdr:colOff>444500</xdr:colOff>
      <xdr:row>71</xdr:row>
      <xdr:rowOff>139700</xdr:rowOff>
    </xdr:to>
    <xdr:sp macro="" textlink="">
      <xdr:nvSpPr>
        <xdr:cNvPr id="57843" name="Line 165">
          <a:extLst>
            <a:ext uri="{FF2B5EF4-FFF2-40B4-BE49-F238E27FC236}">
              <a16:creationId xmlns:a16="http://schemas.microsoft.com/office/drawing/2014/main" id="{5F9FBA61-F554-E54B-9C3E-2E3D053CF857}"/>
            </a:ext>
          </a:extLst>
        </xdr:cNvPr>
        <xdr:cNvSpPr>
          <a:spLocks noChangeShapeType="1"/>
        </xdr:cNvSpPr>
      </xdr:nvSpPr>
      <xdr:spPr bwMode="auto">
        <a:xfrm flipH="1">
          <a:off x="1498600" y="14236700"/>
          <a:ext cx="431800" cy="1651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oval" w="med" len="med"/>
          <a:tailEnd type="oval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254000</xdr:colOff>
      <xdr:row>90</xdr:row>
      <xdr:rowOff>76200</xdr:rowOff>
    </xdr:from>
    <xdr:to>
      <xdr:col>12</xdr:col>
      <xdr:colOff>571500</xdr:colOff>
      <xdr:row>90</xdr:row>
      <xdr:rowOff>76200</xdr:rowOff>
    </xdr:to>
    <xdr:sp macro="" textlink="">
      <xdr:nvSpPr>
        <xdr:cNvPr id="57844" name="Line 166">
          <a:extLst>
            <a:ext uri="{FF2B5EF4-FFF2-40B4-BE49-F238E27FC236}">
              <a16:creationId xmlns:a16="http://schemas.microsoft.com/office/drawing/2014/main" id="{4E4FAA2F-3AAF-4F2B-8C74-F7DC5EC3E498}"/>
            </a:ext>
          </a:extLst>
        </xdr:cNvPr>
        <xdr:cNvSpPr>
          <a:spLocks noChangeShapeType="1"/>
        </xdr:cNvSpPr>
      </xdr:nvSpPr>
      <xdr:spPr bwMode="auto">
        <a:xfrm>
          <a:off x="6642100" y="17995900"/>
          <a:ext cx="26924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Dot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190500</xdr:colOff>
      <xdr:row>72</xdr:row>
      <xdr:rowOff>152400</xdr:rowOff>
    </xdr:from>
    <xdr:to>
      <xdr:col>5</xdr:col>
      <xdr:colOff>190500</xdr:colOff>
      <xdr:row>76</xdr:row>
      <xdr:rowOff>12700</xdr:rowOff>
    </xdr:to>
    <xdr:sp macro="" textlink="">
      <xdr:nvSpPr>
        <xdr:cNvPr id="57845" name="Line 172">
          <a:extLst>
            <a:ext uri="{FF2B5EF4-FFF2-40B4-BE49-F238E27FC236}">
              <a16:creationId xmlns:a16="http://schemas.microsoft.com/office/drawing/2014/main" id="{1280E90E-325E-4122-5716-1B1B21481623}"/>
            </a:ext>
          </a:extLst>
        </xdr:cNvPr>
        <xdr:cNvSpPr>
          <a:spLocks noChangeShapeType="1"/>
        </xdr:cNvSpPr>
      </xdr:nvSpPr>
      <xdr:spPr bwMode="auto">
        <a:xfrm>
          <a:off x="3276600" y="14630400"/>
          <a:ext cx="0" cy="6731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38100</xdr:colOff>
      <xdr:row>75</xdr:row>
      <xdr:rowOff>127000</xdr:rowOff>
    </xdr:from>
    <xdr:to>
      <xdr:col>5</xdr:col>
      <xdr:colOff>25400</xdr:colOff>
      <xdr:row>75</xdr:row>
      <xdr:rowOff>127000</xdr:rowOff>
    </xdr:to>
    <xdr:sp macro="" textlink="">
      <xdr:nvSpPr>
        <xdr:cNvPr id="57846" name="Line 173">
          <a:extLst>
            <a:ext uri="{FF2B5EF4-FFF2-40B4-BE49-F238E27FC236}">
              <a16:creationId xmlns:a16="http://schemas.microsoft.com/office/drawing/2014/main" id="{7B5F0875-0B44-4A9A-8B1E-E637DA9604DC}"/>
            </a:ext>
          </a:extLst>
        </xdr:cNvPr>
        <xdr:cNvSpPr>
          <a:spLocks noChangeShapeType="1"/>
        </xdr:cNvSpPr>
      </xdr:nvSpPr>
      <xdr:spPr bwMode="auto">
        <a:xfrm flipH="1">
          <a:off x="1524000" y="15201900"/>
          <a:ext cx="15875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203200</xdr:colOff>
      <xdr:row>75</xdr:row>
      <xdr:rowOff>127000</xdr:rowOff>
    </xdr:from>
    <xdr:to>
      <xdr:col>5</xdr:col>
      <xdr:colOff>495300</xdr:colOff>
      <xdr:row>75</xdr:row>
      <xdr:rowOff>127000</xdr:rowOff>
    </xdr:to>
    <xdr:sp macro="" textlink="">
      <xdr:nvSpPr>
        <xdr:cNvPr id="57847" name="Line 174">
          <a:extLst>
            <a:ext uri="{FF2B5EF4-FFF2-40B4-BE49-F238E27FC236}">
              <a16:creationId xmlns:a16="http://schemas.microsoft.com/office/drawing/2014/main" id="{F0C40476-3FFB-3325-397C-CA44A9E6A4D3}"/>
            </a:ext>
          </a:extLst>
        </xdr:cNvPr>
        <xdr:cNvSpPr>
          <a:spLocks noChangeShapeType="1"/>
        </xdr:cNvSpPr>
      </xdr:nvSpPr>
      <xdr:spPr bwMode="auto">
        <a:xfrm>
          <a:off x="3289300" y="15201900"/>
          <a:ext cx="2921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355600</xdr:colOff>
      <xdr:row>69</xdr:row>
      <xdr:rowOff>38100</xdr:rowOff>
    </xdr:from>
    <xdr:to>
      <xdr:col>5</xdr:col>
      <xdr:colOff>355600</xdr:colOff>
      <xdr:row>72</xdr:row>
      <xdr:rowOff>152400</xdr:rowOff>
    </xdr:to>
    <xdr:sp macro="" textlink="">
      <xdr:nvSpPr>
        <xdr:cNvPr id="57848" name="Line 175">
          <a:extLst>
            <a:ext uri="{FF2B5EF4-FFF2-40B4-BE49-F238E27FC236}">
              <a16:creationId xmlns:a16="http://schemas.microsoft.com/office/drawing/2014/main" id="{3B9EF2CC-9D5C-7F90-9338-141368D41BFA}"/>
            </a:ext>
          </a:extLst>
        </xdr:cNvPr>
        <xdr:cNvSpPr>
          <a:spLocks noChangeShapeType="1"/>
        </xdr:cNvSpPr>
      </xdr:nvSpPr>
      <xdr:spPr bwMode="auto">
        <a:xfrm flipV="1">
          <a:off x="3441700" y="13906500"/>
          <a:ext cx="0" cy="7239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Dot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355600</xdr:colOff>
      <xdr:row>69</xdr:row>
      <xdr:rowOff>101600</xdr:rowOff>
    </xdr:from>
    <xdr:to>
      <xdr:col>5</xdr:col>
      <xdr:colOff>812800</xdr:colOff>
      <xdr:row>69</xdr:row>
      <xdr:rowOff>114300</xdr:rowOff>
    </xdr:to>
    <xdr:sp macro="" textlink="">
      <xdr:nvSpPr>
        <xdr:cNvPr id="57849" name="Line 176">
          <a:extLst>
            <a:ext uri="{FF2B5EF4-FFF2-40B4-BE49-F238E27FC236}">
              <a16:creationId xmlns:a16="http://schemas.microsoft.com/office/drawing/2014/main" id="{21EDAE0F-569D-D454-8247-B38C7296FF09}"/>
            </a:ext>
          </a:extLst>
        </xdr:cNvPr>
        <xdr:cNvSpPr>
          <a:spLocks noChangeShapeType="1"/>
        </xdr:cNvSpPr>
      </xdr:nvSpPr>
      <xdr:spPr bwMode="auto">
        <a:xfrm>
          <a:off x="3441700" y="13970000"/>
          <a:ext cx="457200" cy="127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368300</xdr:colOff>
      <xdr:row>69</xdr:row>
      <xdr:rowOff>101600</xdr:rowOff>
    </xdr:from>
    <xdr:to>
      <xdr:col>5</xdr:col>
      <xdr:colOff>0</xdr:colOff>
      <xdr:row>69</xdr:row>
      <xdr:rowOff>101600</xdr:rowOff>
    </xdr:to>
    <xdr:sp macro="" textlink="">
      <xdr:nvSpPr>
        <xdr:cNvPr id="57850" name="Line 177">
          <a:extLst>
            <a:ext uri="{FF2B5EF4-FFF2-40B4-BE49-F238E27FC236}">
              <a16:creationId xmlns:a16="http://schemas.microsoft.com/office/drawing/2014/main" id="{EF37B3CE-F13E-A330-35FD-1825A85280CD}"/>
            </a:ext>
          </a:extLst>
        </xdr:cNvPr>
        <xdr:cNvSpPr>
          <a:spLocks noChangeShapeType="1"/>
        </xdr:cNvSpPr>
      </xdr:nvSpPr>
      <xdr:spPr bwMode="auto">
        <a:xfrm flipH="1">
          <a:off x="2743200" y="13970000"/>
          <a:ext cx="3429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50800</xdr:colOff>
      <xdr:row>72</xdr:row>
      <xdr:rowOff>152400</xdr:rowOff>
    </xdr:from>
    <xdr:to>
      <xdr:col>9</xdr:col>
      <xdr:colOff>76200</xdr:colOff>
      <xdr:row>91</xdr:row>
      <xdr:rowOff>139700</xdr:rowOff>
    </xdr:to>
    <xdr:sp macro="" textlink="">
      <xdr:nvSpPr>
        <xdr:cNvPr id="57851" name="Line 178">
          <a:extLst>
            <a:ext uri="{FF2B5EF4-FFF2-40B4-BE49-F238E27FC236}">
              <a16:creationId xmlns:a16="http://schemas.microsoft.com/office/drawing/2014/main" id="{8D04F414-6EF9-CD2C-C238-C5433888BC01}"/>
            </a:ext>
          </a:extLst>
        </xdr:cNvPr>
        <xdr:cNvSpPr>
          <a:spLocks noChangeShapeType="1"/>
        </xdr:cNvSpPr>
      </xdr:nvSpPr>
      <xdr:spPr bwMode="auto">
        <a:xfrm flipV="1">
          <a:off x="6438900" y="14630400"/>
          <a:ext cx="25400" cy="36449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444500</xdr:colOff>
      <xdr:row>81</xdr:row>
      <xdr:rowOff>76200</xdr:rowOff>
    </xdr:from>
    <xdr:to>
      <xdr:col>9</xdr:col>
      <xdr:colOff>63500</xdr:colOff>
      <xdr:row>81</xdr:row>
      <xdr:rowOff>76200</xdr:rowOff>
    </xdr:to>
    <xdr:sp macro="" textlink="">
      <xdr:nvSpPr>
        <xdr:cNvPr id="57852" name="Line 179">
          <a:extLst>
            <a:ext uri="{FF2B5EF4-FFF2-40B4-BE49-F238E27FC236}">
              <a16:creationId xmlns:a16="http://schemas.microsoft.com/office/drawing/2014/main" id="{7B5DA38C-2E7D-8819-560B-7B1141724F44}"/>
            </a:ext>
          </a:extLst>
        </xdr:cNvPr>
        <xdr:cNvSpPr>
          <a:spLocks noChangeShapeType="1"/>
        </xdr:cNvSpPr>
      </xdr:nvSpPr>
      <xdr:spPr bwMode="auto">
        <a:xfrm flipH="1">
          <a:off x="6007100" y="16332200"/>
          <a:ext cx="4445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342900</xdr:colOff>
      <xdr:row>71</xdr:row>
      <xdr:rowOff>139700</xdr:rowOff>
    </xdr:from>
    <xdr:to>
      <xdr:col>6</xdr:col>
      <xdr:colOff>850900</xdr:colOff>
      <xdr:row>71</xdr:row>
      <xdr:rowOff>139700</xdr:rowOff>
    </xdr:to>
    <xdr:sp macro="" textlink="">
      <xdr:nvSpPr>
        <xdr:cNvPr id="57853" name="Line 181">
          <a:extLst>
            <a:ext uri="{FF2B5EF4-FFF2-40B4-BE49-F238E27FC236}">
              <a16:creationId xmlns:a16="http://schemas.microsoft.com/office/drawing/2014/main" id="{E7F85D3A-EFF0-03BA-C5A3-E644C631DF9B}"/>
            </a:ext>
          </a:extLst>
        </xdr:cNvPr>
        <xdr:cNvSpPr>
          <a:spLocks noChangeShapeType="1"/>
        </xdr:cNvSpPr>
      </xdr:nvSpPr>
      <xdr:spPr bwMode="auto">
        <a:xfrm>
          <a:off x="3429000" y="14401800"/>
          <a:ext cx="13589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71</xdr:row>
      <xdr:rowOff>139700</xdr:rowOff>
    </xdr:from>
    <xdr:to>
      <xdr:col>9</xdr:col>
      <xdr:colOff>266700</xdr:colOff>
      <xdr:row>71</xdr:row>
      <xdr:rowOff>139700</xdr:rowOff>
    </xdr:to>
    <xdr:sp macro="" textlink="">
      <xdr:nvSpPr>
        <xdr:cNvPr id="57854" name="Line 182">
          <a:extLst>
            <a:ext uri="{FF2B5EF4-FFF2-40B4-BE49-F238E27FC236}">
              <a16:creationId xmlns:a16="http://schemas.microsoft.com/office/drawing/2014/main" id="{E186E1C7-8E6D-E0B8-139A-E521468C6121}"/>
            </a:ext>
          </a:extLst>
        </xdr:cNvPr>
        <xdr:cNvSpPr>
          <a:spLocks noChangeShapeType="1"/>
        </xdr:cNvSpPr>
      </xdr:nvSpPr>
      <xdr:spPr bwMode="auto">
        <a:xfrm>
          <a:off x="5562600" y="14401800"/>
          <a:ext cx="10922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266700</xdr:colOff>
      <xdr:row>90</xdr:row>
      <xdr:rowOff>50800</xdr:rowOff>
    </xdr:from>
    <xdr:to>
      <xdr:col>9</xdr:col>
      <xdr:colOff>203200</xdr:colOff>
      <xdr:row>90</xdr:row>
      <xdr:rowOff>50800</xdr:rowOff>
    </xdr:to>
    <xdr:sp macro="" textlink="">
      <xdr:nvSpPr>
        <xdr:cNvPr id="57855" name="Line 183">
          <a:extLst>
            <a:ext uri="{FF2B5EF4-FFF2-40B4-BE49-F238E27FC236}">
              <a16:creationId xmlns:a16="http://schemas.microsoft.com/office/drawing/2014/main" id="{72003EE5-73D4-0991-BF69-954D16F9304B}"/>
            </a:ext>
          </a:extLst>
        </xdr:cNvPr>
        <xdr:cNvSpPr>
          <a:spLocks noChangeShapeType="1"/>
        </xdr:cNvSpPr>
      </xdr:nvSpPr>
      <xdr:spPr bwMode="auto">
        <a:xfrm flipH="1" flipV="1">
          <a:off x="1752600" y="17970500"/>
          <a:ext cx="48387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Dot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431800</xdr:colOff>
      <xdr:row>72</xdr:row>
      <xdr:rowOff>152400</xdr:rowOff>
    </xdr:from>
    <xdr:to>
      <xdr:col>3</xdr:col>
      <xdr:colOff>431800</xdr:colOff>
      <xdr:row>79</xdr:row>
      <xdr:rowOff>139700</xdr:rowOff>
    </xdr:to>
    <xdr:sp macro="" textlink="">
      <xdr:nvSpPr>
        <xdr:cNvPr id="57856" name="Line 184">
          <a:extLst>
            <a:ext uri="{FF2B5EF4-FFF2-40B4-BE49-F238E27FC236}">
              <a16:creationId xmlns:a16="http://schemas.microsoft.com/office/drawing/2014/main" id="{E1D70542-30B7-5386-8460-43DEB9526ABA}"/>
            </a:ext>
          </a:extLst>
        </xdr:cNvPr>
        <xdr:cNvSpPr>
          <a:spLocks noChangeShapeType="1"/>
        </xdr:cNvSpPr>
      </xdr:nvSpPr>
      <xdr:spPr bwMode="auto">
        <a:xfrm>
          <a:off x="1917700" y="14630400"/>
          <a:ext cx="0" cy="13843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393700</xdr:colOff>
      <xdr:row>82</xdr:row>
      <xdr:rowOff>12700</xdr:rowOff>
    </xdr:from>
    <xdr:to>
      <xdr:col>3</xdr:col>
      <xdr:colOff>419100</xdr:colOff>
      <xdr:row>90</xdr:row>
      <xdr:rowOff>38100</xdr:rowOff>
    </xdr:to>
    <xdr:sp macro="" textlink="">
      <xdr:nvSpPr>
        <xdr:cNvPr id="57857" name="Line 185">
          <a:extLst>
            <a:ext uri="{FF2B5EF4-FFF2-40B4-BE49-F238E27FC236}">
              <a16:creationId xmlns:a16="http://schemas.microsoft.com/office/drawing/2014/main" id="{03754E5E-FD0E-6355-9C1A-500793DEEEEB}"/>
            </a:ext>
          </a:extLst>
        </xdr:cNvPr>
        <xdr:cNvSpPr>
          <a:spLocks noChangeShapeType="1"/>
        </xdr:cNvSpPr>
      </xdr:nvSpPr>
      <xdr:spPr bwMode="auto">
        <a:xfrm flipV="1">
          <a:off x="1879600" y="16484600"/>
          <a:ext cx="25400" cy="14732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5</xdr:col>
      <xdr:colOff>527050</xdr:colOff>
      <xdr:row>66</xdr:row>
      <xdr:rowOff>51435</xdr:rowOff>
    </xdr:from>
    <xdr:ext cx="323693" cy="229885"/>
    <xdr:sp macro="" textlink="">
      <xdr:nvSpPr>
        <xdr:cNvPr id="16570" name="AutoShape 186">
          <a:extLst>
            <a:ext uri="{FF2B5EF4-FFF2-40B4-BE49-F238E27FC236}">
              <a16:creationId xmlns:a16="http://schemas.microsoft.com/office/drawing/2014/main" id="{D26ACFF5-BD99-B699-E0AB-AD3DB2B251D9}"/>
            </a:ext>
          </a:extLst>
        </xdr:cNvPr>
        <xdr:cNvSpPr>
          <a:spLocks/>
        </xdr:cNvSpPr>
      </xdr:nvSpPr>
      <xdr:spPr bwMode="auto">
        <a:xfrm>
          <a:off x="3263900" y="12948285"/>
          <a:ext cx="296363" cy="170560"/>
        </a:xfrm>
        <a:prstGeom prst="borderCallout2">
          <a:avLst>
            <a:gd name="adj1" fmla="val 54546"/>
            <a:gd name="adj2" fmla="val -20514"/>
            <a:gd name="adj3" fmla="val 54546"/>
            <a:gd name="adj4" fmla="val -43588"/>
            <a:gd name="adj5" fmla="val 422727"/>
            <a:gd name="adj6" fmla="val -12563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W.P.</a:t>
          </a:r>
        </a:p>
      </xdr:txBody>
    </xdr:sp>
    <xdr:clientData/>
  </xdr:oneCellAnchor>
  <xdr:oneCellAnchor>
    <xdr:from>
      <xdr:col>10</xdr:col>
      <xdr:colOff>363855</xdr:colOff>
      <xdr:row>86</xdr:row>
      <xdr:rowOff>38100</xdr:rowOff>
    </xdr:from>
    <xdr:ext cx="394908" cy="230415"/>
    <xdr:sp macro="" textlink="">
      <xdr:nvSpPr>
        <xdr:cNvPr id="16571" name="AutoShape 187">
          <a:extLst>
            <a:ext uri="{FF2B5EF4-FFF2-40B4-BE49-F238E27FC236}">
              <a16:creationId xmlns:a16="http://schemas.microsoft.com/office/drawing/2014/main" id="{90DDA925-74DA-9F7F-BFEE-DD92B2CB4918}"/>
            </a:ext>
          </a:extLst>
        </xdr:cNvPr>
        <xdr:cNvSpPr>
          <a:spLocks/>
        </xdr:cNvSpPr>
      </xdr:nvSpPr>
      <xdr:spPr bwMode="auto">
        <a:xfrm>
          <a:off x="6673215" y="16832580"/>
          <a:ext cx="296363" cy="170560"/>
        </a:xfrm>
        <a:prstGeom prst="borderCallout2">
          <a:avLst>
            <a:gd name="adj1" fmla="val 54546"/>
            <a:gd name="adj2" fmla="val -20514"/>
            <a:gd name="adj3" fmla="val 54546"/>
            <a:gd name="adj4" fmla="val -58972"/>
            <a:gd name="adj5" fmla="val 318181"/>
            <a:gd name="adj6" fmla="val -174361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W.P.</a:t>
          </a:r>
        </a:p>
      </xdr:txBody>
    </xdr:sp>
    <xdr:clientData/>
  </xdr:oneCellAnchor>
  <xdr:twoCellAnchor>
    <xdr:from>
      <xdr:col>9</xdr:col>
      <xdr:colOff>508000</xdr:colOff>
      <xdr:row>72</xdr:row>
      <xdr:rowOff>165100</xdr:rowOff>
    </xdr:from>
    <xdr:to>
      <xdr:col>9</xdr:col>
      <xdr:colOff>508000</xdr:colOff>
      <xdr:row>91</xdr:row>
      <xdr:rowOff>76200</xdr:rowOff>
    </xdr:to>
    <xdr:sp macro="" textlink="">
      <xdr:nvSpPr>
        <xdr:cNvPr id="57860" name="Line 203">
          <a:extLst>
            <a:ext uri="{FF2B5EF4-FFF2-40B4-BE49-F238E27FC236}">
              <a16:creationId xmlns:a16="http://schemas.microsoft.com/office/drawing/2014/main" id="{2BB775EC-97F5-E12B-32C8-DF13AFD823C4}"/>
            </a:ext>
          </a:extLst>
        </xdr:cNvPr>
        <xdr:cNvSpPr>
          <a:spLocks noChangeShapeType="1"/>
        </xdr:cNvSpPr>
      </xdr:nvSpPr>
      <xdr:spPr bwMode="auto">
        <a:xfrm flipV="1">
          <a:off x="6896100" y="14643100"/>
          <a:ext cx="0" cy="35687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495300</xdr:colOff>
      <xdr:row>81</xdr:row>
      <xdr:rowOff>76200</xdr:rowOff>
    </xdr:from>
    <xdr:to>
      <xdr:col>10</xdr:col>
      <xdr:colOff>647700</xdr:colOff>
      <xdr:row>81</xdr:row>
      <xdr:rowOff>76200</xdr:rowOff>
    </xdr:to>
    <xdr:sp macro="" textlink="">
      <xdr:nvSpPr>
        <xdr:cNvPr id="57861" name="Line 204">
          <a:extLst>
            <a:ext uri="{FF2B5EF4-FFF2-40B4-BE49-F238E27FC236}">
              <a16:creationId xmlns:a16="http://schemas.microsoft.com/office/drawing/2014/main" id="{27163F03-94C5-FDED-ECE4-C38D391AA31A}"/>
            </a:ext>
          </a:extLst>
        </xdr:cNvPr>
        <xdr:cNvSpPr>
          <a:spLocks noChangeShapeType="1"/>
        </xdr:cNvSpPr>
      </xdr:nvSpPr>
      <xdr:spPr bwMode="auto">
        <a:xfrm>
          <a:off x="6883400" y="16332200"/>
          <a:ext cx="8255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215900</xdr:colOff>
      <xdr:row>89</xdr:row>
      <xdr:rowOff>139700</xdr:rowOff>
    </xdr:from>
    <xdr:to>
      <xdr:col>9</xdr:col>
      <xdr:colOff>12700</xdr:colOff>
      <xdr:row>89</xdr:row>
      <xdr:rowOff>139700</xdr:rowOff>
    </xdr:to>
    <xdr:sp macro="" textlink="">
      <xdr:nvSpPr>
        <xdr:cNvPr id="57862" name="Line 205">
          <a:extLst>
            <a:ext uri="{FF2B5EF4-FFF2-40B4-BE49-F238E27FC236}">
              <a16:creationId xmlns:a16="http://schemas.microsoft.com/office/drawing/2014/main" id="{D84E845F-BA4E-C0A4-79FF-2F84F60998A5}"/>
            </a:ext>
          </a:extLst>
        </xdr:cNvPr>
        <xdr:cNvSpPr>
          <a:spLocks noChangeShapeType="1"/>
        </xdr:cNvSpPr>
      </xdr:nvSpPr>
      <xdr:spPr bwMode="auto">
        <a:xfrm flipH="1">
          <a:off x="4152900" y="17894300"/>
          <a:ext cx="22479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342900</xdr:colOff>
      <xdr:row>87</xdr:row>
      <xdr:rowOff>101600</xdr:rowOff>
    </xdr:from>
    <xdr:to>
      <xdr:col>6</xdr:col>
      <xdr:colOff>342900</xdr:colOff>
      <xdr:row>89</xdr:row>
      <xdr:rowOff>114300</xdr:rowOff>
    </xdr:to>
    <xdr:sp macro="" textlink="">
      <xdr:nvSpPr>
        <xdr:cNvPr id="57863" name="Line 206">
          <a:extLst>
            <a:ext uri="{FF2B5EF4-FFF2-40B4-BE49-F238E27FC236}">
              <a16:creationId xmlns:a16="http://schemas.microsoft.com/office/drawing/2014/main" id="{26A862B3-E27F-9A28-757C-52E64C8B6656}"/>
            </a:ext>
          </a:extLst>
        </xdr:cNvPr>
        <xdr:cNvSpPr>
          <a:spLocks noChangeShapeType="1"/>
        </xdr:cNvSpPr>
      </xdr:nvSpPr>
      <xdr:spPr bwMode="auto">
        <a:xfrm flipV="1">
          <a:off x="4279900" y="17526000"/>
          <a:ext cx="0" cy="3429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304800</xdr:colOff>
      <xdr:row>90</xdr:row>
      <xdr:rowOff>76200</xdr:rowOff>
    </xdr:from>
    <xdr:to>
      <xdr:col>6</xdr:col>
      <xdr:colOff>304800</xdr:colOff>
      <xdr:row>91</xdr:row>
      <xdr:rowOff>114300</xdr:rowOff>
    </xdr:to>
    <xdr:sp macro="" textlink="">
      <xdr:nvSpPr>
        <xdr:cNvPr id="57864" name="Line 207">
          <a:extLst>
            <a:ext uri="{FF2B5EF4-FFF2-40B4-BE49-F238E27FC236}">
              <a16:creationId xmlns:a16="http://schemas.microsoft.com/office/drawing/2014/main" id="{9D8D4CBF-785B-7CDF-BFEB-25BCBDAFD4E8}"/>
            </a:ext>
          </a:extLst>
        </xdr:cNvPr>
        <xdr:cNvSpPr>
          <a:spLocks noChangeShapeType="1"/>
        </xdr:cNvSpPr>
      </xdr:nvSpPr>
      <xdr:spPr bwMode="auto">
        <a:xfrm>
          <a:off x="4241800" y="17995900"/>
          <a:ext cx="0" cy="2540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38100</xdr:colOff>
      <xdr:row>91</xdr:row>
      <xdr:rowOff>127000</xdr:rowOff>
    </xdr:from>
    <xdr:to>
      <xdr:col>6</xdr:col>
      <xdr:colOff>317500</xdr:colOff>
      <xdr:row>91</xdr:row>
      <xdr:rowOff>127000</xdr:rowOff>
    </xdr:to>
    <xdr:sp macro="" textlink="">
      <xdr:nvSpPr>
        <xdr:cNvPr id="57865" name="Line 208">
          <a:extLst>
            <a:ext uri="{FF2B5EF4-FFF2-40B4-BE49-F238E27FC236}">
              <a16:creationId xmlns:a16="http://schemas.microsoft.com/office/drawing/2014/main" id="{8ECDFE40-6041-2612-6B49-7DD2A3A50917}"/>
            </a:ext>
          </a:extLst>
        </xdr:cNvPr>
        <xdr:cNvSpPr>
          <a:spLocks noChangeShapeType="1"/>
        </xdr:cNvSpPr>
      </xdr:nvSpPr>
      <xdr:spPr bwMode="auto">
        <a:xfrm flipH="1">
          <a:off x="3975100" y="18262600"/>
          <a:ext cx="2794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457200</xdr:colOff>
      <xdr:row>105</xdr:row>
      <xdr:rowOff>152400</xdr:rowOff>
    </xdr:from>
    <xdr:to>
      <xdr:col>10</xdr:col>
      <xdr:colOff>368300</xdr:colOff>
      <xdr:row>105</xdr:row>
      <xdr:rowOff>152400</xdr:rowOff>
    </xdr:to>
    <xdr:sp macro="" textlink="">
      <xdr:nvSpPr>
        <xdr:cNvPr id="57866" name="Line 278">
          <a:extLst>
            <a:ext uri="{FF2B5EF4-FFF2-40B4-BE49-F238E27FC236}">
              <a16:creationId xmlns:a16="http://schemas.microsoft.com/office/drawing/2014/main" id="{67161C18-FB87-45B0-CEAA-A68B5376F262}"/>
            </a:ext>
          </a:extLst>
        </xdr:cNvPr>
        <xdr:cNvSpPr>
          <a:spLocks noChangeShapeType="1"/>
        </xdr:cNvSpPr>
      </xdr:nvSpPr>
      <xdr:spPr bwMode="auto">
        <a:xfrm>
          <a:off x="2832100" y="21107400"/>
          <a:ext cx="45974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495300</xdr:colOff>
      <xdr:row>101</xdr:row>
      <xdr:rowOff>12700</xdr:rowOff>
    </xdr:from>
    <xdr:to>
      <xdr:col>10</xdr:col>
      <xdr:colOff>228600</xdr:colOff>
      <xdr:row>101</xdr:row>
      <xdr:rowOff>25400</xdr:rowOff>
    </xdr:to>
    <xdr:sp macro="" textlink="">
      <xdr:nvSpPr>
        <xdr:cNvPr id="57867" name="Line 279">
          <a:extLst>
            <a:ext uri="{FF2B5EF4-FFF2-40B4-BE49-F238E27FC236}">
              <a16:creationId xmlns:a16="http://schemas.microsoft.com/office/drawing/2014/main" id="{80002177-8390-EEDE-FC02-89B02C30CEE6}"/>
            </a:ext>
          </a:extLst>
        </xdr:cNvPr>
        <xdr:cNvSpPr>
          <a:spLocks noChangeShapeType="1"/>
        </xdr:cNvSpPr>
      </xdr:nvSpPr>
      <xdr:spPr bwMode="auto">
        <a:xfrm flipV="1">
          <a:off x="2870200" y="20104100"/>
          <a:ext cx="4419600" cy="127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76200</xdr:colOff>
      <xdr:row>98</xdr:row>
      <xdr:rowOff>76200</xdr:rowOff>
    </xdr:from>
    <xdr:to>
      <xdr:col>5</xdr:col>
      <xdr:colOff>114300</xdr:colOff>
      <xdr:row>124</xdr:row>
      <xdr:rowOff>25400</xdr:rowOff>
    </xdr:to>
    <xdr:sp macro="" textlink="">
      <xdr:nvSpPr>
        <xdr:cNvPr id="57868" name="Line 280">
          <a:extLst>
            <a:ext uri="{FF2B5EF4-FFF2-40B4-BE49-F238E27FC236}">
              <a16:creationId xmlns:a16="http://schemas.microsoft.com/office/drawing/2014/main" id="{8C09AE22-7BC3-C72B-0D4F-2D5C02331E31}"/>
            </a:ext>
          </a:extLst>
        </xdr:cNvPr>
        <xdr:cNvSpPr>
          <a:spLocks noChangeShapeType="1"/>
        </xdr:cNvSpPr>
      </xdr:nvSpPr>
      <xdr:spPr bwMode="auto">
        <a:xfrm>
          <a:off x="3162300" y="19532600"/>
          <a:ext cx="38100" cy="5143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Dot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419100</xdr:colOff>
      <xdr:row>101</xdr:row>
      <xdr:rowOff>12700</xdr:rowOff>
    </xdr:from>
    <xdr:to>
      <xdr:col>4</xdr:col>
      <xdr:colOff>431800</xdr:colOff>
      <xdr:row>101</xdr:row>
      <xdr:rowOff>12700</xdr:rowOff>
    </xdr:to>
    <xdr:sp macro="" textlink="">
      <xdr:nvSpPr>
        <xdr:cNvPr id="57869" name="Line 281">
          <a:extLst>
            <a:ext uri="{FF2B5EF4-FFF2-40B4-BE49-F238E27FC236}">
              <a16:creationId xmlns:a16="http://schemas.microsoft.com/office/drawing/2014/main" id="{AB758A3B-2071-565C-03D5-E30943B46067}"/>
            </a:ext>
          </a:extLst>
        </xdr:cNvPr>
        <xdr:cNvSpPr>
          <a:spLocks noChangeShapeType="1"/>
        </xdr:cNvSpPr>
      </xdr:nvSpPr>
      <xdr:spPr bwMode="auto">
        <a:xfrm flipH="1">
          <a:off x="1905000" y="20104100"/>
          <a:ext cx="9017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368300</xdr:colOff>
      <xdr:row>105</xdr:row>
      <xdr:rowOff>152400</xdr:rowOff>
    </xdr:from>
    <xdr:to>
      <xdr:col>4</xdr:col>
      <xdr:colOff>406400</xdr:colOff>
      <xdr:row>105</xdr:row>
      <xdr:rowOff>152400</xdr:rowOff>
    </xdr:to>
    <xdr:sp macro="" textlink="">
      <xdr:nvSpPr>
        <xdr:cNvPr id="57870" name="Line 282">
          <a:extLst>
            <a:ext uri="{FF2B5EF4-FFF2-40B4-BE49-F238E27FC236}">
              <a16:creationId xmlns:a16="http://schemas.microsoft.com/office/drawing/2014/main" id="{39EC49D4-A3B5-6B40-17B2-0424A1DA575F}"/>
            </a:ext>
          </a:extLst>
        </xdr:cNvPr>
        <xdr:cNvSpPr>
          <a:spLocks noChangeShapeType="1"/>
        </xdr:cNvSpPr>
      </xdr:nvSpPr>
      <xdr:spPr bwMode="auto">
        <a:xfrm flipH="1">
          <a:off x="1854200" y="21107400"/>
          <a:ext cx="9271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444500</xdr:colOff>
      <xdr:row>101</xdr:row>
      <xdr:rowOff>25400</xdr:rowOff>
    </xdr:from>
    <xdr:to>
      <xdr:col>3</xdr:col>
      <xdr:colOff>444500</xdr:colOff>
      <xdr:row>105</xdr:row>
      <xdr:rowOff>152400</xdr:rowOff>
    </xdr:to>
    <xdr:sp macro="" textlink="">
      <xdr:nvSpPr>
        <xdr:cNvPr id="57871" name="Line 283">
          <a:extLst>
            <a:ext uri="{FF2B5EF4-FFF2-40B4-BE49-F238E27FC236}">
              <a16:creationId xmlns:a16="http://schemas.microsoft.com/office/drawing/2014/main" id="{23B0ED8E-BF67-36F9-2C50-3780F54C5772}"/>
            </a:ext>
          </a:extLst>
        </xdr:cNvPr>
        <xdr:cNvSpPr>
          <a:spLocks noChangeShapeType="1"/>
        </xdr:cNvSpPr>
      </xdr:nvSpPr>
      <xdr:spPr bwMode="auto">
        <a:xfrm>
          <a:off x="1930400" y="20116800"/>
          <a:ext cx="0" cy="9906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266700</xdr:colOff>
      <xdr:row>98</xdr:row>
      <xdr:rowOff>38100</xdr:rowOff>
    </xdr:from>
    <xdr:to>
      <xdr:col>9</xdr:col>
      <xdr:colOff>279400</xdr:colOff>
      <xdr:row>124</xdr:row>
      <xdr:rowOff>88900</xdr:rowOff>
    </xdr:to>
    <xdr:sp macro="" textlink="">
      <xdr:nvSpPr>
        <xdr:cNvPr id="57872" name="Line 284">
          <a:extLst>
            <a:ext uri="{FF2B5EF4-FFF2-40B4-BE49-F238E27FC236}">
              <a16:creationId xmlns:a16="http://schemas.microsoft.com/office/drawing/2014/main" id="{FD0185A4-8290-0C8B-5CF5-B641998B1617}"/>
            </a:ext>
          </a:extLst>
        </xdr:cNvPr>
        <xdr:cNvSpPr>
          <a:spLocks noChangeShapeType="1"/>
        </xdr:cNvSpPr>
      </xdr:nvSpPr>
      <xdr:spPr bwMode="auto">
        <a:xfrm>
          <a:off x="6654800" y="19494500"/>
          <a:ext cx="12700" cy="52451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Dot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190500</xdr:colOff>
      <xdr:row>105</xdr:row>
      <xdr:rowOff>152400</xdr:rowOff>
    </xdr:from>
    <xdr:to>
      <xdr:col>9</xdr:col>
      <xdr:colOff>38100</xdr:colOff>
      <xdr:row>122</xdr:row>
      <xdr:rowOff>139700</xdr:rowOff>
    </xdr:to>
    <xdr:sp macro="" textlink="">
      <xdr:nvSpPr>
        <xdr:cNvPr id="57873" name="Line 285">
          <a:extLst>
            <a:ext uri="{FF2B5EF4-FFF2-40B4-BE49-F238E27FC236}">
              <a16:creationId xmlns:a16="http://schemas.microsoft.com/office/drawing/2014/main" id="{5E43F0A9-8B28-A7E0-1460-2C8F87927276}"/>
            </a:ext>
          </a:extLst>
        </xdr:cNvPr>
        <xdr:cNvSpPr>
          <a:spLocks noChangeShapeType="1"/>
        </xdr:cNvSpPr>
      </xdr:nvSpPr>
      <xdr:spPr bwMode="auto">
        <a:xfrm>
          <a:off x="3276600" y="21107400"/>
          <a:ext cx="3149600" cy="33147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533400</xdr:colOff>
      <xdr:row>105</xdr:row>
      <xdr:rowOff>152400</xdr:rowOff>
    </xdr:from>
    <xdr:to>
      <xdr:col>9</xdr:col>
      <xdr:colOff>50800</xdr:colOff>
      <xdr:row>120</xdr:row>
      <xdr:rowOff>139700</xdr:rowOff>
    </xdr:to>
    <xdr:sp macro="" textlink="">
      <xdr:nvSpPr>
        <xdr:cNvPr id="57874" name="Line 286">
          <a:extLst>
            <a:ext uri="{FF2B5EF4-FFF2-40B4-BE49-F238E27FC236}">
              <a16:creationId xmlns:a16="http://schemas.microsoft.com/office/drawing/2014/main" id="{744B4A75-48A1-F868-B84C-3DA28E7DD1D1}"/>
            </a:ext>
          </a:extLst>
        </xdr:cNvPr>
        <xdr:cNvSpPr>
          <a:spLocks noChangeShapeType="1"/>
        </xdr:cNvSpPr>
      </xdr:nvSpPr>
      <xdr:spPr bwMode="auto">
        <a:xfrm flipH="1" flipV="1">
          <a:off x="3619500" y="21107400"/>
          <a:ext cx="2819400" cy="29845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342900</xdr:colOff>
      <xdr:row>105</xdr:row>
      <xdr:rowOff>88900</xdr:rowOff>
    </xdr:from>
    <xdr:to>
      <xdr:col>9</xdr:col>
      <xdr:colOff>241300</xdr:colOff>
      <xdr:row>123</xdr:row>
      <xdr:rowOff>76200</xdr:rowOff>
    </xdr:to>
    <xdr:sp macro="" textlink="">
      <xdr:nvSpPr>
        <xdr:cNvPr id="57875" name="Line 287">
          <a:extLst>
            <a:ext uri="{FF2B5EF4-FFF2-40B4-BE49-F238E27FC236}">
              <a16:creationId xmlns:a16="http://schemas.microsoft.com/office/drawing/2014/main" id="{E5D3DE9F-A3B5-F6EA-A1C8-CC43DD54DBF7}"/>
            </a:ext>
          </a:extLst>
        </xdr:cNvPr>
        <xdr:cNvSpPr>
          <a:spLocks noChangeShapeType="1"/>
        </xdr:cNvSpPr>
      </xdr:nvSpPr>
      <xdr:spPr bwMode="auto">
        <a:xfrm flipH="1" flipV="1">
          <a:off x="3429000" y="21043900"/>
          <a:ext cx="3200400" cy="34798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lgDashDot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317500</xdr:colOff>
      <xdr:row>101</xdr:row>
      <xdr:rowOff>38100</xdr:rowOff>
    </xdr:from>
    <xdr:to>
      <xdr:col>12</xdr:col>
      <xdr:colOff>533400</xdr:colOff>
      <xdr:row>101</xdr:row>
      <xdr:rowOff>38100</xdr:rowOff>
    </xdr:to>
    <xdr:sp macro="" textlink="">
      <xdr:nvSpPr>
        <xdr:cNvPr id="57876" name="Line 288">
          <a:extLst>
            <a:ext uri="{FF2B5EF4-FFF2-40B4-BE49-F238E27FC236}">
              <a16:creationId xmlns:a16="http://schemas.microsoft.com/office/drawing/2014/main" id="{92A796A2-DB1E-CA95-1DE3-777EEB37053B}"/>
            </a:ext>
          </a:extLst>
        </xdr:cNvPr>
        <xdr:cNvSpPr>
          <a:spLocks noChangeShapeType="1"/>
        </xdr:cNvSpPr>
      </xdr:nvSpPr>
      <xdr:spPr bwMode="auto">
        <a:xfrm flipV="1">
          <a:off x="7378700" y="20129500"/>
          <a:ext cx="19177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368300</xdr:colOff>
      <xdr:row>101</xdr:row>
      <xdr:rowOff>50800</xdr:rowOff>
    </xdr:from>
    <xdr:to>
      <xdr:col>12</xdr:col>
      <xdr:colOff>368300</xdr:colOff>
      <xdr:row>123</xdr:row>
      <xdr:rowOff>76200</xdr:rowOff>
    </xdr:to>
    <xdr:sp macro="" textlink="">
      <xdr:nvSpPr>
        <xdr:cNvPr id="57877" name="Line 289">
          <a:extLst>
            <a:ext uri="{FF2B5EF4-FFF2-40B4-BE49-F238E27FC236}">
              <a16:creationId xmlns:a16="http://schemas.microsoft.com/office/drawing/2014/main" id="{A4F5F147-CC1A-F7FF-77F4-E458AC599E81}"/>
            </a:ext>
          </a:extLst>
        </xdr:cNvPr>
        <xdr:cNvSpPr>
          <a:spLocks noChangeShapeType="1"/>
        </xdr:cNvSpPr>
      </xdr:nvSpPr>
      <xdr:spPr bwMode="auto">
        <a:xfrm flipV="1">
          <a:off x="9131300" y="20142200"/>
          <a:ext cx="0" cy="4381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381000</xdr:colOff>
      <xdr:row>111</xdr:row>
      <xdr:rowOff>101600</xdr:rowOff>
    </xdr:from>
    <xdr:to>
      <xdr:col>12</xdr:col>
      <xdr:colOff>812800</xdr:colOff>
      <xdr:row>111</xdr:row>
      <xdr:rowOff>101600</xdr:rowOff>
    </xdr:to>
    <xdr:sp macro="" textlink="">
      <xdr:nvSpPr>
        <xdr:cNvPr id="57878" name="Line 290">
          <a:extLst>
            <a:ext uri="{FF2B5EF4-FFF2-40B4-BE49-F238E27FC236}">
              <a16:creationId xmlns:a16="http://schemas.microsoft.com/office/drawing/2014/main" id="{99F299B4-B137-AC57-EB79-A928E257C6E1}"/>
            </a:ext>
          </a:extLst>
        </xdr:cNvPr>
        <xdr:cNvSpPr>
          <a:spLocks noChangeShapeType="1"/>
        </xdr:cNvSpPr>
      </xdr:nvSpPr>
      <xdr:spPr bwMode="auto">
        <a:xfrm flipH="1">
          <a:off x="9144000" y="22225000"/>
          <a:ext cx="4318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oval" w="med" len="med"/>
          <a:tailEnd type="oval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203200</xdr:colOff>
      <xdr:row>112</xdr:row>
      <xdr:rowOff>50800</xdr:rowOff>
    </xdr:from>
    <xdr:to>
      <xdr:col>6</xdr:col>
      <xdr:colOff>596900</xdr:colOff>
      <xdr:row>113</xdr:row>
      <xdr:rowOff>127000</xdr:rowOff>
    </xdr:to>
    <xdr:sp macro="" textlink="">
      <xdr:nvSpPr>
        <xdr:cNvPr id="57879" name="Line 291">
          <a:extLst>
            <a:ext uri="{FF2B5EF4-FFF2-40B4-BE49-F238E27FC236}">
              <a16:creationId xmlns:a16="http://schemas.microsoft.com/office/drawing/2014/main" id="{F5A7E30B-B846-FC31-A92A-A63C419B9DDC}"/>
            </a:ext>
          </a:extLst>
        </xdr:cNvPr>
        <xdr:cNvSpPr>
          <a:spLocks noChangeShapeType="1"/>
        </xdr:cNvSpPr>
      </xdr:nvSpPr>
      <xdr:spPr bwMode="auto">
        <a:xfrm flipH="1">
          <a:off x="4140200" y="22390100"/>
          <a:ext cx="393700" cy="2921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787400</xdr:colOff>
      <xdr:row>110</xdr:row>
      <xdr:rowOff>63500</xdr:rowOff>
    </xdr:from>
    <xdr:to>
      <xdr:col>7</xdr:col>
      <xdr:colOff>292100</xdr:colOff>
      <xdr:row>111</xdr:row>
      <xdr:rowOff>114300</xdr:rowOff>
    </xdr:to>
    <xdr:sp macro="" textlink="">
      <xdr:nvSpPr>
        <xdr:cNvPr id="57880" name="Line 292">
          <a:extLst>
            <a:ext uri="{FF2B5EF4-FFF2-40B4-BE49-F238E27FC236}">
              <a16:creationId xmlns:a16="http://schemas.microsoft.com/office/drawing/2014/main" id="{0188CFDD-F76B-F7AE-1813-5FF26D40970D}"/>
            </a:ext>
          </a:extLst>
        </xdr:cNvPr>
        <xdr:cNvSpPr>
          <a:spLocks noChangeShapeType="1"/>
        </xdr:cNvSpPr>
      </xdr:nvSpPr>
      <xdr:spPr bwMode="auto">
        <a:xfrm flipV="1">
          <a:off x="4724400" y="21996400"/>
          <a:ext cx="381000" cy="2413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292100</xdr:colOff>
      <xdr:row>110</xdr:row>
      <xdr:rowOff>63500</xdr:rowOff>
    </xdr:from>
    <xdr:to>
      <xdr:col>8</xdr:col>
      <xdr:colOff>0</xdr:colOff>
      <xdr:row>110</xdr:row>
      <xdr:rowOff>63500</xdr:rowOff>
    </xdr:to>
    <xdr:sp macro="" textlink="">
      <xdr:nvSpPr>
        <xdr:cNvPr id="57881" name="Line 293">
          <a:extLst>
            <a:ext uri="{FF2B5EF4-FFF2-40B4-BE49-F238E27FC236}">
              <a16:creationId xmlns:a16="http://schemas.microsoft.com/office/drawing/2014/main" id="{8144E064-87DA-4109-140F-35E4210FD4B7}"/>
            </a:ext>
          </a:extLst>
        </xdr:cNvPr>
        <xdr:cNvSpPr>
          <a:spLocks noChangeShapeType="1"/>
        </xdr:cNvSpPr>
      </xdr:nvSpPr>
      <xdr:spPr bwMode="auto">
        <a:xfrm>
          <a:off x="5105400" y="21996400"/>
          <a:ext cx="4572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76200</xdr:colOff>
      <xdr:row>98</xdr:row>
      <xdr:rowOff>114300</xdr:rowOff>
    </xdr:from>
    <xdr:to>
      <xdr:col>6</xdr:col>
      <xdr:colOff>825500</xdr:colOff>
      <xdr:row>98</xdr:row>
      <xdr:rowOff>114300</xdr:rowOff>
    </xdr:to>
    <xdr:sp macro="" textlink="">
      <xdr:nvSpPr>
        <xdr:cNvPr id="57882" name="Line 294">
          <a:extLst>
            <a:ext uri="{FF2B5EF4-FFF2-40B4-BE49-F238E27FC236}">
              <a16:creationId xmlns:a16="http://schemas.microsoft.com/office/drawing/2014/main" id="{43533494-1E80-8A54-889C-DF19AC523608}"/>
            </a:ext>
          </a:extLst>
        </xdr:cNvPr>
        <xdr:cNvSpPr>
          <a:spLocks noChangeShapeType="1"/>
        </xdr:cNvSpPr>
      </xdr:nvSpPr>
      <xdr:spPr bwMode="auto">
        <a:xfrm>
          <a:off x="3162300" y="19570700"/>
          <a:ext cx="16002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12700</xdr:colOff>
      <xdr:row>98</xdr:row>
      <xdr:rowOff>88900</xdr:rowOff>
    </xdr:from>
    <xdr:to>
      <xdr:col>9</xdr:col>
      <xdr:colOff>292100</xdr:colOff>
      <xdr:row>98</xdr:row>
      <xdr:rowOff>88900</xdr:rowOff>
    </xdr:to>
    <xdr:sp macro="" textlink="">
      <xdr:nvSpPr>
        <xdr:cNvPr id="57883" name="Line 295">
          <a:extLst>
            <a:ext uri="{FF2B5EF4-FFF2-40B4-BE49-F238E27FC236}">
              <a16:creationId xmlns:a16="http://schemas.microsoft.com/office/drawing/2014/main" id="{957FF595-4E98-2E7A-5FEF-ECE0347277AB}"/>
            </a:ext>
          </a:extLst>
        </xdr:cNvPr>
        <xdr:cNvSpPr>
          <a:spLocks noChangeShapeType="1"/>
        </xdr:cNvSpPr>
      </xdr:nvSpPr>
      <xdr:spPr bwMode="auto">
        <a:xfrm>
          <a:off x="5575300" y="19545300"/>
          <a:ext cx="11049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12700</xdr:colOff>
      <xdr:row>105</xdr:row>
      <xdr:rowOff>152400</xdr:rowOff>
    </xdr:from>
    <xdr:to>
      <xdr:col>5</xdr:col>
      <xdr:colOff>190500</xdr:colOff>
      <xdr:row>109</xdr:row>
      <xdr:rowOff>152400</xdr:rowOff>
    </xdr:to>
    <xdr:sp macro="" textlink="">
      <xdr:nvSpPr>
        <xdr:cNvPr id="57884" name="Line 296">
          <a:extLst>
            <a:ext uri="{FF2B5EF4-FFF2-40B4-BE49-F238E27FC236}">
              <a16:creationId xmlns:a16="http://schemas.microsoft.com/office/drawing/2014/main" id="{50ED6410-0E3F-2FF6-3626-C1133F3A64B7}"/>
            </a:ext>
          </a:extLst>
        </xdr:cNvPr>
        <xdr:cNvSpPr>
          <a:spLocks noChangeShapeType="1"/>
        </xdr:cNvSpPr>
      </xdr:nvSpPr>
      <xdr:spPr bwMode="auto">
        <a:xfrm flipH="1">
          <a:off x="2387600" y="21107400"/>
          <a:ext cx="889000" cy="8001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38100</xdr:colOff>
      <xdr:row>122</xdr:row>
      <xdr:rowOff>139700</xdr:rowOff>
    </xdr:from>
    <xdr:to>
      <xdr:col>9</xdr:col>
      <xdr:colOff>50800</xdr:colOff>
      <xdr:row>125</xdr:row>
      <xdr:rowOff>139700</xdr:rowOff>
    </xdr:to>
    <xdr:sp macro="" textlink="">
      <xdr:nvSpPr>
        <xdr:cNvPr id="57885" name="Line 297">
          <a:extLst>
            <a:ext uri="{FF2B5EF4-FFF2-40B4-BE49-F238E27FC236}">
              <a16:creationId xmlns:a16="http://schemas.microsoft.com/office/drawing/2014/main" id="{8780A0FC-E435-99CA-6DE9-E169E7E280E0}"/>
            </a:ext>
          </a:extLst>
        </xdr:cNvPr>
        <xdr:cNvSpPr>
          <a:spLocks noChangeShapeType="1"/>
        </xdr:cNvSpPr>
      </xdr:nvSpPr>
      <xdr:spPr bwMode="auto">
        <a:xfrm flipH="1">
          <a:off x="5600700" y="24422100"/>
          <a:ext cx="838200" cy="571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88900</xdr:colOff>
      <xdr:row>109</xdr:row>
      <xdr:rowOff>50800</xdr:rowOff>
    </xdr:from>
    <xdr:to>
      <xdr:col>8</xdr:col>
      <xdr:colOff>76200</xdr:colOff>
      <xdr:row>125</xdr:row>
      <xdr:rowOff>101600</xdr:rowOff>
    </xdr:to>
    <xdr:sp macro="" textlink="">
      <xdr:nvSpPr>
        <xdr:cNvPr id="57886" name="Line 298">
          <a:extLst>
            <a:ext uri="{FF2B5EF4-FFF2-40B4-BE49-F238E27FC236}">
              <a16:creationId xmlns:a16="http://schemas.microsoft.com/office/drawing/2014/main" id="{4F5CC985-C48C-B093-6506-1D00060AA7DB}"/>
            </a:ext>
          </a:extLst>
        </xdr:cNvPr>
        <xdr:cNvSpPr>
          <a:spLocks noChangeShapeType="1"/>
        </xdr:cNvSpPr>
      </xdr:nvSpPr>
      <xdr:spPr bwMode="auto">
        <a:xfrm flipH="1" flipV="1">
          <a:off x="2463800" y="21805900"/>
          <a:ext cx="3175000" cy="31496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177800</xdr:colOff>
      <xdr:row>116</xdr:row>
      <xdr:rowOff>38100</xdr:rowOff>
    </xdr:from>
    <xdr:to>
      <xdr:col>6</xdr:col>
      <xdr:colOff>342900</xdr:colOff>
      <xdr:row>117</xdr:row>
      <xdr:rowOff>12700</xdr:rowOff>
    </xdr:to>
    <xdr:sp macro="" textlink="">
      <xdr:nvSpPr>
        <xdr:cNvPr id="57887" name="Line 299">
          <a:extLst>
            <a:ext uri="{FF2B5EF4-FFF2-40B4-BE49-F238E27FC236}">
              <a16:creationId xmlns:a16="http://schemas.microsoft.com/office/drawing/2014/main" id="{383BC653-BC63-DD72-4231-9A6A5725DEBD}"/>
            </a:ext>
          </a:extLst>
        </xdr:cNvPr>
        <xdr:cNvSpPr>
          <a:spLocks noChangeShapeType="1"/>
        </xdr:cNvSpPr>
      </xdr:nvSpPr>
      <xdr:spPr bwMode="auto">
        <a:xfrm flipH="1">
          <a:off x="4114800" y="23253700"/>
          <a:ext cx="165100" cy="1778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oval" w="med" len="med"/>
          <a:tailEnd type="oval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520700</xdr:colOff>
      <xdr:row>101</xdr:row>
      <xdr:rowOff>50800</xdr:rowOff>
    </xdr:from>
    <xdr:to>
      <xdr:col>10</xdr:col>
      <xdr:colOff>215900</xdr:colOff>
      <xdr:row>101</xdr:row>
      <xdr:rowOff>50800</xdr:rowOff>
    </xdr:to>
    <xdr:sp macro="" textlink="">
      <xdr:nvSpPr>
        <xdr:cNvPr id="57888" name="Line 300">
          <a:extLst>
            <a:ext uri="{FF2B5EF4-FFF2-40B4-BE49-F238E27FC236}">
              <a16:creationId xmlns:a16="http://schemas.microsoft.com/office/drawing/2014/main" id="{792842AB-E993-66E6-AD47-C91B06940357}"/>
            </a:ext>
          </a:extLst>
        </xdr:cNvPr>
        <xdr:cNvSpPr>
          <a:spLocks noChangeShapeType="1"/>
        </xdr:cNvSpPr>
      </xdr:nvSpPr>
      <xdr:spPr bwMode="auto">
        <a:xfrm flipV="1">
          <a:off x="2895600" y="20142200"/>
          <a:ext cx="43815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457200</xdr:colOff>
      <xdr:row>105</xdr:row>
      <xdr:rowOff>114300</xdr:rowOff>
    </xdr:from>
    <xdr:to>
      <xdr:col>10</xdr:col>
      <xdr:colOff>266700</xdr:colOff>
      <xdr:row>105</xdr:row>
      <xdr:rowOff>114300</xdr:rowOff>
    </xdr:to>
    <xdr:sp macro="" textlink="">
      <xdr:nvSpPr>
        <xdr:cNvPr id="57889" name="Line 301">
          <a:extLst>
            <a:ext uri="{FF2B5EF4-FFF2-40B4-BE49-F238E27FC236}">
              <a16:creationId xmlns:a16="http://schemas.microsoft.com/office/drawing/2014/main" id="{A07A01A9-FF2E-6BA2-A40B-D72AF228D3DD}"/>
            </a:ext>
          </a:extLst>
        </xdr:cNvPr>
        <xdr:cNvSpPr>
          <a:spLocks noChangeShapeType="1"/>
        </xdr:cNvSpPr>
      </xdr:nvSpPr>
      <xdr:spPr bwMode="auto">
        <a:xfrm>
          <a:off x="2832100" y="21069300"/>
          <a:ext cx="44958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12700</xdr:colOff>
      <xdr:row>103</xdr:row>
      <xdr:rowOff>139700</xdr:rowOff>
    </xdr:from>
    <xdr:to>
      <xdr:col>3</xdr:col>
      <xdr:colOff>444500</xdr:colOff>
      <xdr:row>104</xdr:row>
      <xdr:rowOff>139700</xdr:rowOff>
    </xdr:to>
    <xdr:sp macro="" textlink="">
      <xdr:nvSpPr>
        <xdr:cNvPr id="57890" name="Line 306">
          <a:extLst>
            <a:ext uri="{FF2B5EF4-FFF2-40B4-BE49-F238E27FC236}">
              <a16:creationId xmlns:a16="http://schemas.microsoft.com/office/drawing/2014/main" id="{87FABF4C-BB3E-DFB2-B759-49656C2C0AF4}"/>
            </a:ext>
          </a:extLst>
        </xdr:cNvPr>
        <xdr:cNvSpPr>
          <a:spLocks noChangeShapeType="1"/>
        </xdr:cNvSpPr>
      </xdr:nvSpPr>
      <xdr:spPr bwMode="auto">
        <a:xfrm flipH="1">
          <a:off x="1498600" y="20662900"/>
          <a:ext cx="431800" cy="2159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oval" w="med" len="med"/>
          <a:tailEnd type="oval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254000</xdr:colOff>
      <xdr:row>123</xdr:row>
      <xdr:rowOff>76200</xdr:rowOff>
    </xdr:from>
    <xdr:to>
      <xdr:col>12</xdr:col>
      <xdr:colOff>571500</xdr:colOff>
      <xdr:row>123</xdr:row>
      <xdr:rowOff>76200</xdr:rowOff>
    </xdr:to>
    <xdr:sp macro="" textlink="">
      <xdr:nvSpPr>
        <xdr:cNvPr id="57891" name="Line 307">
          <a:extLst>
            <a:ext uri="{FF2B5EF4-FFF2-40B4-BE49-F238E27FC236}">
              <a16:creationId xmlns:a16="http://schemas.microsoft.com/office/drawing/2014/main" id="{9E1A7ACD-F475-AC0C-27D9-04CD553EADD1}"/>
            </a:ext>
          </a:extLst>
        </xdr:cNvPr>
        <xdr:cNvSpPr>
          <a:spLocks noChangeShapeType="1"/>
        </xdr:cNvSpPr>
      </xdr:nvSpPr>
      <xdr:spPr bwMode="auto">
        <a:xfrm>
          <a:off x="6642100" y="24523700"/>
          <a:ext cx="26924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50800</xdr:colOff>
      <xdr:row>105</xdr:row>
      <xdr:rowOff>152400</xdr:rowOff>
    </xdr:from>
    <xdr:to>
      <xdr:col>9</xdr:col>
      <xdr:colOff>50800</xdr:colOff>
      <xdr:row>124</xdr:row>
      <xdr:rowOff>139700</xdr:rowOff>
    </xdr:to>
    <xdr:sp macro="" textlink="">
      <xdr:nvSpPr>
        <xdr:cNvPr id="57892" name="Line 314">
          <a:extLst>
            <a:ext uri="{FF2B5EF4-FFF2-40B4-BE49-F238E27FC236}">
              <a16:creationId xmlns:a16="http://schemas.microsoft.com/office/drawing/2014/main" id="{A62E629D-07D6-8B4A-F64B-2C7C925BAFEA}"/>
            </a:ext>
          </a:extLst>
        </xdr:cNvPr>
        <xdr:cNvSpPr>
          <a:spLocks noChangeShapeType="1"/>
        </xdr:cNvSpPr>
      </xdr:nvSpPr>
      <xdr:spPr bwMode="auto">
        <a:xfrm flipV="1">
          <a:off x="6438900" y="21107400"/>
          <a:ext cx="0" cy="36830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444500</xdr:colOff>
      <xdr:row>114</xdr:row>
      <xdr:rowOff>76200</xdr:rowOff>
    </xdr:from>
    <xdr:to>
      <xdr:col>9</xdr:col>
      <xdr:colOff>63500</xdr:colOff>
      <xdr:row>114</xdr:row>
      <xdr:rowOff>76200</xdr:rowOff>
    </xdr:to>
    <xdr:sp macro="" textlink="">
      <xdr:nvSpPr>
        <xdr:cNvPr id="57893" name="Line 315">
          <a:extLst>
            <a:ext uri="{FF2B5EF4-FFF2-40B4-BE49-F238E27FC236}">
              <a16:creationId xmlns:a16="http://schemas.microsoft.com/office/drawing/2014/main" id="{B8676C84-FC8B-68AD-3E3D-BD4C19220B2E}"/>
            </a:ext>
          </a:extLst>
        </xdr:cNvPr>
        <xdr:cNvSpPr>
          <a:spLocks noChangeShapeType="1"/>
        </xdr:cNvSpPr>
      </xdr:nvSpPr>
      <xdr:spPr bwMode="auto">
        <a:xfrm flipH="1">
          <a:off x="6007100" y="22847300"/>
          <a:ext cx="4445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266700</xdr:colOff>
      <xdr:row>123</xdr:row>
      <xdr:rowOff>50800</xdr:rowOff>
    </xdr:from>
    <xdr:to>
      <xdr:col>9</xdr:col>
      <xdr:colOff>203200</xdr:colOff>
      <xdr:row>123</xdr:row>
      <xdr:rowOff>63500</xdr:rowOff>
    </xdr:to>
    <xdr:sp macro="" textlink="">
      <xdr:nvSpPr>
        <xdr:cNvPr id="57894" name="Line 318">
          <a:extLst>
            <a:ext uri="{FF2B5EF4-FFF2-40B4-BE49-F238E27FC236}">
              <a16:creationId xmlns:a16="http://schemas.microsoft.com/office/drawing/2014/main" id="{EEA275A4-C420-568E-6995-D317323B512E}"/>
            </a:ext>
          </a:extLst>
        </xdr:cNvPr>
        <xdr:cNvSpPr>
          <a:spLocks noChangeShapeType="1"/>
        </xdr:cNvSpPr>
      </xdr:nvSpPr>
      <xdr:spPr bwMode="auto">
        <a:xfrm flipH="1" flipV="1">
          <a:off x="1752600" y="24498300"/>
          <a:ext cx="4838700" cy="127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431800</xdr:colOff>
      <xdr:row>105</xdr:row>
      <xdr:rowOff>152400</xdr:rowOff>
    </xdr:from>
    <xdr:to>
      <xdr:col>3</xdr:col>
      <xdr:colOff>431800</xdr:colOff>
      <xdr:row>112</xdr:row>
      <xdr:rowOff>139700</xdr:rowOff>
    </xdr:to>
    <xdr:sp macro="" textlink="">
      <xdr:nvSpPr>
        <xdr:cNvPr id="57895" name="Line 319">
          <a:extLst>
            <a:ext uri="{FF2B5EF4-FFF2-40B4-BE49-F238E27FC236}">
              <a16:creationId xmlns:a16="http://schemas.microsoft.com/office/drawing/2014/main" id="{D00FF15A-2DCC-401E-F169-8BEC669654EE}"/>
            </a:ext>
          </a:extLst>
        </xdr:cNvPr>
        <xdr:cNvSpPr>
          <a:spLocks noChangeShapeType="1"/>
        </xdr:cNvSpPr>
      </xdr:nvSpPr>
      <xdr:spPr bwMode="auto">
        <a:xfrm>
          <a:off x="1917700" y="21107400"/>
          <a:ext cx="0" cy="13716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419100</xdr:colOff>
      <xdr:row>115</xdr:row>
      <xdr:rowOff>12700</xdr:rowOff>
    </xdr:from>
    <xdr:to>
      <xdr:col>3</xdr:col>
      <xdr:colOff>419100</xdr:colOff>
      <xdr:row>123</xdr:row>
      <xdr:rowOff>63500</xdr:rowOff>
    </xdr:to>
    <xdr:sp macro="" textlink="">
      <xdr:nvSpPr>
        <xdr:cNvPr id="57896" name="Line 320">
          <a:extLst>
            <a:ext uri="{FF2B5EF4-FFF2-40B4-BE49-F238E27FC236}">
              <a16:creationId xmlns:a16="http://schemas.microsoft.com/office/drawing/2014/main" id="{FBD47828-EA21-41EA-E422-B956CE1EB462}"/>
            </a:ext>
          </a:extLst>
        </xdr:cNvPr>
        <xdr:cNvSpPr>
          <a:spLocks noChangeShapeType="1"/>
        </xdr:cNvSpPr>
      </xdr:nvSpPr>
      <xdr:spPr bwMode="auto">
        <a:xfrm flipH="1" flipV="1">
          <a:off x="1905000" y="23012400"/>
          <a:ext cx="0" cy="14986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5</xdr:col>
      <xdr:colOff>466725</xdr:colOff>
      <xdr:row>99</xdr:row>
      <xdr:rowOff>96520</xdr:rowOff>
    </xdr:from>
    <xdr:ext cx="480549" cy="258158"/>
    <xdr:sp macro="" textlink="">
      <xdr:nvSpPr>
        <xdr:cNvPr id="16705" name="AutoShape 321">
          <a:extLst>
            <a:ext uri="{FF2B5EF4-FFF2-40B4-BE49-F238E27FC236}">
              <a16:creationId xmlns:a16="http://schemas.microsoft.com/office/drawing/2014/main" id="{96D410A9-195A-204F-486E-FF0F5FC4725B}"/>
            </a:ext>
          </a:extLst>
        </xdr:cNvPr>
        <xdr:cNvSpPr>
          <a:spLocks/>
        </xdr:cNvSpPr>
      </xdr:nvSpPr>
      <xdr:spPr bwMode="auto">
        <a:xfrm>
          <a:off x="3210560" y="19304635"/>
          <a:ext cx="476349" cy="200119"/>
        </a:xfrm>
        <a:prstGeom prst="borderCallout2">
          <a:avLst>
            <a:gd name="adj1" fmla="val 46153"/>
            <a:gd name="adj2" fmla="val -14287"/>
            <a:gd name="adj3" fmla="val 46153"/>
            <a:gd name="adj4" fmla="val -23213"/>
            <a:gd name="adj5" fmla="val 519231"/>
            <a:gd name="adj6" fmla="val -57144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FF0000"/>
              </a:solidFill>
              <a:latin typeface="Arial"/>
              <a:cs typeface="Arial"/>
            </a:rPr>
            <a:t>1" Clr.</a:t>
          </a:r>
        </a:p>
      </xdr:txBody>
    </xdr:sp>
    <xdr:clientData/>
  </xdr:oneCellAnchor>
  <xdr:oneCellAnchor>
    <xdr:from>
      <xdr:col>10</xdr:col>
      <xdr:colOff>295910</xdr:colOff>
      <xdr:row>119</xdr:row>
      <xdr:rowOff>70485</xdr:rowOff>
    </xdr:from>
    <xdr:ext cx="550618" cy="253997"/>
    <xdr:sp macro="" textlink="">
      <xdr:nvSpPr>
        <xdr:cNvPr id="16706" name="AutoShape 322">
          <a:extLst>
            <a:ext uri="{FF2B5EF4-FFF2-40B4-BE49-F238E27FC236}">
              <a16:creationId xmlns:a16="http://schemas.microsoft.com/office/drawing/2014/main" id="{8AF386FE-B274-60A3-B254-C942E2D2FB2F}"/>
            </a:ext>
          </a:extLst>
        </xdr:cNvPr>
        <xdr:cNvSpPr>
          <a:spLocks/>
        </xdr:cNvSpPr>
      </xdr:nvSpPr>
      <xdr:spPr bwMode="auto">
        <a:xfrm>
          <a:off x="6579870" y="23994745"/>
          <a:ext cx="476349" cy="200119"/>
        </a:xfrm>
        <a:prstGeom prst="borderCallout2">
          <a:avLst>
            <a:gd name="adj1" fmla="val 46153"/>
            <a:gd name="adj2" fmla="val -14037"/>
            <a:gd name="adj3" fmla="val 46153"/>
            <a:gd name="adj4" fmla="val -45616"/>
            <a:gd name="adj5" fmla="val 238463"/>
            <a:gd name="adj6" fmla="val -14737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FF0000"/>
              </a:solidFill>
              <a:latin typeface="Arial"/>
              <a:cs typeface="Arial"/>
            </a:rPr>
            <a:t>2" Clr.</a:t>
          </a:r>
        </a:p>
      </xdr:txBody>
    </xdr:sp>
    <xdr:clientData/>
  </xdr:oneCellAnchor>
  <xdr:twoCellAnchor>
    <xdr:from>
      <xdr:col>9</xdr:col>
      <xdr:colOff>508000</xdr:colOff>
      <xdr:row>105</xdr:row>
      <xdr:rowOff>165100</xdr:rowOff>
    </xdr:from>
    <xdr:to>
      <xdr:col>9</xdr:col>
      <xdr:colOff>508000</xdr:colOff>
      <xdr:row>124</xdr:row>
      <xdr:rowOff>76200</xdr:rowOff>
    </xdr:to>
    <xdr:sp macro="" textlink="">
      <xdr:nvSpPr>
        <xdr:cNvPr id="57899" name="Line 323">
          <a:extLst>
            <a:ext uri="{FF2B5EF4-FFF2-40B4-BE49-F238E27FC236}">
              <a16:creationId xmlns:a16="http://schemas.microsoft.com/office/drawing/2014/main" id="{EF96F03A-9FBD-572C-9EDD-431977983B76}"/>
            </a:ext>
          </a:extLst>
        </xdr:cNvPr>
        <xdr:cNvSpPr>
          <a:spLocks noChangeShapeType="1"/>
        </xdr:cNvSpPr>
      </xdr:nvSpPr>
      <xdr:spPr bwMode="auto">
        <a:xfrm flipV="1">
          <a:off x="6896100" y="21120100"/>
          <a:ext cx="0" cy="36068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495300</xdr:colOff>
      <xdr:row>114</xdr:row>
      <xdr:rowOff>76200</xdr:rowOff>
    </xdr:from>
    <xdr:to>
      <xdr:col>10</xdr:col>
      <xdr:colOff>647700</xdr:colOff>
      <xdr:row>114</xdr:row>
      <xdr:rowOff>76200</xdr:rowOff>
    </xdr:to>
    <xdr:sp macro="" textlink="">
      <xdr:nvSpPr>
        <xdr:cNvPr id="57900" name="Line 324">
          <a:extLst>
            <a:ext uri="{FF2B5EF4-FFF2-40B4-BE49-F238E27FC236}">
              <a16:creationId xmlns:a16="http://schemas.microsoft.com/office/drawing/2014/main" id="{CC7ED21C-5335-39A1-88BF-1B5E98488E73}"/>
            </a:ext>
          </a:extLst>
        </xdr:cNvPr>
        <xdr:cNvSpPr>
          <a:spLocks noChangeShapeType="1"/>
        </xdr:cNvSpPr>
      </xdr:nvSpPr>
      <xdr:spPr bwMode="auto">
        <a:xfrm>
          <a:off x="6883400" y="22847300"/>
          <a:ext cx="8255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393700</xdr:colOff>
      <xdr:row>102</xdr:row>
      <xdr:rowOff>139700</xdr:rowOff>
    </xdr:from>
    <xdr:to>
      <xdr:col>5</xdr:col>
      <xdr:colOff>393700</xdr:colOff>
      <xdr:row>105</xdr:row>
      <xdr:rowOff>152400</xdr:rowOff>
    </xdr:to>
    <xdr:sp macro="" textlink="">
      <xdr:nvSpPr>
        <xdr:cNvPr id="57901" name="Line 343">
          <a:extLst>
            <a:ext uri="{FF2B5EF4-FFF2-40B4-BE49-F238E27FC236}">
              <a16:creationId xmlns:a16="http://schemas.microsoft.com/office/drawing/2014/main" id="{1D31E2E8-3CF3-D88B-8CD7-7C13EFA2DE8E}"/>
            </a:ext>
          </a:extLst>
        </xdr:cNvPr>
        <xdr:cNvSpPr>
          <a:spLocks noChangeShapeType="1"/>
        </xdr:cNvSpPr>
      </xdr:nvSpPr>
      <xdr:spPr bwMode="auto">
        <a:xfrm flipV="1">
          <a:off x="3479800" y="20447000"/>
          <a:ext cx="0" cy="6604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381000</xdr:colOff>
      <xdr:row>103</xdr:row>
      <xdr:rowOff>88900</xdr:rowOff>
    </xdr:from>
    <xdr:to>
      <xdr:col>6</xdr:col>
      <xdr:colOff>0</xdr:colOff>
      <xdr:row>103</xdr:row>
      <xdr:rowOff>88900</xdr:rowOff>
    </xdr:to>
    <xdr:sp macro="" textlink="">
      <xdr:nvSpPr>
        <xdr:cNvPr id="57902" name="Line 344">
          <a:extLst>
            <a:ext uri="{FF2B5EF4-FFF2-40B4-BE49-F238E27FC236}">
              <a16:creationId xmlns:a16="http://schemas.microsoft.com/office/drawing/2014/main" id="{4A982BA9-8877-A4DE-DCF1-AE65FA1D74A1}"/>
            </a:ext>
          </a:extLst>
        </xdr:cNvPr>
        <xdr:cNvSpPr>
          <a:spLocks noChangeShapeType="1"/>
        </xdr:cNvSpPr>
      </xdr:nvSpPr>
      <xdr:spPr bwMode="auto">
        <a:xfrm>
          <a:off x="3467100" y="20612100"/>
          <a:ext cx="4699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342900</xdr:colOff>
      <xdr:row>103</xdr:row>
      <xdr:rowOff>114300</xdr:rowOff>
    </xdr:from>
    <xdr:to>
      <xdr:col>5</xdr:col>
      <xdr:colOff>88900</xdr:colOff>
      <xdr:row>103</xdr:row>
      <xdr:rowOff>114300</xdr:rowOff>
    </xdr:to>
    <xdr:sp macro="" textlink="">
      <xdr:nvSpPr>
        <xdr:cNvPr id="57903" name="Line 345">
          <a:extLst>
            <a:ext uri="{FF2B5EF4-FFF2-40B4-BE49-F238E27FC236}">
              <a16:creationId xmlns:a16="http://schemas.microsoft.com/office/drawing/2014/main" id="{AD47E9CC-6796-7883-B6B7-21A5EDDBABD9}"/>
            </a:ext>
          </a:extLst>
        </xdr:cNvPr>
        <xdr:cNvSpPr>
          <a:spLocks noChangeShapeType="1"/>
        </xdr:cNvSpPr>
      </xdr:nvSpPr>
      <xdr:spPr bwMode="auto">
        <a:xfrm flipH="1">
          <a:off x="2717800" y="20637500"/>
          <a:ext cx="4572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457200</xdr:colOff>
      <xdr:row>139</xdr:row>
      <xdr:rowOff>152400</xdr:rowOff>
    </xdr:from>
    <xdr:to>
      <xdr:col>9</xdr:col>
      <xdr:colOff>635000</xdr:colOff>
      <xdr:row>139</xdr:row>
      <xdr:rowOff>152400</xdr:rowOff>
    </xdr:to>
    <xdr:sp macro="" textlink="">
      <xdr:nvSpPr>
        <xdr:cNvPr id="57904" name="Line 347">
          <a:extLst>
            <a:ext uri="{FF2B5EF4-FFF2-40B4-BE49-F238E27FC236}">
              <a16:creationId xmlns:a16="http://schemas.microsoft.com/office/drawing/2014/main" id="{0D79A4A0-C9A3-DA79-6A2F-2BDE5BBD1D2D}"/>
            </a:ext>
          </a:extLst>
        </xdr:cNvPr>
        <xdr:cNvSpPr>
          <a:spLocks noChangeShapeType="1"/>
        </xdr:cNvSpPr>
      </xdr:nvSpPr>
      <xdr:spPr bwMode="auto">
        <a:xfrm>
          <a:off x="2832100" y="27749500"/>
          <a:ext cx="41910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495300</xdr:colOff>
      <xdr:row>135</xdr:row>
      <xdr:rowOff>190500</xdr:rowOff>
    </xdr:from>
    <xdr:to>
      <xdr:col>10</xdr:col>
      <xdr:colOff>12700</xdr:colOff>
      <xdr:row>135</xdr:row>
      <xdr:rowOff>190500</xdr:rowOff>
    </xdr:to>
    <xdr:sp macro="" textlink="">
      <xdr:nvSpPr>
        <xdr:cNvPr id="57905" name="Line 348">
          <a:extLst>
            <a:ext uri="{FF2B5EF4-FFF2-40B4-BE49-F238E27FC236}">
              <a16:creationId xmlns:a16="http://schemas.microsoft.com/office/drawing/2014/main" id="{C8AFFE5A-E23F-6CC9-B3C4-8E77CB0CE79E}"/>
            </a:ext>
          </a:extLst>
        </xdr:cNvPr>
        <xdr:cNvSpPr>
          <a:spLocks noChangeShapeType="1"/>
        </xdr:cNvSpPr>
      </xdr:nvSpPr>
      <xdr:spPr bwMode="auto">
        <a:xfrm flipV="1">
          <a:off x="2870200" y="26974800"/>
          <a:ext cx="42037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12700</xdr:colOff>
      <xdr:row>130</xdr:row>
      <xdr:rowOff>38100</xdr:rowOff>
    </xdr:from>
    <xdr:to>
      <xdr:col>5</xdr:col>
      <xdr:colOff>12700</xdr:colOff>
      <xdr:row>153</xdr:row>
      <xdr:rowOff>50800</xdr:rowOff>
    </xdr:to>
    <xdr:sp macro="" textlink="">
      <xdr:nvSpPr>
        <xdr:cNvPr id="57906" name="Line 349">
          <a:extLst>
            <a:ext uri="{FF2B5EF4-FFF2-40B4-BE49-F238E27FC236}">
              <a16:creationId xmlns:a16="http://schemas.microsoft.com/office/drawing/2014/main" id="{2F44551A-5F32-9B2D-0C7B-88828A11E683}"/>
            </a:ext>
          </a:extLst>
        </xdr:cNvPr>
        <xdr:cNvSpPr>
          <a:spLocks noChangeShapeType="1"/>
        </xdr:cNvSpPr>
      </xdr:nvSpPr>
      <xdr:spPr bwMode="auto">
        <a:xfrm>
          <a:off x="3098800" y="25819100"/>
          <a:ext cx="0" cy="47752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Dot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139700</xdr:colOff>
      <xdr:row>139</xdr:row>
      <xdr:rowOff>152400</xdr:rowOff>
    </xdr:from>
    <xdr:to>
      <xdr:col>5</xdr:col>
      <xdr:colOff>139700</xdr:colOff>
      <xdr:row>156</xdr:row>
      <xdr:rowOff>12700</xdr:rowOff>
    </xdr:to>
    <xdr:sp macro="" textlink="">
      <xdr:nvSpPr>
        <xdr:cNvPr id="57907" name="Line 350">
          <a:extLst>
            <a:ext uri="{FF2B5EF4-FFF2-40B4-BE49-F238E27FC236}">
              <a16:creationId xmlns:a16="http://schemas.microsoft.com/office/drawing/2014/main" id="{F9AE65D2-9EDE-7B9D-CDF2-D99BEC29ADAA}"/>
            </a:ext>
          </a:extLst>
        </xdr:cNvPr>
        <xdr:cNvSpPr>
          <a:spLocks noChangeShapeType="1"/>
        </xdr:cNvSpPr>
      </xdr:nvSpPr>
      <xdr:spPr bwMode="auto">
        <a:xfrm>
          <a:off x="3225800" y="27749500"/>
          <a:ext cx="0" cy="3365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558800</xdr:colOff>
      <xdr:row>139</xdr:row>
      <xdr:rowOff>152400</xdr:rowOff>
    </xdr:from>
    <xdr:to>
      <xdr:col>4</xdr:col>
      <xdr:colOff>558800</xdr:colOff>
      <xdr:row>156</xdr:row>
      <xdr:rowOff>12700</xdr:rowOff>
    </xdr:to>
    <xdr:sp macro="" textlink="">
      <xdr:nvSpPr>
        <xdr:cNvPr id="57908" name="Line 351">
          <a:extLst>
            <a:ext uri="{FF2B5EF4-FFF2-40B4-BE49-F238E27FC236}">
              <a16:creationId xmlns:a16="http://schemas.microsoft.com/office/drawing/2014/main" id="{6A5A6B59-2953-6196-D11D-165F6B340FF3}"/>
            </a:ext>
          </a:extLst>
        </xdr:cNvPr>
        <xdr:cNvSpPr>
          <a:spLocks noChangeShapeType="1"/>
        </xdr:cNvSpPr>
      </xdr:nvSpPr>
      <xdr:spPr bwMode="auto">
        <a:xfrm>
          <a:off x="2933700" y="27749500"/>
          <a:ext cx="0" cy="3365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419100</xdr:colOff>
      <xdr:row>156</xdr:row>
      <xdr:rowOff>12700</xdr:rowOff>
    </xdr:from>
    <xdr:to>
      <xdr:col>10</xdr:col>
      <xdr:colOff>342900</xdr:colOff>
      <xdr:row>156</xdr:row>
      <xdr:rowOff>12700</xdr:rowOff>
    </xdr:to>
    <xdr:sp macro="" textlink="">
      <xdr:nvSpPr>
        <xdr:cNvPr id="57909" name="Line 352">
          <a:extLst>
            <a:ext uri="{FF2B5EF4-FFF2-40B4-BE49-F238E27FC236}">
              <a16:creationId xmlns:a16="http://schemas.microsoft.com/office/drawing/2014/main" id="{EC02EF61-DB46-930D-0698-43AB52FC4AA7}"/>
            </a:ext>
          </a:extLst>
        </xdr:cNvPr>
        <xdr:cNvSpPr>
          <a:spLocks noChangeShapeType="1"/>
        </xdr:cNvSpPr>
      </xdr:nvSpPr>
      <xdr:spPr bwMode="auto">
        <a:xfrm>
          <a:off x="2794000" y="31115000"/>
          <a:ext cx="46101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368300</xdr:colOff>
      <xdr:row>135</xdr:row>
      <xdr:rowOff>190500</xdr:rowOff>
    </xdr:from>
    <xdr:to>
      <xdr:col>4</xdr:col>
      <xdr:colOff>393700</xdr:colOff>
      <xdr:row>135</xdr:row>
      <xdr:rowOff>190500</xdr:rowOff>
    </xdr:to>
    <xdr:sp macro="" textlink="">
      <xdr:nvSpPr>
        <xdr:cNvPr id="57910" name="Line 353">
          <a:extLst>
            <a:ext uri="{FF2B5EF4-FFF2-40B4-BE49-F238E27FC236}">
              <a16:creationId xmlns:a16="http://schemas.microsoft.com/office/drawing/2014/main" id="{DDBAC67F-BC88-D3E6-8B60-C3E1BD3DDBF0}"/>
            </a:ext>
          </a:extLst>
        </xdr:cNvPr>
        <xdr:cNvSpPr>
          <a:spLocks noChangeShapeType="1"/>
        </xdr:cNvSpPr>
      </xdr:nvSpPr>
      <xdr:spPr bwMode="auto">
        <a:xfrm flipH="1">
          <a:off x="1854200" y="26974800"/>
          <a:ext cx="9144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368300</xdr:colOff>
      <xdr:row>139</xdr:row>
      <xdr:rowOff>152400</xdr:rowOff>
    </xdr:from>
    <xdr:to>
      <xdr:col>4</xdr:col>
      <xdr:colOff>406400</xdr:colOff>
      <xdr:row>139</xdr:row>
      <xdr:rowOff>152400</xdr:rowOff>
    </xdr:to>
    <xdr:sp macro="" textlink="">
      <xdr:nvSpPr>
        <xdr:cNvPr id="57911" name="Line 354">
          <a:extLst>
            <a:ext uri="{FF2B5EF4-FFF2-40B4-BE49-F238E27FC236}">
              <a16:creationId xmlns:a16="http://schemas.microsoft.com/office/drawing/2014/main" id="{DFA4A61B-C64C-B4EF-3130-17244C7C3FAF}"/>
            </a:ext>
          </a:extLst>
        </xdr:cNvPr>
        <xdr:cNvSpPr>
          <a:spLocks noChangeShapeType="1"/>
        </xdr:cNvSpPr>
      </xdr:nvSpPr>
      <xdr:spPr bwMode="auto">
        <a:xfrm flipH="1">
          <a:off x="1854200" y="27749500"/>
          <a:ext cx="9271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444500</xdr:colOff>
      <xdr:row>136</xdr:row>
      <xdr:rowOff>0</xdr:rowOff>
    </xdr:from>
    <xdr:to>
      <xdr:col>3</xdr:col>
      <xdr:colOff>444500</xdr:colOff>
      <xdr:row>139</xdr:row>
      <xdr:rowOff>152400</xdr:rowOff>
    </xdr:to>
    <xdr:sp macro="" textlink="">
      <xdr:nvSpPr>
        <xdr:cNvPr id="57912" name="Line 355">
          <a:extLst>
            <a:ext uri="{FF2B5EF4-FFF2-40B4-BE49-F238E27FC236}">
              <a16:creationId xmlns:a16="http://schemas.microsoft.com/office/drawing/2014/main" id="{03945B80-8B0A-9AFE-6870-93AF89F290AB}"/>
            </a:ext>
          </a:extLst>
        </xdr:cNvPr>
        <xdr:cNvSpPr>
          <a:spLocks noChangeShapeType="1"/>
        </xdr:cNvSpPr>
      </xdr:nvSpPr>
      <xdr:spPr bwMode="auto">
        <a:xfrm>
          <a:off x="1930400" y="26987500"/>
          <a:ext cx="0" cy="7620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342900</xdr:colOff>
      <xdr:row>139</xdr:row>
      <xdr:rowOff>152400</xdr:rowOff>
    </xdr:from>
    <xdr:to>
      <xdr:col>9</xdr:col>
      <xdr:colOff>342900</xdr:colOff>
      <xdr:row>156</xdr:row>
      <xdr:rowOff>12700</xdr:rowOff>
    </xdr:to>
    <xdr:sp macro="" textlink="">
      <xdr:nvSpPr>
        <xdr:cNvPr id="57913" name="Line 357">
          <a:extLst>
            <a:ext uri="{FF2B5EF4-FFF2-40B4-BE49-F238E27FC236}">
              <a16:creationId xmlns:a16="http://schemas.microsoft.com/office/drawing/2014/main" id="{95AD3917-C916-EF40-75CA-C6B3A9CE8201}"/>
            </a:ext>
          </a:extLst>
        </xdr:cNvPr>
        <xdr:cNvSpPr>
          <a:spLocks noChangeShapeType="1"/>
        </xdr:cNvSpPr>
      </xdr:nvSpPr>
      <xdr:spPr bwMode="auto">
        <a:xfrm>
          <a:off x="6731000" y="27749500"/>
          <a:ext cx="0" cy="3365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431800</xdr:colOff>
      <xdr:row>130</xdr:row>
      <xdr:rowOff>76200</xdr:rowOff>
    </xdr:from>
    <xdr:to>
      <xdr:col>9</xdr:col>
      <xdr:colOff>457200</xdr:colOff>
      <xdr:row>162</xdr:row>
      <xdr:rowOff>101600</xdr:rowOff>
    </xdr:to>
    <xdr:sp macro="" textlink="">
      <xdr:nvSpPr>
        <xdr:cNvPr id="57914" name="Line 358">
          <a:extLst>
            <a:ext uri="{FF2B5EF4-FFF2-40B4-BE49-F238E27FC236}">
              <a16:creationId xmlns:a16="http://schemas.microsoft.com/office/drawing/2014/main" id="{82C3D25A-A95F-4B60-BBA2-C771C50DD723}"/>
            </a:ext>
          </a:extLst>
        </xdr:cNvPr>
        <xdr:cNvSpPr>
          <a:spLocks noChangeShapeType="1"/>
        </xdr:cNvSpPr>
      </xdr:nvSpPr>
      <xdr:spPr bwMode="auto">
        <a:xfrm>
          <a:off x="6819900" y="25857200"/>
          <a:ext cx="25400" cy="65024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Dot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215900</xdr:colOff>
      <xdr:row>139</xdr:row>
      <xdr:rowOff>152400</xdr:rowOff>
    </xdr:from>
    <xdr:to>
      <xdr:col>8</xdr:col>
      <xdr:colOff>711200</xdr:colOff>
      <xdr:row>156</xdr:row>
      <xdr:rowOff>12700</xdr:rowOff>
    </xdr:to>
    <xdr:sp macro="" textlink="">
      <xdr:nvSpPr>
        <xdr:cNvPr id="57915" name="Line 359">
          <a:extLst>
            <a:ext uri="{FF2B5EF4-FFF2-40B4-BE49-F238E27FC236}">
              <a16:creationId xmlns:a16="http://schemas.microsoft.com/office/drawing/2014/main" id="{0D665B3E-AFC3-9912-D906-3919DD221D99}"/>
            </a:ext>
          </a:extLst>
        </xdr:cNvPr>
        <xdr:cNvSpPr>
          <a:spLocks noChangeShapeType="1"/>
        </xdr:cNvSpPr>
      </xdr:nvSpPr>
      <xdr:spPr bwMode="auto">
        <a:xfrm>
          <a:off x="3302000" y="27749500"/>
          <a:ext cx="2971800" cy="33655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673100</xdr:colOff>
      <xdr:row>139</xdr:row>
      <xdr:rowOff>152400</xdr:rowOff>
    </xdr:from>
    <xdr:to>
      <xdr:col>9</xdr:col>
      <xdr:colOff>292100</xdr:colOff>
      <xdr:row>156</xdr:row>
      <xdr:rowOff>25400</xdr:rowOff>
    </xdr:to>
    <xdr:sp macro="" textlink="">
      <xdr:nvSpPr>
        <xdr:cNvPr id="57916" name="Line 360">
          <a:extLst>
            <a:ext uri="{FF2B5EF4-FFF2-40B4-BE49-F238E27FC236}">
              <a16:creationId xmlns:a16="http://schemas.microsoft.com/office/drawing/2014/main" id="{7B40C2E6-8B78-9831-9B71-AFFB19093E84}"/>
            </a:ext>
          </a:extLst>
        </xdr:cNvPr>
        <xdr:cNvSpPr>
          <a:spLocks noChangeShapeType="1"/>
        </xdr:cNvSpPr>
      </xdr:nvSpPr>
      <xdr:spPr bwMode="auto">
        <a:xfrm flipH="1" flipV="1">
          <a:off x="3759200" y="27749500"/>
          <a:ext cx="2921000" cy="33782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139700</xdr:colOff>
      <xdr:row>138</xdr:row>
      <xdr:rowOff>38100</xdr:rowOff>
    </xdr:from>
    <xdr:to>
      <xdr:col>9</xdr:col>
      <xdr:colOff>304800</xdr:colOff>
      <xdr:row>157</xdr:row>
      <xdr:rowOff>101600</xdr:rowOff>
    </xdr:to>
    <xdr:sp macro="" textlink="">
      <xdr:nvSpPr>
        <xdr:cNvPr id="57917" name="Line 361">
          <a:extLst>
            <a:ext uri="{FF2B5EF4-FFF2-40B4-BE49-F238E27FC236}">
              <a16:creationId xmlns:a16="http://schemas.microsoft.com/office/drawing/2014/main" id="{D5D05AC7-AA63-F6BC-2BBE-0A4AFA706687}"/>
            </a:ext>
          </a:extLst>
        </xdr:cNvPr>
        <xdr:cNvSpPr>
          <a:spLocks noChangeShapeType="1"/>
        </xdr:cNvSpPr>
      </xdr:nvSpPr>
      <xdr:spPr bwMode="auto">
        <a:xfrm flipH="1" flipV="1">
          <a:off x="3225800" y="27419300"/>
          <a:ext cx="3467100" cy="39497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lgDashDot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546100</xdr:colOff>
      <xdr:row>139</xdr:row>
      <xdr:rowOff>152400</xdr:rowOff>
    </xdr:from>
    <xdr:to>
      <xdr:col>9</xdr:col>
      <xdr:colOff>546100</xdr:colOff>
      <xdr:row>156</xdr:row>
      <xdr:rowOff>12700</xdr:rowOff>
    </xdr:to>
    <xdr:sp macro="" textlink="">
      <xdr:nvSpPr>
        <xdr:cNvPr id="57918" name="Line 362">
          <a:extLst>
            <a:ext uri="{FF2B5EF4-FFF2-40B4-BE49-F238E27FC236}">
              <a16:creationId xmlns:a16="http://schemas.microsoft.com/office/drawing/2014/main" id="{6956C45D-6ABD-B94F-DF60-A1EA5DA90646}"/>
            </a:ext>
          </a:extLst>
        </xdr:cNvPr>
        <xdr:cNvSpPr>
          <a:spLocks noChangeShapeType="1"/>
        </xdr:cNvSpPr>
      </xdr:nvSpPr>
      <xdr:spPr bwMode="auto">
        <a:xfrm>
          <a:off x="6934200" y="27749500"/>
          <a:ext cx="0" cy="3365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76200</xdr:colOff>
      <xdr:row>136</xdr:row>
      <xdr:rowOff>0</xdr:rowOff>
    </xdr:from>
    <xdr:to>
      <xdr:col>12</xdr:col>
      <xdr:colOff>406400</xdr:colOff>
      <xdr:row>136</xdr:row>
      <xdr:rowOff>0</xdr:rowOff>
    </xdr:to>
    <xdr:sp macro="" textlink="">
      <xdr:nvSpPr>
        <xdr:cNvPr id="57919" name="Line 363">
          <a:extLst>
            <a:ext uri="{FF2B5EF4-FFF2-40B4-BE49-F238E27FC236}">
              <a16:creationId xmlns:a16="http://schemas.microsoft.com/office/drawing/2014/main" id="{378F9AA8-46EA-D2EA-140E-4AF6F8ECE971}"/>
            </a:ext>
          </a:extLst>
        </xdr:cNvPr>
        <xdr:cNvSpPr>
          <a:spLocks noChangeShapeType="1"/>
        </xdr:cNvSpPr>
      </xdr:nvSpPr>
      <xdr:spPr bwMode="auto">
        <a:xfrm>
          <a:off x="7137400" y="26987500"/>
          <a:ext cx="20320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393700</xdr:colOff>
      <xdr:row>156</xdr:row>
      <xdr:rowOff>12700</xdr:rowOff>
    </xdr:from>
    <xdr:to>
      <xdr:col>12</xdr:col>
      <xdr:colOff>457200</xdr:colOff>
      <xdr:row>156</xdr:row>
      <xdr:rowOff>12700</xdr:rowOff>
    </xdr:to>
    <xdr:sp macro="" textlink="">
      <xdr:nvSpPr>
        <xdr:cNvPr id="57920" name="Line 364">
          <a:extLst>
            <a:ext uri="{FF2B5EF4-FFF2-40B4-BE49-F238E27FC236}">
              <a16:creationId xmlns:a16="http://schemas.microsoft.com/office/drawing/2014/main" id="{4996D7C8-DA5C-CDDC-6F20-88068BDF8947}"/>
            </a:ext>
          </a:extLst>
        </xdr:cNvPr>
        <xdr:cNvSpPr>
          <a:spLocks noChangeShapeType="1"/>
        </xdr:cNvSpPr>
      </xdr:nvSpPr>
      <xdr:spPr bwMode="auto">
        <a:xfrm>
          <a:off x="7454900" y="31115000"/>
          <a:ext cx="17653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381000</xdr:colOff>
      <xdr:row>136</xdr:row>
      <xdr:rowOff>0</xdr:rowOff>
    </xdr:from>
    <xdr:to>
      <xdr:col>12</xdr:col>
      <xdr:colOff>381000</xdr:colOff>
      <xdr:row>156</xdr:row>
      <xdr:rowOff>0</xdr:rowOff>
    </xdr:to>
    <xdr:sp macro="" textlink="">
      <xdr:nvSpPr>
        <xdr:cNvPr id="57921" name="Line 365">
          <a:extLst>
            <a:ext uri="{FF2B5EF4-FFF2-40B4-BE49-F238E27FC236}">
              <a16:creationId xmlns:a16="http://schemas.microsoft.com/office/drawing/2014/main" id="{3E0BACD7-AEFD-DF75-2C68-9D5DB6200645}"/>
            </a:ext>
          </a:extLst>
        </xdr:cNvPr>
        <xdr:cNvSpPr>
          <a:spLocks noChangeShapeType="1"/>
        </xdr:cNvSpPr>
      </xdr:nvSpPr>
      <xdr:spPr bwMode="auto">
        <a:xfrm flipV="1">
          <a:off x="9144000" y="26987500"/>
          <a:ext cx="0" cy="41148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381000</xdr:colOff>
      <xdr:row>145</xdr:row>
      <xdr:rowOff>101600</xdr:rowOff>
    </xdr:from>
    <xdr:to>
      <xdr:col>12</xdr:col>
      <xdr:colOff>800100</xdr:colOff>
      <xdr:row>145</xdr:row>
      <xdr:rowOff>101600</xdr:rowOff>
    </xdr:to>
    <xdr:sp macro="" textlink="">
      <xdr:nvSpPr>
        <xdr:cNvPr id="57922" name="Line 366">
          <a:extLst>
            <a:ext uri="{FF2B5EF4-FFF2-40B4-BE49-F238E27FC236}">
              <a16:creationId xmlns:a16="http://schemas.microsoft.com/office/drawing/2014/main" id="{C931C4C6-85F3-A026-6275-59F666769361}"/>
            </a:ext>
          </a:extLst>
        </xdr:cNvPr>
        <xdr:cNvSpPr>
          <a:spLocks noChangeShapeType="1"/>
        </xdr:cNvSpPr>
      </xdr:nvSpPr>
      <xdr:spPr bwMode="auto">
        <a:xfrm flipH="1">
          <a:off x="9144000" y="28905200"/>
          <a:ext cx="4191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oval" w="med" len="med"/>
          <a:tailEnd type="oval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165100</xdr:colOff>
      <xdr:row>146</xdr:row>
      <xdr:rowOff>76200</xdr:rowOff>
    </xdr:from>
    <xdr:to>
      <xdr:col>6</xdr:col>
      <xdr:colOff>596900</xdr:colOff>
      <xdr:row>147</xdr:row>
      <xdr:rowOff>165100</xdr:rowOff>
    </xdr:to>
    <xdr:sp macro="" textlink="">
      <xdr:nvSpPr>
        <xdr:cNvPr id="57923" name="Line 367">
          <a:extLst>
            <a:ext uri="{FF2B5EF4-FFF2-40B4-BE49-F238E27FC236}">
              <a16:creationId xmlns:a16="http://schemas.microsoft.com/office/drawing/2014/main" id="{B6457375-9A9F-4B68-D0AF-9A173BB4D1F2}"/>
            </a:ext>
          </a:extLst>
        </xdr:cNvPr>
        <xdr:cNvSpPr>
          <a:spLocks noChangeShapeType="1"/>
        </xdr:cNvSpPr>
      </xdr:nvSpPr>
      <xdr:spPr bwMode="auto">
        <a:xfrm flipH="1">
          <a:off x="4102100" y="29095700"/>
          <a:ext cx="431800" cy="3048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838200</xdr:colOff>
      <xdr:row>144</xdr:row>
      <xdr:rowOff>76200</xdr:rowOff>
    </xdr:from>
    <xdr:to>
      <xdr:col>7</xdr:col>
      <xdr:colOff>292100</xdr:colOff>
      <xdr:row>145</xdr:row>
      <xdr:rowOff>127000</xdr:rowOff>
    </xdr:to>
    <xdr:sp macro="" textlink="">
      <xdr:nvSpPr>
        <xdr:cNvPr id="57924" name="Line 368">
          <a:extLst>
            <a:ext uri="{FF2B5EF4-FFF2-40B4-BE49-F238E27FC236}">
              <a16:creationId xmlns:a16="http://schemas.microsoft.com/office/drawing/2014/main" id="{C026A731-1E08-E770-5205-8BFEBDB7DFED}"/>
            </a:ext>
          </a:extLst>
        </xdr:cNvPr>
        <xdr:cNvSpPr>
          <a:spLocks noChangeShapeType="1"/>
        </xdr:cNvSpPr>
      </xdr:nvSpPr>
      <xdr:spPr bwMode="auto">
        <a:xfrm flipV="1">
          <a:off x="4775200" y="28651200"/>
          <a:ext cx="330200" cy="2794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292100</xdr:colOff>
      <xdr:row>144</xdr:row>
      <xdr:rowOff>76200</xdr:rowOff>
    </xdr:from>
    <xdr:to>
      <xdr:col>8</xdr:col>
      <xdr:colOff>0</xdr:colOff>
      <xdr:row>144</xdr:row>
      <xdr:rowOff>76200</xdr:rowOff>
    </xdr:to>
    <xdr:sp macro="" textlink="">
      <xdr:nvSpPr>
        <xdr:cNvPr id="57925" name="Line 369">
          <a:extLst>
            <a:ext uri="{FF2B5EF4-FFF2-40B4-BE49-F238E27FC236}">
              <a16:creationId xmlns:a16="http://schemas.microsoft.com/office/drawing/2014/main" id="{7AA6F792-4914-2203-ADB4-212CF0D4A6CE}"/>
            </a:ext>
          </a:extLst>
        </xdr:cNvPr>
        <xdr:cNvSpPr>
          <a:spLocks noChangeShapeType="1"/>
        </xdr:cNvSpPr>
      </xdr:nvSpPr>
      <xdr:spPr bwMode="auto">
        <a:xfrm>
          <a:off x="5105400" y="28651200"/>
          <a:ext cx="4572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546100</xdr:colOff>
      <xdr:row>141</xdr:row>
      <xdr:rowOff>114300</xdr:rowOff>
    </xdr:from>
    <xdr:to>
      <xdr:col>11</xdr:col>
      <xdr:colOff>12700</xdr:colOff>
      <xdr:row>141</xdr:row>
      <xdr:rowOff>114300</xdr:rowOff>
    </xdr:to>
    <xdr:sp macro="" textlink="">
      <xdr:nvSpPr>
        <xdr:cNvPr id="57926" name="Line 370">
          <a:extLst>
            <a:ext uri="{FF2B5EF4-FFF2-40B4-BE49-F238E27FC236}">
              <a16:creationId xmlns:a16="http://schemas.microsoft.com/office/drawing/2014/main" id="{0E4E12C3-A9C2-EC71-9E87-2700A297D4E6}"/>
            </a:ext>
          </a:extLst>
        </xdr:cNvPr>
        <xdr:cNvSpPr>
          <a:spLocks noChangeShapeType="1"/>
        </xdr:cNvSpPr>
      </xdr:nvSpPr>
      <xdr:spPr bwMode="auto">
        <a:xfrm flipV="1">
          <a:off x="6934200" y="28092400"/>
          <a:ext cx="10033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76200</xdr:colOff>
      <xdr:row>141</xdr:row>
      <xdr:rowOff>114300</xdr:rowOff>
    </xdr:from>
    <xdr:to>
      <xdr:col>9</xdr:col>
      <xdr:colOff>330200</xdr:colOff>
      <xdr:row>141</xdr:row>
      <xdr:rowOff>114300</xdr:rowOff>
    </xdr:to>
    <xdr:sp macro="" textlink="">
      <xdr:nvSpPr>
        <xdr:cNvPr id="57927" name="Line 371">
          <a:extLst>
            <a:ext uri="{FF2B5EF4-FFF2-40B4-BE49-F238E27FC236}">
              <a16:creationId xmlns:a16="http://schemas.microsoft.com/office/drawing/2014/main" id="{BBCF4426-707E-E4AF-85D9-28C3C05781BE}"/>
            </a:ext>
          </a:extLst>
        </xdr:cNvPr>
        <xdr:cNvSpPr>
          <a:spLocks noChangeShapeType="1"/>
        </xdr:cNvSpPr>
      </xdr:nvSpPr>
      <xdr:spPr bwMode="auto">
        <a:xfrm flipH="1">
          <a:off x="6464300" y="28092400"/>
          <a:ext cx="2540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38100</xdr:colOff>
      <xdr:row>131</xdr:row>
      <xdr:rowOff>76200</xdr:rowOff>
    </xdr:from>
    <xdr:to>
      <xdr:col>6</xdr:col>
      <xdr:colOff>838200</xdr:colOff>
      <xdr:row>131</xdr:row>
      <xdr:rowOff>76200</xdr:rowOff>
    </xdr:to>
    <xdr:sp macro="" textlink="">
      <xdr:nvSpPr>
        <xdr:cNvPr id="57928" name="Line 372">
          <a:extLst>
            <a:ext uri="{FF2B5EF4-FFF2-40B4-BE49-F238E27FC236}">
              <a16:creationId xmlns:a16="http://schemas.microsoft.com/office/drawing/2014/main" id="{5BD52147-3B8B-9C2B-BA7C-C7B1A1FDEA6D}"/>
            </a:ext>
          </a:extLst>
        </xdr:cNvPr>
        <xdr:cNvSpPr>
          <a:spLocks noChangeShapeType="1"/>
        </xdr:cNvSpPr>
      </xdr:nvSpPr>
      <xdr:spPr bwMode="auto">
        <a:xfrm>
          <a:off x="3124200" y="26035000"/>
          <a:ext cx="16510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38100</xdr:colOff>
      <xdr:row>131</xdr:row>
      <xdr:rowOff>50800</xdr:rowOff>
    </xdr:from>
    <xdr:to>
      <xdr:col>9</xdr:col>
      <xdr:colOff>444500</xdr:colOff>
      <xdr:row>131</xdr:row>
      <xdr:rowOff>50800</xdr:rowOff>
    </xdr:to>
    <xdr:sp macro="" textlink="">
      <xdr:nvSpPr>
        <xdr:cNvPr id="57929" name="Line 373">
          <a:extLst>
            <a:ext uri="{FF2B5EF4-FFF2-40B4-BE49-F238E27FC236}">
              <a16:creationId xmlns:a16="http://schemas.microsoft.com/office/drawing/2014/main" id="{46D18803-A3E0-EF5B-5082-791D01B80FF9}"/>
            </a:ext>
          </a:extLst>
        </xdr:cNvPr>
        <xdr:cNvSpPr>
          <a:spLocks noChangeShapeType="1"/>
        </xdr:cNvSpPr>
      </xdr:nvSpPr>
      <xdr:spPr bwMode="auto">
        <a:xfrm>
          <a:off x="5600700" y="26009600"/>
          <a:ext cx="12319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10</xdr:col>
      <xdr:colOff>305435</xdr:colOff>
      <xdr:row>153</xdr:row>
      <xdr:rowOff>39370</xdr:rowOff>
    </xdr:from>
    <xdr:ext cx="543763" cy="263428"/>
    <xdr:sp macro="" textlink="">
      <xdr:nvSpPr>
        <xdr:cNvPr id="16758" name="AutoShape 374">
          <a:extLst>
            <a:ext uri="{FF2B5EF4-FFF2-40B4-BE49-F238E27FC236}">
              <a16:creationId xmlns:a16="http://schemas.microsoft.com/office/drawing/2014/main" id="{32883207-212C-11F9-4298-49D4F9457C2F}"/>
            </a:ext>
          </a:extLst>
        </xdr:cNvPr>
        <xdr:cNvSpPr>
          <a:spLocks/>
        </xdr:cNvSpPr>
      </xdr:nvSpPr>
      <xdr:spPr bwMode="auto">
        <a:xfrm>
          <a:off x="6654165" y="29807535"/>
          <a:ext cx="463460" cy="200119"/>
        </a:xfrm>
        <a:prstGeom prst="borderCallout2">
          <a:avLst>
            <a:gd name="adj1" fmla="val 46153"/>
            <a:gd name="adj2" fmla="val -14037"/>
            <a:gd name="adj3" fmla="val 46153"/>
            <a:gd name="adj4" fmla="val -33333"/>
            <a:gd name="adj5" fmla="val 203847"/>
            <a:gd name="adj6" fmla="val -108773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FF0000"/>
              </a:solidFill>
              <a:latin typeface="Arial"/>
              <a:cs typeface="Arial"/>
            </a:rPr>
            <a:t>50 clr.</a:t>
          </a:r>
        </a:p>
      </xdr:txBody>
    </xdr:sp>
    <xdr:clientData/>
  </xdr:oneCellAnchor>
  <xdr:oneCellAnchor>
    <xdr:from>
      <xdr:col>5</xdr:col>
      <xdr:colOff>642620</xdr:colOff>
      <xdr:row>136</xdr:row>
      <xdr:rowOff>114935</xdr:rowOff>
    </xdr:from>
    <xdr:ext cx="463460" cy="200119"/>
    <xdr:sp macro="" textlink="">
      <xdr:nvSpPr>
        <xdr:cNvPr id="16759" name="AutoShape 375">
          <a:extLst>
            <a:ext uri="{FF2B5EF4-FFF2-40B4-BE49-F238E27FC236}">
              <a16:creationId xmlns:a16="http://schemas.microsoft.com/office/drawing/2014/main" id="{69E7D769-883E-4B68-8A7F-F91AB3B2E369}"/>
            </a:ext>
          </a:extLst>
        </xdr:cNvPr>
        <xdr:cNvSpPr>
          <a:spLocks/>
        </xdr:cNvSpPr>
      </xdr:nvSpPr>
      <xdr:spPr bwMode="auto">
        <a:xfrm>
          <a:off x="3741420" y="27665468"/>
          <a:ext cx="463460" cy="200119"/>
        </a:xfrm>
        <a:prstGeom prst="borderCallout2">
          <a:avLst>
            <a:gd name="adj1" fmla="val 46153"/>
            <a:gd name="adj2" fmla="val -14287"/>
            <a:gd name="adj3" fmla="val 46153"/>
            <a:gd name="adj4" fmla="val -26787"/>
            <a:gd name="adj5" fmla="val 253847"/>
            <a:gd name="adj6" fmla="val -7500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FF0000"/>
              </a:solidFill>
              <a:latin typeface="Arial"/>
              <a:cs typeface="Arial"/>
            </a:rPr>
            <a:t>50 clr.</a:t>
          </a:r>
        </a:p>
      </xdr:txBody>
    </xdr:sp>
    <xdr:clientData/>
  </xdr:oneCellAnchor>
  <xdr:twoCellAnchor>
    <xdr:from>
      <xdr:col>4</xdr:col>
      <xdr:colOff>12700</xdr:colOff>
      <xdr:row>139</xdr:row>
      <xdr:rowOff>152400</xdr:rowOff>
    </xdr:from>
    <xdr:to>
      <xdr:col>5</xdr:col>
      <xdr:colOff>190500</xdr:colOff>
      <xdr:row>143</xdr:row>
      <xdr:rowOff>152400</xdr:rowOff>
    </xdr:to>
    <xdr:sp macro="" textlink="">
      <xdr:nvSpPr>
        <xdr:cNvPr id="57932" name="Line 376">
          <a:extLst>
            <a:ext uri="{FF2B5EF4-FFF2-40B4-BE49-F238E27FC236}">
              <a16:creationId xmlns:a16="http://schemas.microsoft.com/office/drawing/2014/main" id="{024F0AED-5B95-42C5-D254-B49325012BCE}"/>
            </a:ext>
          </a:extLst>
        </xdr:cNvPr>
        <xdr:cNvSpPr>
          <a:spLocks noChangeShapeType="1"/>
        </xdr:cNvSpPr>
      </xdr:nvSpPr>
      <xdr:spPr bwMode="auto">
        <a:xfrm flipH="1">
          <a:off x="2387600" y="27749500"/>
          <a:ext cx="889000" cy="8001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12700</xdr:colOff>
      <xdr:row>156</xdr:row>
      <xdr:rowOff>0</xdr:rowOff>
    </xdr:from>
    <xdr:to>
      <xdr:col>9</xdr:col>
      <xdr:colOff>254000</xdr:colOff>
      <xdr:row>160</xdr:row>
      <xdr:rowOff>139700</xdr:rowOff>
    </xdr:to>
    <xdr:sp macro="" textlink="">
      <xdr:nvSpPr>
        <xdr:cNvPr id="57933" name="Line 377">
          <a:extLst>
            <a:ext uri="{FF2B5EF4-FFF2-40B4-BE49-F238E27FC236}">
              <a16:creationId xmlns:a16="http://schemas.microsoft.com/office/drawing/2014/main" id="{091EB169-675A-A8EA-CD34-D035DE38144C}"/>
            </a:ext>
          </a:extLst>
        </xdr:cNvPr>
        <xdr:cNvSpPr>
          <a:spLocks noChangeShapeType="1"/>
        </xdr:cNvSpPr>
      </xdr:nvSpPr>
      <xdr:spPr bwMode="auto">
        <a:xfrm flipH="1">
          <a:off x="5575300" y="31102300"/>
          <a:ext cx="1066800" cy="8636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88900</xdr:colOff>
      <xdr:row>143</xdr:row>
      <xdr:rowOff>50800</xdr:rowOff>
    </xdr:from>
    <xdr:to>
      <xdr:col>8</xdr:col>
      <xdr:colOff>76200</xdr:colOff>
      <xdr:row>160</xdr:row>
      <xdr:rowOff>101600</xdr:rowOff>
    </xdr:to>
    <xdr:sp macro="" textlink="">
      <xdr:nvSpPr>
        <xdr:cNvPr id="57934" name="Line 378">
          <a:extLst>
            <a:ext uri="{FF2B5EF4-FFF2-40B4-BE49-F238E27FC236}">
              <a16:creationId xmlns:a16="http://schemas.microsoft.com/office/drawing/2014/main" id="{97DBAAA3-616A-07F5-92C7-4135CFCE0FD3}"/>
            </a:ext>
          </a:extLst>
        </xdr:cNvPr>
        <xdr:cNvSpPr>
          <a:spLocks noChangeShapeType="1"/>
        </xdr:cNvSpPr>
      </xdr:nvSpPr>
      <xdr:spPr bwMode="auto">
        <a:xfrm flipH="1" flipV="1">
          <a:off x="2463800" y="28448000"/>
          <a:ext cx="3175000" cy="34798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127000</xdr:colOff>
      <xdr:row>150</xdr:row>
      <xdr:rowOff>38100</xdr:rowOff>
    </xdr:from>
    <xdr:to>
      <xdr:col>6</xdr:col>
      <xdr:colOff>342900</xdr:colOff>
      <xdr:row>151</xdr:row>
      <xdr:rowOff>76200</xdr:rowOff>
    </xdr:to>
    <xdr:sp macro="" textlink="">
      <xdr:nvSpPr>
        <xdr:cNvPr id="57935" name="Line 379">
          <a:extLst>
            <a:ext uri="{FF2B5EF4-FFF2-40B4-BE49-F238E27FC236}">
              <a16:creationId xmlns:a16="http://schemas.microsoft.com/office/drawing/2014/main" id="{CDE0E917-5704-BE5C-3717-BE25113A2E52}"/>
            </a:ext>
          </a:extLst>
        </xdr:cNvPr>
        <xdr:cNvSpPr>
          <a:spLocks noChangeShapeType="1"/>
        </xdr:cNvSpPr>
      </xdr:nvSpPr>
      <xdr:spPr bwMode="auto">
        <a:xfrm flipH="1">
          <a:off x="4064000" y="29933900"/>
          <a:ext cx="215900" cy="25400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oval" w="med" len="med"/>
          <a:tailEnd type="oval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12700</xdr:colOff>
      <xdr:row>149</xdr:row>
      <xdr:rowOff>127000</xdr:rowOff>
    </xdr:from>
    <xdr:to>
      <xdr:col>4</xdr:col>
      <xdr:colOff>571500</xdr:colOff>
      <xdr:row>149</xdr:row>
      <xdr:rowOff>127000</xdr:rowOff>
    </xdr:to>
    <xdr:sp macro="" textlink="">
      <xdr:nvSpPr>
        <xdr:cNvPr id="57936" name="Line 380">
          <a:extLst>
            <a:ext uri="{FF2B5EF4-FFF2-40B4-BE49-F238E27FC236}">
              <a16:creationId xmlns:a16="http://schemas.microsoft.com/office/drawing/2014/main" id="{ED014CE8-B2F7-BDAF-6FF6-D18ACE8E5A8A}"/>
            </a:ext>
          </a:extLst>
        </xdr:cNvPr>
        <xdr:cNvSpPr>
          <a:spLocks noChangeShapeType="1"/>
        </xdr:cNvSpPr>
      </xdr:nvSpPr>
      <xdr:spPr bwMode="auto">
        <a:xfrm flipH="1">
          <a:off x="2387600" y="29806900"/>
          <a:ext cx="5588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139700</xdr:colOff>
      <xdr:row>149</xdr:row>
      <xdr:rowOff>139700</xdr:rowOff>
    </xdr:from>
    <xdr:to>
      <xdr:col>5</xdr:col>
      <xdr:colOff>342900</xdr:colOff>
      <xdr:row>149</xdr:row>
      <xdr:rowOff>139700</xdr:rowOff>
    </xdr:to>
    <xdr:sp macro="" textlink="">
      <xdr:nvSpPr>
        <xdr:cNvPr id="57937" name="Line 381">
          <a:extLst>
            <a:ext uri="{FF2B5EF4-FFF2-40B4-BE49-F238E27FC236}">
              <a16:creationId xmlns:a16="http://schemas.microsoft.com/office/drawing/2014/main" id="{A071DD7B-7232-928F-9F5B-3D8533693AEB}"/>
            </a:ext>
          </a:extLst>
        </xdr:cNvPr>
        <xdr:cNvSpPr>
          <a:spLocks noChangeShapeType="1"/>
        </xdr:cNvSpPr>
      </xdr:nvSpPr>
      <xdr:spPr bwMode="auto">
        <a:xfrm>
          <a:off x="3225800" y="29819600"/>
          <a:ext cx="2032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520700</xdr:colOff>
      <xdr:row>136</xdr:row>
      <xdr:rowOff>38100</xdr:rowOff>
    </xdr:from>
    <xdr:to>
      <xdr:col>9</xdr:col>
      <xdr:colOff>635000</xdr:colOff>
      <xdr:row>136</xdr:row>
      <xdr:rowOff>38100</xdr:rowOff>
    </xdr:to>
    <xdr:sp macro="" textlink="">
      <xdr:nvSpPr>
        <xdr:cNvPr id="57938" name="Line 382">
          <a:extLst>
            <a:ext uri="{FF2B5EF4-FFF2-40B4-BE49-F238E27FC236}">
              <a16:creationId xmlns:a16="http://schemas.microsoft.com/office/drawing/2014/main" id="{4513A8A0-E02D-6731-8C9B-66BE40217278}"/>
            </a:ext>
          </a:extLst>
        </xdr:cNvPr>
        <xdr:cNvSpPr>
          <a:spLocks noChangeShapeType="1"/>
        </xdr:cNvSpPr>
      </xdr:nvSpPr>
      <xdr:spPr bwMode="auto">
        <a:xfrm>
          <a:off x="2895600" y="27025600"/>
          <a:ext cx="41275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457200</xdr:colOff>
      <xdr:row>139</xdr:row>
      <xdr:rowOff>114300</xdr:rowOff>
    </xdr:from>
    <xdr:to>
      <xdr:col>9</xdr:col>
      <xdr:colOff>622300</xdr:colOff>
      <xdr:row>139</xdr:row>
      <xdr:rowOff>114300</xdr:rowOff>
    </xdr:to>
    <xdr:sp macro="" textlink="">
      <xdr:nvSpPr>
        <xdr:cNvPr id="57939" name="Line 383">
          <a:extLst>
            <a:ext uri="{FF2B5EF4-FFF2-40B4-BE49-F238E27FC236}">
              <a16:creationId xmlns:a16="http://schemas.microsoft.com/office/drawing/2014/main" id="{0A55E12D-6F31-608F-65B3-D7BDDDE27EA3}"/>
            </a:ext>
          </a:extLst>
        </xdr:cNvPr>
        <xdr:cNvSpPr>
          <a:spLocks noChangeShapeType="1"/>
        </xdr:cNvSpPr>
      </xdr:nvSpPr>
      <xdr:spPr bwMode="auto">
        <a:xfrm>
          <a:off x="2832100" y="27711400"/>
          <a:ext cx="41783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152400</xdr:colOff>
      <xdr:row>138</xdr:row>
      <xdr:rowOff>25400</xdr:rowOff>
    </xdr:from>
    <xdr:to>
      <xdr:col>5</xdr:col>
      <xdr:colOff>127000</xdr:colOff>
      <xdr:row>138</xdr:row>
      <xdr:rowOff>38100</xdr:rowOff>
    </xdr:to>
    <xdr:sp macro="" textlink="">
      <xdr:nvSpPr>
        <xdr:cNvPr id="57940" name="Line 393">
          <a:extLst>
            <a:ext uri="{FF2B5EF4-FFF2-40B4-BE49-F238E27FC236}">
              <a16:creationId xmlns:a16="http://schemas.microsoft.com/office/drawing/2014/main" id="{A27E2A6B-710C-BB4F-CBBD-552C856082FD}"/>
            </a:ext>
          </a:extLst>
        </xdr:cNvPr>
        <xdr:cNvSpPr>
          <a:spLocks noChangeShapeType="1"/>
        </xdr:cNvSpPr>
      </xdr:nvSpPr>
      <xdr:spPr bwMode="auto">
        <a:xfrm>
          <a:off x="2527300" y="27406600"/>
          <a:ext cx="685800" cy="127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190500</xdr:colOff>
      <xdr:row>136</xdr:row>
      <xdr:rowOff>0</xdr:rowOff>
    </xdr:from>
    <xdr:to>
      <xdr:col>4</xdr:col>
      <xdr:colOff>190500</xdr:colOff>
      <xdr:row>138</xdr:row>
      <xdr:rowOff>12700</xdr:rowOff>
    </xdr:to>
    <xdr:sp macro="" textlink="">
      <xdr:nvSpPr>
        <xdr:cNvPr id="57941" name="Line 398">
          <a:extLst>
            <a:ext uri="{FF2B5EF4-FFF2-40B4-BE49-F238E27FC236}">
              <a16:creationId xmlns:a16="http://schemas.microsoft.com/office/drawing/2014/main" id="{8C8F1282-C2CA-9A15-4F5B-2583D953CBD1}"/>
            </a:ext>
          </a:extLst>
        </xdr:cNvPr>
        <xdr:cNvSpPr>
          <a:spLocks noChangeShapeType="1"/>
        </xdr:cNvSpPr>
      </xdr:nvSpPr>
      <xdr:spPr bwMode="auto">
        <a:xfrm flipV="1">
          <a:off x="2565400" y="26987500"/>
          <a:ext cx="0" cy="4064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190500</xdr:colOff>
      <xdr:row>133</xdr:row>
      <xdr:rowOff>101600</xdr:rowOff>
    </xdr:from>
    <xdr:to>
      <xdr:col>4</xdr:col>
      <xdr:colOff>190500</xdr:colOff>
      <xdr:row>135</xdr:row>
      <xdr:rowOff>190500</xdr:rowOff>
    </xdr:to>
    <xdr:sp macro="" textlink="">
      <xdr:nvSpPr>
        <xdr:cNvPr id="57942" name="Line 399">
          <a:extLst>
            <a:ext uri="{FF2B5EF4-FFF2-40B4-BE49-F238E27FC236}">
              <a16:creationId xmlns:a16="http://schemas.microsoft.com/office/drawing/2014/main" id="{1A19B706-0683-126A-1FD2-34D5B80EDC7F}"/>
            </a:ext>
          </a:extLst>
        </xdr:cNvPr>
        <xdr:cNvSpPr>
          <a:spLocks noChangeShapeType="1"/>
        </xdr:cNvSpPr>
      </xdr:nvSpPr>
      <xdr:spPr bwMode="auto">
        <a:xfrm flipV="1">
          <a:off x="2565400" y="26492200"/>
          <a:ext cx="0" cy="4826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825500</xdr:colOff>
      <xdr:row>137</xdr:row>
      <xdr:rowOff>203200</xdr:rowOff>
    </xdr:from>
    <xdr:to>
      <xdr:col>3</xdr:col>
      <xdr:colOff>444500</xdr:colOff>
      <xdr:row>138</xdr:row>
      <xdr:rowOff>114300</xdr:rowOff>
    </xdr:to>
    <xdr:sp macro="" textlink="">
      <xdr:nvSpPr>
        <xdr:cNvPr id="57943" name="Line 400">
          <a:extLst>
            <a:ext uri="{FF2B5EF4-FFF2-40B4-BE49-F238E27FC236}">
              <a16:creationId xmlns:a16="http://schemas.microsoft.com/office/drawing/2014/main" id="{B7F2E2D7-E0A2-E5FD-B875-426D475F82CF}"/>
            </a:ext>
          </a:extLst>
        </xdr:cNvPr>
        <xdr:cNvSpPr>
          <a:spLocks noChangeShapeType="1"/>
        </xdr:cNvSpPr>
      </xdr:nvSpPr>
      <xdr:spPr bwMode="auto">
        <a:xfrm flipV="1">
          <a:off x="1473200" y="27368500"/>
          <a:ext cx="457200" cy="1270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oval" w="med" len="med"/>
          <a:tailEnd type="oval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12700</xdr:colOff>
      <xdr:row>133</xdr:row>
      <xdr:rowOff>101600</xdr:rowOff>
    </xdr:from>
    <xdr:to>
      <xdr:col>4</xdr:col>
      <xdr:colOff>190500</xdr:colOff>
      <xdr:row>133</xdr:row>
      <xdr:rowOff>101600</xdr:rowOff>
    </xdr:to>
    <xdr:sp macro="" textlink="">
      <xdr:nvSpPr>
        <xdr:cNvPr id="57944" name="Line 402">
          <a:extLst>
            <a:ext uri="{FF2B5EF4-FFF2-40B4-BE49-F238E27FC236}">
              <a16:creationId xmlns:a16="http://schemas.microsoft.com/office/drawing/2014/main" id="{B2F1F200-A356-A610-B906-98F1F2F56927}"/>
            </a:ext>
          </a:extLst>
        </xdr:cNvPr>
        <xdr:cNvSpPr>
          <a:spLocks noChangeShapeType="1"/>
        </xdr:cNvSpPr>
      </xdr:nvSpPr>
      <xdr:spPr bwMode="auto">
        <a:xfrm flipH="1">
          <a:off x="1498600" y="26492200"/>
          <a:ext cx="10668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114300</xdr:colOff>
      <xdr:row>133</xdr:row>
      <xdr:rowOff>12700</xdr:rowOff>
    </xdr:from>
    <xdr:to>
      <xdr:col>5</xdr:col>
      <xdr:colOff>114300</xdr:colOff>
      <xdr:row>138</xdr:row>
      <xdr:rowOff>0</xdr:rowOff>
    </xdr:to>
    <xdr:sp macro="" textlink="">
      <xdr:nvSpPr>
        <xdr:cNvPr id="57945" name="Line 403">
          <a:extLst>
            <a:ext uri="{FF2B5EF4-FFF2-40B4-BE49-F238E27FC236}">
              <a16:creationId xmlns:a16="http://schemas.microsoft.com/office/drawing/2014/main" id="{B5DD8874-9912-D73D-A8B2-7C6C365ECEF8}"/>
            </a:ext>
          </a:extLst>
        </xdr:cNvPr>
        <xdr:cNvSpPr>
          <a:spLocks noChangeShapeType="1"/>
        </xdr:cNvSpPr>
      </xdr:nvSpPr>
      <xdr:spPr bwMode="auto">
        <a:xfrm flipV="1">
          <a:off x="3200400" y="26403300"/>
          <a:ext cx="0" cy="9779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127000</xdr:colOff>
      <xdr:row>133</xdr:row>
      <xdr:rowOff>114300</xdr:rowOff>
    </xdr:from>
    <xdr:to>
      <xdr:col>6</xdr:col>
      <xdr:colOff>0</xdr:colOff>
      <xdr:row>133</xdr:row>
      <xdr:rowOff>114300</xdr:rowOff>
    </xdr:to>
    <xdr:sp macro="" textlink="">
      <xdr:nvSpPr>
        <xdr:cNvPr id="57946" name="Line 404">
          <a:extLst>
            <a:ext uri="{FF2B5EF4-FFF2-40B4-BE49-F238E27FC236}">
              <a16:creationId xmlns:a16="http://schemas.microsoft.com/office/drawing/2014/main" id="{F67B937A-5352-B91C-4F8A-F7C2950DBE44}"/>
            </a:ext>
          </a:extLst>
        </xdr:cNvPr>
        <xdr:cNvSpPr>
          <a:spLocks noChangeShapeType="1"/>
        </xdr:cNvSpPr>
      </xdr:nvSpPr>
      <xdr:spPr bwMode="auto">
        <a:xfrm flipV="1">
          <a:off x="3213100" y="26504900"/>
          <a:ext cx="7239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393700</xdr:colOff>
      <xdr:row>133</xdr:row>
      <xdr:rowOff>114300</xdr:rowOff>
    </xdr:from>
    <xdr:to>
      <xdr:col>5</xdr:col>
      <xdr:colOff>38100</xdr:colOff>
      <xdr:row>133</xdr:row>
      <xdr:rowOff>114300</xdr:rowOff>
    </xdr:to>
    <xdr:sp macro="" textlink="">
      <xdr:nvSpPr>
        <xdr:cNvPr id="57947" name="Line 405">
          <a:extLst>
            <a:ext uri="{FF2B5EF4-FFF2-40B4-BE49-F238E27FC236}">
              <a16:creationId xmlns:a16="http://schemas.microsoft.com/office/drawing/2014/main" id="{1C70DBA7-C856-D632-1161-7B6E8E15F40D}"/>
            </a:ext>
          </a:extLst>
        </xdr:cNvPr>
        <xdr:cNvSpPr>
          <a:spLocks noChangeShapeType="1"/>
        </xdr:cNvSpPr>
      </xdr:nvSpPr>
      <xdr:spPr bwMode="auto">
        <a:xfrm>
          <a:off x="2768600" y="26504900"/>
          <a:ext cx="3556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444500</xdr:colOff>
      <xdr:row>158</xdr:row>
      <xdr:rowOff>114300</xdr:rowOff>
    </xdr:from>
    <xdr:to>
      <xdr:col>10</xdr:col>
      <xdr:colOff>368300</xdr:colOff>
      <xdr:row>158</xdr:row>
      <xdr:rowOff>127000</xdr:rowOff>
    </xdr:to>
    <xdr:sp macro="" textlink="">
      <xdr:nvSpPr>
        <xdr:cNvPr id="57948" name="Line 406">
          <a:extLst>
            <a:ext uri="{FF2B5EF4-FFF2-40B4-BE49-F238E27FC236}">
              <a16:creationId xmlns:a16="http://schemas.microsoft.com/office/drawing/2014/main" id="{44955763-36D1-C9DA-3CD9-11017FF129AB}"/>
            </a:ext>
          </a:extLst>
        </xdr:cNvPr>
        <xdr:cNvSpPr>
          <a:spLocks noChangeShapeType="1"/>
        </xdr:cNvSpPr>
      </xdr:nvSpPr>
      <xdr:spPr bwMode="auto">
        <a:xfrm>
          <a:off x="2819400" y="31546800"/>
          <a:ext cx="4610100" cy="127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495300</xdr:colOff>
      <xdr:row>156</xdr:row>
      <xdr:rowOff>63500</xdr:rowOff>
    </xdr:from>
    <xdr:to>
      <xdr:col>10</xdr:col>
      <xdr:colOff>292100</xdr:colOff>
      <xdr:row>156</xdr:row>
      <xdr:rowOff>63500</xdr:rowOff>
    </xdr:to>
    <xdr:sp macro="" textlink="">
      <xdr:nvSpPr>
        <xdr:cNvPr id="57949" name="Line 407">
          <a:extLst>
            <a:ext uri="{FF2B5EF4-FFF2-40B4-BE49-F238E27FC236}">
              <a16:creationId xmlns:a16="http://schemas.microsoft.com/office/drawing/2014/main" id="{E886386C-796E-27A4-F5F6-D2E789449645}"/>
            </a:ext>
          </a:extLst>
        </xdr:cNvPr>
        <xdr:cNvSpPr>
          <a:spLocks noChangeShapeType="1"/>
        </xdr:cNvSpPr>
      </xdr:nvSpPr>
      <xdr:spPr bwMode="auto">
        <a:xfrm>
          <a:off x="2870200" y="31165800"/>
          <a:ext cx="44831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495300</xdr:colOff>
      <xdr:row>158</xdr:row>
      <xdr:rowOff>63500</xdr:rowOff>
    </xdr:from>
    <xdr:to>
      <xdr:col>10</xdr:col>
      <xdr:colOff>292100</xdr:colOff>
      <xdr:row>158</xdr:row>
      <xdr:rowOff>63500</xdr:rowOff>
    </xdr:to>
    <xdr:sp macro="" textlink="">
      <xdr:nvSpPr>
        <xdr:cNvPr id="57950" name="Line 409">
          <a:extLst>
            <a:ext uri="{FF2B5EF4-FFF2-40B4-BE49-F238E27FC236}">
              <a16:creationId xmlns:a16="http://schemas.microsoft.com/office/drawing/2014/main" id="{2775A771-39D5-E926-F66C-6CC3629F12F2}"/>
            </a:ext>
          </a:extLst>
        </xdr:cNvPr>
        <xdr:cNvSpPr>
          <a:spLocks noChangeShapeType="1"/>
        </xdr:cNvSpPr>
      </xdr:nvSpPr>
      <xdr:spPr bwMode="auto">
        <a:xfrm>
          <a:off x="2870200" y="31496000"/>
          <a:ext cx="44831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279400</xdr:colOff>
      <xdr:row>157</xdr:row>
      <xdr:rowOff>76200</xdr:rowOff>
    </xdr:from>
    <xdr:to>
      <xdr:col>11</xdr:col>
      <xdr:colOff>520700</xdr:colOff>
      <xdr:row>157</xdr:row>
      <xdr:rowOff>76200</xdr:rowOff>
    </xdr:to>
    <xdr:sp macro="" textlink="">
      <xdr:nvSpPr>
        <xdr:cNvPr id="57951" name="Line 410">
          <a:extLst>
            <a:ext uri="{FF2B5EF4-FFF2-40B4-BE49-F238E27FC236}">
              <a16:creationId xmlns:a16="http://schemas.microsoft.com/office/drawing/2014/main" id="{30EC3E24-2C87-4630-7640-C9BC5402EDDC}"/>
            </a:ext>
          </a:extLst>
        </xdr:cNvPr>
        <xdr:cNvSpPr>
          <a:spLocks noChangeShapeType="1"/>
        </xdr:cNvSpPr>
      </xdr:nvSpPr>
      <xdr:spPr bwMode="auto">
        <a:xfrm flipV="1">
          <a:off x="6667500" y="31343600"/>
          <a:ext cx="17780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406400</xdr:colOff>
      <xdr:row>153</xdr:row>
      <xdr:rowOff>165100</xdr:rowOff>
    </xdr:from>
    <xdr:to>
      <xdr:col>11</xdr:col>
      <xdr:colOff>406400</xdr:colOff>
      <xdr:row>156</xdr:row>
      <xdr:rowOff>12700</xdr:rowOff>
    </xdr:to>
    <xdr:sp macro="" textlink="">
      <xdr:nvSpPr>
        <xdr:cNvPr id="57952" name="Line 411">
          <a:extLst>
            <a:ext uri="{FF2B5EF4-FFF2-40B4-BE49-F238E27FC236}">
              <a16:creationId xmlns:a16="http://schemas.microsoft.com/office/drawing/2014/main" id="{C08E49EC-47BB-8F58-4B58-D5D7FAA861F4}"/>
            </a:ext>
          </a:extLst>
        </xdr:cNvPr>
        <xdr:cNvSpPr>
          <a:spLocks noChangeShapeType="1"/>
        </xdr:cNvSpPr>
      </xdr:nvSpPr>
      <xdr:spPr bwMode="auto">
        <a:xfrm flipV="1">
          <a:off x="8331200" y="30708600"/>
          <a:ext cx="0" cy="4064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406400</xdr:colOff>
      <xdr:row>157</xdr:row>
      <xdr:rowOff>63500</xdr:rowOff>
    </xdr:from>
    <xdr:to>
      <xdr:col>11</xdr:col>
      <xdr:colOff>406400</xdr:colOff>
      <xdr:row>159</xdr:row>
      <xdr:rowOff>88900</xdr:rowOff>
    </xdr:to>
    <xdr:sp macro="" textlink="">
      <xdr:nvSpPr>
        <xdr:cNvPr id="57953" name="Line 412">
          <a:extLst>
            <a:ext uri="{FF2B5EF4-FFF2-40B4-BE49-F238E27FC236}">
              <a16:creationId xmlns:a16="http://schemas.microsoft.com/office/drawing/2014/main" id="{23780906-0311-5772-C320-102A669CB69A}"/>
            </a:ext>
          </a:extLst>
        </xdr:cNvPr>
        <xdr:cNvSpPr>
          <a:spLocks noChangeShapeType="1"/>
        </xdr:cNvSpPr>
      </xdr:nvSpPr>
      <xdr:spPr bwMode="auto">
        <a:xfrm flipV="1">
          <a:off x="8331200" y="31330900"/>
          <a:ext cx="0" cy="3683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406400</xdr:colOff>
      <xdr:row>156</xdr:row>
      <xdr:rowOff>12700</xdr:rowOff>
    </xdr:from>
    <xdr:to>
      <xdr:col>11</xdr:col>
      <xdr:colOff>406400</xdr:colOff>
      <xdr:row>157</xdr:row>
      <xdr:rowOff>63500</xdr:rowOff>
    </xdr:to>
    <xdr:sp macro="" textlink="">
      <xdr:nvSpPr>
        <xdr:cNvPr id="57954" name="Line 413">
          <a:extLst>
            <a:ext uri="{FF2B5EF4-FFF2-40B4-BE49-F238E27FC236}">
              <a16:creationId xmlns:a16="http://schemas.microsoft.com/office/drawing/2014/main" id="{F97E4E38-23DC-5EC8-15F2-419B80AB76D4}"/>
            </a:ext>
          </a:extLst>
        </xdr:cNvPr>
        <xdr:cNvSpPr>
          <a:spLocks noChangeShapeType="1"/>
        </xdr:cNvSpPr>
      </xdr:nvSpPr>
      <xdr:spPr bwMode="auto">
        <a:xfrm flipH="1" flipV="1">
          <a:off x="8331200" y="31115000"/>
          <a:ext cx="0" cy="2159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215900</xdr:colOff>
      <xdr:row>322</xdr:row>
      <xdr:rowOff>12700</xdr:rowOff>
    </xdr:from>
    <xdr:to>
      <xdr:col>21</xdr:col>
      <xdr:colOff>215900</xdr:colOff>
      <xdr:row>324</xdr:row>
      <xdr:rowOff>25400</xdr:rowOff>
    </xdr:to>
    <xdr:sp macro="" textlink="">
      <xdr:nvSpPr>
        <xdr:cNvPr id="57955" name="Line 415">
          <a:extLst>
            <a:ext uri="{FF2B5EF4-FFF2-40B4-BE49-F238E27FC236}">
              <a16:creationId xmlns:a16="http://schemas.microsoft.com/office/drawing/2014/main" id="{DDC49BBA-7A91-2917-1B80-0045775D90D6}"/>
            </a:ext>
          </a:extLst>
        </xdr:cNvPr>
        <xdr:cNvSpPr>
          <a:spLocks noChangeShapeType="1"/>
        </xdr:cNvSpPr>
      </xdr:nvSpPr>
      <xdr:spPr bwMode="auto">
        <a:xfrm flipV="1">
          <a:off x="13335000" y="59969400"/>
          <a:ext cx="0" cy="3429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419100</xdr:colOff>
      <xdr:row>159</xdr:row>
      <xdr:rowOff>88900</xdr:rowOff>
    </xdr:from>
    <xdr:to>
      <xdr:col>11</xdr:col>
      <xdr:colOff>825500</xdr:colOff>
      <xdr:row>159</xdr:row>
      <xdr:rowOff>88900</xdr:rowOff>
    </xdr:to>
    <xdr:sp macro="" textlink="">
      <xdr:nvSpPr>
        <xdr:cNvPr id="57956" name="Line 416">
          <a:extLst>
            <a:ext uri="{FF2B5EF4-FFF2-40B4-BE49-F238E27FC236}">
              <a16:creationId xmlns:a16="http://schemas.microsoft.com/office/drawing/2014/main" id="{7BE67E33-95C3-C57F-D26B-D62EBEBDAB67}"/>
            </a:ext>
          </a:extLst>
        </xdr:cNvPr>
        <xdr:cNvSpPr>
          <a:spLocks noChangeShapeType="1"/>
        </xdr:cNvSpPr>
      </xdr:nvSpPr>
      <xdr:spPr bwMode="auto">
        <a:xfrm flipV="1">
          <a:off x="8343900" y="31699200"/>
          <a:ext cx="4064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50800</xdr:colOff>
      <xdr:row>137</xdr:row>
      <xdr:rowOff>165100</xdr:rowOff>
    </xdr:from>
    <xdr:to>
      <xdr:col>5</xdr:col>
      <xdr:colOff>190500</xdr:colOff>
      <xdr:row>138</xdr:row>
      <xdr:rowOff>50800</xdr:rowOff>
    </xdr:to>
    <xdr:sp macro="" textlink="">
      <xdr:nvSpPr>
        <xdr:cNvPr id="57957" name="Oval 417">
          <a:extLst>
            <a:ext uri="{FF2B5EF4-FFF2-40B4-BE49-F238E27FC236}">
              <a16:creationId xmlns:a16="http://schemas.microsoft.com/office/drawing/2014/main" id="{99A9D048-3A89-1AFD-8502-9C3469E2B54B}"/>
            </a:ext>
          </a:extLst>
        </xdr:cNvPr>
        <xdr:cNvSpPr>
          <a:spLocks noChangeArrowheads="1"/>
        </xdr:cNvSpPr>
      </xdr:nvSpPr>
      <xdr:spPr bwMode="auto">
        <a:xfrm>
          <a:off x="3136900" y="27330400"/>
          <a:ext cx="139700" cy="1016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</xdr:spPr>
    </xdr:sp>
    <xdr:clientData/>
  </xdr:twoCellAnchor>
  <xdr:twoCellAnchor>
    <xdr:from>
      <xdr:col>9</xdr:col>
      <xdr:colOff>215900</xdr:colOff>
      <xdr:row>157</xdr:row>
      <xdr:rowOff>25400</xdr:rowOff>
    </xdr:from>
    <xdr:to>
      <xdr:col>9</xdr:col>
      <xdr:colOff>342900</xdr:colOff>
      <xdr:row>157</xdr:row>
      <xdr:rowOff>139700</xdr:rowOff>
    </xdr:to>
    <xdr:sp macro="" textlink="">
      <xdr:nvSpPr>
        <xdr:cNvPr id="57958" name="Oval 418">
          <a:extLst>
            <a:ext uri="{FF2B5EF4-FFF2-40B4-BE49-F238E27FC236}">
              <a16:creationId xmlns:a16="http://schemas.microsoft.com/office/drawing/2014/main" id="{A3528282-D2DA-1F0D-1C87-9A6B75756BE5}"/>
            </a:ext>
          </a:extLst>
        </xdr:cNvPr>
        <xdr:cNvSpPr>
          <a:spLocks noChangeArrowheads="1"/>
        </xdr:cNvSpPr>
      </xdr:nvSpPr>
      <xdr:spPr bwMode="auto">
        <a:xfrm>
          <a:off x="6604000" y="31292800"/>
          <a:ext cx="127000" cy="1143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</xdr:spPr>
    </xdr:sp>
    <xdr:clientData/>
  </xdr:twoCellAnchor>
  <xdr:twoCellAnchor>
    <xdr:from>
      <xdr:col>9</xdr:col>
      <xdr:colOff>292100</xdr:colOff>
      <xdr:row>157</xdr:row>
      <xdr:rowOff>114300</xdr:rowOff>
    </xdr:from>
    <xdr:to>
      <xdr:col>9</xdr:col>
      <xdr:colOff>292100</xdr:colOff>
      <xdr:row>161</xdr:row>
      <xdr:rowOff>165100</xdr:rowOff>
    </xdr:to>
    <xdr:sp macro="" textlink="">
      <xdr:nvSpPr>
        <xdr:cNvPr id="57959" name="Line 419">
          <a:extLst>
            <a:ext uri="{FF2B5EF4-FFF2-40B4-BE49-F238E27FC236}">
              <a16:creationId xmlns:a16="http://schemas.microsoft.com/office/drawing/2014/main" id="{5D8E4A52-A5D7-4020-B9CC-C55CBEA26EF0}"/>
            </a:ext>
          </a:extLst>
        </xdr:cNvPr>
        <xdr:cNvSpPr>
          <a:spLocks noChangeShapeType="1"/>
        </xdr:cNvSpPr>
      </xdr:nvSpPr>
      <xdr:spPr bwMode="auto">
        <a:xfrm>
          <a:off x="6680200" y="31381700"/>
          <a:ext cx="0" cy="825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76200</xdr:colOff>
      <xdr:row>161</xdr:row>
      <xdr:rowOff>114300</xdr:rowOff>
    </xdr:from>
    <xdr:to>
      <xdr:col>9</xdr:col>
      <xdr:colOff>330200</xdr:colOff>
      <xdr:row>161</xdr:row>
      <xdr:rowOff>114300</xdr:rowOff>
    </xdr:to>
    <xdr:sp macro="" textlink="">
      <xdr:nvSpPr>
        <xdr:cNvPr id="57960" name="Line 420">
          <a:extLst>
            <a:ext uri="{FF2B5EF4-FFF2-40B4-BE49-F238E27FC236}">
              <a16:creationId xmlns:a16="http://schemas.microsoft.com/office/drawing/2014/main" id="{61CEA7F3-A4ED-C692-5613-ABC483FA27AF}"/>
            </a:ext>
          </a:extLst>
        </xdr:cNvPr>
        <xdr:cNvSpPr>
          <a:spLocks noChangeShapeType="1"/>
        </xdr:cNvSpPr>
      </xdr:nvSpPr>
      <xdr:spPr bwMode="auto">
        <a:xfrm flipH="1">
          <a:off x="6464300" y="32156400"/>
          <a:ext cx="2540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457200</xdr:colOff>
      <xdr:row>161</xdr:row>
      <xdr:rowOff>88900</xdr:rowOff>
    </xdr:from>
    <xdr:to>
      <xdr:col>10</xdr:col>
      <xdr:colOff>774700</xdr:colOff>
      <xdr:row>161</xdr:row>
      <xdr:rowOff>88900</xdr:rowOff>
    </xdr:to>
    <xdr:sp macro="" textlink="">
      <xdr:nvSpPr>
        <xdr:cNvPr id="57961" name="Line 421">
          <a:extLst>
            <a:ext uri="{FF2B5EF4-FFF2-40B4-BE49-F238E27FC236}">
              <a16:creationId xmlns:a16="http://schemas.microsoft.com/office/drawing/2014/main" id="{1FD87D7B-56A2-88E4-9AFB-CF732C9FB7A3}"/>
            </a:ext>
          </a:extLst>
        </xdr:cNvPr>
        <xdr:cNvSpPr>
          <a:spLocks noChangeShapeType="1"/>
        </xdr:cNvSpPr>
      </xdr:nvSpPr>
      <xdr:spPr bwMode="auto">
        <a:xfrm>
          <a:off x="6845300" y="32131000"/>
          <a:ext cx="9906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533400</xdr:colOff>
      <xdr:row>154</xdr:row>
      <xdr:rowOff>0</xdr:rowOff>
    </xdr:from>
    <xdr:to>
      <xdr:col>5</xdr:col>
      <xdr:colOff>533400</xdr:colOff>
      <xdr:row>156</xdr:row>
      <xdr:rowOff>12700</xdr:rowOff>
    </xdr:to>
    <xdr:sp macro="" textlink="">
      <xdr:nvSpPr>
        <xdr:cNvPr id="57962" name="Line 422">
          <a:extLst>
            <a:ext uri="{FF2B5EF4-FFF2-40B4-BE49-F238E27FC236}">
              <a16:creationId xmlns:a16="http://schemas.microsoft.com/office/drawing/2014/main" id="{3FC24FAE-1377-FEEA-50D4-86E58D76B8C7}"/>
            </a:ext>
          </a:extLst>
        </xdr:cNvPr>
        <xdr:cNvSpPr>
          <a:spLocks noChangeShapeType="1"/>
        </xdr:cNvSpPr>
      </xdr:nvSpPr>
      <xdr:spPr bwMode="auto">
        <a:xfrm flipV="1">
          <a:off x="3619500" y="30759400"/>
          <a:ext cx="0" cy="3556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558800</xdr:colOff>
      <xdr:row>158</xdr:row>
      <xdr:rowOff>114300</xdr:rowOff>
    </xdr:from>
    <xdr:to>
      <xdr:col>5</xdr:col>
      <xdr:colOff>558800</xdr:colOff>
      <xdr:row>160</xdr:row>
      <xdr:rowOff>114300</xdr:rowOff>
    </xdr:to>
    <xdr:sp macro="" textlink="">
      <xdr:nvSpPr>
        <xdr:cNvPr id="57963" name="Line 423">
          <a:extLst>
            <a:ext uri="{FF2B5EF4-FFF2-40B4-BE49-F238E27FC236}">
              <a16:creationId xmlns:a16="http://schemas.microsoft.com/office/drawing/2014/main" id="{D64DDC17-B49C-6513-728A-A5A513B71F7A}"/>
            </a:ext>
          </a:extLst>
        </xdr:cNvPr>
        <xdr:cNvSpPr>
          <a:spLocks noChangeShapeType="1"/>
        </xdr:cNvSpPr>
      </xdr:nvSpPr>
      <xdr:spPr bwMode="auto">
        <a:xfrm flipV="1">
          <a:off x="3644900" y="31546800"/>
          <a:ext cx="0" cy="3937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160</xdr:row>
      <xdr:rowOff>114300</xdr:rowOff>
    </xdr:from>
    <xdr:to>
      <xdr:col>5</xdr:col>
      <xdr:colOff>533400</xdr:colOff>
      <xdr:row>160</xdr:row>
      <xdr:rowOff>114300</xdr:rowOff>
    </xdr:to>
    <xdr:sp macro="" textlink="">
      <xdr:nvSpPr>
        <xdr:cNvPr id="57964" name="Line 424">
          <a:extLst>
            <a:ext uri="{FF2B5EF4-FFF2-40B4-BE49-F238E27FC236}">
              <a16:creationId xmlns:a16="http://schemas.microsoft.com/office/drawing/2014/main" id="{AB6B6FEC-960D-585C-15F7-F9BA7B3972DB}"/>
            </a:ext>
          </a:extLst>
        </xdr:cNvPr>
        <xdr:cNvSpPr>
          <a:spLocks noChangeShapeType="1"/>
        </xdr:cNvSpPr>
      </xdr:nvSpPr>
      <xdr:spPr bwMode="auto">
        <a:xfrm>
          <a:off x="3086100" y="31940500"/>
          <a:ext cx="5334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342900</xdr:colOff>
      <xdr:row>141</xdr:row>
      <xdr:rowOff>203200</xdr:rowOff>
    </xdr:from>
    <xdr:to>
      <xdr:col>6</xdr:col>
      <xdr:colOff>495300</xdr:colOff>
      <xdr:row>142</xdr:row>
      <xdr:rowOff>88900</xdr:rowOff>
    </xdr:to>
    <xdr:sp macro="" textlink="">
      <xdr:nvSpPr>
        <xdr:cNvPr id="57965" name="Line 425">
          <a:extLst>
            <a:ext uri="{FF2B5EF4-FFF2-40B4-BE49-F238E27FC236}">
              <a16:creationId xmlns:a16="http://schemas.microsoft.com/office/drawing/2014/main" id="{37BA4C8E-4F6A-34BF-11AF-ACC3D2E7A3B5}"/>
            </a:ext>
          </a:extLst>
        </xdr:cNvPr>
        <xdr:cNvSpPr>
          <a:spLocks noChangeShapeType="1"/>
        </xdr:cNvSpPr>
      </xdr:nvSpPr>
      <xdr:spPr bwMode="auto">
        <a:xfrm flipV="1">
          <a:off x="4279900" y="28181300"/>
          <a:ext cx="152400" cy="1016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469900</xdr:colOff>
      <xdr:row>139</xdr:row>
      <xdr:rowOff>152400</xdr:rowOff>
    </xdr:from>
    <xdr:to>
      <xdr:col>6</xdr:col>
      <xdr:colOff>546100</xdr:colOff>
      <xdr:row>140</xdr:row>
      <xdr:rowOff>127000</xdr:rowOff>
    </xdr:to>
    <xdr:sp macro="" textlink="">
      <xdr:nvSpPr>
        <xdr:cNvPr id="57966" name="Line 426">
          <a:extLst>
            <a:ext uri="{FF2B5EF4-FFF2-40B4-BE49-F238E27FC236}">
              <a16:creationId xmlns:a16="http://schemas.microsoft.com/office/drawing/2014/main" id="{66E90034-14D3-BC19-4B20-53C54549BF12}"/>
            </a:ext>
          </a:extLst>
        </xdr:cNvPr>
        <xdr:cNvSpPr>
          <a:spLocks noChangeShapeType="1"/>
        </xdr:cNvSpPr>
      </xdr:nvSpPr>
      <xdr:spPr bwMode="auto">
        <a:xfrm>
          <a:off x="4406900" y="27749500"/>
          <a:ext cx="76200" cy="1778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279400</xdr:colOff>
      <xdr:row>139</xdr:row>
      <xdr:rowOff>165100</xdr:rowOff>
    </xdr:from>
    <xdr:to>
      <xdr:col>6</xdr:col>
      <xdr:colOff>571500</xdr:colOff>
      <xdr:row>142</xdr:row>
      <xdr:rowOff>76200</xdr:rowOff>
    </xdr:to>
    <xdr:sp macro="" textlink="">
      <xdr:nvSpPr>
        <xdr:cNvPr id="57967" name="AutoShape 427">
          <a:extLst>
            <a:ext uri="{FF2B5EF4-FFF2-40B4-BE49-F238E27FC236}">
              <a16:creationId xmlns:a16="http://schemas.microsoft.com/office/drawing/2014/main" id="{49ADBB76-6A43-FCF0-CB7A-B505534FE0CC}"/>
            </a:ext>
          </a:extLst>
        </xdr:cNvPr>
        <xdr:cNvSpPr>
          <a:spLocks noChangeArrowheads="1"/>
        </xdr:cNvSpPr>
      </xdr:nvSpPr>
      <xdr:spPr bwMode="auto">
        <a:xfrm rot="5724712">
          <a:off x="4108450" y="27870150"/>
          <a:ext cx="508000" cy="292100"/>
        </a:xfrm>
        <a:custGeom>
          <a:avLst/>
          <a:gdLst>
            <a:gd name="T0" fmla="*/ 2147483646 w 21600"/>
            <a:gd name="T1" fmla="*/ 0 h 21600"/>
            <a:gd name="T2" fmla="*/ 0 w 21600"/>
            <a:gd name="T3" fmla="*/ 2147483646 h 21600"/>
            <a:gd name="T4" fmla="*/ 2147483646 w 21600"/>
            <a:gd name="T5" fmla="*/ 0 h 21600"/>
            <a:gd name="T6" fmla="*/ 2147483646 w 21600"/>
            <a:gd name="T7" fmla="*/ 2147483646 h 21600"/>
            <a:gd name="T8" fmla="*/ 0 60000 65536"/>
            <a:gd name="T9" fmla="*/ 0 60000 65536"/>
            <a:gd name="T10" fmla="*/ 0 60000 65536"/>
            <a:gd name="T11" fmla="*/ 0 60000 65536"/>
            <a:gd name="T12" fmla="*/ 0 w 21600"/>
            <a:gd name="T13" fmla="*/ 0 h 21600"/>
            <a:gd name="T14" fmla="*/ 21600 w 21600"/>
            <a:gd name="T15" fmla="*/ 7713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0" y="10800"/>
              </a:moveTo>
              <a:cubicBezTo>
                <a:pt x="0" y="4835"/>
                <a:pt x="4835" y="0"/>
                <a:pt x="10800" y="0"/>
              </a:cubicBezTo>
              <a:cubicBezTo>
                <a:pt x="16764" y="-1"/>
                <a:pt x="21599" y="4835"/>
                <a:pt x="21600" y="10799"/>
              </a:cubicBezTo>
              <a:lnTo>
                <a:pt x="21600" y="10800"/>
              </a:lnTo>
              <a:cubicBezTo>
                <a:pt x="21600" y="4835"/>
                <a:pt x="16764" y="0"/>
                <a:pt x="10800" y="0"/>
              </a:cubicBezTo>
              <a:cubicBezTo>
                <a:pt x="4835" y="0"/>
                <a:pt x="0" y="4835"/>
                <a:pt x="0" y="10800"/>
              </a:cubicBezTo>
              <a:close/>
            </a:path>
          </a:pathLst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546100</xdr:colOff>
      <xdr:row>141</xdr:row>
      <xdr:rowOff>50800</xdr:rowOff>
    </xdr:from>
    <xdr:to>
      <xdr:col>6</xdr:col>
      <xdr:colOff>850900</xdr:colOff>
      <xdr:row>141</xdr:row>
      <xdr:rowOff>101600</xdr:rowOff>
    </xdr:to>
    <xdr:sp macro="" textlink="">
      <xdr:nvSpPr>
        <xdr:cNvPr id="57968" name="Line 428">
          <a:extLst>
            <a:ext uri="{FF2B5EF4-FFF2-40B4-BE49-F238E27FC236}">
              <a16:creationId xmlns:a16="http://schemas.microsoft.com/office/drawing/2014/main" id="{E0DC41D6-E88B-B012-8416-94A8971135BB}"/>
            </a:ext>
          </a:extLst>
        </xdr:cNvPr>
        <xdr:cNvSpPr>
          <a:spLocks noChangeShapeType="1"/>
        </xdr:cNvSpPr>
      </xdr:nvSpPr>
      <xdr:spPr bwMode="auto">
        <a:xfrm flipH="1" flipV="1">
          <a:off x="4483100" y="28028900"/>
          <a:ext cx="304800" cy="508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oval" w="med" len="med"/>
          <a:tailEnd type="oval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8</xdr:col>
      <xdr:colOff>0</xdr:colOff>
      <xdr:row>141</xdr:row>
      <xdr:rowOff>34290</xdr:rowOff>
    </xdr:from>
    <xdr:ext cx="351910" cy="230065"/>
    <xdr:sp macro="" textlink="">
      <xdr:nvSpPr>
        <xdr:cNvPr id="16813" name="Text Box 429">
          <a:extLst>
            <a:ext uri="{FF2B5EF4-FFF2-40B4-BE49-F238E27FC236}">
              <a16:creationId xmlns:a16="http://schemas.microsoft.com/office/drawing/2014/main" id="{2D5FC8AA-6C54-B58E-DA3A-E97CC3023BFA}"/>
            </a:ext>
          </a:extLst>
        </xdr:cNvPr>
        <xdr:cNvSpPr txBox="1">
          <a:spLocks noChangeArrowheads="1"/>
        </xdr:cNvSpPr>
      </xdr:nvSpPr>
      <xdr:spPr bwMode="auto">
        <a:xfrm>
          <a:off x="5008880" y="27379295"/>
          <a:ext cx="296363" cy="170560"/>
        </a:xfrm>
        <a:prstGeom prst="rect">
          <a:avLst/>
        </a:prstGeom>
        <a:noFill/>
        <a:ln>
          <a:noFill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Deg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.</a:t>
          </a:r>
        </a:p>
      </xdr:txBody>
    </xdr:sp>
    <xdr:clientData/>
  </xdr:oneCellAnchor>
  <xdr:oneCellAnchor>
    <xdr:from>
      <xdr:col>4</xdr:col>
      <xdr:colOff>420370</xdr:colOff>
      <xdr:row>132</xdr:row>
      <xdr:rowOff>45085</xdr:rowOff>
    </xdr:from>
    <xdr:ext cx="95411" cy="254881"/>
    <xdr:sp macro="" textlink="">
      <xdr:nvSpPr>
        <xdr:cNvPr id="16814" name="Text Box 430">
          <a:extLst>
            <a:ext uri="{FF2B5EF4-FFF2-40B4-BE49-F238E27FC236}">
              <a16:creationId xmlns:a16="http://schemas.microsoft.com/office/drawing/2014/main" id="{C223F04D-4815-8FFD-1409-D3CB41D0BF7E}"/>
            </a:ext>
          </a:extLst>
        </xdr:cNvPr>
        <xdr:cNvSpPr txBox="1">
          <a:spLocks noChangeArrowheads="1"/>
        </xdr:cNvSpPr>
      </xdr:nvSpPr>
      <xdr:spPr bwMode="auto">
        <a:xfrm>
          <a:off x="2439670" y="26440765"/>
          <a:ext cx="87460" cy="234167"/>
        </a:xfrm>
        <a:prstGeom prst="rect">
          <a:avLst/>
        </a:prstGeom>
        <a:noFill/>
        <a:ln>
          <a:noFill/>
        </a:ln>
      </xdr:spPr>
      <xdr:txBody>
        <a:bodyPr wrap="none" lIns="27432" tIns="27432" rIns="0" bIns="0" anchor="t" upright="1">
          <a:spAutoFit/>
        </a:bodyPr>
        <a:lstStyle/>
        <a:p>
          <a:pPr algn="l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-</a:t>
          </a:r>
        </a:p>
      </xdr:txBody>
    </xdr:sp>
    <xdr:clientData/>
  </xdr:oneCellAnchor>
  <xdr:oneCellAnchor>
    <xdr:from>
      <xdr:col>5</xdr:col>
      <xdr:colOff>36195</xdr:colOff>
      <xdr:row>132</xdr:row>
      <xdr:rowOff>39370</xdr:rowOff>
    </xdr:from>
    <xdr:ext cx="175063" cy="272498"/>
    <xdr:sp macro="" textlink="">
      <xdr:nvSpPr>
        <xdr:cNvPr id="16815" name="Text Box 431">
          <a:extLst>
            <a:ext uri="{FF2B5EF4-FFF2-40B4-BE49-F238E27FC236}">
              <a16:creationId xmlns:a16="http://schemas.microsoft.com/office/drawing/2014/main" id="{F2A0588A-79F1-56EC-15EB-027BD5A41D00}"/>
            </a:ext>
          </a:extLst>
        </xdr:cNvPr>
        <xdr:cNvSpPr txBox="1">
          <a:spLocks noChangeArrowheads="1"/>
        </xdr:cNvSpPr>
      </xdr:nvSpPr>
      <xdr:spPr bwMode="auto">
        <a:xfrm>
          <a:off x="2809875" y="26435050"/>
          <a:ext cx="132537" cy="234167"/>
        </a:xfrm>
        <a:prstGeom prst="rect">
          <a:avLst/>
        </a:prstGeom>
        <a:noFill/>
        <a:ln>
          <a:noFill/>
        </a:ln>
      </xdr:spPr>
      <xdr:txBody>
        <a:bodyPr wrap="none" lIns="27432" tIns="27432" rIns="0" bIns="0" anchor="t" upright="1">
          <a:spAutoFit/>
        </a:bodyPr>
        <a:lstStyle/>
        <a:p>
          <a:pPr algn="l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+</a:t>
          </a:r>
        </a:p>
      </xdr:txBody>
    </xdr:sp>
    <xdr:clientData/>
  </xdr:oneCellAnchor>
  <xdr:oneCellAnchor>
    <xdr:from>
      <xdr:col>9</xdr:col>
      <xdr:colOff>248285</xdr:colOff>
      <xdr:row>161</xdr:row>
      <xdr:rowOff>144780</xdr:rowOff>
    </xdr:from>
    <xdr:ext cx="160474" cy="274541"/>
    <xdr:sp macro="" textlink="">
      <xdr:nvSpPr>
        <xdr:cNvPr id="16816" name="Text Box 432">
          <a:extLst>
            <a:ext uri="{FF2B5EF4-FFF2-40B4-BE49-F238E27FC236}">
              <a16:creationId xmlns:a16="http://schemas.microsoft.com/office/drawing/2014/main" id="{BBECE574-CB19-DAC6-9BC3-A5F2CCF6321A}"/>
            </a:ext>
          </a:extLst>
        </xdr:cNvPr>
        <xdr:cNvSpPr txBox="1">
          <a:spLocks noChangeArrowheads="1"/>
        </xdr:cNvSpPr>
      </xdr:nvSpPr>
      <xdr:spPr bwMode="auto">
        <a:xfrm>
          <a:off x="5930265" y="32402780"/>
          <a:ext cx="132537" cy="234167"/>
        </a:xfrm>
        <a:prstGeom prst="rect">
          <a:avLst/>
        </a:prstGeom>
        <a:noFill/>
        <a:ln>
          <a:noFill/>
        </a:ln>
      </xdr:spPr>
      <xdr:txBody>
        <a:bodyPr wrap="none" lIns="27432" tIns="27432" rIns="0" bIns="0" anchor="t" upright="1">
          <a:spAutoFit/>
        </a:bodyPr>
        <a:lstStyle/>
        <a:p>
          <a:pPr algn="l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+</a:t>
          </a:r>
        </a:p>
      </xdr:txBody>
    </xdr:sp>
    <xdr:clientData/>
  </xdr:oneCellAnchor>
  <xdr:oneCellAnchor>
    <xdr:from>
      <xdr:col>9</xdr:col>
      <xdr:colOff>585470</xdr:colOff>
      <xdr:row>161</xdr:row>
      <xdr:rowOff>120015</xdr:rowOff>
    </xdr:from>
    <xdr:ext cx="87460" cy="234167"/>
    <xdr:sp macro="" textlink="">
      <xdr:nvSpPr>
        <xdr:cNvPr id="16817" name="Text Box 433">
          <a:extLst>
            <a:ext uri="{FF2B5EF4-FFF2-40B4-BE49-F238E27FC236}">
              <a16:creationId xmlns:a16="http://schemas.microsoft.com/office/drawing/2014/main" id="{31DBC11C-076A-77CB-8517-CFBC66CF7484}"/>
            </a:ext>
          </a:extLst>
        </xdr:cNvPr>
        <xdr:cNvSpPr txBox="1">
          <a:spLocks noChangeArrowheads="1"/>
        </xdr:cNvSpPr>
      </xdr:nvSpPr>
      <xdr:spPr bwMode="auto">
        <a:xfrm>
          <a:off x="6986270" y="32852148"/>
          <a:ext cx="87460" cy="234167"/>
        </a:xfrm>
        <a:prstGeom prst="rect">
          <a:avLst/>
        </a:prstGeom>
        <a:noFill/>
        <a:ln>
          <a:noFill/>
        </a:ln>
      </xdr:spPr>
      <xdr:txBody>
        <a:bodyPr wrap="none" lIns="27432" tIns="27432" rIns="0" bIns="0" anchor="t" upright="1">
          <a:spAutoFit/>
        </a:bodyPr>
        <a:lstStyle/>
        <a:p>
          <a:pPr algn="l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-</a:t>
          </a:r>
        </a:p>
      </xdr:txBody>
    </xdr:sp>
    <xdr:clientData/>
  </xdr:oneCellAnchor>
  <xdr:oneCellAnchor>
    <xdr:from>
      <xdr:col>8</xdr:col>
      <xdr:colOff>0</xdr:colOff>
      <xdr:row>10</xdr:row>
      <xdr:rowOff>36195</xdr:rowOff>
    </xdr:from>
    <xdr:ext cx="351910" cy="207567"/>
    <xdr:sp macro="" textlink="">
      <xdr:nvSpPr>
        <xdr:cNvPr id="16818" name="Text Box 434">
          <a:extLst>
            <a:ext uri="{FF2B5EF4-FFF2-40B4-BE49-F238E27FC236}">
              <a16:creationId xmlns:a16="http://schemas.microsoft.com/office/drawing/2014/main" id="{DB63347C-1208-B3CB-D120-9222ACFB3B32}"/>
            </a:ext>
          </a:extLst>
        </xdr:cNvPr>
        <xdr:cNvSpPr txBox="1">
          <a:spLocks noChangeArrowheads="1"/>
        </xdr:cNvSpPr>
      </xdr:nvSpPr>
      <xdr:spPr bwMode="auto">
        <a:xfrm>
          <a:off x="5008880" y="2098675"/>
          <a:ext cx="296363" cy="170560"/>
        </a:xfrm>
        <a:prstGeom prst="rect">
          <a:avLst/>
        </a:prstGeom>
        <a:noFill/>
        <a:ln>
          <a:noFill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Deg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.</a:t>
          </a:r>
        </a:p>
      </xdr:txBody>
    </xdr:sp>
    <xdr:clientData/>
  </xdr:oneCellAnchor>
  <xdr:twoCellAnchor>
    <xdr:from>
      <xdr:col>4</xdr:col>
      <xdr:colOff>88900</xdr:colOff>
      <xdr:row>6</xdr:row>
      <xdr:rowOff>203200</xdr:rowOff>
    </xdr:from>
    <xdr:to>
      <xdr:col>5</xdr:col>
      <xdr:colOff>0</xdr:colOff>
      <xdr:row>6</xdr:row>
      <xdr:rowOff>203200</xdr:rowOff>
    </xdr:to>
    <xdr:sp macro="" textlink="">
      <xdr:nvSpPr>
        <xdr:cNvPr id="57975" name="Line 435">
          <a:extLst>
            <a:ext uri="{FF2B5EF4-FFF2-40B4-BE49-F238E27FC236}">
              <a16:creationId xmlns:a16="http://schemas.microsoft.com/office/drawing/2014/main" id="{38ED560A-820B-E355-F075-E5E7EEDD5D7F}"/>
            </a:ext>
          </a:extLst>
        </xdr:cNvPr>
        <xdr:cNvSpPr>
          <a:spLocks noChangeShapeType="1"/>
        </xdr:cNvSpPr>
      </xdr:nvSpPr>
      <xdr:spPr bwMode="auto">
        <a:xfrm flipH="1">
          <a:off x="2463800" y="1485900"/>
          <a:ext cx="6223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38100</xdr:colOff>
      <xdr:row>8</xdr:row>
      <xdr:rowOff>152400</xdr:rowOff>
    </xdr:from>
    <xdr:to>
      <xdr:col>6</xdr:col>
      <xdr:colOff>304800</xdr:colOff>
      <xdr:row>11</xdr:row>
      <xdr:rowOff>50800</xdr:rowOff>
    </xdr:to>
    <xdr:sp macro="" textlink="">
      <xdr:nvSpPr>
        <xdr:cNvPr id="57976" name="AutoShape 436">
          <a:extLst>
            <a:ext uri="{FF2B5EF4-FFF2-40B4-BE49-F238E27FC236}">
              <a16:creationId xmlns:a16="http://schemas.microsoft.com/office/drawing/2014/main" id="{8B48AE32-53BA-F0C9-922E-0658327C424A}"/>
            </a:ext>
          </a:extLst>
        </xdr:cNvPr>
        <xdr:cNvSpPr>
          <a:spLocks noChangeArrowheads="1"/>
        </xdr:cNvSpPr>
      </xdr:nvSpPr>
      <xdr:spPr bwMode="auto">
        <a:xfrm rot="5724712">
          <a:off x="3860800" y="1981200"/>
          <a:ext cx="495300" cy="266700"/>
        </a:xfrm>
        <a:custGeom>
          <a:avLst/>
          <a:gdLst>
            <a:gd name="T0" fmla="*/ 2147483646 w 21600"/>
            <a:gd name="T1" fmla="*/ 0 h 21600"/>
            <a:gd name="T2" fmla="*/ 0 w 21600"/>
            <a:gd name="T3" fmla="*/ 2147483646 h 21600"/>
            <a:gd name="T4" fmla="*/ 2147483646 w 21600"/>
            <a:gd name="T5" fmla="*/ 0 h 21600"/>
            <a:gd name="T6" fmla="*/ 2147483646 w 21600"/>
            <a:gd name="T7" fmla="*/ 2147483646 h 21600"/>
            <a:gd name="T8" fmla="*/ 0 60000 65536"/>
            <a:gd name="T9" fmla="*/ 0 60000 65536"/>
            <a:gd name="T10" fmla="*/ 0 60000 65536"/>
            <a:gd name="T11" fmla="*/ 0 60000 65536"/>
            <a:gd name="T12" fmla="*/ 0 w 21600"/>
            <a:gd name="T13" fmla="*/ 0 h 21600"/>
            <a:gd name="T14" fmla="*/ 21600 w 21600"/>
            <a:gd name="T15" fmla="*/ 7713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0" y="10800"/>
              </a:moveTo>
              <a:cubicBezTo>
                <a:pt x="0" y="4835"/>
                <a:pt x="4835" y="0"/>
                <a:pt x="10800" y="0"/>
              </a:cubicBezTo>
              <a:cubicBezTo>
                <a:pt x="16764" y="-1"/>
                <a:pt x="21599" y="4835"/>
                <a:pt x="21600" y="10799"/>
              </a:cubicBezTo>
              <a:lnTo>
                <a:pt x="21600" y="10800"/>
              </a:lnTo>
              <a:cubicBezTo>
                <a:pt x="21600" y="4835"/>
                <a:pt x="16764" y="0"/>
                <a:pt x="10800" y="0"/>
              </a:cubicBezTo>
              <a:cubicBezTo>
                <a:pt x="4835" y="0"/>
                <a:pt x="0" y="4835"/>
                <a:pt x="0" y="10800"/>
              </a:cubicBezTo>
              <a:close/>
            </a:path>
          </a:pathLst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152400</xdr:colOff>
      <xdr:row>10</xdr:row>
      <xdr:rowOff>203200</xdr:rowOff>
    </xdr:from>
    <xdr:to>
      <xdr:col>6</xdr:col>
      <xdr:colOff>254000</xdr:colOff>
      <xdr:row>11</xdr:row>
      <xdr:rowOff>63500</xdr:rowOff>
    </xdr:to>
    <xdr:sp macro="" textlink="">
      <xdr:nvSpPr>
        <xdr:cNvPr id="57977" name="Line 437">
          <a:extLst>
            <a:ext uri="{FF2B5EF4-FFF2-40B4-BE49-F238E27FC236}">
              <a16:creationId xmlns:a16="http://schemas.microsoft.com/office/drawing/2014/main" id="{96E84ACC-4309-1AA5-8782-8CF033DE2DF1}"/>
            </a:ext>
          </a:extLst>
        </xdr:cNvPr>
        <xdr:cNvSpPr>
          <a:spLocks noChangeShapeType="1"/>
        </xdr:cNvSpPr>
      </xdr:nvSpPr>
      <xdr:spPr bwMode="auto">
        <a:xfrm flipV="1">
          <a:off x="4089400" y="2298700"/>
          <a:ext cx="101600" cy="76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215900</xdr:colOff>
      <xdr:row>8</xdr:row>
      <xdr:rowOff>152400</xdr:rowOff>
    </xdr:from>
    <xdr:to>
      <xdr:col>6</xdr:col>
      <xdr:colOff>292100</xdr:colOff>
      <xdr:row>9</xdr:row>
      <xdr:rowOff>38100</xdr:rowOff>
    </xdr:to>
    <xdr:sp macro="" textlink="">
      <xdr:nvSpPr>
        <xdr:cNvPr id="57978" name="Line 438">
          <a:extLst>
            <a:ext uri="{FF2B5EF4-FFF2-40B4-BE49-F238E27FC236}">
              <a16:creationId xmlns:a16="http://schemas.microsoft.com/office/drawing/2014/main" id="{CA46877A-55C9-17C9-C56C-FABAF3D8E005}"/>
            </a:ext>
          </a:extLst>
        </xdr:cNvPr>
        <xdr:cNvSpPr>
          <a:spLocks noChangeShapeType="1"/>
        </xdr:cNvSpPr>
      </xdr:nvSpPr>
      <xdr:spPr bwMode="auto">
        <a:xfrm>
          <a:off x="4152900" y="1866900"/>
          <a:ext cx="76200" cy="889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342900</xdr:colOff>
      <xdr:row>10</xdr:row>
      <xdr:rowOff>38100</xdr:rowOff>
    </xdr:from>
    <xdr:to>
      <xdr:col>7</xdr:col>
      <xdr:colOff>0</xdr:colOff>
      <xdr:row>10</xdr:row>
      <xdr:rowOff>127000</xdr:rowOff>
    </xdr:to>
    <xdr:sp macro="" textlink="">
      <xdr:nvSpPr>
        <xdr:cNvPr id="57979" name="Line 439">
          <a:extLst>
            <a:ext uri="{FF2B5EF4-FFF2-40B4-BE49-F238E27FC236}">
              <a16:creationId xmlns:a16="http://schemas.microsoft.com/office/drawing/2014/main" id="{8AA8ABD1-6024-9A25-3628-DD8771083C62}"/>
            </a:ext>
          </a:extLst>
        </xdr:cNvPr>
        <xdr:cNvSpPr>
          <a:spLocks noChangeShapeType="1"/>
        </xdr:cNvSpPr>
      </xdr:nvSpPr>
      <xdr:spPr bwMode="auto">
        <a:xfrm flipH="1" flipV="1">
          <a:off x="4279900" y="2133600"/>
          <a:ext cx="533400" cy="889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oval" w="med" len="med"/>
          <a:tailEnd type="oval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152400</xdr:colOff>
      <xdr:row>6</xdr:row>
      <xdr:rowOff>203200</xdr:rowOff>
    </xdr:from>
    <xdr:to>
      <xdr:col>4</xdr:col>
      <xdr:colOff>152400</xdr:colOff>
      <xdr:row>8</xdr:row>
      <xdr:rowOff>152400</xdr:rowOff>
    </xdr:to>
    <xdr:sp macro="" textlink="">
      <xdr:nvSpPr>
        <xdr:cNvPr id="57980" name="Line 440">
          <a:extLst>
            <a:ext uri="{FF2B5EF4-FFF2-40B4-BE49-F238E27FC236}">
              <a16:creationId xmlns:a16="http://schemas.microsoft.com/office/drawing/2014/main" id="{C347AC9E-2F93-089B-B22C-B72AF9E1A21B}"/>
            </a:ext>
          </a:extLst>
        </xdr:cNvPr>
        <xdr:cNvSpPr>
          <a:spLocks noChangeShapeType="1"/>
        </xdr:cNvSpPr>
      </xdr:nvSpPr>
      <xdr:spPr bwMode="auto">
        <a:xfrm flipH="1" flipV="1">
          <a:off x="2527300" y="1485900"/>
          <a:ext cx="0" cy="3810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152400</xdr:colOff>
      <xdr:row>3</xdr:row>
      <xdr:rowOff>114300</xdr:rowOff>
    </xdr:from>
    <xdr:to>
      <xdr:col>4</xdr:col>
      <xdr:colOff>152400</xdr:colOff>
      <xdr:row>6</xdr:row>
      <xdr:rowOff>203200</xdr:rowOff>
    </xdr:to>
    <xdr:sp macro="" textlink="">
      <xdr:nvSpPr>
        <xdr:cNvPr id="57981" name="Line 441">
          <a:extLst>
            <a:ext uri="{FF2B5EF4-FFF2-40B4-BE49-F238E27FC236}">
              <a16:creationId xmlns:a16="http://schemas.microsoft.com/office/drawing/2014/main" id="{02D775D8-B993-E38B-83A6-E1681176434D}"/>
            </a:ext>
          </a:extLst>
        </xdr:cNvPr>
        <xdr:cNvSpPr>
          <a:spLocks noChangeShapeType="1"/>
        </xdr:cNvSpPr>
      </xdr:nvSpPr>
      <xdr:spPr bwMode="auto">
        <a:xfrm flipV="1">
          <a:off x="2527300" y="800100"/>
          <a:ext cx="0" cy="6858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825500</xdr:colOff>
      <xdr:row>3</xdr:row>
      <xdr:rowOff>114300</xdr:rowOff>
    </xdr:from>
    <xdr:to>
      <xdr:col>4</xdr:col>
      <xdr:colOff>139700</xdr:colOff>
      <xdr:row>3</xdr:row>
      <xdr:rowOff>114300</xdr:rowOff>
    </xdr:to>
    <xdr:sp macro="" textlink="">
      <xdr:nvSpPr>
        <xdr:cNvPr id="57982" name="Line 443">
          <a:extLst>
            <a:ext uri="{FF2B5EF4-FFF2-40B4-BE49-F238E27FC236}">
              <a16:creationId xmlns:a16="http://schemas.microsoft.com/office/drawing/2014/main" id="{026AAE85-124B-2999-C066-97F7C1D02613}"/>
            </a:ext>
          </a:extLst>
        </xdr:cNvPr>
        <xdr:cNvSpPr>
          <a:spLocks noChangeShapeType="1"/>
        </xdr:cNvSpPr>
      </xdr:nvSpPr>
      <xdr:spPr bwMode="auto">
        <a:xfrm>
          <a:off x="1473200" y="800100"/>
          <a:ext cx="10414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431800</xdr:colOff>
      <xdr:row>27</xdr:row>
      <xdr:rowOff>38100</xdr:rowOff>
    </xdr:from>
    <xdr:to>
      <xdr:col>10</xdr:col>
      <xdr:colOff>723900</xdr:colOff>
      <xdr:row>27</xdr:row>
      <xdr:rowOff>38100</xdr:rowOff>
    </xdr:to>
    <xdr:sp macro="" textlink="">
      <xdr:nvSpPr>
        <xdr:cNvPr id="57983" name="Line 444">
          <a:extLst>
            <a:ext uri="{FF2B5EF4-FFF2-40B4-BE49-F238E27FC236}">
              <a16:creationId xmlns:a16="http://schemas.microsoft.com/office/drawing/2014/main" id="{38E89B32-D88D-31C2-61F8-A8B7BE3D3E8B}"/>
            </a:ext>
          </a:extLst>
        </xdr:cNvPr>
        <xdr:cNvSpPr>
          <a:spLocks noChangeShapeType="1"/>
        </xdr:cNvSpPr>
      </xdr:nvSpPr>
      <xdr:spPr bwMode="auto">
        <a:xfrm flipV="1">
          <a:off x="6819900" y="5588000"/>
          <a:ext cx="9652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495300</xdr:colOff>
      <xdr:row>25</xdr:row>
      <xdr:rowOff>12700</xdr:rowOff>
    </xdr:from>
    <xdr:to>
      <xdr:col>10</xdr:col>
      <xdr:colOff>495300</xdr:colOff>
      <xdr:row>27</xdr:row>
      <xdr:rowOff>38100</xdr:rowOff>
    </xdr:to>
    <xdr:sp macro="" textlink="">
      <xdr:nvSpPr>
        <xdr:cNvPr id="57984" name="Line 445">
          <a:extLst>
            <a:ext uri="{FF2B5EF4-FFF2-40B4-BE49-F238E27FC236}">
              <a16:creationId xmlns:a16="http://schemas.microsoft.com/office/drawing/2014/main" id="{C66C49D4-7A9C-4E07-0AD9-37EF2569A743}"/>
            </a:ext>
          </a:extLst>
        </xdr:cNvPr>
        <xdr:cNvSpPr>
          <a:spLocks noChangeShapeType="1"/>
        </xdr:cNvSpPr>
      </xdr:nvSpPr>
      <xdr:spPr bwMode="auto">
        <a:xfrm flipV="1">
          <a:off x="7556500" y="5232400"/>
          <a:ext cx="0" cy="3556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495300</xdr:colOff>
      <xdr:row>22</xdr:row>
      <xdr:rowOff>114300</xdr:rowOff>
    </xdr:from>
    <xdr:to>
      <xdr:col>10</xdr:col>
      <xdr:colOff>495300</xdr:colOff>
      <xdr:row>25</xdr:row>
      <xdr:rowOff>12700</xdr:rowOff>
    </xdr:to>
    <xdr:sp macro="" textlink="">
      <xdr:nvSpPr>
        <xdr:cNvPr id="57985" name="Line 446">
          <a:extLst>
            <a:ext uri="{FF2B5EF4-FFF2-40B4-BE49-F238E27FC236}">
              <a16:creationId xmlns:a16="http://schemas.microsoft.com/office/drawing/2014/main" id="{CA4AC61D-1AD1-7EAD-562B-220EB5B3BAA5}"/>
            </a:ext>
          </a:extLst>
        </xdr:cNvPr>
        <xdr:cNvSpPr>
          <a:spLocks noChangeShapeType="1"/>
        </xdr:cNvSpPr>
      </xdr:nvSpPr>
      <xdr:spPr bwMode="auto">
        <a:xfrm flipV="1">
          <a:off x="7556500" y="4787900"/>
          <a:ext cx="0" cy="4445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495300</xdr:colOff>
      <xdr:row>22</xdr:row>
      <xdr:rowOff>101600</xdr:rowOff>
    </xdr:from>
    <xdr:to>
      <xdr:col>10</xdr:col>
      <xdr:colOff>812800</xdr:colOff>
      <xdr:row>22</xdr:row>
      <xdr:rowOff>101600</xdr:rowOff>
    </xdr:to>
    <xdr:sp macro="" textlink="">
      <xdr:nvSpPr>
        <xdr:cNvPr id="57986" name="Line 447">
          <a:extLst>
            <a:ext uri="{FF2B5EF4-FFF2-40B4-BE49-F238E27FC236}">
              <a16:creationId xmlns:a16="http://schemas.microsoft.com/office/drawing/2014/main" id="{1D5411E0-CD3D-B6BB-EC75-DCD4EFEE6385}"/>
            </a:ext>
          </a:extLst>
        </xdr:cNvPr>
        <xdr:cNvSpPr>
          <a:spLocks noChangeShapeType="1"/>
        </xdr:cNvSpPr>
      </xdr:nvSpPr>
      <xdr:spPr bwMode="auto">
        <a:xfrm>
          <a:off x="7556500" y="4775200"/>
          <a:ext cx="3175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596900</xdr:colOff>
      <xdr:row>38</xdr:row>
      <xdr:rowOff>50800</xdr:rowOff>
    </xdr:from>
    <xdr:to>
      <xdr:col>5</xdr:col>
      <xdr:colOff>38100</xdr:colOff>
      <xdr:row>39</xdr:row>
      <xdr:rowOff>0</xdr:rowOff>
    </xdr:to>
    <xdr:sp macro="" textlink="">
      <xdr:nvSpPr>
        <xdr:cNvPr id="57987" name="Oval 448">
          <a:extLst>
            <a:ext uri="{FF2B5EF4-FFF2-40B4-BE49-F238E27FC236}">
              <a16:creationId xmlns:a16="http://schemas.microsoft.com/office/drawing/2014/main" id="{CF8305FF-12B6-3AEB-40C0-71E3E3FCE5C0}"/>
            </a:ext>
          </a:extLst>
        </xdr:cNvPr>
        <xdr:cNvSpPr>
          <a:spLocks noChangeArrowheads="1"/>
        </xdr:cNvSpPr>
      </xdr:nvSpPr>
      <xdr:spPr bwMode="auto">
        <a:xfrm>
          <a:off x="2971800" y="7772400"/>
          <a:ext cx="152400" cy="1270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</xdr:spPr>
    </xdr:sp>
    <xdr:clientData/>
  </xdr:twoCellAnchor>
  <xdr:twoCellAnchor>
    <xdr:from>
      <xdr:col>9</xdr:col>
      <xdr:colOff>381000</xdr:colOff>
      <xdr:row>59</xdr:row>
      <xdr:rowOff>12700</xdr:rowOff>
    </xdr:from>
    <xdr:to>
      <xdr:col>9</xdr:col>
      <xdr:colOff>508000</xdr:colOff>
      <xdr:row>59</xdr:row>
      <xdr:rowOff>127000</xdr:rowOff>
    </xdr:to>
    <xdr:sp macro="" textlink="">
      <xdr:nvSpPr>
        <xdr:cNvPr id="57988" name="Oval 449">
          <a:extLst>
            <a:ext uri="{FF2B5EF4-FFF2-40B4-BE49-F238E27FC236}">
              <a16:creationId xmlns:a16="http://schemas.microsoft.com/office/drawing/2014/main" id="{32E5FA2A-5B8A-A1BD-84F6-5A9C4C307E09}"/>
            </a:ext>
          </a:extLst>
        </xdr:cNvPr>
        <xdr:cNvSpPr>
          <a:spLocks noChangeArrowheads="1"/>
        </xdr:cNvSpPr>
      </xdr:nvSpPr>
      <xdr:spPr bwMode="auto">
        <a:xfrm>
          <a:off x="6769100" y="11861800"/>
          <a:ext cx="127000" cy="1143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</xdr:spPr>
    </xdr:sp>
    <xdr:clientData/>
  </xdr:twoCellAnchor>
  <xdr:twoCellAnchor>
    <xdr:from>
      <xdr:col>4</xdr:col>
      <xdr:colOff>635000</xdr:colOff>
      <xdr:row>6</xdr:row>
      <xdr:rowOff>127000</xdr:rowOff>
    </xdr:from>
    <xdr:to>
      <xdr:col>5</xdr:col>
      <xdr:colOff>63500</xdr:colOff>
      <xdr:row>7</xdr:row>
      <xdr:rowOff>38100</xdr:rowOff>
    </xdr:to>
    <xdr:sp macro="" textlink="">
      <xdr:nvSpPr>
        <xdr:cNvPr id="57989" name="Oval 450">
          <a:extLst>
            <a:ext uri="{FF2B5EF4-FFF2-40B4-BE49-F238E27FC236}">
              <a16:creationId xmlns:a16="http://schemas.microsoft.com/office/drawing/2014/main" id="{D8BA74EF-6238-66F5-0591-1F7A03E3BABA}"/>
            </a:ext>
          </a:extLst>
        </xdr:cNvPr>
        <xdr:cNvSpPr>
          <a:spLocks noChangeArrowheads="1"/>
        </xdr:cNvSpPr>
      </xdr:nvSpPr>
      <xdr:spPr bwMode="auto">
        <a:xfrm>
          <a:off x="3009900" y="1409700"/>
          <a:ext cx="139700" cy="1270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</xdr:spPr>
    </xdr:sp>
    <xdr:clientData/>
  </xdr:twoCellAnchor>
  <xdr:twoCellAnchor>
    <xdr:from>
      <xdr:col>9</xdr:col>
      <xdr:colOff>406400</xdr:colOff>
      <xdr:row>26</xdr:row>
      <xdr:rowOff>139700</xdr:rowOff>
    </xdr:from>
    <xdr:to>
      <xdr:col>9</xdr:col>
      <xdr:colOff>533400</xdr:colOff>
      <xdr:row>27</xdr:row>
      <xdr:rowOff>101600</xdr:rowOff>
    </xdr:to>
    <xdr:sp macro="" textlink="">
      <xdr:nvSpPr>
        <xdr:cNvPr id="57990" name="Oval 451">
          <a:extLst>
            <a:ext uri="{FF2B5EF4-FFF2-40B4-BE49-F238E27FC236}">
              <a16:creationId xmlns:a16="http://schemas.microsoft.com/office/drawing/2014/main" id="{0BA84D20-F9BE-8541-8BF1-825F7E8C8C71}"/>
            </a:ext>
          </a:extLst>
        </xdr:cNvPr>
        <xdr:cNvSpPr>
          <a:spLocks noChangeArrowheads="1"/>
        </xdr:cNvSpPr>
      </xdr:nvSpPr>
      <xdr:spPr bwMode="auto">
        <a:xfrm>
          <a:off x="6794500" y="5524500"/>
          <a:ext cx="127000" cy="1270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</xdr:spPr>
    </xdr:sp>
    <xdr:clientData/>
  </xdr:twoCellAnchor>
  <xdr:oneCellAnchor>
    <xdr:from>
      <xdr:col>8</xdr:col>
      <xdr:colOff>0</xdr:colOff>
      <xdr:row>42</xdr:row>
      <xdr:rowOff>34290</xdr:rowOff>
    </xdr:from>
    <xdr:ext cx="351910" cy="217956"/>
    <xdr:sp macro="" textlink="">
      <xdr:nvSpPr>
        <xdr:cNvPr id="16838" name="Text Box 454">
          <a:extLst>
            <a:ext uri="{FF2B5EF4-FFF2-40B4-BE49-F238E27FC236}">
              <a16:creationId xmlns:a16="http://schemas.microsoft.com/office/drawing/2014/main" id="{826E2BC6-7835-21C1-F3C1-BBA24664FDE2}"/>
            </a:ext>
          </a:extLst>
        </xdr:cNvPr>
        <xdr:cNvSpPr txBox="1">
          <a:spLocks noChangeArrowheads="1"/>
        </xdr:cNvSpPr>
      </xdr:nvSpPr>
      <xdr:spPr bwMode="auto">
        <a:xfrm>
          <a:off x="5008880" y="8319135"/>
          <a:ext cx="296363" cy="170560"/>
        </a:xfrm>
        <a:prstGeom prst="rect">
          <a:avLst/>
        </a:prstGeom>
        <a:noFill/>
        <a:ln>
          <a:noFill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Deg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.</a:t>
          </a:r>
        </a:p>
      </xdr:txBody>
    </xdr:sp>
    <xdr:clientData/>
  </xdr:oneCellAnchor>
  <xdr:twoCellAnchor>
    <xdr:from>
      <xdr:col>6</xdr:col>
      <xdr:colOff>12700</xdr:colOff>
      <xdr:row>40</xdr:row>
      <xdr:rowOff>152400</xdr:rowOff>
    </xdr:from>
    <xdr:to>
      <xdr:col>6</xdr:col>
      <xdr:colOff>279400</xdr:colOff>
      <xdr:row>43</xdr:row>
      <xdr:rowOff>50800</xdr:rowOff>
    </xdr:to>
    <xdr:sp macro="" textlink="">
      <xdr:nvSpPr>
        <xdr:cNvPr id="57992" name="AutoShape 455">
          <a:extLst>
            <a:ext uri="{FF2B5EF4-FFF2-40B4-BE49-F238E27FC236}">
              <a16:creationId xmlns:a16="http://schemas.microsoft.com/office/drawing/2014/main" id="{ACD1FDCC-ED5C-A1CF-34D6-A97F6C73CCAC}"/>
            </a:ext>
          </a:extLst>
        </xdr:cNvPr>
        <xdr:cNvSpPr>
          <a:spLocks noChangeArrowheads="1"/>
        </xdr:cNvSpPr>
      </xdr:nvSpPr>
      <xdr:spPr bwMode="auto">
        <a:xfrm rot="5724712">
          <a:off x="3835400" y="8382000"/>
          <a:ext cx="495300" cy="266700"/>
        </a:xfrm>
        <a:custGeom>
          <a:avLst/>
          <a:gdLst>
            <a:gd name="T0" fmla="*/ 2147483646 w 21600"/>
            <a:gd name="T1" fmla="*/ 0 h 21600"/>
            <a:gd name="T2" fmla="*/ 0 w 21600"/>
            <a:gd name="T3" fmla="*/ 2147483646 h 21600"/>
            <a:gd name="T4" fmla="*/ 2147483646 w 21600"/>
            <a:gd name="T5" fmla="*/ 0 h 21600"/>
            <a:gd name="T6" fmla="*/ 2147483646 w 21600"/>
            <a:gd name="T7" fmla="*/ 2147483646 h 21600"/>
            <a:gd name="T8" fmla="*/ 0 60000 65536"/>
            <a:gd name="T9" fmla="*/ 0 60000 65536"/>
            <a:gd name="T10" fmla="*/ 0 60000 65536"/>
            <a:gd name="T11" fmla="*/ 0 60000 65536"/>
            <a:gd name="T12" fmla="*/ 0 w 21600"/>
            <a:gd name="T13" fmla="*/ 0 h 21600"/>
            <a:gd name="T14" fmla="*/ 21600 w 21600"/>
            <a:gd name="T15" fmla="*/ 7713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0" y="10800"/>
              </a:moveTo>
              <a:cubicBezTo>
                <a:pt x="0" y="4835"/>
                <a:pt x="4835" y="0"/>
                <a:pt x="10800" y="0"/>
              </a:cubicBezTo>
              <a:cubicBezTo>
                <a:pt x="16764" y="-1"/>
                <a:pt x="21599" y="4835"/>
                <a:pt x="21600" y="10799"/>
              </a:cubicBezTo>
              <a:lnTo>
                <a:pt x="21600" y="10800"/>
              </a:lnTo>
              <a:cubicBezTo>
                <a:pt x="21600" y="4835"/>
                <a:pt x="16764" y="0"/>
                <a:pt x="10800" y="0"/>
              </a:cubicBezTo>
              <a:cubicBezTo>
                <a:pt x="4835" y="0"/>
                <a:pt x="0" y="4835"/>
                <a:pt x="0" y="10800"/>
              </a:cubicBezTo>
              <a:close/>
            </a:path>
          </a:pathLst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152400</xdr:colOff>
      <xdr:row>42</xdr:row>
      <xdr:rowOff>139700</xdr:rowOff>
    </xdr:from>
    <xdr:to>
      <xdr:col>6</xdr:col>
      <xdr:colOff>254000</xdr:colOff>
      <xdr:row>43</xdr:row>
      <xdr:rowOff>50800</xdr:rowOff>
    </xdr:to>
    <xdr:sp macro="" textlink="">
      <xdr:nvSpPr>
        <xdr:cNvPr id="57993" name="Line 456">
          <a:extLst>
            <a:ext uri="{FF2B5EF4-FFF2-40B4-BE49-F238E27FC236}">
              <a16:creationId xmlns:a16="http://schemas.microsoft.com/office/drawing/2014/main" id="{BF6B20BC-9E59-A355-8076-864C653F4E7A}"/>
            </a:ext>
          </a:extLst>
        </xdr:cNvPr>
        <xdr:cNvSpPr>
          <a:spLocks noChangeShapeType="1"/>
        </xdr:cNvSpPr>
      </xdr:nvSpPr>
      <xdr:spPr bwMode="auto">
        <a:xfrm flipV="1">
          <a:off x="4089400" y="8636000"/>
          <a:ext cx="101600" cy="1270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190500</xdr:colOff>
      <xdr:row>40</xdr:row>
      <xdr:rowOff>139700</xdr:rowOff>
    </xdr:from>
    <xdr:to>
      <xdr:col>6</xdr:col>
      <xdr:colOff>279400</xdr:colOff>
      <xdr:row>41</xdr:row>
      <xdr:rowOff>50800</xdr:rowOff>
    </xdr:to>
    <xdr:sp macro="" textlink="">
      <xdr:nvSpPr>
        <xdr:cNvPr id="57994" name="Line 457">
          <a:extLst>
            <a:ext uri="{FF2B5EF4-FFF2-40B4-BE49-F238E27FC236}">
              <a16:creationId xmlns:a16="http://schemas.microsoft.com/office/drawing/2014/main" id="{19A3F879-DA1D-8617-4AE1-84B1A186D774}"/>
            </a:ext>
          </a:extLst>
        </xdr:cNvPr>
        <xdr:cNvSpPr>
          <a:spLocks noChangeShapeType="1"/>
        </xdr:cNvSpPr>
      </xdr:nvSpPr>
      <xdr:spPr bwMode="auto">
        <a:xfrm>
          <a:off x="4127500" y="8255000"/>
          <a:ext cx="88900" cy="1143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292100</xdr:colOff>
      <xdr:row>42</xdr:row>
      <xdr:rowOff>25400</xdr:rowOff>
    </xdr:from>
    <xdr:to>
      <xdr:col>7</xdr:col>
      <xdr:colOff>0</xdr:colOff>
      <xdr:row>42</xdr:row>
      <xdr:rowOff>114300</xdr:rowOff>
    </xdr:to>
    <xdr:sp macro="" textlink="">
      <xdr:nvSpPr>
        <xdr:cNvPr id="57995" name="Line 458">
          <a:extLst>
            <a:ext uri="{FF2B5EF4-FFF2-40B4-BE49-F238E27FC236}">
              <a16:creationId xmlns:a16="http://schemas.microsoft.com/office/drawing/2014/main" id="{11A19D0D-2AA3-38F7-08D5-5C903F0D596F}"/>
            </a:ext>
          </a:extLst>
        </xdr:cNvPr>
        <xdr:cNvSpPr>
          <a:spLocks noChangeShapeType="1"/>
        </xdr:cNvSpPr>
      </xdr:nvSpPr>
      <xdr:spPr bwMode="auto">
        <a:xfrm>
          <a:off x="4229100" y="8521700"/>
          <a:ext cx="584200" cy="889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oval" w="med" len="med"/>
          <a:tailEnd type="oval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38100</xdr:colOff>
      <xdr:row>72</xdr:row>
      <xdr:rowOff>152400</xdr:rowOff>
    </xdr:from>
    <xdr:to>
      <xdr:col>6</xdr:col>
      <xdr:colOff>304800</xdr:colOff>
      <xdr:row>75</xdr:row>
      <xdr:rowOff>50800</xdr:rowOff>
    </xdr:to>
    <xdr:sp macro="" textlink="">
      <xdr:nvSpPr>
        <xdr:cNvPr id="57996" name="AutoShape 459">
          <a:extLst>
            <a:ext uri="{FF2B5EF4-FFF2-40B4-BE49-F238E27FC236}">
              <a16:creationId xmlns:a16="http://schemas.microsoft.com/office/drawing/2014/main" id="{81290976-3394-557A-D7BC-73CD422BA322}"/>
            </a:ext>
          </a:extLst>
        </xdr:cNvPr>
        <xdr:cNvSpPr>
          <a:spLocks noChangeArrowheads="1"/>
        </xdr:cNvSpPr>
      </xdr:nvSpPr>
      <xdr:spPr bwMode="auto">
        <a:xfrm rot="5724712">
          <a:off x="3860800" y="14744700"/>
          <a:ext cx="495300" cy="266700"/>
        </a:xfrm>
        <a:custGeom>
          <a:avLst/>
          <a:gdLst>
            <a:gd name="T0" fmla="*/ 2147483646 w 21600"/>
            <a:gd name="T1" fmla="*/ 0 h 21600"/>
            <a:gd name="T2" fmla="*/ 0 w 21600"/>
            <a:gd name="T3" fmla="*/ 2147483646 h 21600"/>
            <a:gd name="T4" fmla="*/ 2147483646 w 21600"/>
            <a:gd name="T5" fmla="*/ 0 h 21600"/>
            <a:gd name="T6" fmla="*/ 2147483646 w 21600"/>
            <a:gd name="T7" fmla="*/ 2147483646 h 21600"/>
            <a:gd name="T8" fmla="*/ 0 60000 65536"/>
            <a:gd name="T9" fmla="*/ 0 60000 65536"/>
            <a:gd name="T10" fmla="*/ 0 60000 65536"/>
            <a:gd name="T11" fmla="*/ 0 60000 65536"/>
            <a:gd name="T12" fmla="*/ 0 w 21600"/>
            <a:gd name="T13" fmla="*/ 0 h 21600"/>
            <a:gd name="T14" fmla="*/ 21600 w 21600"/>
            <a:gd name="T15" fmla="*/ 7713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0" y="10800"/>
              </a:moveTo>
              <a:cubicBezTo>
                <a:pt x="0" y="4835"/>
                <a:pt x="4835" y="0"/>
                <a:pt x="10800" y="0"/>
              </a:cubicBezTo>
              <a:cubicBezTo>
                <a:pt x="16764" y="-1"/>
                <a:pt x="21599" y="4835"/>
                <a:pt x="21600" y="10799"/>
              </a:cubicBezTo>
              <a:lnTo>
                <a:pt x="21600" y="10800"/>
              </a:lnTo>
              <a:cubicBezTo>
                <a:pt x="21600" y="4835"/>
                <a:pt x="16764" y="0"/>
                <a:pt x="10800" y="0"/>
              </a:cubicBezTo>
              <a:cubicBezTo>
                <a:pt x="4835" y="0"/>
                <a:pt x="0" y="4835"/>
                <a:pt x="0" y="10800"/>
              </a:cubicBezTo>
              <a:close/>
            </a:path>
          </a:pathLst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165100</xdr:colOff>
      <xdr:row>74</xdr:row>
      <xdr:rowOff>165100</xdr:rowOff>
    </xdr:from>
    <xdr:to>
      <xdr:col>6</xdr:col>
      <xdr:colOff>266700</xdr:colOff>
      <xdr:row>75</xdr:row>
      <xdr:rowOff>76200</xdr:rowOff>
    </xdr:to>
    <xdr:sp macro="" textlink="">
      <xdr:nvSpPr>
        <xdr:cNvPr id="57997" name="Line 460">
          <a:extLst>
            <a:ext uri="{FF2B5EF4-FFF2-40B4-BE49-F238E27FC236}">
              <a16:creationId xmlns:a16="http://schemas.microsoft.com/office/drawing/2014/main" id="{C9D715AD-A39E-5AB0-2A21-3A3A57A278A1}"/>
            </a:ext>
          </a:extLst>
        </xdr:cNvPr>
        <xdr:cNvSpPr>
          <a:spLocks noChangeShapeType="1"/>
        </xdr:cNvSpPr>
      </xdr:nvSpPr>
      <xdr:spPr bwMode="auto">
        <a:xfrm flipV="1">
          <a:off x="4102100" y="15024100"/>
          <a:ext cx="101600" cy="1270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215900</xdr:colOff>
      <xdr:row>72</xdr:row>
      <xdr:rowOff>139700</xdr:rowOff>
    </xdr:from>
    <xdr:to>
      <xdr:col>6</xdr:col>
      <xdr:colOff>304800</xdr:colOff>
      <xdr:row>73</xdr:row>
      <xdr:rowOff>50800</xdr:rowOff>
    </xdr:to>
    <xdr:sp macro="" textlink="">
      <xdr:nvSpPr>
        <xdr:cNvPr id="57998" name="Line 461">
          <a:extLst>
            <a:ext uri="{FF2B5EF4-FFF2-40B4-BE49-F238E27FC236}">
              <a16:creationId xmlns:a16="http://schemas.microsoft.com/office/drawing/2014/main" id="{DD118D7E-18A6-2340-C7FC-054486375A77}"/>
            </a:ext>
          </a:extLst>
        </xdr:cNvPr>
        <xdr:cNvSpPr>
          <a:spLocks noChangeShapeType="1"/>
        </xdr:cNvSpPr>
      </xdr:nvSpPr>
      <xdr:spPr bwMode="auto">
        <a:xfrm>
          <a:off x="4152900" y="14617700"/>
          <a:ext cx="88900" cy="1143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8</xdr:col>
      <xdr:colOff>0</xdr:colOff>
      <xdr:row>74</xdr:row>
      <xdr:rowOff>36195</xdr:rowOff>
    </xdr:from>
    <xdr:ext cx="351910" cy="207567"/>
    <xdr:sp macro="" textlink="">
      <xdr:nvSpPr>
        <xdr:cNvPr id="16846" name="Text Box 462">
          <a:extLst>
            <a:ext uri="{FF2B5EF4-FFF2-40B4-BE49-F238E27FC236}">
              <a16:creationId xmlns:a16="http://schemas.microsoft.com/office/drawing/2014/main" id="{C599839D-F914-A8E5-2BD5-5C30D068A2AE}"/>
            </a:ext>
          </a:extLst>
        </xdr:cNvPr>
        <xdr:cNvSpPr txBox="1">
          <a:spLocks noChangeArrowheads="1"/>
        </xdr:cNvSpPr>
      </xdr:nvSpPr>
      <xdr:spPr bwMode="auto">
        <a:xfrm>
          <a:off x="5008880" y="14504035"/>
          <a:ext cx="296363" cy="170560"/>
        </a:xfrm>
        <a:prstGeom prst="rect">
          <a:avLst/>
        </a:prstGeom>
        <a:noFill/>
        <a:ln>
          <a:noFill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Deg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.</a:t>
          </a:r>
        </a:p>
      </xdr:txBody>
    </xdr:sp>
    <xdr:clientData/>
  </xdr:oneCellAnchor>
  <xdr:twoCellAnchor>
    <xdr:from>
      <xdr:col>6</xdr:col>
      <xdr:colOff>330200</xdr:colOff>
      <xdr:row>74</xdr:row>
      <xdr:rowOff>38100</xdr:rowOff>
    </xdr:from>
    <xdr:to>
      <xdr:col>6</xdr:col>
      <xdr:colOff>863600</xdr:colOff>
      <xdr:row>74</xdr:row>
      <xdr:rowOff>88900</xdr:rowOff>
    </xdr:to>
    <xdr:sp macro="" textlink="">
      <xdr:nvSpPr>
        <xdr:cNvPr id="58000" name="Line 463">
          <a:extLst>
            <a:ext uri="{FF2B5EF4-FFF2-40B4-BE49-F238E27FC236}">
              <a16:creationId xmlns:a16="http://schemas.microsoft.com/office/drawing/2014/main" id="{BF4AD774-BB11-04D7-79FD-1DE32EF4C638}"/>
            </a:ext>
          </a:extLst>
        </xdr:cNvPr>
        <xdr:cNvSpPr>
          <a:spLocks noChangeShapeType="1"/>
        </xdr:cNvSpPr>
      </xdr:nvSpPr>
      <xdr:spPr bwMode="auto">
        <a:xfrm flipH="1" flipV="1">
          <a:off x="4267200" y="14897100"/>
          <a:ext cx="533400" cy="508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oval" w="med" len="med"/>
          <a:tailEnd type="oval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114300</xdr:colOff>
      <xdr:row>105</xdr:row>
      <xdr:rowOff>152400</xdr:rowOff>
    </xdr:from>
    <xdr:to>
      <xdr:col>6</xdr:col>
      <xdr:colOff>279400</xdr:colOff>
      <xdr:row>108</xdr:row>
      <xdr:rowOff>88900</xdr:rowOff>
    </xdr:to>
    <xdr:sp macro="" textlink="">
      <xdr:nvSpPr>
        <xdr:cNvPr id="58001" name="AutoShape 464">
          <a:extLst>
            <a:ext uri="{FF2B5EF4-FFF2-40B4-BE49-F238E27FC236}">
              <a16:creationId xmlns:a16="http://schemas.microsoft.com/office/drawing/2014/main" id="{431596BE-D4DA-DF6C-583E-DF7C8F10D074}"/>
            </a:ext>
          </a:extLst>
        </xdr:cNvPr>
        <xdr:cNvSpPr>
          <a:spLocks noChangeArrowheads="1"/>
        </xdr:cNvSpPr>
      </xdr:nvSpPr>
      <xdr:spPr bwMode="auto">
        <a:xfrm rot="5724712">
          <a:off x="3867150" y="21291550"/>
          <a:ext cx="533400" cy="165100"/>
        </a:xfrm>
        <a:custGeom>
          <a:avLst/>
          <a:gdLst>
            <a:gd name="T0" fmla="*/ 2147483646 w 21600"/>
            <a:gd name="T1" fmla="*/ 0 h 21600"/>
            <a:gd name="T2" fmla="*/ 0 w 21600"/>
            <a:gd name="T3" fmla="*/ 2147483646 h 21600"/>
            <a:gd name="T4" fmla="*/ 2147483646 w 21600"/>
            <a:gd name="T5" fmla="*/ 0 h 21600"/>
            <a:gd name="T6" fmla="*/ 2147483646 w 21600"/>
            <a:gd name="T7" fmla="*/ 2147483646 h 21600"/>
            <a:gd name="T8" fmla="*/ 0 60000 65536"/>
            <a:gd name="T9" fmla="*/ 0 60000 65536"/>
            <a:gd name="T10" fmla="*/ 0 60000 65536"/>
            <a:gd name="T11" fmla="*/ 0 60000 65536"/>
            <a:gd name="T12" fmla="*/ 0 w 21600"/>
            <a:gd name="T13" fmla="*/ 0 h 21600"/>
            <a:gd name="T14" fmla="*/ 21600 w 21600"/>
            <a:gd name="T15" fmla="*/ 7713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0" y="10800"/>
              </a:moveTo>
              <a:cubicBezTo>
                <a:pt x="0" y="4835"/>
                <a:pt x="4835" y="0"/>
                <a:pt x="10800" y="0"/>
              </a:cubicBezTo>
              <a:cubicBezTo>
                <a:pt x="16764" y="-1"/>
                <a:pt x="21599" y="4835"/>
                <a:pt x="21600" y="10799"/>
              </a:cubicBezTo>
              <a:lnTo>
                <a:pt x="21600" y="10800"/>
              </a:lnTo>
              <a:cubicBezTo>
                <a:pt x="21600" y="4835"/>
                <a:pt x="16764" y="0"/>
                <a:pt x="10800" y="0"/>
              </a:cubicBezTo>
              <a:cubicBezTo>
                <a:pt x="4835" y="0"/>
                <a:pt x="0" y="4835"/>
                <a:pt x="0" y="10800"/>
              </a:cubicBezTo>
              <a:close/>
            </a:path>
          </a:pathLst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190500</xdr:colOff>
      <xdr:row>107</xdr:row>
      <xdr:rowOff>114300</xdr:rowOff>
    </xdr:from>
    <xdr:to>
      <xdr:col>6</xdr:col>
      <xdr:colOff>266700</xdr:colOff>
      <xdr:row>108</xdr:row>
      <xdr:rowOff>88900</xdr:rowOff>
    </xdr:to>
    <xdr:sp macro="" textlink="">
      <xdr:nvSpPr>
        <xdr:cNvPr id="58002" name="Line 465">
          <a:extLst>
            <a:ext uri="{FF2B5EF4-FFF2-40B4-BE49-F238E27FC236}">
              <a16:creationId xmlns:a16="http://schemas.microsoft.com/office/drawing/2014/main" id="{3512CB12-1D64-3859-2AC1-25555CB7E3BF}"/>
            </a:ext>
          </a:extLst>
        </xdr:cNvPr>
        <xdr:cNvSpPr>
          <a:spLocks noChangeShapeType="1"/>
        </xdr:cNvSpPr>
      </xdr:nvSpPr>
      <xdr:spPr bwMode="auto">
        <a:xfrm flipV="1">
          <a:off x="4127500" y="21450300"/>
          <a:ext cx="76200" cy="190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241300</xdr:colOff>
      <xdr:row>105</xdr:row>
      <xdr:rowOff>152400</xdr:rowOff>
    </xdr:from>
    <xdr:to>
      <xdr:col>6</xdr:col>
      <xdr:colOff>279400</xdr:colOff>
      <xdr:row>106</xdr:row>
      <xdr:rowOff>114300</xdr:rowOff>
    </xdr:to>
    <xdr:sp macro="" textlink="">
      <xdr:nvSpPr>
        <xdr:cNvPr id="58003" name="Line 466">
          <a:extLst>
            <a:ext uri="{FF2B5EF4-FFF2-40B4-BE49-F238E27FC236}">
              <a16:creationId xmlns:a16="http://schemas.microsoft.com/office/drawing/2014/main" id="{03BC984E-7EA2-DEBD-7B8B-B74369149C05}"/>
            </a:ext>
          </a:extLst>
        </xdr:cNvPr>
        <xdr:cNvSpPr>
          <a:spLocks noChangeShapeType="1"/>
        </xdr:cNvSpPr>
      </xdr:nvSpPr>
      <xdr:spPr bwMode="auto">
        <a:xfrm>
          <a:off x="4178300" y="21107400"/>
          <a:ext cx="38100" cy="1651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8</xdr:col>
      <xdr:colOff>0</xdr:colOff>
      <xdr:row>107</xdr:row>
      <xdr:rowOff>34290</xdr:rowOff>
    </xdr:from>
    <xdr:ext cx="351910" cy="217956"/>
    <xdr:sp macro="" textlink="">
      <xdr:nvSpPr>
        <xdr:cNvPr id="16851" name="Text Box 467">
          <a:extLst>
            <a:ext uri="{FF2B5EF4-FFF2-40B4-BE49-F238E27FC236}">
              <a16:creationId xmlns:a16="http://schemas.microsoft.com/office/drawing/2014/main" id="{A9CD1D5A-B9B6-8BD9-C9C3-AE2ABD532AA6}"/>
            </a:ext>
          </a:extLst>
        </xdr:cNvPr>
        <xdr:cNvSpPr txBox="1">
          <a:spLocks noChangeArrowheads="1"/>
        </xdr:cNvSpPr>
      </xdr:nvSpPr>
      <xdr:spPr bwMode="auto">
        <a:xfrm>
          <a:off x="5008880" y="20846415"/>
          <a:ext cx="296363" cy="170560"/>
        </a:xfrm>
        <a:prstGeom prst="rect">
          <a:avLst/>
        </a:prstGeom>
        <a:noFill/>
        <a:ln>
          <a:noFill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Deg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.</a:t>
          </a:r>
        </a:p>
      </xdr:txBody>
    </xdr:sp>
    <xdr:clientData/>
  </xdr:oneCellAnchor>
  <xdr:twoCellAnchor>
    <xdr:from>
      <xdr:col>6</xdr:col>
      <xdr:colOff>292100</xdr:colOff>
      <xdr:row>107</xdr:row>
      <xdr:rowOff>38100</xdr:rowOff>
    </xdr:from>
    <xdr:to>
      <xdr:col>6</xdr:col>
      <xdr:colOff>863600</xdr:colOff>
      <xdr:row>107</xdr:row>
      <xdr:rowOff>114300</xdr:rowOff>
    </xdr:to>
    <xdr:sp macro="" textlink="">
      <xdr:nvSpPr>
        <xdr:cNvPr id="58005" name="Line 468">
          <a:extLst>
            <a:ext uri="{FF2B5EF4-FFF2-40B4-BE49-F238E27FC236}">
              <a16:creationId xmlns:a16="http://schemas.microsoft.com/office/drawing/2014/main" id="{06CE5BF4-550C-7F97-F7BD-8A3B1173F0BF}"/>
            </a:ext>
          </a:extLst>
        </xdr:cNvPr>
        <xdr:cNvSpPr>
          <a:spLocks noChangeShapeType="1"/>
        </xdr:cNvSpPr>
      </xdr:nvSpPr>
      <xdr:spPr bwMode="auto">
        <a:xfrm flipH="1" flipV="1">
          <a:off x="4229100" y="21374100"/>
          <a:ext cx="571500" cy="76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oval" w="med" len="med"/>
          <a:tailEnd type="oval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622300</xdr:colOff>
      <xdr:row>70</xdr:row>
      <xdr:rowOff>50800</xdr:rowOff>
    </xdr:from>
    <xdr:to>
      <xdr:col>5</xdr:col>
      <xdr:colOff>50800</xdr:colOff>
      <xdr:row>70</xdr:row>
      <xdr:rowOff>165100</xdr:rowOff>
    </xdr:to>
    <xdr:sp macro="" textlink="">
      <xdr:nvSpPr>
        <xdr:cNvPr id="58006" name="Oval 469">
          <a:extLst>
            <a:ext uri="{FF2B5EF4-FFF2-40B4-BE49-F238E27FC236}">
              <a16:creationId xmlns:a16="http://schemas.microsoft.com/office/drawing/2014/main" id="{E93ED6EF-9F95-ED43-C2D8-45389D4E4A7F}"/>
            </a:ext>
          </a:extLst>
        </xdr:cNvPr>
        <xdr:cNvSpPr>
          <a:spLocks noChangeArrowheads="1"/>
        </xdr:cNvSpPr>
      </xdr:nvSpPr>
      <xdr:spPr bwMode="auto">
        <a:xfrm>
          <a:off x="2997200" y="14135100"/>
          <a:ext cx="139700" cy="1143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</xdr:spPr>
    </xdr:sp>
    <xdr:clientData/>
  </xdr:twoCellAnchor>
  <xdr:twoCellAnchor>
    <xdr:from>
      <xdr:col>9</xdr:col>
      <xdr:colOff>203200</xdr:colOff>
      <xdr:row>89</xdr:row>
      <xdr:rowOff>152400</xdr:rowOff>
    </xdr:from>
    <xdr:to>
      <xdr:col>9</xdr:col>
      <xdr:colOff>330200</xdr:colOff>
      <xdr:row>90</xdr:row>
      <xdr:rowOff>114300</xdr:rowOff>
    </xdr:to>
    <xdr:sp macro="" textlink="">
      <xdr:nvSpPr>
        <xdr:cNvPr id="58007" name="Oval 470">
          <a:extLst>
            <a:ext uri="{FF2B5EF4-FFF2-40B4-BE49-F238E27FC236}">
              <a16:creationId xmlns:a16="http://schemas.microsoft.com/office/drawing/2014/main" id="{BFFB8783-E1A2-7B9E-1075-4BE3BE024EE5}"/>
            </a:ext>
          </a:extLst>
        </xdr:cNvPr>
        <xdr:cNvSpPr>
          <a:spLocks noChangeArrowheads="1"/>
        </xdr:cNvSpPr>
      </xdr:nvSpPr>
      <xdr:spPr bwMode="auto">
        <a:xfrm>
          <a:off x="6591300" y="17907000"/>
          <a:ext cx="127000" cy="1270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</xdr:spPr>
    </xdr:sp>
    <xdr:clientData/>
  </xdr:twoCellAnchor>
  <xdr:twoCellAnchor>
    <xdr:from>
      <xdr:col>4</xdr:col>
      <xdr:colOff>457200</xdr:colOff>
      <xdr:row>175</xdr:row>
      <xdr:rowOff>152400</xdr:rowOff>
    </xdr:from>
    <xdr:to>
      <xdr:col>9</xdr:col>
      <xdr:colOff>635000</xdr:colOff>
      <xdr:row>175</xdr:row>
      <xdr:rowOff>152400</xdr:rowOff>
    </xdr:to>
    <xdr:sp macro="" textlink="">
      <xdr:nvSpPr>
        <xdr:cNvPr id="58008" name="Line 471">
          <a:extLst>
            <a:ext uri="{FF2B5EF4-FFF2-40B4-BE49-F238E27FC236}">
              <a16:creationId xmlns:a16="http://schemas.microsoft.com/office/drawing/2014/main" id="{C338610C-E3BB-AB9F-D5E6-C63D68DAE876}"/>
            </a:ext>
          </a:extLst>
        </xdr:cNvPr>
        <xdr:cNvSpPr>
          <a:spLocks noChangeShapeType="1"/>
        </xdr:cNvSpPr>
      </xdr:nvSpPr>
      <xdr:spPr bwMode="auto">
        <a:xfrm>
          <a:off x="2832100" y="34988500"/>
          <a:ext cx="41910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495300</xdr:colOff>
      <xdr:row>171</xdr:row>
      <xdr:rowOff>190500</xdr:rowOff>
    </xdr:from>
    <xdr:to>
      <xdr:col>10</xdr:col>
      <xdr:colOff>12700</xdr:colOff>
      <xdr:row>171</xdr:row>
      <xdr:rowOff>190500</xdr:rowOff>
    </xdr:to>
    <xdr:sp macro="" textlink="">
      <xdr:nvSpPr>
        <xdr:cNvPr id="58009" name="Line 472">
          <a:extLst>
            <a:ext uri="{FF2B5EF4-FFF2-40B4-BE49-F238E27FC236}">
              <a16:creationId xmlns:a16="http://schemas.microsoft.com/office/drawing/2014/main" id="{8A829335-15E2-CA54-7A6B-25F90B0FA9B7}"/>
            </a:ext>
          </a:extLst>
        </xdr:cNvPr>
        <xdr:cNvSpPr>
          <a:spLocks noChangeShapeType="1"/>
        </xdr:cNvSpPr>
      </xdr:nvSpPr>
      <xdr:spPr bwMode="auto">
        <a:xfrm flipV="1">
          <a:off x="2870200" y="34213800"/>
          <a:ext cx="42037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12700</xdr:colOff>
      <xdr:row>166</xdr:row>
      <xdr:rowOff>38100</xdr:rowOff>
    </xdr:from>
    <xdr:to>
      <xdr:col>5</xdr:col>
      <xdr:colOff>12700</xdr:colOff>
      <xdr:row>189</xdr:row>
      <xdr:rowOff>50800</xdr:rowOff>
    </xdr:to>
    <xdr:sp macro="" textlink="">
      <xdr:nvSpPr>
        <xdr:cNvPr id="58010" name="Line 473">
          <a:extLst>
            <a:ext uri="{FF2B5EF4-FFF2-40B4-BE49-F238E27FC236}">
              <a16:creationId xmlns:a16="http://schemas.microsoft.com/office/drawing/2014/main" id="{C460C8E1-1AAC-20CD-7ED3-2A070A5C7584}"/>
            </a:ext>
          </a:extLst>
        </xdr:cNvPr>
        <xdr:cNvSpPr>
          <a:spLocks noChangeShapeType="1"/>
        </xdr:cNvSpPr>
      </xdr:nvSpPr>
      <xdr:spPr bwMode="auto">
        <a:xfrm>
          <a:off x="3098800" y="33058100"/>
          <a:ext cx="0" cy="47752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Dot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139700</xdr:colOff>
      <xdr:row>175</xdr:row>
      <xdr:rowOff>152400</xdr:rowOff>
    </xdr:from>
    <xdr:to>
      <xdr:col>5</xdr:col>
      <xdr:colOff>139700</xdr:colOff>
      <xdr:row>192</xdr:row>
      <xdr:rowOff>12700</xdr:rowOff>
    </xdr:to>
    <xdr:sp macro="" textlink="">
      <xdr:nvSpPr>
        <xdr:cNvPr id="58011" name="Line 474">
          <a:extLst>
            <a:ext uri="{FF2B5EF4-FFF2-40B4-BE49-F238E27FC236}">
              <a16:creationId xmlns:a16="http://schemas.microsoft.com/office/drawing/2014/main" id="{2AA84EE9-710B-6437-9E1E-5EAFF82506F4}"/>
            </a:ext>
          </a:extLst>
        </xdr:cNvPr>
        <xdr:cNvSpPr>
          <a:spLocks noChangeShapeType="1"/>
        </xdr:cNvSpPr>
      </xdr:nvSpPr>
      <xdr:spPr bwMode="auto">
        <a:xfrm>
          <a:off x="3225800" y="34988500"/>
          <a:ext cx="0" cy="3365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558800</xdr:colOff>
      <xdr:row>175</xdr:row>
      <xdr:rowOff>152400</xdr:rowOff>
    </xdr:from>
    <xdr:to>
      <xdr:col>4</xdr:col>
      <xdr:colOff>558800</xdr:colOff>
      <xdr:row>192</xdr:row>
      <xdr:rowOff>12700</xdr:rowOff>
    </xdr:to>
    <xdr:sp macro="" textlink="">
      <xdr:nvSpPr>
        <xdr:cNvPr id="58012" name="Line 475">
          <a:extLst>
            <a:ext uri="{FF2B5EF4-FFF2-40B4-BE49-F238E27FC236}">
              <a16:creationId xmlns:a16="http://schemas.microsoft.com/office/drawing/2014/main" id="{028C3FA1-8640-37C9-51F1-80404E4B21B3}"/>
            </a:ext>
          </a:extLst>
        </xdr:cNvPr>
        <xdr:cNvSpPr>
          <a:spLocks noChangeShapeType="1"/>
        </xdr:cNvSpPr>
      </xdr:nvSpPr>
      <xdr:spPr bwMode="auto">
        <a:xfrm>
          <a:off x="2933700" y="34988500"/>
          <a:ext cx="0" cy="3365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419100</xdr:colOff>
      <xdr:row>192</xdr:row>
      <xdr:rowOff>12700</xdr:rowOff>
    </xdr:from>
    <xdr:to>
      <xdr:col>10</xdr:col>
      <xdr:colOff>342900</xdr:colOff>
      <xdr:row>192</xdr:row>
      <xdr:rowOff>12700</xdr:rowOff>
    </xdr:to>
    <xdr:sp macro="" textlink="">
      <xdr:nvSpPr>
        <xdr:cNvPr id="58013" name="Line 476">
          <a:extLst>
            <a:ext uri="{FF2B5EF4-FFF2-40B4-BE49-F238E27FC236}">
              <a16:creationId xmlns:a16="http://schemas.microsoft.com/office/drawing/2014/main" id="{A79ED746-63F5-8B15-9224-B7C3276443FD}"/>
            </a:ext>
          </a:extLst>
        </xdr:cNvPr>
        <xdr:cNvSpPr>
          <a:spLocks noChangeShapeType="1"/>
        </xdr:cNvSpPr>
      </xdr:nvSpPr>
      <xdr:spPr bwMode="auto">
        <a:xfrm>
          <a:off x="2794000" y="38354000"/>
          <a:ext cx="46101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368300</xdr:colOff>
      <xdr:row>171</xdr:row>
      <xdr:rowOff>190500</xdr:rowOff>
    </xdr:from>
    <xdr:to>
      <xdr:col>4</xdr:col>
      <xdr:colOff>393700</xdr:colOff>
      <xdr:row>171</xdr:row>
      <xdr:rowOff>190500</xdr:rowOff>
    </xdr:to>
    <xdr:sp macro="" textlink="">
      <xdr:nvSpPr>
        <xdr:cNvPr id="58014" name="Line 477">
          <a:extLst>
            <a:ext uri="{FF2B5EF4-FFF2-40B4-BE49-F238E27FC236}">
              <a16:creationId xmlns:a16="http://schemas.microsoft.com/office/drawing/2014/main" id="{78DDA15C-B824-C57D-0FA0-8CC8BB65F1D3}"/>
            </a:ext>
          </a:extLst>
        </xdr:cNvPr>
        <xdr:cNvSpPr>
          <a:spLocks noChangeShapeType="1"/>
        </xdr:cNvSpPr>
      </xdr:nvSpPr>
      <xdr:spPr bwMode="auto">
        <a:xfrm flipH="1">
          <a:off x="1854200" y="34213800"/>
          <a:ext cx="9144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368300</xdr:colOff>
      <xdr:row>175</xdr:row>
      <xdr:rowOff>152400</xdr:rowOff>
    </xdr:from>
    <xdr:to>
      <xdr:col>4</xdr:col>
      <xdr:colOff>406400</xdr:colOff>
      <xdr:row>175</xdr:row>
      <xdr:rowOff>152400</xdr:rowOff>
    </xdr:to>
    <xdr:sp macro="" textlink="">
      <xdr:nvSpPr>
        <xdr:cNvPr id="58015" name="Line 478">
          <a:extLst>
            <a:ext uri="{FF2B5EF4-FFF2-40B4-BE49-F238E27FC236}">
              <a16:creationId xmlns:a16="http://schemas.microsoft.com/office/drawing/2014/main" id="{03A3651D-3162-8904-FFCD-AF92A62719C7}"/>
            </a:ext>
          </a:extLst>
        </xdr:cNvPr>
        <xdr:cNvSpPr>
          <a:spLocks noChangeShapeType="1"/>
        </xdr:cNvSpPr>
      </xdr:nvSpPr>
      <xdr:spPr bwMode="auto">
        <a:xfrm flipH="1">
          <a:off x="1854200" y="34988500"/>
          <a:ext cx="9271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444500</xdr:colOff>
      <xdr:row>172</xdr:row>
      <xdr:rowOff>0</xdr:rowOff>
    </xdr:from>
    <xdr:to>
      <xdr:col>3</xdr:col>
      <xdr:colOff>444500</xdr:colOff>
      <xdr:row>175</xdr:row>
      <xdr:rowOff>152400</xdr:rowOff>
    </xdr:to>
    <xdr:sp macro="" textlink="">
      <xdr:nvSpPr>
        <xdr:cNvPr id="58016" name="Line 479">
          <a:extLst>
            <a:ext uri="{FF2B5EF4-FFF2-40B4-BE49-F238E27FC236}">
              <a16:creationId xmlns:a16="http://schemas.microsoft.com/office/drawing/2014/main" id="{1FC819D8-163D-06E5-EE08-9F53E0ADBE02}"/>
            </a:ext>
          </a:extLst>
        </xdr:cNvPr>
        <xdr:cNvSpPr>
          <a:spLocks noChangeShapeType="1"/>
        </xdr:cNvSpPr>
      </xdr:nvSpPr>
      <xdr:spPr bwMode="auto">
        <a:xfrm>
          <a:off x="1930400" y="34226500"/>
          <a:ext cx="0" cy="7620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342900</xdr:colOff>
      <xdr:row>175</xdr:row>
      <xdr:rowOff>152400</xdr:rowOff>
    </xdr:from>
    <xdr:to>
      <xdr:col>9</xdr:col>
      <xdr:colOff>342900</xdr:colOff>
      <xdr:row>192</xdr:row>
      <xdr:rowOff>12700</xdr:rowOff>
    </xdr:to>
    <xdr:sp macro="" textlink="">
      <xdr:nvSpPr>
        <xdr:cNvPr id="58017" name="Line 480">
          <a:extLst>
            <a:ext uri="{FF2B5EF4-FFF2-40B4-BE49-F238E27FC236}">
              <a16:creationId xmlns:a16="http://schemas.microsoft.com/office/drawing/2014/main" id="{63DA3389-FAFA-9185-0D10-5631C9E1517F}"/>
            </a:ext>
          </a:extLst>
        </xdr:cNvPr>
        <xdr:cNvSpPr>
          <a:spLocks noChangeShapeType="1"/>
        </xdr:cNvSpPr>
      </xdr:nvSpPr>
      <xdr:spPr bwMode="auto">
        <a:xfrm>
          <a:off x="6731000" y="34988500"/>
          <a:ext cx="0" cy="3365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431800</xdr:colOff>
      <xdr:row>166</xdr:row>
      <xdr:rowOff>76200</xdr:rowOff>
    </xdr:from>
    <xdr:to>
      <xdr:col>9</xdr:col>
      <xdr:colOff>457200</xdr:colOff>
      <xdr:row>198</xdr:row>
      <xdr:rowOff>101600</xdr:rowOff>
    </xdr:to>
    <xdr:sp macro="" textlink="">
      <xdr:nvSpPr>
        <xdr:cNvPr id="58018" name="Line 481">
          <a:extLst>
            <a:ext uri="{FF2B5EF4-FFF2-40B4-BE49-F238E27FC236}">
              <a16:creationId xmlns:a16="http://schemas.microsoft.com/office/drawing/2014/main" id="{5B50AF78-EB6B-AB9E-71DA-03AD5E22B05F}"/>
            </a:ext>
          </a:extLst>
        </xdr:cNvPr>
        <xdr:cNvSpPr>
          <a:spLocks noChangeShapeType="1"/>
        </xdr:cNvSpPr>
      </xdr:nvSpPr>
      <xdr:spPr bwMode="auto">
        <a:xfrm>
          <a:off x="6819900" y="33096200"/>
          <a:ext cx="25400" cy="64770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Dot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215900</xdr:colOff>
      <xdr:row>175</xdr:row>
      <xdr:rowOff>152400</xdr:rowOff>
    </xdr:from>
    <xdr:to>
      <xdr:col>8</xdr:col>
      <xdr:colOff>711200</xdr:colOff>
      <xdr:row>192</xdr:row>
      <xdr:rowOff>12700</xdr:rowOff>
    </xdr:to>
    <xdr:sp macro="" textlink="">
      <xdr:nvSpPr>
        <xdr:cNvPr id="58019" name="Line 482">
          <a:extLst>
            <a:ext uri="{FF2B5EF4-FFF2-40B4-BE49-F238E27FC236}">
              <a16:creationId xmlns:a16="http://schemas.microsoft.com/office/drawing/2014/main" id="{2555BD12-4F11-7970-3575-E347D7164645}"/>
            </a:ext>
          </a:extLst>
        </xdr:cNvPr>
        <xdr:cNvSpPr>
          <a:spLocks noChangeShapeType="1"/>
        </xdr:cNvSpPr>
      </xdr:nvSpPr>
      <xdr:spPr bwMode="auto">
        <a:xfrm>
          <a:off x="3302000" y="34988500"/>
          <a:ext cx="2971800" cy="33655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673100</xdr:colOff>
      <xdr:row>175</xdr:row>
      <xdr:rowOff>152400</xdr:rowOff>
    </xdr:from>
    <xdr:to>
      <xdr:col>9</xdr:col>
      <xdr:colOff>292100</xdr:colOff>
      <xdr:row>192</xdr:row>
      <xdr:rowOff>25400</xdr:rowOff>
    </xdr:to>
    <xdr:sp macro="" textlink="">
      <xdr:nvSpPr>
        <xdr:cNvPr id="58020" name="Line 483">
          <a:extLst>
            <a:ext uri="{FF2B5EF4-FFF2-40B4-BE49-F238E27FC236}">
              <a16:creationId xmlns:a16="http://schemas.microsoft.com/office/drawing/2014/main" id="{7A422DFA-8F34-D382-28CD-D27BF18B2CDF}"/>
            </a:ext>
          </a:extLst>
        </xdr:cNvPr>
        <xdr:cNvSpPr>
          <a:spLocks noChangeShapeType="1"/>
        </xdr:cNvSpPr>
      </xdr:nvSpPr>
      <xdr:spPr bwMode="auto">
        <a:xfrm flipH="1" flipV="1">
          <a:off x="3759200" y="34988500"/>
          <a:ext cx="2921000" cy="33782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139700</xdr:colOff>
      <xdr:row>174</xdr:row>
      <xdr:rowOff>38100</xdr:rowOff>
    </xdr:from>
    <xdr:to>
      <xdr:col>9</xdr:col>
      <xdr:colOff>304800</xdr:colOff>
      <xdr:row>193</xdr:row>
      <xdr:rowOff>101600</xdr:rowOff>
    </xdr:to>
    <xdr:sp macro="" textlink="">
      <xdr:nvSpPr>
        <xdr:cNvPr id="58021" name="Line 484">
          <a:extLst>
            <a:ext uri="{FF2B5EF4-FFF2-40B4-BE49-F238E27FC236}">
              <a16:creationId xmlns:a16="http://schemas.microsoft.com/office/drawing/2014/main" id="{EC4DFF18-97CA-2FDF-2F11-2958C0235CE5}"/>
            </a:ext>
          </a:extLst>
        </xdr:cNvPr>
        <xdr:cNvSpPr>
          <a:spLocks noChangeShapeType="1"/>
        </xdr:cNvSpPr>
      </xdr:nvSpPr>
      <xdr:spPr bwMode="auto">
        <a:xfrm flipH="1" flipV="1">
          <a:off x="3225800" y="34658300"/>
          <a:ext cx="3467100" cy="39497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lgDashDot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546100</xdr:colOff>
      <xdr:row>175</xdr:row>
      <xdr:rowOff>152400</xdr:rowOff>
    </xdr:from>
    <xdr:to>
      <xdr:col>9</xdr:col>
      <xdr:colOff>546100</xdr:colOff>
      <xdr:row>192</xdr:row>
      <xdr:rowOff>12700</xdr:rowOff>
    </xdr:to>
    <xdr:sp macro="" textlink="">
      <xdr:nvSpPr>
        <xdr:cNvPr id="58022" name="Line 485">
          <a:extLst>
            <a:ext uri="{FF2B5EF4-FFF2-40B4-BE49-F238E27FC236}">
              <a16:creationId xmlns:a16="http://schemas.microsoft.com/office/drawing/2014/main" id="{632F7606-DFFE-F930-EE1C-9F134E000C97}"/>
            </a:ext>
          </a:extLst>
        </xdr:cNvPr>
        <xdr:cNvSpPr>
          <a:spLocks noChangeShapeType="1"/>
        </xdr:cNvSpPr>
      </xdr:nvSpPr>
      <xdr:spPr bwMode="auto">
        <a:xfrm>
          <a:off x="6934200" y="34988500"/>
          <a:ext cx="0" cy="3365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76200</xdr:colOff>
      <xdr:row>172</xdr:row>
      <xdr:rowOff>0</xdr:rowOff>
    </xdr:from>
    <xdr:to>
      <xdr:col>12</xdr:col>
      <xdr:colOff>406400</xdr:colOff>
      <xdr:row>172</xdr:row>
      <xdr:rowOff>0</xdr:rowOff>
    </xdr:to>
    <xdr:sp macro="" textlink="">
      <xdr:nvSpPr>
        <xdr:cNvPr id="58023" name="Line 486">
          <a:extLst>
            <a:ext uri="{FF2B5EF4-FFF2-40B4-BE49-F238E27FC236}">
              <a16:creationId xmlns:a16="http://schemas.microsoft.com/office/drawing/2014/main" id="{41559673-0E51-EE49-89AB-92D99BA3A253}"/>
            </a:ext>
          </a:extLst>
        </xdr:cNvPr>
        <xdr:cNvSpPr>
          <a:spLocks noChangeShapeType="1"/>
        </xdr:cNvSpPr>
      </xdr:nvSpPr>
      <xdr:spPr bwMode="auto">
        <a:xfrm>
          <a:off x="7137400" y="34226500"/>
          <a:ext cx="20320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393700</xdr:colOff>
      <xdr:row>192</xdr:row>
      <xdr:rowOff>12700</xdr:rowOff>
    </xdr:from>
    <xdr:to>
      <xdr:col>12</xdr:col>
      <xdr:colOff>457200</xdr:colOff>
      <xdr:row>192</xdr:row>
      <xdr:rowOff>12700</xdr:rowOff>
    </xdr:to>
    <xdr:sp macro="" textlink="">
      <xdr:nvSpPr>
        <xdr:cNvPr id="58024" name="Line 487">
          <a:extLst>
            <a:ext uri="{FF2B5EF4-FFF2-40B4-BE49-F238E27FC236}">
              <a16:creationId xmlns:a16="http://schemas.microsoft.com/office/drawing/2014/main" id="{20B3A212-E6C9-8A50-ABDC-85AA6E02ACFF}"/>
            </a:ext>
          </a:extLst>
        </xdr:cNvPr>
        <xdr:cNvSpPr>
          <a:spLocks noChangeShapeType="1"/>
        </xdr:cNvSpPr>
      </xdr:nvSpPr>
      <xdr:spPr bwMode="auto">
        <a:xfrm>
          <a:off x="7454900" y="38354000"/>
          <a:ext cx="17653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381000</xdr:colOff>
      <xdr:row>172</xdr:row>
      <xdr:rowOff>0</xdr:rowOff>
    </xdr:from>
    <xdr:to>
      <xdr:col>12</xdr:col>
      <xdr:colOff>381000</xdr:colOff>
      <xdr:row>192</xdr:row>
      <xdr:rowOff>0</xdr:rowOff>
    </xdr:to>
    <xdr:sp macro="" textlink="">
      <xdr:nvSpPr>
        <xdr:cNvPr id="58025" name="Line 488">
          <a:extLst>
            <a:ext uri="{FF2B5EF4-FFF2-40B4-BE49-F238E27FC236}">
              <a16:creationId xmlns:a16="http://schemas.microsoft.com/office/drawing/2014/main" id="{055CCA6D-A761-09EB-F033-0903A6D1387D}"/>
            </a:ext>
          </a:extLst>
        </xdr:cNvPr>
        <xdr:cNvSpPr>
          <a:spLocks noChangeShapeType="1"/>
        </xdr:cNvSpPr>
      </xdr:nvSpPr>
      <xdr:spPr bwMode="auto">
        <a:xfrm flipV="1">
          <a:off x="9144000" y="34226500"/>
          <a:ext cx="0" cy="41148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381000</xdr:colOff>
      <xdr:row>181</xdr:row>
      <xdr:rowOff>101600</xdr:rowOff>
    </xdr:from>
    <xdr:to>
      <xdr:col>12</xdr:col>
      <xdr:colOff>800100</xdr:colOff>
      <xdr:row>181</xdr:row>
      <xdr:rowOff>101600</xdr:rowOff>
    </xdr:to>
    <xdr:sp macro="" textlink="">
      <xdr:nvSpPr>
        <xdr:cNvPr id="58026" name="Line 489">
          <a:extLst>
            <a:ext uri="{FF2B5EF4-FFF2-40B4-BE49-F238E27FC236}">
              <a16:creationId xmlns:a16="http://schemas.microsoft.com/office/drawing/2014/main" id="{A697CDE5-7946-565A-63BF-2917E6A204A1}"/>
            </a:ext>
          </a:extLst>
        </xdr:cNvPr>
        <xdr:cNvSpPr>
          <a:spLocks noChangeShapeType="1"/>
        </xdr:cNvSpPr>
      </xdr:nvSpPr>
      <xdr:spPr bwMode="auto">
        <a:xfrm flipH="1">
          <a:off x="9144000" y="36144200"/>
          <a:ext cx="4191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oval" w="med" len="med"/>
          <a:tailEnd type="oval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165100</xdr:colOff>
      <xdr:row>182</xdr:row>
      <xdr:rowOff>76200</xdr:rowOff>
    </xdr:from>
    <xdr:to>
      <xdr:col>6</xdr:col>
      <xdr:colOff>596900</xdr:colOff>
      <xdr:row>183</xdr:row>
      <xdr:rowOff>165100</xdr:rowOff>
    </xdr:to>
    <xdr:sp macro="" textlink="">
      <xdr:nvSpPr>
        <xdr:cNvPr id="58027" name="Line 490">
          <a:extLst>
            <a:ext uri="{FF2B5EF4-FFF2-40B4-BE49-F238E27FC236}">
              <a16:creationId xmlns:a16="http://schemas.microsoft.com/office/drawing/2014/main" id="{AECEF774-203D-91E3-8566-E64D503FA648}"/>
            </a:ext>
          </a:extLst>
        </xdr:cNvPr>
        <xdr:cNvSpPr>
          <a:spLocks noChangeShapeType="1"/>
        </xdr:cNvSpPr>
      </xdr:nvSpPr>
      <xdr:spPr bwMode="auto">
        <a:xfrm flipH="1">
          <a:off x="4102100" y="36334700"/>
          <a:ext cx="431800" cy="3048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838200</xdr:colOff>
      <xdr:row>180</xdr:row>
      <xdr:rowOff>76200</xdr:rowOff>
    </xdr:from>
    <xdr:to>
      <xdr:col>7</xdr:col>
      <xdr:colOff>292100</xdr:colOff>
      <xdr:row>181</xdr:row>
      <xdr:rowOff>127000</xdr:rowOff>
    </xdr:to>
    <xdr:sp macro="" textlink="">
      <xdr:nvSpPr>
        <xdr:cNvPr id="58028" name="Line 491">
          <a:extLst>
            <a:ext uri="{FF2B5EF4-FFF2-40B4-BE49-F238E27FC236}">
              <a16:creationId xmlns:a16="http://schemas.microsoft.com/office/drawing/2014/main" id="{97E2B338-E48D-D54D-1EE4-0D13A6F42BB9}"/>
            </a:ext>
          </a:extLst>
        </xdr:cNvPr>
        <xdr:cNvSpPr>
          <a:spLocks noChangeShapeType="1"/>
        </xdr:cNvSpPr>
      </xdr:nvSpPr>
      <xdr:spPr bwMode="auto">
        <a:xfrm flipV="1">
          <a:off x="4775200" y="35890200"/>
          <a:ext cx="330200" cy="2794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292100</xdr:colOff>
      <xdr:row>180</xdr:row>
      <xdr:rowOff>76200</xdr:rowOff>
    </xdr:from>
    <xdr:to>
      <xdr:col>8</xdr:col>
      <xdr:colOff>0</xdr:colOff>
      <xdr:row>180</xdr:row>
      <xdr:rowOff>76200</xdr:rowOff>
    </xdr:to>
    <xdr:sp macro="" textlink="">
      <xdr:nvSpPr>
        <xdr:cNvPr id="58029" name="Line 492">
          <a:extLst>
            <a:ext uri="{FF2B5EF4-FFF2-40B4-BE49-F238E27FC236}">
              <a16:creationId xmlns:a16="http://schemas.microsoft.com/office/drawing/2014/main" id="{4DC39531-08E7-84F6-04CF-17E94297FDCF}"/>
            </a:ext>
          </a:extLst>
        </xdr:cNvPr>
        <xdr:cNvSpPr>
          <a:spLocks noChangeShapeType="1"/>
        </xdr:cNvSpPr>
      </xdr:nvSpPr>
      <xdr:spPr bwMode="auto">
        <a:xfrm>
          <a:off x="5105400" y="35890200"/>
          <a:ext cx="4572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546100</xdr:colOff>
      <xdr:row>177</xdr:row>
      <xdr:rowOff>114300</xdr:rowOff>
    </xdr:from>
    <xdr:to>
      <xdr:col>11</xdr:col>
      <xdr:colOff>12700</xdr:colOff>
      <xdr:row>177</xdr:row>
      <xdr:rowOff>114300</xdr:rowOff>
    </xdr:to>
    <xdr:sp macro="" textlink="">
      <xdr:nvSpPr>
        <xdr:cNvPr id="58030" name="Line 493">
          <a:extLst>
            <a:ext uri="{FF2B5EF4-FFF2-40B4-BE49-F238E27FC236}">
              <a16:creationId xmlns:a16="http://schemas.microsoft.com/office/drawing/2014/main" id="{DD78B65B-434C-B1A8-5A90-CD1B8063E947}"/>
            </a:ext>
          </a:extLst>
        </xdr:cNvPr>
        <xdr:cNvSpPr>
          <a:spLocks noChangeShapeType="1"/>
        </xdr:cNvSpPr>
      </xdr:nvSpPr>
      <xdr:spPr bwMode="auto">
        <a:xfrm flipV="1">
          <a:off x="6934200" y="35331400"/>
          <a:ext cx="10033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76200</xdr:colOff>
      <xdr:row>177</xdr:row>
      <xdr:rowOff>114300</xdr:rowOff>
    </xdr:from>
    <xdr:to>
      <xdr:col>9</xdr:col>
      <xdr:colOff>330200</xdr:colOff>
      <xdr:row>177</xdr:row>
      <xdr:rowOff>114300</xdr:rowOff>
    </xdr:to>
    <xdr:sp macro="" textlink="">
      <xdr:nvSpPr>
        <xdr:cNvPr id="58031" name="Line 494">
          <a:extLst>
            <a:ext uri="{FF2B5EF4-FFF2-40B4-BE49-F238E27FC236}">
              <a16:creationId xmlns:a16="http://schemas.microsoft.com/office/drawing/2014/main" id="{0EE33B24-86FF-7ECE-B98F-71E7DC991E3E}"/>
            </a:ext>
          </a:extLst>
        </xdr:cNvPr>
        <xdr:cNvSpPr>
          <a:spLocks noChangeShapeType="1"/>
        </xdr:cNvSpPr>
      </xdr:nvSpPr>
      <xdr:spPr bwMode="auto">
        <a:xfrm flipH="1">
          <a:off x="6464300" y="35331400"/>
          <a:ext cx="2540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38100</xdr:colOff>
      <xdr:row>167</xdr:row>
      <xdr:rowOff>76200</xdr:rowOff>
    </xdr:from>
    <xdr:to>
      <xdr:col>6</xdr:col>
      <xdr:colOff>838200</xdr:colOff>
      <xdr:row>167</xdr:row>
      <xdr:rowOff>76200</xdr:rowOff>
    </xdr:to>
    <xdr:sp macro="" textlink="">
      <xdr:nvSpPr>
        <xdr:cNvPr id="58032" name="Line 495">
          <a:extLst>
            <a:ext uri="{FF2B5EF4-FFF2-40B4-BE49-F238E27FC236}">
              <a16:creationId xmlns:a16="http://schemas.microsoft.com/office/drawing/2014/main" id="{2698C4E7-722C-0304-564D-7326FD483FE7}"/>
            </a:ext>
          </a:extLst>
        </xdr:cNvPr>
        <xdr:cNvSpPr>
          <a:spLocks noChangeShapeType="1"/>
        </xdr:cNvSpPr>
      </xdr:nvSpPr>
      <xdr:spPr bwMode="auto">
        <a:xfrm>
          <a:off x="3124200" y="33274000"/>
          <a:ext cx="16510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38100</xdr:colOff>
      <xdr:row>167</xdr:row>
      <xdr:rowOff>50800</xdr:rowOff>
    </xdr:from>
    <xdr:to>
      <xdr:col>9</xdr:col>
      <xdr:colOff>444500</xdr:colOff>
      <xdr:row>167</xdr:row>
      <xdr:rowOff>50800</xdr:rowOff>
    </xdr:to>
    <xdr:sp macro="" textlink="">
      <xdr:nvSpPr>
        <xdr:cNvPr id="58033" name="Line 496">
          <a:extLst>
            <a:ext uri="{FF2B5EF4-FFF2-40B4-BE49-F238E27FC236}">
              <a16:creationId xmlns:a16="http://schemas.microsoft.com/office/drawing/2014/main" id="{3C6B00DF-96AF-BAC0-E2FF-132F3F4CEDED}"/>
            </a:ext>
          </a:extLst>
        </xdr:cNvPr>
        <xdr:cNvSpPr>
          <a:spLocks noChangeShapeType="1"/>
        </xdr:cNvSpPr>
      </xdr:nvSpPr>
      <xdr:spPr bwMode="auto">
        <a:xfrm>
          <a:off x="5600700" y="33248600"/>
          <a:ext cx="12319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10</xdr:col>
      <xdr:colOff>305435</xdr:colOff>
      <xdr:row>189</xdr:row>
      <xdr:rowOff>41275</xdr:rowOff>
    </xdr:from>
    <xdr:ext cx="525407" cy="245428"/>
    <xdr:sp macro="" textlink="">
      <xdr:nvSpPr>
        <xdr:cNvPr id="16881" name="AutoShape 497">
          <a:extLst>
            <a:ext uri="{FF2B5EF4-FFF2-40B4-BE49-F238E27FC236}">
              <a16:creationId xmlns:a16="http://schemas.microsoft.com/office/drawing/2014/main" id="{782AF826-0F26-846F-E8EC-461EC82A9BEC}"/>
            </a:ext>
          </a:extLst>
        </xdr:cNvPr>
        <xdr:cNvSpPr>
          <a:spLocks/>
        </xdr:cNvSpPr>
      </xdr:nvSpPr>
      <xdr:spPr bwMode="auto">
        <a:xfrm>
          <a:off x="6654165" y="36815395"/>
          <a:ext cx="450829" cy="200119"/>
        </a:xfrm>
        <a:prstGeom prst="borderCallout2">
          <a:avLst>
            <a:gd name="adj1" fmla="val 46153"/>
            <a:gd name="adj2" fmla="val -14037"/>
            <a:gd name="adj3" fmla="val 46153"/>
            <a:gd name="adj4" fmla="val -33333"/>
            <a:gd name="adj5" fmla="val 203847"/>
            <a:gd name="adj6" fmla="val -108773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FF0000"/>
              </a:solidFill>
              <a:latin typeface="Arial"/>
              <a:cs typeface="Arial"/>
            </a:rPr>
            <a:t>2" clr.</a:t>
          </a:r>
        </a:p>
      </xdr:txBody>
    </xdr:sp>
    <xdr:clientData/>
  </xdr:oneCellAnchor>
  <xdr:oneCellAnchor>
    <xdr:from>
      <xdr:col>5</xdr:col>
      <xdr:colOff>642620</xdr:colOff>
      <xdr:row>172</xdr:row>
      <xdr:rowOff>114300</xdr:rowOff>
    </xdr:from>
    <xdr:ext cx="450829" cy="200119"/>
    <xdr:sp macro="" textlink="">
      <xdr:nvSpPr>
        <xdr:cNvPr id="16882" name="AutoShape 498">
          <a:extLst>
            <a:ext uri="{FF2B5EF4-FFF2-40B4-BE49-F238E27FC236}">
              <a16:creationId xmlns:a16="http://schemas.microsoft.com/office/drawing/2014/main" id="{982B10B3-C39F-5400-82DA-C84ACEA781FE}"/>
            </a:ext>
          </a:extLst>
        </xdr:cNvPr>
        <xdr:cNvSpPr>
          <a:spLocks/>
        </xdr:cNvSpPr>
      </xdr:nvSpPr>
      <xdr:spPr bwMode="auto">
        <a:xfrm>
          <a:off x="3741420" y="35081633"/>
          <a:ext cx="450829" cy="200119"/>
        </a:xfrm>
        <a:prstGeom prst="borderCallout2">
          <a:avLst>
            <a:gd name="adj1" fmla="val 46153"/>
            <a:gd name="adj2" fmla="val -14287"/>
            <a:gd name="adj3" fmla="val 46153"/>
            <a:gd name="adj4" fmla="val -26787"/>
            <a:gd name="adj5" fmla="val 253847"/>
            <a:gd name="adj6" fmla="val -7500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FF0000"/>
              </a:solidFill>
              <a:latin typeface="Arial"/>
              <a:cs typeface="Arial"/>
            </a:rPr>
            <a:t>2" clr.</a:t>
          </a:r>
        </a:p>
      </xdr:txBody>
    </xdr:sp>
    <xdr:clientData/>
  </xdr:oneCellAnchor>
  <xdr:twoCellAnchor>
    <xdr:from>
      <xdr:col>4</xdr:col>
      <xdr:colOff>12700</xdr:colOff>
      <xdr:row>175</xdr:row>
      <xdr:rowOff>152400</xdr:rowOff>
    </xdr:from>
    <xdr:to>
      <xdr:col>5</xdr:col>
      <xdr:colOff>190500</xdr:colOff>
      <xdr:row>179</xdr:row>
      <xdr:rowOff>152400</xdr:rowOff>
    </xdr:to>
    <xdr:sp macro="" textlink="">
      <xdr:nvSpPr>
        <xdr:cNvPr id="58036" name="Line 499">
          <a:extLst>
            <a:ext uri="{FF2B5EF4-FFF2-40B4-BE49-F238E27FC236}">
              <a16:creationId xmlns:a16="http://schemas.microsoft.com/office/drawing/2014/main" id="{06EBBB79-6EF1-EC3B-C76F-E4A51FD33115}"/>
            </a:ext>
          </a:extLst>
        </xdr:cNvPr>
        <xdr:cNvSpPr>
          <a:spLocks noChangeShapeType="1"/>
        </xdr:cNvSpPr>
      </xdr:nvSpPr>
      <xdr:spPr bwMode="auto">
        <a:xfrm flipH="1">
          <a:off x="2387600" y="34988500"/>
          <a:ext cx="889000" cy="8001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12700</xdr:colOff>
      <xdr:row>192</xdr:row>
      <xdr:rowOff>0</xdr:rowOff>
    </xdr:from>
    <xdr:to>
      <xdr:col>9</xdr:col>
      <xdr:colOff>254000</xdr:colOff>
      <xdr:row>196</xdr:row>
      <xdr:rowOff>127000</xdr:rowOff>
    </xdr:to>
    <xdr:sp macro="" textlink="">
      <xdr:nvSpPr>
        <xdr:cNvPr id="58037" name="Line 500">
          <a:extLst>
            <a:ext uri="{FF2B5EF4-FFF2-40B4-BE49-F238E27FC236}">
              <a16:creationId xmlns:a16="http://schemas.microsoft.com/office/drawing/2014/main" id="{C20EF57C-092F-7266-C5ED-7FEE65AB4084}"/>
            </a:ext>
          </a:extLst>
        </xdr:cNvPr>
        <xdr:cNvSpPr>
          <a:spLocks noChangeShapeType="1"/>
        </xdr:cNvSpPr>
      </xdr:nvSpPr>
      <xdr:spPr bwMode="auto">
        <a:xfrm flipH="1">
          <a:off x="5575300" y="38341300"/>
          <a:ext cx="1066800" cy="8509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88900</xdr:colOff>
      <xdr:row>179</xdr:row>
      <xdr:rowOff>50800</xdr:rowOff>
    </xdr:from>
    <xdr:to>
      <xdr:col>8</xdr:col>
      <xdr:colOff>76200</xdr:colOff>
      <xdr:row>196</xdr:row>
      <xdr:rowOff>88900</xdr:rowOff>
    </xdr:to>
    <xdr:sp macro="" textlink="">
      <xdr:nvSpPr>
        <xdr:cNvPr id="58038" name="Line 501">
          <a:extLst>
            <a:ext uri="{FF2B5EF4-FFF2-40B4-BE49-F238E27FC236}">
              <a16:creationId xmlns:a16="http://schemas.microsoft.com/office/drawing/2014/main" id="{99CA0DD2-AFC0-5EFA-8266-B2AA936A3940}"/>
            </a:ext>
          </a:extLst>
        </xdr:cNvPr>
        <xdr:cNvSpPr>
          <a:spLocks noChangeShapeType="1"/>
        </xdr:cNvSpPr>
      </xdr:nvSpPr>
      <xdr:spPr bwMode="auto">
        <a:xfrm flipH="1" flipV="1">
          <a:off x="2463800" y="35687000"/>
          <a:ext cx="3175000" cy="34671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127000</xdr:colOff>
      <xdr:row>186</xdr:row>
      <xdr:rowOff>38100</xdr:rowOff>
    </xdr:from>
    <xdr:to>
      <xdr:col>6</xdr:col>
      <xdr:colOff>342900</xdr:colOff>
      <xdr:row>187</xdr:row>
      <xdr:rowOff>76200</xdr:rowOff>
    </xdr:to>
    <xdr:sp macro="" textlink="">
      <xdr:nvSpPr>
        <xdr:cNvPr id="58039" name="Line 502">
          <a:extLst>
            <a:ext uri="{FF2B5EF4-FFF2-40B4-BE49-F238E27FC236}">
              <a16:creationId xmlns:a16="http://schemas.microsoft.com/office/drawing/2014/main" id="{3352ECF2-59A8-6C2A-9CF7-512A1859D612}"/>
            </a:ext>
          </a:extLst>
        </xdr:cNvPr>
        <xdr:cNvSpPr>
          <a:spLocks noChangeShapeType="1"/>
        </xdr:cNvSpPr>
      </xdr:nvSpPr>
      <xdr:spPr bwMode="auto">
        <a:xfrm flipH="1">
          <a:off x="4064000" y="37172900"/>
          <a:ext cx="215900" cy="25400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oval" w="med" len="med"/>
          <a:tailEnd type="oval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12700</xdr:colOff>
      <xdr:row>185</xdr:row>
      <xdr:rowOff>127000</xdr:rowOff>
    </xdr:from>
    <xdr:to>
      <xdr:col>4</xdr:col>
      <xdr:colOff>571500</xdr:colOff>
      <xdr:row>185</xdr:row>
      <xdr:rowOff>127000</xdr:rowOff>
    </xdr:to>
    <xdr:sp macro="" textlink="">
      <xdr:nvSpPr>
        <xdr:cNvPr id="58040" name="Line 503">
          <a:extLst>
            <a:ext uri="{FF2B5EF4-FFF2-40B4-BE49-F238E27FC236}">
              <a16:creationId xmlns:a16="http://schemas.microsoft.com/office/drawing/2014/main" id="{3E574C84-3B22-6254-C5AD-D151461B8B59}"/>
            </a:ext>
          </a:extLst>
        </xdr:cNvPr>
        <xdr:cNvSpPr>
          <a:spLocks noChangeShapeType="1"/>
        </xdr:cNvSpPr>
      </xdr:nvSpPr>
      <xdr:spPr bwMode="auto">
        <a:xfrm flipH="1">
          <a:off x="2387600" y="37045900"/>
          <a:ext cx="5588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139700</xdr:colOff>
      <xdr:row>185</xdr:row>
      <xdr:rowOff>139700</xdr:rowOff>
    </xdr:from>
    <xdr:to>
      <xdr:col>5</xdr:col>
      <xdr:colOff>342900</xdr:colOff>
      <xdr:row>185</xdr:row>
      <xdr:rowOff>139700</xdr:rowOff>
    </xdr:to>
    <xdr:sp macro="" textlink="">
      <xdr:nvSpPr>
        <xdr:cNvPr id="58041" name="Line 504">
          <a:extLst>
            <a:ext uri="{FF2B5EF4-FFF2-40B4-BE49-F238E27FC236}">
              <a16:creationId xmlns:a16="http://schemas.microsoft.com/office/drawing/2014/main" id="{2DFF3871-10C8-F78E-E322-B48C613385CD}"/>
            </a:ext>
          </a:extLst>
        </xdr:cNvPr>
        <xdr:cNvSpPr>
          <a:spLocks noChangeShapeType="1"/>
        </xdr:cNvSpPr>
      </xdr:nvSpPr>
      <xdr:spPr bwMode="auto">
        <a:xfrm>
          <a:off x="3225800" y="37058600"/>
          <a:ext cx="2032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520700</xdr:colOff>
      <xdr:row>172</xdr:row>
      <xdr:rowOff>38100</xdr:rowOff>
    </xdr:from>
    <xdr:to>
      <xdr:col>9</xdr:col>
      <xdr:colOff>635000</xdr:colOff>
      <xdr:row>172</xdr:row>
      <xdr:rowOff>38100</xdr:rowOff>
    </xdr:to>
    <xdr:sp macro="" textlink="">
      <xdr:nvSpPr>
        <xdr:cNvPr id="58042" name="Line 505">
          <a:extLst>
            <a:ext uri="{FF2B5EF4-FFF2-40B4-BE49-F238E27FC236}">
              <a16:creationId xmlns:a16="http://schemas.microsoft.com/office/drawing/2014/main" id="{0CFAA04C-33F3-8D05-69AF-F17B3AA387C8}"/>
            </a:ext>
          </a:extLst>
        </xdr:cNvPr>
        <xdr:cNvSpPr>
          <a:spLocks noChangeShapeType="1"/>
        </xdr:cNvSpPr>
      </xdr:nvSpPr>
      <xdr:spPr bwMode="auto">
        <a:xfrm>
          <a:off x="2895600" y="34264600"/>
          <a:ext cx="41275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457200</xdr:colOff>
      <xdr:row>175</xdr:row>
      <xdr:rowOff>114300</xdr:rowOff>
    </xdr:from>
    <xdr:to>
      <xdr:col>9</xdr:col>
      <xdr:colOff>622300</xdr:colOff>
      <xdr:row>175</xdr:row>
      <xdr:rowOff>114300</xdr:rowOff>
    </xdr:to>
    <xdr:sp macro="" textlink="">
      <xdr:nvSpPr>
        <xdr:cNvPr id="58043" name="Line 506">
          <a:extLst>
            <a:ext uri="{FF2B5EF4-FFF2-40B4-BE49-F238E27FC236}">
              <a16:creationId xmlns:a16="http://schemas.microsoft.com/office/drawing/2014/main" id="{020EE2B6-DDFD-92BC-8C8E-E0355DC7D053}"/>
            </a:ext>
          </a:extLst>
        </xdr:cNvPr>
        <xdr:cNvSpPr>
          <a:spLocks noChangeShapeType="1"/>
        </xdr:cNvSpPr>
      </xdr:nvSpPr>
      <xdr:spPr bwMode="auto">
        <a:xfrm>
          <a:off x="2832100" y="34950400"/>
          <a:ext cx="41783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152400</xdr:colOff>
      <xdr:row>174</xdr:row>
      <xdr:rowOff>25400</xdr:rowOff>
    </xdr:from>
    <xdr:to>
      <xdr:col>5</xdr:col>
      <xdr:colOff>127000</xdr:colOff>
      <xdr:row>174</xdr:row>
      <xdr:rowOff>38100</xdr:rowOff>
    </xdr:to>
    <xdr:sp macro="" textlink="">
      <xdr:nvSpPr>
        <xdr:cNvPr id="58044" name="Line 507">
          <a:extLst>
            <a:ext uri="{FF2B5EF4-FFF2-40B4-BE49-F238E27FC236}">
              <a16:creationId xmlns:a16="http://schemas.microsoft.com/office/drawing/2014/main" id="{17D4E68C-C4B1-F71B-4C70-91CD4EBB8908}"/>
            </a:ext>
          </a:extLst>
        </xdr:cNvPr>
        <xdr:cNvSpPr>
          <a:spLocks noChangeShapeType="1"/>
        </xdr:cNvSpPr>
      </xdr:nvSpPr>
      <xdr:spPr bwMode="auto">
        <a:xfrm>
          <a:off x="2527300" y="34645600"/>
          <a:ext cx="685800" cy="127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190500</xdr:colOff>
      <xdr:row>172</xdr:row>
      <xdr:rowOff>0</xdr:rowOff>
    </xdr:from>
    <xdr:to>
      <xdr:col>4</xdr:col>
      <xdr:colOff>190500</xdr:colOff>
      <xdr:row>174</xdr:row>
      <xdr:rowOff>12700</xdr:rowOff>
    </xdr:to>
    <xdr:sp macro="" textlink="">
      <xdr:nvSpPr>
        <xdr:cNvPr id="58045" name="Line 508">
          <a:extLst>
            <a:ext uri="{FF2B5EF4-FFF2-40B4-BE49-F238E27FC236}">
              <a16:creationId xmlns:a16="http://schemas.microsoft.com/office/drawing/2014/main" id="{EEF75957-CF10-1379-109B-29448D19C684}"/>
            </a:ext>
          </a:extLst>
        </xdr:cNvPr>
        <xdr:cNvSpPr>
          <a:spLocks noChangeShapeType="1"/>
        </xdr:cNvSpPr>
      </xdr:nvSpPr>
      <xdr:spPr bwMode="auto">
        <a:xfrm flipV="1">
          <a:off x="2565400" y="34226500"/>
          <a:ext cx="0" cy="4064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190500</xdr:colOff>
      <xdr:row>169</xdr:row>
      <xdr:rowOff>101600</xdr:rowOff>
    </xdr:from>
    <xdr:to>
      <xdr:col>4</xdr:col>
      <xdr:colOff>190500</xdr:colOff>
      <xdr:row>171</xdr:row>
      <xdr:rowOff>190500</xdr:rowOff>
    </xdr:to>
    <xdr:sp macro="" textlink="">
      <xdr:nvSpPr>
        <xdr:cNvPr id="58046" name="Line 509">
          <a:extLst>
            <a:ext uri="{FF2B5EF4-FFF2-40B4-BE49-F238E27FC236}">
              <a16:creationId xmlns:a16="http://schemas.microsoft.com/office/drawing/2014/main" id="{BF368E10-21A4-B3E2-1FB8-EAFDA0B37983}"/>
            </a:ext>
          </a:extLst>
        </xdr:cNvPr>
        <xdr:cNvSpPr>
          <a:spLocks noChangeShapeType="1"/>
        </xdr:cNvSpPr>
      </xdr:nvSpPr>
      <xdr:spPr bwMode="auto">
        <a:xfrm flipV="1">
          <a:off x="2565400" y="33731200"/>
          <a:ext cx="0" cy="4826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825500</xdr:colOff>
      <xdr:row>173</xdr:row>
      <xdr:rowOff>203200</xdr:rowOff>
    </xdr:from>
    <xdr:to>
      <xdr:col>3</xdr:col>
      <xdr:colOff>444500</xdr:colOff>
      <xdr:row>174</xdr:row>
      <xdr:rowOff>114300</xdr:rowOff>
    </xdr:to>
    <xdr:sp macro="" textlink="">
      <xdr:nvSpPr>
        <xdr:cNvPr id="58047" name="Line 510">
          <a:extLst>
            <a:ext uri="{FF2B5EF4-FFF2-40B4-BE49-F238E27FC236}">
              <a16:creationId xmlns:a16="http://schemas.microsoft.com/office/drawing/2014/main" id="{D378D4FA-6094-6EFB-6C04-750F78861FC7}"/>
            </a:ext>
          </a:extLst>
        </xdr:cNvPr>
        <xdr:cNvSpPr>
          <a:spLocks noChangeShapeType="1"/>
        </xdr:cNvSpPr>
      </xdr:nvSpPr>
      <xdr:spPr bwMode="auto">
        <a:xfrm flipV="1">
          <a:off x="1473200" y="34607500"/>
          <a:ext cx="457200" cy="1270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oval" w="med" len="med"/>
          <a:tailEnd type="oval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12700</xdr:colOff>
      <xdr:row>169</xdr:row>
      <xdr:rowOff>101600</xdr:rowOff>
    </xdr:from>
    <xdr:to>
      <xdr:col>4</xdr:col>
      <xdr:colOff>190500</xdr:colOff>
      <xdr:row>169</xdr:row>
      <xdr:rowOff>101600</xdr:rowOff>
    </xdr:to>
    <xdr:sp macro="" textlink="">
      <xdr:nvSpPr>
        <xdr:cNvPr id="58048" name="Line 511">
          <a:extLst>
            <a:ext uri="{FF2B5EF4-FFF2-40B4-BE49-F238E27FC236}">
              <a16:creationId xmlns:a16="http://schemas.microsoft.com/office/drawing/2014/main" id="{5242E4A3-04F2-FD22-8012-42A43D5C57E9}"/>
            </a:ext>
          </a:extLst>
        </xdr:cNvPr>
        <xdr:cNvSpPr>
          <a:spLocks noChangeShapeType="1"/>
        </xdr:cNvSpPr>
      </xdr:nvSpPr>
      <xdr:spPr bwMode="auto">
        <a:xfrm flipH="1">
          <a:off x="1498600" y="33731200"/>
          <a:ext cx="10668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114300</xdr:colOff>
      <xdr:row>169</xdr:row>
      <xdr:rowOff>12700</xdr:rowOff>
    </xdr:from>
    <xdr:to>
      <xdr:col>5</xdr:col>
      <xdr:colOff>114300</xdr:colOff>
      <xdr:row>174</xdr:row>
      <xdr:rowOff>0</xdr:rowOff>
    </xdr:to>
    <xdr:sp macro="" textlink="">
      <xdr:nvSpPr>
        <xdr:cNvPr id="58049" name="Line 512">
          <a:extLst>
            <a:ext uri="{FF2B5EF4-FFF2-40B4-BE49-F238E27FC236}">
              <a16:creationId xmlns:a16="http://schemas.microsoft.com/office/drawing/2014/main" id="{634C2D62-6147-44FB-360C-8A5A3DDA1BE0}"/>
            </a:ext>
          </a:extLst>
        </xdr:cNvPr>
        <xdr:cNvSpPr>
          <a:spLocks noChangeShapeType="1"/>
        </xdr:cNvSpPr>
      </xdr:nvSpPr>
      <xdr:spPr bwMode="auto">
        <a:xfrm flipV="1">
          <a:off x="3200400" y="33642300"/>
          <a:ext cx="0" cy="9779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127000</xdr:colOff>
      <xdr:row>169</xdr:row>
      <xdr:rowOff>114300</xdr:rowOff>
    </xdr:from>
    <xdr:to>
      <xdr:col>6</xdr:col>
      <xdr:colOff>0</xdr:colOff>
      <xdr:row>169</xdr:row>
      <xdr:rowOff>114300</xdr:rowOff>
    </xdr:to>
    <xdr:sp macro="" textlink="">
      <xdr:nvSpPr>
        <xdr:cNvPr id="58050" name="Line 513">
          <a:extLst>
            <a:ext uri="{FF2B5EF4-FFF2-40B4-BE49-F238E27FC236}">
              <a16:creationId xmlns:a16="http://schemas.microsoft.com/office/drawing/2014/main" id="{0CD47393-0A44-D492-75E7-C0BF0DDF4721}"/>
            </a:ext>
          </a:extLst>
        </xdr:cNvPr>
        <xdr:cNvSpPr>
          <a:spLocks noChangeShapeType="1"/>
        </xdr:cNvSpPr>
      </xdr:nvSpPr>
      <xdr:spPr bwMode="auto">
        <a:xfrm flipV="1">
          <a:off x="3213100" y="33743900"/>
          <a:ext cx="7239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393700</xdr:colOff>
      <xdr:row>169</xdr:row>
      <xdr:rowOff>114300</xdr:rowOff>
    </xdr:from>
    <xdr:to>
      <xdr:col>5</xdr:col>
      <xdr:colOff>38100</xdr:colOff>
      <xdr:row>169</xdr:row>
      <xdr:rowOff>114300</xdr:rowOff>
    </xdr:to>
    <xdr:sp macro="" textlink="">
      <xdr:nvSpPr>
        <xdr:cNvPr id="58051" name="Line 514">
          <a:extLst>
            <a:ext uri="{FF2B5EF4-FFF2-40B4-BE49-F238E27FC236}">
              <a16:creationId xmlns:a16="http://schemas.microsoft.com/office/drawing/2014/main" id="{62D629B3-597A-BF61-3DA2-00CF6D957797}"/>
            </a:ext>
          </a:extLst>
        </xdr:cNvPr>
        <xdr:cNvSpPr>
          <a:spLocks noChangeShapeType="1"/>
        </xdr:cNvSpPr>
      </xdr:nvSpPr>
      <xdr:spPr bwMode="auto">
        <a:xfrm>
          <a:off x="2768600" y="33743900"/>
          <a:ext cx="3556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444500</xdr:colOff>
      <xdr:row>194</xdr:row>
      <xdr:rowOff>114300</xdr:rowOff>
    </xdr:from>
    <xdr:to>
      <xdr:col>10</xdr:col>
      <xdr:colOff>368300</xdr:colOff>
      <xdr:row>194</xdr:row>
      <xdr:rowOff>127000</xdr:rowOff>
    </xdr:to>
    <xdr:sp macro="" textlink="">
      <xdr:nvSpPr>
        <xdr:cNvPr id="58052" name="Line 515">
          <a:extLst>
            <a:ext uri="{FF2B5EF4-FFF2-40B4-BE49-F238E27FC236}">
              <a16:creationId xmlns:a16="http://schemas.microsoft.com/office/drawing/2014/main" id="{2B3F53B0-907E-B9FD-2C54-ECDF99B3B8BF}"/>
            </a:ext>
          </a:extLst>
        </xdr:cNvPr>
        <xdr:cNvSpPr>
          <a:spLocks noChangeShapeType="1"/>
        </xdr:cNvSpPr>
      </xdr:nvSpPr>
      <xdr:spPr bwMode="auto">
        <a:xfrm>
          <a:off x="2819400" y="38785800"/>
          <a:ext cx="4610100" cy="127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495300</xdr:colOff>
      <xdr:row>192</xdr:row>
      <xdr:rowOff>63500</xdr:rowOff>
    </xdr:from>
    <xdr:to>
      <xdr:col>10</xdr:col>
      <xdr:colOff>292100</xdr:colOff>
      <xdr:row>192</xdr:row>
      <xdr:rowOff>63500</xdr:rowOff>
    </xdr:to>
    <xdr:sp macro="" textlink="">
      <xdr:nvSpPr>
        <xdr:cNvPr id="58053" name="Line 516">
          <a:extLst>
            <a:ext uri="{FF2B5EF4-FFF2-40B4-BE49-F238E27FC236}">
              <a16:creationId xmlns:a16="http://schemas.microsoft.com/office/drawing/2014/main" id="{A7D0E3B4-9BAA-D637-52FB-47E85D687DB0}"/>
            </a:ext>
          </a:extLst>
        </xdr:cNvPr>
        <xdr:cNvSpPr>
          <a:spLocks noChangeShapeType="1"/>
        </xdr:cNvSpPr>
      </xdr:nvSpPr>
      <xdr:spPr bwMode="auto">
        <a:xfrm>
          <a:off x="2870200" y="38404800"/>
          <a:ext cx="44831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495300</xdr:colOff>
      <xdr:row>194</xdr:row>
      <xdr:rowOff>63500</xdr:rowOff>
    </xdr:from>
    <xdr:to>
      <xdr:col>10</xdr:col>
      <xdr:colOff>292100</xdr:colOff>
      <xdr:row>194</xdr:row>
      <xdr:rowOff>63500</xdr:rowOff>
    </xdr:to>
    <xdr:sp macro="" textlink="">
      <xdr:nvSpPr>
        <xdr:cNvPr id="58054" name="Line 517">
          <a:extLst>
            <a:ext uri="{FF2B5EF4-FFF2-40B4-BE49-F238E27FC236}">
              <a16:creationId xmlns:a16="http://schemas.microsoft.com/office/drawing/2014/main" id="{2BDBC41A-606E-C612-2321-1838F15901E7}"/>
            </a:ext>
          </a:extLst>
        </xdr:cNvPr>
        <xdr:cNvSpPr>
          <a:spLocks noChangeShapeType="1"/>
        </xdr:cNvSpPr>
      </xdr:nvSpPr>
      <xdr:spPr bwMode="auto">
        <a:xfrm>
          <a:off x="2870200" y="38735000"/>
          <a:ext cx="44831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279400</xdr:colOff>
      <xdr:row>193</xdr:row>
      <xdr:rowOff>76200</xdr:rowOff>
    </xdr:from>
    <xdr:to>
      <xdr:col>11</xdr:col>
      <xdr:colOff>520700</xdr:colOff>
      <xdr:row>193</xdr:row>
      <xdr:rowOff>76200</xdr:rowOff>
    </xdr:to>
    <xdr:sp macro="" textlink="">
      <xdr:nvSpPr>
        <xdr:cNvPr id="58055" name="Line 518">
          <a:extLst>
            <a:ext uri="{FF2B5EF4-FFF2-40B4-BE49-F238E27FC236}">
              <a16:creationId xmlns:a16="http://schemas.microsoft.com/office/drawing/2014/main" id="{E5180E55-1223-B4AA-5F25-D46B4F309545}"/>
            </a:ext>
          </a:extLst>
        </xdr:cNvPr>
        <xdr:cNvSpPr>
          <a:spLocks noChangeShapeType="1"/>
        </xdr:cNvSpPr>
      </xdr:nvSpPr>
      <xdr:spPr bwMode="auto">
        <a:xfrm flipV="1">
          <a:off x="6667500" y="38582600"/>
          <a:ext cx="17780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406400</xdr:colOff>
      <xdr:row>189</xdr:row>
      <xdr:rowOff>165100</xdr:rowOff>
    </xdr:from>
    <xdr:to>
      <xdr:col>11</xdr:col>
      <xdr:colOff>406400</xdr:colOff>
      <xdr:row>192</xdr:row>
      <xdr:rowOff>12700</xdr:rowOff>
    </xdr:to>
    <xdr:sp macro="" textlink="">
      <xdr:nvSpPr>
        <xdr:cNvPr id="58056" name="Line 519">
          <a:extLst>
            <a:ext uri="{FF2B5EF4-FFF2-40B4-BE49-F238E27FC236}">
              <a16:creationId xmlns:a16="http://schemas.microsoft.com/office/drawing/2014/main" id="{169018C9-E340-9DAF-6EB6-BB8C887010D6}"/>
            </a:ext>
          </a:extLst>
        </xdr:cNvPr>
        <xdr:cNvSpPr>
          <a:spLocks noChangeShapeType="1"/>
        </xdr:cNvSpPr>
      </xdr:nvSpPr>
      <xdr:spPr bwMode="auto">
        <a:xfrm flipV="1">
          <a:off x="8331200" y="37947600"/>
          <a:ext cx="0" cy="4064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406400</xdr:colOff>
      <xdr:row>193</xdr:row>
      <xdr:rowOff>63500</xdr:rowOff>
    </xdr:from>
    <xdr:to>
      <xdr:col>11</xdr:col>
      <xdr:colOff>406400</xdr:colOff>
      <xdr:row>195</xdr:row>
      <xdr:rowOff>88900</xdr:rowOff>
    </xdr:to>
    <xdr:sp macro="" textlink="">
      <xdr:nvSpPr>
        <xdr:cNvPr id="58057" name="Line 520">
          <a:extLst>
            <a:ext uri="{FF2B5EF4-FFF2-40B4-BE49-F238E27FC236}">
              <a16:creationId xmlns:a16="http://schemas.microsoft.com/office/drawing/2014/main" id="{052631EE-932A-6E17-40A5-3A0D19C1FE26}"/>
            </a:ext>
          </a:extLst>
        </xdr:cNvPr>
        <xdr:cNvSpPr>
          <a:spLocks noChangeShapeType="1"/>
        </xdr:cNvSpPr>
      </xdr:nvSpPr>
      <xdr:spPr bwMode="auto">
        <a:xfrm flipV="1">
          <a:off x="8331200" y="38569900"/>
          <a:ext cx="0" cy="3683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406400</xdr:colOff>
      <xdr:row>192</xdr:row>
      <xdr:rowOff>12700</xdr:rowOff>
    </xdr:from>
    <xdr:to>
      <xdr:col>11</xdr:col>
      <xdr:colOff>406400</xdr:colOff>
      <xdr:row>193</xdr:row>
      <xdr:rowOff>63500</xdr:rowOff>
    </xdr:to>
    <xdr:sp macro="" textlink="">
      <xdr:nvSpPr>
        <xdr:cNvPr id="58058" name="Line 521">
          <a:extLst>
            <a:ext uri="{FF2B5EF4-FFF2-40B4-BE49-F238E27FC236}">
              <a16:creationId xmlns:a16="http://schemas.microsoft.com/office/drawing/2014/main" id="{27287684-F780-5F44-90C8-D1B69C62E54C}"/>
            </a:ext>
          </a:extLst>
        </xdr:cNvPr>
        <xdr:cNvSpPr>
          <a:spLocks noChangeShapeType="1"/>
        </xdr:cNvSpPr>
      </xdr:nvSpPr>
      <xdr:spPr bwMode="auto">
        <a:xfrm flipH="1" flipV="1">
          <a:off x="8331200" y="38354000"/>
          <a:ext cx="0" cy="2159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419100</xdr:colOff>
      <xdr:row>195</xdr:row>
      <xdr:rowOff>88900</xdr:rowOff>
    </xdr:from>
    <xdr:to>
      <xdr:col>11</xdr:col>
      <xdr:colOff>825500</xdr:colOff>
      <xdr:row>195</xdr:row>
      <xdr:rowOff>88900</xdr:rowOff>
    </xdr:to>
    <xdr:sp macro="" textlink="">
      <xdr:nvSpPr>
        <xdr:cNvPr id="58059" name="Line 522">
          <a:extLst>
            <a:ext uri="{FF2B5EF4-FFF2-40B4-BE49-F238E27FC236}">
              <a16:creationId xmlns:a16="http://schemas.microsoft.com/office/drawing/2014/main" id="{A872A4DB-D7E3-B479-C0CD-C3F0320CC689}"/>
            </a:ext>
          </a:extLst>
        </xdr:cNvPr>
        <xdr:cNvSpPr>
          <a:spLocks noChangeShapeType="1"/>
        </xdr:cNvSpPr>
      </xdr:nvSpPr>
      <xdr:spPr bwMode="auto">
        <a:xfrm flipV="1">
          <a:off x="8343900" y="38938200"/>
          <a:ext cx="4064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50800</xdr:colOff>
      <xdr:row>173</xdr:row>
      <xdr:rowOff>165100</xdr:rowOff>
    </xdr:from>
    <xdr:to>
      <xdr:col>5</xdr:col>
      <xdr:colOff>190500</xdr:colOff>
      <xdr:row>174</xdr:row>
      <xdr:rowOff>50800</xdr:rowOff>
    </xdr:to>
    <xdr:sp macro="" textlink="">
      <xdr:nvSpPr>
        <xdr:cNvPr id="58060" name="Oval 523">
          <a:extLst>
            <a:ext uri="{FF2B5EF4-FFF2-40B4-BE49-F238E27FC236}">
              <a16:creationId xmlns:a16="http://schemas.microsoft.com/office/drawing/2014/main" id="{F5C19BD6-CCC0-2590-928A-7ACB0C644B45}"/>
            </a:ext>
          </a:extLst>
        </xdr:cNvPr>
        <xdr:cNvSpPr>
          <a:spLocks noChangeArrowheads="1"/>
        </xdr:cNvSpPr>
      </xdr:nvSpPr>
      <xdr:spPr bwMode="auto">
        <a:xfrm>
          <a:off x="3136900" y="34569400"/>
          <a:ext cx="139700" cy="1016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</xdr:spPr>
    </xdr:sp>
    <xdr:clientData/>
  </xdr:twoCellAnchor>
  <xdr:twoCellAnchor>
    <xdr:from>
      <xdr:col>9</xdr:col>
      <xdr:colOff>215900</xdr:colOff>
      <xdr:row>193</xdr:row>
      <xdr:rowOff>25400</xdr:rowOff>
    </xdr:from>
    <xdr:to>
      <xdr:col>9</xdr:col>
      <xdr:colOff>342900</xdr:colOff>
      <xdr:row>193</xdr:row>
      <xdr:rowOff>139700</xdr:rowOff>
    </xdr:to>
    <xdr:sp macro="" textlink="">
      <xdr:nvSpPr>
        <xdr:cNvPr id="58061" name="Oval 524">
          <a:extLst>
            <a:ext uri="{FF2B5EF4-FFF2-40B4-BE49-F238E27FC236}">
              <a16:creationId xmlns:a16="http://schemas.microsoft.com/office/drawing/2014/main" id="{BD291149-C5DB-B874-0AEC-40485E4148E3}"/>
            </a:ext>
          </a:extLst>
        </xdr:cNvPr>
        <xdr:cNvSpPr>
          <a:spLocks noChangeArrowheads="1"/>
        </xdr:cNvSpPr>
      </xdr:nvSpPr>
      <xdr:spPr bwMode="auto">
        <a:xfrm>
          <a:off x="6604000" y="38531800"/>
          <a:ext cx="127000" cy="1143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</xdr:spPr>
    </xdr:sp>
    <xdr:clientData/>
  </xdr:twoCellAnchor>
  <xdr:twoCellAnchor>
    <xdr:from>
      <xdr:col>9</xdr:col>
      <xdr:colOff>292100</xdr:colOff>
      <xdr:row>193</xdr:row>
      <xdr:rowOff>114300</xdr:rowOff>
    </xdr:from>
    <xdr:to>
      <xdr:col>9</xdr:col>
      <xdr:colOff>292100</xdr:colOff>
      <xdr:row>197</xdr:row>
      <xdr:rowOff>165100</xdr:rowOff>
    </xdr:to>
    <xdr:sp macro="" textlink="">
      <xdr:nvSpPr>
        <xdr:cNvPr id="58062" name="Line 525">
          <a:extLst>
            <a:ext uri="{FF2B5EF4-FFF2-40B4-BE49-F238E27FC236}">
              <a16:creationId xmlns:a16="http://schemas.microsoft.com/office/drawing/2014/main" id="{AD21FBFC-9566-9C97-FA90-C5420FBA76C2}"/>
            </a:ext>
          </a:extLst>
        </xdr:cNvPr>
        <xdr:cNvSpPr>
          <a:spLocks noChangeShapeType="1"/>
        </xdr:cNvSpPr>
      </xdr:nvSpPr>
      <xdr:spPr bwMode="auto">
        <a:xfrm>
          <a:off x="6680200" y="38620700"/>
          <a:ext cx="0" cy="8001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76200</xdr:colOff>
      <xdr:row>197</xdr:row>
      <xdr:rowOff>114300</xdr:rowOff>
    </xdr:from>
    <xdr:to>
      <xdr:col>9</xdr:col>
      <xdr:colOff>330200</xdr:colOff>
      <xdr:row>197</xdr:row>
      <xdr:rowOff>114300</xdr:rowOff>
    </xdr:to>
    <xdr:sp macro="" textlink="">
      <xdr:nvSpPr>
        <xdr:cNvPr id="58063" name="Line 526">
          <a:extLst>
            <a:ext uri="{FF2B5EF4-FFF2-40B4-BE49-F238E27FC236}">
              <a16:creationId xmlns:a16="http://schemas.microsoft.com/office/drawing/2014/main" id="{C3B556CA-F192-F983-3946-D01989AA39B4}"/>
            </a:ext>
          </a:extLst>
        </xdr:cNvPr>
        <xdr:cNvSpPr>
          <a:spLocks noChangeShapeType="1"/>
        </xdr:cNvSpPr>
      </xdr:nvSpPr>
      <xdr:spPr bwMode="auto">
        <a:xfrm flipH="1">
          <a:off x="6464300" y="39370000"/>
          <a:ext cx="2540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457200</xdr:colOff>
      <xdr:row>197</xdr:row>
      <xdr:rowOff>88900</xdr:rowOff>
    </xdr:from>
    <xdr:to>
      <xdr:col>10</xdr:col>
      <xdr:colOff>774700</xdr:colOff>
      <xdr:row>197</xdr:row>
      <xdr:rowOff>88900</xdr:rowOff>
    </xdr:to>
    <xdr:sp macro="" textlink="">
      <xdr:nvSpPr>
        <xdr:cNvPr id="58064" name="Line 527">
          <a:extLst>
            <a:ext uri="{FF2B5EF4-FFF2-40B4-BE49-F238E27FC236}">
              <a16:creationId xmlns:a16="http://schemas.microsoft.com/office/drawing/2014/main" id="{AAD77F67-896A-F0BC-DEF3-6107BBDE903F}"/>
            </a:ext>
          </a:extLst>
        </xdr:cNvPr>
        <xdr:cNvSpPr>
          <a:spLocks noChangeShapeType="1"/>
        </xdr:cNvSpPr>
      </xdr:nvSpPr>
      <xdr:spPr bwMode="auto">
        <a:xfrm>
          <a:off x="6845300" y="39344600"/>
          <a:ext cx="9906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533400</xdr:colOff>
      <xdr:row>190</xdr:row>
      <xdr:rowOff>0</xdr:rowOff>
    </xdr:from>
    <xdr:to>
      <xdr:col>5</xdr:col>
      <xdr:colOff>533400</xdr:colOff>
      <xdr:row>192</xdr:row>
      <xdr:rowOff>12700</xdr:rowOff>
    </xdr:to>
    <xdr:sp macro="" textlink="">
      <xdr:nvSpPr>
        <xdr:cNvPr id="58065" name="Line 528">
          <a:extLst>
            <a:ext uri="{FF2B5EF4-FFF2-40B4-BE49-F238E27FC236}">
              <a16:creationId xmlns:a16="http://schemas.microsoft.com/office/drawing/2014/main" id="{4328C309-ACC7-746C-292B-4BAD411E7A49}"/>
            </a:ext>
          </a:extLst>
        </xdr:cNvPr>
        <xdr:cNvSpPr>
          <a:spLocks noChangeShapeType="1"/>
        </xdr:cNvSpPr>
      </xdr:nvSpPr>
      <xdr:spPr bwMode="auto">
        <a:xfrm flipV="1">
          <a:off x="3619500" y="37998400"/>
          <a:ext cx="0" cy="3556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558800</xdr:colOff>
      <xdr:row>194</xdr:row>
      <xdr:rowOff>114300</xdr:rowOff>
    </xdr:from>
    <xdr:to>
      <xdr:col>5</xdr:col>
      <xdr:colOff>558800</xdr:colOff>
      <xdr:row>196</xdr:row>
      <xdr:rowOff>114300</xdr:rowOff>
    </xdr:to>
    <xdr:sp macro="" textlink="">
      <xdr:nvSpPr>
        <xdr:cNvPr id="58066" name="Line 529">
          <a:extLst>
            <a:ext uri="{FF2B5EF4-FFF2-40B4-BE49-F238E27FC236}">
              <a16:creationId xmlns:a16="http://schemas.microsoft.com/office/drawing/2014/main" id="{8880C066-6F34-9962-0E7D-0DBB3D42F230}"/>
            </a:ext>
          </a:extLst>
        </xdr:cNvPr>
        <xdr:cNvSpPr>
          <a:spLocks noChangeShapeType="1"/>
        </xdr:cNvSpPr>
      </xdr:nvSpPr>
      <xdr:spPr bwMode="auto">
        <a:xfrm flipV="1">
          <a:off x="3644900" y="38785800"/>
          <a:ext cx="0" cy="3937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196</xdr:row>
      <xdr:rowOff>114300</xdr:rowOff>
    </xdr:from>
    <xdr:to>
      <xdr:col>5</xdr:col>
      <xdr:colOff>533400</xdr:colOff>
      <xdr:row>196</xdr:row>
      <xdr:rowOff>114300</xdr:rowOff>
    </xdr:to>
    <xdr:sp macro="" textlink="">
      <xdr:nvSpPr>
        <xdr:cNvPr id="58067" name="Line 530">
          <a:extLst>
            <a:ext uri="{FF2B5EF4-FFF2-40B4-BE49-F238E27FC236}">
              <a16:creationId xmlns:a16="http://schemas.microsoft.com/office/drawing/2014/main" id="{40A22A5B-0EB9-F201-7C50-54A010164B1F}"/>
            </a:ext>
          </a:extLst>
        </xdr:cNvPr>
        <xdr:cNvSpPr>
          <a:spLocks noChangeShapeType="1"/>
        </xdr:cNvSpPr>
      </xdr:nvSpPr>
      <xdr:spPr bwMode="auto">
        <a:xfrm>
          <a:off x="3086100" y="39179500"/>
          <a:ext cx="5334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342900</xdr:colOff>
      <xdr:row>177</xdr:row>
      <xdr:rowOff>203200</xdr:rowOff>
    </xdr:from>
    <xdr:to>
      <xdr:col>6</xdr:col>
      <xdr:colOff>495300</xdr:colOff>
      <xdr:row>178</xdr:row>
      <xdr:rowOff>88900</xdr:rowOff>
    </xdr:to>
    <xdr:sp macro="" textlink="">
      <xdr:nvSpPr>
        <xdr:cNvPr id="58068" name="Line 531">
          <a:extLst>
            <a:ext uri="{FF2B5EF4-FFF2-40B4-BE49-F238E27FC236}">
              <a16:creationId xmlns:a16="http://schemas.microsoft.com/office/drawing/2014/main" id="{1BD71294-121F-FEC9-DFAF-2F7D3EF1DCF4}"/>
            </a:ext>
          </a:extLst>
        </xdr:cNvPr>
        <xdr:cNvSpPr>
          <a:spLocks noChangeShapeType="1"/>
        </xdr:cNvSpPr>
      </xdr:nvSpPr>
      <xdr:spPr bwMode="auto">
        <a:xfrm flipV="1">
          <a:off x="4279900" y="35420300"/>
          <a:ext cx="152400" cy="1016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469900</xdr:colOff>
      <xdr:row>175</xdr:row>
      <xdr:rowOff>152400</xdr:rowOff>
    </xdr:from>
    <xdr:to>
      <xdr:col>6</xdr:col>
      <xdr:colOff>546100</xdr:colOff>
      <xdr:row>176</xdr:row>
      <xdr:rowOff>127000</xdr:rowOff>
    </xdr:to>
    <xdr:sp macro="" textlink="">
      <xdr:nvSpPr>
        <xdr:cNvPr id="58069" name="Line 532">
          <a:extLst>
            <a:ext uri="{FF2B5EF4-FFF2-40B4-BE49-F238E27FC236}">
              <a16:creationId xmlns:a16="http://schemas.microsoft.com/office/drawing/2014/main" id="{A321EA86-8CEE-835B-2A35-CA36CE789104}"/>
            </a:ext>
          </a:extLst>
        </xdr:cNvPr>
        <xdr:cNvSpPr>
          <a:spLocks noChangeShapeType="1"/>
        </xdr:cNvSpPr>
      </xdr:nvSpPr>
      <xdr:spPr bwMode="auto">
        <a:xfrm>
          <a:off x="4406900" y="34988500"/>
          <a:ext cx="76200" cy="1778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279400</xdr:colOff>
      <xdr:row>175</xdr:row>
      <xdr:rowOff>165100</xdr:rowOff>
    </xdr:from>
    <xdr:to>
      <xdr:col>6</xdr:col>
      <xdr:colOff>571500</xdr:colOff>
      <xdr:row>178</xdr:row>
      <xdr:rowOff>76200</xdr:rowOff>
    </xdr:to>
    <xdr:sp macro="" textlink="">
      <xdr:nvSpPr>
        <xdr:cNvPr id="58070" name="AutoShape 533">
          <a:extLst>
            <a:ext uri="{FF2B5EF4-FFF2-40B4-BE49-F238E27FC236}">
              <a16:creationId xmlns:a16="http://schemas.microsoft.com/office/drawing/2014/main" id="{8226F8FC-7A06-EE87-EA43-59A32B742910}"/>
            </a:ext>
          </a:extLst>
        </xdr:cNvPr>
        <xdr:cNvSpPr>
          <a:spLocks noChangeArrowheads="1"/>
        </xdr:cNvSpPr>
      </xdr:nvSpPr>
      <xdr:spPr bwMode="auto">
        <a:xfrm rot="5724712">
          <a:off x="4108450" y="35109150"/>
          <a:ext cx="508000" cy="292100"/>
        </a:xfrm>
        <a:custGeom>
          <a:avLst/>
          <a:gdLst>
            <a:gd name="T0" fmla="*/ 2147483646 w 21600"/>
            <a:gd name="T1" fmla="*/ 0 h 21600"/>
            <a:gd name="T2" fmla="*/ 0 w 21600"/>
            <a:gd name="T3" fmla="*/ 2147483646 h 21600"/>
            <a:gd name="T4" fmla="*/ 2147483646 w 21600"/>
            <a:gd name="T5" fmla="*/ 0 h 21600"/>
            <a:gd name="T6" fmla="*/ 2147483646 w 21600"/>
            <a:gd name="T7" fmla="*/ 2147483646 h 21600"/>
            <a:gd name="T8" fmla="*/ 0 60000 65536"/>
            <a:gd name="T9" fmla="*/ 0 60000 65536"/>
            <a:gd name="T10" fmla="*/ 0 60000 65536"/>
            <a:gd name="T11" fmla="*/ 0 60000 65536"/>
            <a:gd name="T12" fmla="*/ 0 w 21600"/>
            <a:gd name="T13" fmla="*/ 0 h 21600"/>
            <a:gd name="T14" fmla="*/ 21600 w 21600"/>
            <a:gd name="T15" fmla="*/ 7713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0" y="10800"/>
              </a:moveTo>
              <a:cubicBezTo>
                <a:pt x="0" y="4835"/>
                <a:pt x="4835" y="0"/>
                <a:pt x="10800" y="0"/>
              </a:cubicBezTo>
              <a:cubicBezTo>
                <a:pt x="16764" y="-1"/>
                <a:pt x="21599" y="4835"/>
                <a:pt x="21600" y="10799"/>
              </a:cubicBezTo>
              <a:lnTo>
                <a:pt x="21600" y="10800"/>
              </a:lnTo>
              <a:cubicBezTo>
                <a:pt x="21600" y="4835"/>
                <a:pt x="16764" y="0"/>
                <a:pt x="10800" y="0"/>
              </a:cubicBezTo>
              <a:cubicBezTo>
                <a:pt x="4835" y="0"/>
                <a:pt x="0" y="4835"/>
                <a:pt x="0" y="10800"/>
              </a:cubicBezTo>
              <a:close/>
            </a:path>
          </a:pathLst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546100</xdr:colOff>
      <xdr:row>177</xdr:row>
      <xdr:rowOff>50800</xdr:rowOff>
    </xdr:from>
    <xdr:to>
      <xdr:col>6</xdr:col>
      <xdr:colOff>850900</xdr:colOff>
      <xdr:row>177</xdr:row>
      <xdr:rowOff>101600</xdr:rowOff>
    </xdr:to>
    <xdr:sp macro="" textlink="">
      <xdr:nvSpPr>
        <xdr:cNvPr id="58071" name="Line 534">
          <a:extLst>
            <a:ext uri="{FF2B5EF4-FFF2-40B4-BE49-F238E27FC236}">
              <a16:creationId xmlns:a16="http://schemas.microsoft.com/office/drawing/2014/main" id="{994B2E9C-AFBD-6574-F902-3E743F915E73}"/>
            </a:ext>
          </a:extLst>
        </xdr:cNvPr>
        <xdr:cNvSpPr>
          <a:spLocks noChangeShapeType="1"/>
        </xdr:cNvSpPr>
      </xdr:nvSpPr>
      <xdr:spPr bwMode="auto">
        <a:xfrm flipH="1" flipV="1">
          <a:off x="4483100" y="35267900"/>
          <a:ext cx="304800" cy="508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oval" w="med" len="med"/>
          <a:tailEnd type="oval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8</xdr:col>
      <xdr:colOff>0</xdr:colOff>
      <xdr:row>177</xdr:row>
      <xdr:rowOff>34290</xdr:rowOff>
    </xdr:from>
    <xdr:ext cx="351910" cy="230065"/>
    <xdr:sp macro="" textlink="">
      <xdr:nvSpPr>
        <xdr:cNvPr id="16919" name="Text Box 535">
          <a:extLst>
            <a:ext uri="{FF2B5EF4-FFF2-40B4-BE49-F238E27FC236}">
              <a16:creationId xmlns:a16="http://schemas.microsoft.com/office/drawing/2014/main" id="{B40AC421-0E9A-F9A6-0E36-4AC635454E58}"/>
            </a:ext>
          </a:extLst>
        </xdr:cNvPr>
        <xdr:cNvSpPr txBox="1">
          <a:spLocks noChangeArrowheads="1"/>
        </xdr:cNvSpPr>
      </xdr:nvSpPr>
      <xdr:spPr bwMode="auto">
        <a:xfrm>
          <a:off x="5008880" y="34379535"/>
          <a:ext cx="296363" cy="170560"/>
        </a:xfrm>
        <a:prstGeom prst="rect">
          <a:avLst/>
        </a:prstGeom>
        <a:noFill/>
        <a:ln>
          <a:noFill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Deg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.</a:t>
          </a:r>
        </a:p>
      </xdr:txBody>
    </xdr:sp>
    <xdr:clientData/>
  </xdr:oneCellAnchor>
  <xdr:oneCellAnchor>
    <xdr:from>
      <xdr:col>4</xdr:col>
      <xdr:colOff>420370</xdr:colOff>
      <xdr:row>168</xdr:row>
      <xdr:rowOff>45085</xdr:rowOff>
    </xdr:from>
    <xdr:ext cx="95411" cy="254881"/>
    <xdr:sp macro="" textlink="">
      <xdr:nvSpPr>
        <xdr:cNvPr id="16920" name="Text Box 536">
          <a:extLst>
            <a:ext uri="{FF2B5EF4-FFF2-40B4-BE49-F238E27FC236}">
              <a16:creationId xmlns:a16="http://schemas.microsoft.com/office/drawing/2014/main" id="{7458495F-AA39-FE4B-ED5A-2435A4E132BF}"/>
            </a:ext>
          </a:extLst>
        </xdr:cNvPr>
        <xdr:cNvSpPr txBox="1">
          <a:spLocks noChangeArrowheads="1"/>
        </xdr:cNvSpPr>
      </xdr:nvSpPr>
      <xdr:spPr bwMode="auto">
        <a:xfrm>
          <a:off x="2439670" y="33717865"/>
          <a:ext cx="87460" cy="234167"/>
        </a:xfrm>
        <a:prstGeom prst="rect">
          <a:avLst/>
        </a:prstGeom>
        <a:noFill/>
        <a:ln>
          <a:noFill/>
        </a:ln>
      </xdr:spPr>
      <xdr:txBody>
        <a:bodyPr wrap="none" lIns="27432" tIns="27432" rIns="0" bIns="0" anchor="t" upright="1">
          <a:spAutoFit/>
        </a:bodyPr>
        <a:lstStyle/>
        <a:p>
          <a:pPr algn="l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-</a:t>
          </a:r>
        </a:p>
      </xdr:txBody>
    </xdr:sp>
    <xdr:clientData/>
  </xdr:oneCellAnchor>
  <xdr:oneCellAnchor>
    <xdr:from>
      <xdr:col>5</xdr:col>
      <xdr:colOff>36195</xdr:colOff>
      <xdr:row>168</xdr:row>
      <xdr:rowOff>39370</xdr:rowOff>
    </xdr:from>
    <xdr:ext cx="175063" cy="272498"/>
    <xdr:sp macro="" textlink="">
      <xdr:nvSpPr>
        <xdr:cNvPr id="16921" name="Text Box 537">
          <a:extLst>
            <a:ext uri="{FF2B5EF4-FFF2-40B4-BE49-F238E27FC236}">
              <a16:creationId xmlns:a16="http://schemas.microsoft.com/office/drawing/2014/main" id="{C02C70C1-F85B-753E-E5D1-F586008079B3}"/>
            </a:ext>
          </a:extLst>
        </xdr:cNvPr>
        <xdr:cNvSpPr txBox="1">
          <a:spLocks noChangeArrowheads="1"/>
        </xdr:cNvSpPr>
      </xdr:nvSpPr>
      <xdr:spPr bwMode="auto">
        <a:xfrm>
          <a:off x="2809875" y="33712150"/>
          <a:ext cx="132537" cy="234167"/>
        </a:xfrm>
        <a:prstGeom prst="rect">
          <a:avLst/>
        </a:prstGeom>
        <a:noFill/>
        <a:ln>
          <a:noFill/>
        </a:ln>
      </xdr:spPr>
      <xdr:txBody>
        <a:bodyPr wrap="none" lIns="27432" tIns="27432" rIns="0" bIns="0" anchor="t" upright="1">
          <a:spAutoFit/>
        </a:bodyPr>
        <a:lstStyle/>
        <a:p>
          <a:pPr algn="l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+</a:t>
          </a:r>
        </a:p>
      </xdr:txBody>
    </xdr:sp>
    <xdr:clientData/>
  </xdr:oneCellAnchor>
  <xdr:oneCellAnchor>
    <xdr:from>
      <xdr:col>9</xdr:col>
      <xdr:colOff>248285</xdr:colOff>
      <xdr:row>197</xdr:row>
      <xdr:rowOff>157480</xdr:rowOff>
    </xdr:from>
    <xdr:ext cx="160474" cy="262604"/>
    <xdr:sp macro="" textlink="">
      <xdr:nvSpPr>
        <xdr:cNvPr id="16922" name="Text Box 538">
          <a:extLst>
            <a:ext uri="{FF2B5EF4-FFF2-40B4-BE49-F238E27FC236}">
              <a16:creationId xmlns:a16="http://schemas.microsoft.com/office/drawing/2014/main" id="{A35DB864-E0EA-DE9C-61E8-2C37CEDA00FA}"/>
            </a:ext>
          </a:extLst>
        </xdr:cNvPr>
        <xdr:cNvSpPr txBox="1">
          <a:spLocks noChangeArrowheads="1"/>
        </xdr:cNvSpPr>
      </xdr:nvSpPr>
      <xdr:spPr bwMode="auto">
        <a:xfrm>
          <a:off x="5930265" y="39641780"/>
          <a:ext cx="132537" cy="234167"/>
        </a:xfrm>
        <a:prstGeom prst="rect">
          <a:avLst/>
        </a:prstGeom>
        <a:noFill/>
        <a:ln>
          <a:noFill/>
        </a:ln>
      </xdr:spPr>
      <xdr:txBody>
        <a:bodyPr wrap="none" lIns="27432" tIns="27432" rIns="0" bIns="0" anchor="t" upright="1">
          <a:spAutoFit/>
        </a:bodyPr>
        <a:lstStyle/>
        <a:p>
          <a:pPr algn="l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+</a:t>
          </a:r>
        </a:p>
      </xdr:txBody>
    </xdr:sp>
    <xdr:clientData/>
  </xdr:oneCellAnchor>
  <xdr:oneCellAnchor>
    <xdr:from>
      <xdr:col>9</xdr:col>
      <xdr:colOff>585470</xdr:colOff>
      <xdr:row>197</xdr:row>
      <xdr:rowOff>132715</xdr:rowOff>
    </xdr:from>
    <xdr:ext cx="87460" cy="234167"/>
    <xdr:sp macro="" textlink="">
      <xdr:nvSpPr>
        <xdr:cNvPr id="16923" name="Text Box 539">
          <a:extLst>
            <a:ext uri="{FF2B5EF4-FFF2-40B4-BE49-F238E27FC236}">
              <a16:creationId xmlns:a16="http://schemas.microsoft.com/office/drawing/2014/main" id="{842AC554-77C9-BBD8-5000-BE030D440FED}"/>
            </a:ext>
          </a:extLst>
        </xdr:cNvPr>
        <xdr:cNvSpPr txBox="1">
          <a:spLocks noChangeArrowheads="1"/>
        </xdr:cNvSpPr>
      </xdr:nvSpPr>
      <xdr:spPr bwMode="auto">
        <a:xfrm>
          <a:off x="6986270" y="40247782"/>
          <a:ext cx="87460" cy="234167"/>
        </a:xfrm>
        <a:prstGeom prst="rect">
          <a:avLst/>
        </a:prstGeom>
        <a:noFill/>
        <a:ln>
          <a:noFill/>
        </a:ln>
      </xdr:spPr>
      <xdr:txBody>
        <a:bodyPr wrap="none" lIns="27432" tIns="27432" rIns="0" bIns="0" anchor="t" upright="1">
          <a:spAutoFit/>
        </a:bodyPr>
        <a:lstStyle/>
        <a:p>
          <a:pPr algn="l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-</a:t>
          </a:r>
        </a:p>
      </xdr:txBody>
    </xdr:sp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</xdr:row>
      <xdr:rowOff>25400</xdr:rowOff>
    </xdr:from>
    <xdr:to>
      <xdr:col>4</xdr:col>
      <xdr:colOff>0</xdr:colOff>
      <xdr:row>11</xdr:row>
      <xdr:rowOff>12700</xdr:rowOff>
    </xdr:to>
    <xdr:sp macro="" textlink="">
      <xdr:nvSpPr>
        <xdr:cNvPr id="22056" name="Line 10">
          <a:extLst>
            <a:ext uri="{FF2B5EF4-FFF2-40B4-BE49-F238E27FC236}">
              <a16:creationId xmlns:a16="http://schemas.microsoft.com/office/drawing/2014/main" id="{5495EB12-FEE2-3B86-2D82-EAFAB43E9183}"/>
            </a:ext>
          </a:extLst>
        </xdr:cNvPr>
        <xdr:cNvSpPr>
          <a:spLocks noChangeShapeType="1"/>
        </xdr:cNvSpPr>
      </xdr:nvSpPr>
      <xdr:spPr bwMode="auto">
        <a:xfrm>
          <a:off x="2743200" y="596900"/>
          <a:ext cx="0" cy="14224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11</xdr:row>
      <xdr:rowOff>12700</xdr:rowOff>
    </xdr:from>
    <xdr:to>
      <xdr:col>8</xdr:col>
      <xdr:colOff>12700</xdr:colOff>
      <xdr:row>11</xdr:row>
      <xdr:rowOff>12700</xdr:rowOff>
    </xdr:to>
    <xdr:sp macro="" textlink="">
      <xdr:nvSpPr>
        <xdr:cNvPr id="22057" name="Line 11">
          <a:extLst>
            <a:ext uri="{FF2B5EF4-FFF2-40B4-BE49-F238E27FC236}">
              <a16:creationId xmlns:a16="http://schemas.microsoft.com/office/drawing/2014/main" id="{60FAA936-7450-533D-8B44-B73E39BAD9EF}"/>
            </a:ext>
          </a:extLst>
        </xdr:cNvPr>
        <xdr:cNvSpPr>
          <a:spLocks noChangeShapeType="1"/>
        </xdr:cNvSpPr>
      </xdr:nvSpPr>
      <xdr:spPr bwMode="auto">
        <a:xfrm>
          <a:off x="2743200" y="2019300"/>
          <a:ext cx="347980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850900</xdr:colOff>
      <xdr:row>3</xdr:row>
      <xdr:rowOff>0</xdr:rowOff>
    </xdr:from>
    <xdr:to>
      <xdr:col>8</xdr:col>
      <xdr:colOff>0</xdr:colOff>
      <xdr:row>11</xdr:row>
      <xdr:rowOff>0</xdr:rowOff>
    </xdr:to>
    <xdr:sp macro="" textlink="">
      <xdr:nvSpPr>
        <xdr:cNvPr id="22058" name="Line 12">
          <a:extLst>
            <a:ext uri="{FF2B5EF4-FFF2-40B4-BE49-F238E27FC236}">
              <a16:creationId xmlns:a16="http://schemas.microsoft.com/office/drawing/2014/main" id="{AD0C8962-46F9-AEFC-1572-8C1A648EAD5C}"/>
            </a:ext>
          </a:extLst>
        </xdr:cNvPr>
        <xdr:cNvSpPr>
          <a:spLocks noChangeShapeType="1"/>
        </xdr:cNvSpPr>
      </xdr:nvSpPr>
      <xdr:spPr bwMode="auto">
        <a:xfrm>
          <a:off x="2730500" y="571500"/>
          <a:ext cx="3479800" cy="14351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5</xdr:col>
      <xdr:colOff>428625</xdr:colOff>
      <xdr:row>11</xdr:row>
      <xdr:rowOff>57150</xdr:rowOff>
    </xdr:from>
    <xdr:ext cx="137345" cy="234167"/>
    <xdr:sp macro="" textlink="">
      <xdr:nvSpPr>
        <xdr:cNvPr id="21517" name="Text Box 13">
          <a:extLst>
            <a:ext uri="{FF2B5EF4-FFF2-40B4-BE49-F238E27FC236}">
              <a16:creationId xmlns:a16="http://schemas.microsoft.com/office/drawing/2014/main" id="{B49455CA-F9D0-AA07-67B0-5DC8B52D04E2}"/>
            </a:ext>
          </a:extLst>
        </xdr:cNvPr>
        <xdr:cNvSpPr txBox="1">
          <a:spLocks noChangeArrowheads="1"/>
        </xdr:cNvSpPr>
      </xdr:nvSpPr>
      <xdr:spPr bwMode="auto">
        <a:xfrm>
          <a:off x="4060825" y="2063750"/>
          <a:ext cx="137345" cy="234167"/>
        </a:xfrm>
        <a:prstGeom prst="rect">
          <a:avLst/>
        </a:prstGeom>
        <a:noFill/>
        <a:ln>
          <a:noFill/>
        </a:ln>
      </xdr:spPr>
      <xdr:txBody>
        <a:bodyPr wrap="none" lIns="27432" tIns="27432" rIns="0" bIns="0" anchor="t" upright="1">
          <a:spAutoFit/>
        </a:bodyPr>
        <a:lstStyle/>
        <a:p>
          <a:pPr algn="l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b</a:t>
          </a:r>
        </a:p>
      </xdr:txBody>
    </xdr:sp>
    <xdr:clientData/>
  </xdr:oneCellAnchor>
  <xdr:oneCellAnchor>
    <xdr:from>
      <xdr:col>5</xdr:col>
      <xdr:colOff>650240</xdr:colOff>
      <xdr:row>5</xdr:row>
      <xdr:rowOff>15240</xdr:rowOff>
    </xdr:from>
    <xdr:ext cx="140289" cy="249275"/>
    <xdr:sp macro="" textlink="">
      <xdr:nvSpPr>
        <xdr:cNvPr id="21518" name="Text Box 14">
          <a:extLst>
            <a:ext uri="{FF2B5EF4-FFF2-40B4-BE49-F238E27FC236}">
              <a16:creationId xmlns:a16="http://schemas.microsoft.com/office/drawing/2014/main" id="{865346DA-2412-3C2F-536D-71A4A9640AB5}"/>
            </a:ext>
          </a:extLst>
        </xdr:cNvPr>
        <xdr:cNvSpPr txBox="1">
          <a:spLocks noChangeArrowheads="1"/>
        </xdr:cNvSpPr>
      </xdr:nvSpPr>
      <xdr:spPr bwMode="auto">
        <a:xfrm>
          <a:off x="3853815" y="941070"/>
          <a:ext cx="127535" cy="234167"/>
        </a:xfrm>
        <a:prstGeom prst="rect">
          <a:avLst/>
        </a:prstGeom>
        <a:noFill/>
        <a:ln>
          <a:noFill/>
        </a:ln>
      </xdr:spPr>
      <xdr:txBody>
        <a:bodyPr wrap="none" lIns="27432" tIns="27432" rIns="0" bIns="0" anchor="t" upright="1">
          <a:spAutoFit/>
        </a:bodyPr>
        <a:lstStyle/>
        <a:p>
          <a:pPr algn="l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a</a:t>
          </a:r>
        </a:p>
      </xdr:txBody>
    </xdr:sp>
    <xdr:clientData/>
  </xdr:oneCellAnchor>
  <xdr:oneCellAnchor>
    <xdr:from>
      <xdr:col>4</xdr:col>
      <xdr:colOff>107950</xdr:colOff>
      <xdr:row>9</xdr:row>
      <xdr:rowOff>15240</xdr:rowOff>
    </xdr:from>
    <xdr:ext cx="438620" cy="204736"/>
    <xdr:sp macro="" textlink="">
      <xdr:nvSpPr>
        <xdr:cNvPr id="21519" name="Text Box 15">
          <a:extLst>
            <a:ext uri="{FF2B5EF4-FFF2-40B4-BE49-F238E27FC236}">
              <a16:creationId xmlns:a16="http://schemas.microsoft.com/office/drawing/2014/main" id="{EA21D7E1-0833-E1F4-C128-599CBEFBA46A}"/>
            </a:ext>
          </a:extLst>
        </xdr:cNvPr>
        <xdr:cNvSpPr txBox="1">
          <a:spLocks noChangeArrowheads="1"/>
        </xdr:cNvSpPr>
      </xdr:nvSpPr>
      <xdr:spPr bwMode="auto">
        <a:xfrm>
          <a:off x="2571750" y="1668780"/>
          <a:ext cx="399918" cy="204736"/>
        </a:xfrm>
        <a:prstGeom prst="rect">
          <a:avLst/>
        </a:prstGeom>
        <a:noFill/>
        <a:ln>
          <a:noFill/>
        </a:ln>
      </xdr:spPr>
      <xdr:txBody>
        <a:bodyPr wrap="none" lIns="27432" tIns="27432" rIns="0" bIns="0" anchor="t" upright="1">
          <a:spAutoFit/>
        </a:bodyPr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A=90</a:t>
          </a:r>
        </a:p>
      </xdr:txBody>
    </xdr:sp>
    <xdr:clientData/>
  </xdr:oneCellAnchor>
  <xdr:oneCellAnchor>
    <xdr:from>
      <xdr:col>6</xdr:col>
      <xdr:colOff>567055</xdr:colOff>
      <xdr:row>9</xdr:row>
      <xdr:rowOff>57150</xdr:rowOff>
    </xdr:from>
    <xdr:ext cx="192318" cy="257316"/>
    <xdr:sp macro="" textlink="">
      <xdr:nvSpPr>
        <xdr:cNvPr id="21520" name="Text Box 16">
          <a:extLst>
            <a:ext uri="{FF2B5EF4-FFF2-40B4-BE49-F238E27FC236}">
              <a16:creationId xmlns:a16="http://schemas.microsoft.com/office/drawing/2014/main" id="{AC49214B-F5F5-5530-4AE1-23E8F9A75BF4}"/>
            </a:ext>
          </a:extLst>
        </xdr:cNvPr>
        <xdr:cNvSpPr txBox="1">
          <a:spLocks noChangeArrowheads="1"/>
        </xdr:cNvSpPr>
      </xdr:nvSpPr>
      <xdr:spPr bwMode="auto">
        <a:xfrm>
          <a:off x="4657725" y="1701165"/>
          <a:ext cx="157351" cy="234167"/>
        </a:xfrm>
        <a:prstGeom prst="rect">
          <a:avLst/>
        </a:prstGeom>
        <a:noFill/>
        <a:ln>
          <a:noFill/>
        </a:ln>
      </xdr:spPr>
      <xdr:txBody>
        <a:bodyPr wrap="none" lIns="27432" tIns="27432" rIns="0" bIns="0" anchor="t" upright="1">
          <a:spAutoFit/>
        </a:bodyPr>
        <a:lstStyle/>
        <a:p>
          <a:pPr algn="l" rtl="0">
            <a:defRPr sz="1000"/>
          </a:pPr>
          <a:r>
            <a:rPr lang="en-US" sz="1400" b="1" i="0" u="none" strike="noStrike" baseline="0">
              <a:solidFill>
                <a:srgbClr val="0000FF"/>
              </a:solidFill>
              <a:latin typeface="Arial"/>
              <a:cs typeface="Arial"/>
            </a:rPr>
            <a:t>C</a:t>
          </a:r>
        </a:p>
      </xdr:txBody>
    </xdr:sp>
    <xdr:clientData/>
  </xdr:oneCellAnchor>
  <xdr:oneCellAnchor>
    <xdr:from>
      <xdr:col>4</xdr:col>
      <xdr:colOff>107950</xdr:colOff>
      <xdr:row>4</xdr:row>
      <xdr:rowOff>72390</xdr:rowOff>
    </xdr:from>
    <xdr:ext cx="192756" cy="257584"/>
    <xdr:sp macro="" textlink="">
      <xdr:nvSpPr>
        <xdr:cNvPr id="21521" name="Text Box 17">
          <a:extLst>
            <a:ext uri="{FF2B5EF4-FFF2-40B4-BE49-F238E27FC236}">
              <a16:creationId xmlns:a16="http://schemas.microsoft.com/office/drawing/2014/main" id="{6E7D99C9-F031-3085-4B91-0267BD6D17AD}"/>
            </a:ext>
          </a:extLst>
        </xdr:cNvPr>
        <xdr:cNvSpPr txBox="1">
          <a:spLocks noChangeArrowheads="1"/>
        </xdr:cNvSpPr>
      </xdr:nvSpPr>
      <xdr:spPr bwMode="auto">
        <a:xfrm>
          <a:off x="2548890" y="800100"/>
          <a:ext cx="157351" cy="234167"/>
        </a:xfrm>
        <a:prstGeom prst="rect">
          <a:avLst/>
        </a:prstGeom>
        <a:noFill/>
        <a:ln>
          <a:noFill/>
        </a:ln>
      </xdr:spPr>
      <xdr:txBody>
        <a:bodyPr wrap="none" lIns="27432" tIns="27432" rIns="0" bIns="0" anchor="t" upright="1">
          <a:spAutoFit/>
        </a:bodyPr>
        <a:lstStyle/>
        <a:p>
          <a:pPr algn="l" rtl="0">
            <a:defRPr sz="1000"/>
          </a:pPr>
          <a:r>
            <a:rPr lang="en-US" sz="1400" b="1" i="0" u="none" strike="noStrike" baseline="0">
              <a:solidFill>
                <a:srgbClr val="0000FF"/>
              </a:solidFill>
              <a:latin typeface="Arial"/>
              <a:cs typeface="Arial"/>
            </a:rPr>
            <a:t>B</a:t>
          </a:r>
        </a:p>
      </xdr:txBody>
    </xdr:sp>
    <xdr:clientData/>
  </xdr:oneCellAnchor>
  <xdr:twoCellAnchor editAs="oneCell">
    <xdr:from>
      <xdr:col>3</xdr:col>
      <xdr:colOff>593090</xdr:colOff>
      <xdr:row>6</xdr:row>
      <xdr:rowOff>116205</xdr:rowOff>
    </xdr:from>
    <xdr:to>
      <xdr:col>3</xdr:col>
      <xdr:colOff>771388</xdr:colOff>
      <xdr:row>7</xdr:row>
      <xdr:rowOff>190388</xdr:rowOff>
    </xdr:to>
    <xdr:sp macro="" textlink="">
      <xdr:nvSpPr>
        <xdr:cNvPr id="21522" name="Text Box 18">
          <a:extLst>
            <a:ext uri="{FF2B5EF4-FFF2-40B4-BE49-F238E27FC236}">
              <a16:creationId xmlns:a16="http://schemas.microsoft.com/office/drawing/2014/main" id="{CBA653F8-0F0A-E634-93A3-477324BF5939}"/>
            </a:ext>
          </a:extLst>
        </xdr:cNvPr>
        <xdr:cNvSpPr txBox="1">
          <a:spLocks noChangeArrowheads="1"/>
        </xdr:cNvSpPr>
      </xdr:nvSpPr>
      <xdr:spPr bwMode="auto">
        <a:xfrm>
          <a:off x="2181225" y="1200150"/>
          <a:ext cx="161925" cy="266700"/>
        </a:xfrm>
        <a:prstGeom prst="rect">
          <a:avLst/>
        </a:prstGeom>
        <a:noFill/>
        <a:ln>
          <a:noFill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c</a:t>
          </a:r>
        </a:p>
      </xdr:txBody>
    </xdr:sp>
    <xdr:clientData/>
  </xdr:twoCellAnchor>
  <xdr:twoCellAnchor>
    <xdr:from>
      <xdr:col>4</xdr:col>
      <xdr:colOff>774700</xdr:colOff>
      <xdr:row>37</xdr:row>
      <xdr:rowOff>114300</xdr:rowOff>
    </xdr:from>
    <xdr:to>
      <xdr:col>4</xdr:col>
      <xdr:colOff>863600</xdr:colOff>
      <xdr:row>37</xdr:row>
      <xdr:rowOff>114300</xdr:rowOff>
    </xdr:to>
    <xdr:sp macro="" textlink="">
      <xdr:nvSpPr>
        <xdr:cNvPr id="22065" name="Line 19">
          <a:extLst>
            <a:ext uri="{FF2B5EF4-FFF2-40B4-BE49-F238E27FC236}">
              <a16:creationId xmlns:a16="http://schemas.microsoft.com/office/drawing/2014/main" id="{E59D5681-F81E-21F0-3286-737D77EA693C}"/>
            </a:ext>
          </a:extLst>
        </xdr:cNvPr>
        <xdr:cNvSpPr>
          <a:spLocks noChangeShapeType="1"/>
        </xdr:cNvSpPr>
      </xdr:nvSpPr>
      <xdr:spPr bwMode="auto">
        <a:xfrm flipH="1">
          <a:off x="3517900" y="7442200"/>
          <a:ext cx="889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774700</xdr:colOff>
      <xdr:row>34</xdr:row>
      <xdr:rowOff>114300</xdr:rowOff>
    </xdr:from>
    <xdr:to>
      <xdr:col>4</xdr:col>
      <xdr:colOff>863600</xdr:colOff>
      <xdr:row>34</xdr:row>
      <xdr:rowOff>114300</xdr:rowOff>
    </xdr:to>
    <xdr:sp macro="" textlink="">
      <xdr:nvSpPr>
        <xdr:cNvPr id="22066" name="Line 20">
          <a:extLst>
            <a:ext uri="{FF2B5EF4-FFF2-40B4-BE49-F238E27FC236}">
              <a16:creationId xmlns:a16="http://schemas.microsoft.com/office/drawing/2014/main" id="{997B8041-D490-C25B-F721-C2FC6731D0FC}"/>
            </a:ext>
          </a:extLst>
        </xdr:cNvPr>
        <xdr:cNvSpPr>
          <a:spLocks noChangeShapeType="1"/>
        </xdr:cNvSpPr>
      </xdr:nvSpPr>
      <xdr:spPr bwMode="auto">
        <a:xfrm flipH="1">
          <a:off x="3517900" y="6819900"/>
          <a:ext cx="889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774700</xdr:colOff>
      <xdr:row>31</xdr:row>
      <xdr:rowOff>114300</xdr:rowOff>
    </xdr:from>
    <xdr:to>
      <xdr:col>4</xdr:col>
      <xdr:colOff>863600</xdr:colOff>
      <xdr:row>31</xdr:row>
      <xdr:rowOff>114300</xdr:rowOff>
    </xdr:to>
    <xdr:sp macro="" textlink="">
      <xdr:nvSpPr>
        <xdr:cNvPr id="22067" name="Line 21">
          <a:extLst>
            <a:ext uri="{FF2B5EF4-FFF2-40B4-BE49-F238E27FC236}">
              <a16:creationId xmlns:a16="http://schemas.microsoft.com/office/drawing/2014/main" id="{317F3F28-A22D-88C8-818D-69CCB035E9D4}"/>
            </a:ext>
          </a:extLst>
        </xdr:cNvPr>
        <xdr:cNvSpPr>
          <a:spLocks noChangeShapeType="1"/>
        </xdr:cNvSpPr>
      </xdr:nvSpPr>
      <xdr:spPr bwMode="auto">
        <a:xfrm flipH="1">
          <a:off x="3517900" y="6197600"/>
          <a:ext cx="889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774700</xdr:colOff>
      <xdr:row>34</xdr:row>
      <xdr:rowOff>114300</xdr:rowOff>
    </xdr:from>
    <xdr:to>
      <xdr:col>4</xdr:col>
      <xdr:colOff>863600</xdr:colOff>
      <xdr:row>34</xdr:row>
      <xdr:rowOff>114300</xdr:rowOff>
    </xdr:to>
    <xdr:sp macro="" textlink="">
      <xdr:nvSpPr>
        <xdr:cNvPr id="22068" name="Line 23">
          <a:extLst>
            <a:ext uri="{FF2B5EF4-FFF2-40B4-BE49-F238E27FC236}">
              <a16:creationId xmlns:a16="http://schemas.microsoft.com/office/drawing/2014/main" id="{DF7C06A4-588B-9690-4F2B-F180336059C5}"/>
            </a:ext>
          </a:extLst>
        </xdr:cNvPr>
        <xdr:cNvSpPr>
          <a:spLocks noChangeShapeType="1"/>
        </xdr:cNvSpPr>
      </xdr:nvSpPr>
      <xdr:spPr bwMode="auto">
        <a:xfrm flipH="1">
          <a:off x="3517900" y="6819900"/>
          <a:ext cx="889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774700</xdr:colOff>
      <xdr:row>31</xdr:row>
      <xdr:rowOff>114300</xdr:rowOff>
    </xdr:from>
    <xdr:to>
      <xdr:col>4</xdr:col>
      <xdr:colOff>863600</xdr:colOff>
      <xdr:row>31</xdr:row>
      <xdr:rowOff>114300</xdr:rowOff>
    </xdr:to>
    <xdr:sp macro="" textlink="">
      <xdr:nvSpPr>
        <xdr:cNvPr id="22069" name="Line 24">
          <a:extLst>
            <a:ext uri="{FF2B5EF4-FFF2-40B4-BE49-F238E27FC236}">
              <a16:creationId xmlns:a16="http://schemas.microsoft.com/office/drawing/2014/main" id="{2142C543-2394-0DB7-7FB6-E816579B4A2D}"/>
            </a:ext>
          </a:extLst>
        </xdr:cNvPr>
        <xdr:cNvSpPr>
          <a:spLocks noChangeShapeType="1"/>
        </xdr:cNvSpPr>
      </xdr:nvSpPr>
      <xdr:spPr bwMode="auto">
        <a:xfrm flipH="1">
          <a:off x="3517900" y="6197600"/>
          <a:ext cx="889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774700</xdr:colOff>
      <xdr:row>28</xdr:row>
      <xdr:rowOff>114300</xdr:rowOff>
    </xdr:from>
    <xdr:to>
      <xdr:col>4</xdr:col>
      <xdr:colOff>863600</xdr:colOff>
      <xdr:row>28</xdr:row>
      <xdr:rowOff>114300</xdr:rowOff>
    </xdr:to>
    <xdr:sp macro="" textlink="">
      <xdr:nvSpPr>
        <xdr:cNvPr id="22070" name="Line 25">
          <a:extLst>
            <a:ext uri="{FF2B5EF4-FFF2-40B4-BE49-F238E27FC236}">
              <a16:creationId xmlns:a16="http://schemas.microsoft.com/office/drawing/2014/main" id="{06B8871C-6A42-A71D-5BBD-95F4DC6FF839}"/>
            </a:ext>
          </a:extLst>
        </xdr:cNvPr>
        <xdr:cNvSpPr>
          <a:spLocks noChangeShapeType="1"/>
        </xdr:cNvSpPr>
      </xdr:nvSpPr>
      <xdr:spPr bwMode="auto">
        <a:xfrm flipH="1">
          <a:off x="3517900" y="5575300"/>
          <a:ext cx="889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774700</xdr:colOff>
      <xdr:row>25</xdr:row>
      <xdr:rowOff>114300</xdr:rowOff>
    </xdr:from>
    <xdr:to>
      <xdr:col>4</xdr:col>
      <xdr:colOff>863600</xdr:colOff>
      <xdr:row>25</xdr:row>
      <xdr:rowOff>114300</xdr:rowOff>
    </xdr:to>
    <xdr:sp macro="" textlink="">
      <xdr:nvSpPr>
        <xdr:cNvPr id="22071" name="Line 26">
          <a:extLst>
            <a:ext uri="{FF2B5EF4-FFF2-40B4-BE49-F238E27FC236}">
              <a16:creationId xmlns:a16="http://schemas.microsoft.com/office/drawing/2014/main" id="{1DE9103D-5E7F-6702-5515-4B6C963C53FA}"/>
            </a:ext>
          </a:extLst>
        </xdr:cNvPr>
        <xdr:cNvSpPr>
          <a:spLocks noChangeShapeType="1"/>
        </xdr:cNvSpPr>
      </xdr:nvSpPr>
      <xdr:spPr bwMode="auto">
        <a:xfrm flipH="1">
          <a:off x="3517900" y="4953000"/>
          <a:ext cx="889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774700</xdr:colOff>
      <xdr:row>22</xdr:row>
      <xdr:rowOff>114300</xdr:rowOff>
    </xdr:from>
    <xdr:to>
      <xdr:col>4</xdr:col>
      <xdr:colOff>863600</xdr:colOff>
      <xdr:row>22</xdr:row>
      <xdr:rowOff>114300</xdr:rowOff>
    </xdr:to>
    <xdr:sp macro="" textlink="">
      <xdr:nvSpPr>
        <xdr:cNvPr id="22072" name="Line 27">
          <a:extLst>
            <a:ext uri="{FF2B5EF4-FFF2-40B4-BE49-F238E27FC236}">
              <a16:creationId xmlns:a16="http://schemas.microsoft.com/office/drawing/2014/main" id="{637B1EDB-5198-5124-AC10-37A943C7AA10}"/>
            </a:ext>
          </a:extLst>
        </xdr:cNvPr>
        <xdr:cNvSpPr>
          <a:spLocks noChangeShapeType="1"/>
        </xdr:cNvSpPr>
      </xdr:nvSpPr>
      <xdr:spPr bwMode="auto">
        <a:xfrm flipH="1">
          <a:off x="3517900" y="4330700"/>
          <a:ext cx="889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774700</xdr:colOff>
      <xdr:row>19</xdr:row>
      <xdr:rowOff>114300</xdr:rowOff>
    </xdr:from>
    <xdr:to>
      <xdr:col>4</xdr:col>
      <xdr:colOff>863600</xdr:colOff>
      <xdr:row>19</xdr:row>
      <xdr:rowOff>114300</xdr:rowOff>
    </xdr:to>
    <xdr:sp macro="" textlink="">
      <xdr:nvSpPr>
        <xdr:cNvPr id="22073" name="Line 28">
          <a:extLst>
            <a:ext uri="{FF2B5EF4-FFF2-40B4-BE49-F238E27FC236}">
              <a16:creationId xmlns:a16="http://schemas.microsoft.com/office/drawing/2014/main" id="{FF4CFE7D-9F9A-6E77-E7DA-532A05B95678}"/>
            </a:ext>
          </a:extLst>
        </xdr:cNvPr>
        <xdr:cNvSpPr>
          <a:spLocks noChangeShapeType="1"/>
        </xdr:cNvSpPr>
      </xdr:nvSpPr>
      <xdr:spPr bwMode="auto">
        <a:xfrm flipH="1">
          <a:off x="3517900" y="3708400"/>
          <a:ext cx="889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774700</xdr:colOff>
      <xdr:row>16</xdr:row>
      <xdr:rowOff>114300</xdr:rowOff>
    </xdr:from>
    <xdr:to>
      <xdr:col>4</xdr:col>
      <xdr:colOff>863600</xdr:colOff>
      <xdr:row>16</xdr:row>
      <xdr:rowOff>114300</xdr:rowOff>
    </xdr:to>
    <xdr:sp macro="" textlink="">
      <xdr:nvSpPr>
        <xdr:cNvPr id="22074" name="Line 29">
          <a:extLst>
            <a:ext uri="{FF2B5EF4-FFF2-40B4-BE49-F238E27FC236}">
              <a16:creationId xmlns:a16="http://schemas.microsoft.com/office/drawing/2014/main" id="{2D30F50F-DAEB-9C4B-1050-D1FB45CB62A2}"/>
            </a:ext>
          </a:extLst>
        </xdr:cNvPr>
        <xdr:cNvSpPr>
          <a:spLocks noChangeShapeType="1"/>
        </xdr:cNvSpPr>
      </xdr:nvSpPr>
      <xdr:spPr bwMode="auto">
        <a:xfrm flipH="1">
          <a:off x="3517900" y="3086100"/>
          <a:ext cx="889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457200</xdr:colOff>
      <xdr:row>37</xdr:row>
      <xdr:rowOff>114300</xdr:rowOff>
    </xdr:from>
    <xdr:to>
      <xdr:col>1</xdr:col>
      <xdr:colOff>635000</xdr:colOff>
      <xdr:row>37</xdr:row>
      <xdr:rowOff>114300</xdr:rowOff>
    </xdr:to>
    <xdr:sp macro="" textlink="">
      <xdr:nvSpPr>
        <xdr:cNvPr id="22075" name="Line 30">
          <a:extLst>
            <a:ext uri="{FF2B5EF4-FFF2-40B4-BE49-F238E27FC236}">
              <a16:creationId xmlns:a16="http://schemas.microsoft.com/office/drawing/2014/main" id="{42156D61-71CF-DD4F-9E4B-4178164A8B7E}"/>
            </a:ext>
          </a:extLst>
        </xdr:cNvPr>
        <xdr:cNvSpPr>
          <a:spLocks noChangeShapeType="1"/>
        </xdr:cNvSpPr>
      </xdr:nvSpPr>
      <xdr:spPr bwMode="auto">
        <a:xfrm flipH="1">
          <a:off x="838200" y="7442200"/>
          <a:ext cx="1778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457200</xdr:colOff>
      <xdr:row>34</xdr:row>
      <xdr:rowOff>114300</xdr:rowOff>
    </xdr:from>
    <xdr:to>
      <xdr:col>1</xdr:col>
      <xdr:colOff>635000</xdr:colOff>
      <xdr:row>34</xdr:row>
      <xdr:rowOff>114300</xdr:rowOff>
    </xdr:to>
    <xdr:sp macro="" textlink="">
      <xdr:nvSpPr>
        <xdr:cNvPr id="22076" name="Line 31">
          <a:extLst>
            <a:ext uri="{FF2B5EF4-FFF2-40B4-BE49-F238E27FC236}">
              <a16:creationId xmlns:a16="http://schemas.microsoft.com/office/drawing/2014/main" id="{F9C24E5C-65B8-2A1C-5542-EB4A9DB8B871}"/>
            </a:ext>
          </a:extLst>
        </xdr:cNvPr>
        <xdr:cNvSpPr>
          <a:spLocks noChangeShapeType="1"/>
        </xdr:cNvSpPr>
      </xdr:nvSpPr>
      <xdr:spPr bwMode="auto">
        <a:xfrm flipH="1">
          <a:off x="838200" y="6819900"/>
          <a:ext cx="1778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457200</xdr:colOff>
      <xdr:row>31</xdr:row>
      <xdr:rowOff>114300</xdr:rowOff>
    </xdr:from>
    <xdr:to>
      <xdr:col>1</xdr:col>
      <xdr:colOff>635000</xdr:colOff>
      <xdr:row>31</xdr:row>
      <xdr:rowOff>114300</xdr:rowOff>
    </xdr:to>
    <xdr:sp macro="" textlink="">
      <xdr:nvSpPr>
        <xdr:cNvPr id="22077" name="Line 32">
          <a:extLst>
            <a:ext uri="{FF2B5EF4-FFF2-40B4-BE49-F238E27FC236}">
              <a16:creationId xmlns:a16="http://schemas.microsoft.com/office/drawing/2014/main" id="{18FD8575-18F9-C6AE-8D2B-8E4BF48BBA83}"/>
            </a:ext>
          </a:extLst>
        </xdr:cNvPr>
        <xdr:cNvSpPr>
          <a:spLocks noChangeShapeType="1"/>
        </xdr:cNvSpPr>
      </xdr:nvSpPr>
      <xdr:spPr bwMode="auto">
        <a:xfrm flipH="1">
          <a:off x="838200" y="6197600"/>
          <a:ext cx="1778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457200</xdr:colOff>
      <xdr:row>28</xdr:row>
      <xdr:rowOff>114300</xdr:rowOff>
    </xdr:from>
    <xdr:to>
      <xdr:col>1</xdr:col>
      <xdr:colOff>635000</xdr:colOff>
      <xdr:row>28</xdr:row>
      <xdr:rowOff>114300</xdr:rowOff>
    </xdr:to>
    <xdr:sp macro="" textlink="">
      <xdr:nvSpPr>
        <xdr:cNvPr id="22078" name="Line 33">
          <a:extLst>
            <a:ext uri="{FF2B5EF4-FFF2-40B4-BE49-F238E27FC236}">
              <a16:creationId xmlns:a16="http://schemas.microsoft.com/office/drawing/2014/main" id="{7D0A6F7C-2E2C-1AB2-74C0-B5FD1AE4A284}"/>
            </a:ext>
          </a:extLst>
        </xdr:cNvPr>
        <xdr:cNvSpPr>
          <a:spLocks noChangeShapeType="1"/>
        </xdr:cNvSpPr>
      </xdr:nvSpPr>
      <xdr:spPr bwMode="auto">
        <a:xfrm flipH="1">
          <a:off x="838200" y="5575300"/>
          <a:ext cx="1778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457200</xdr:colOff>
      <xdr:row>25</xdr:row>
      <xdr:rowOff>114300</xdr:rowOff>
    </xdr:from>
    <xdr:to>
      <xdr:col>1</xdr:col>
      <xdr:colOff>635000</xdr:colOff>
      <xdr:row>25</xdr:row>
      <xdr:rowOff>114300</xdr:rowOff>
    </xdr:to>
    <xdr:sp macro="" textlink="">
      <xdr:nvSpPr>
        <xdr:cNvPr id="22079" name="Line 34">
          <a:extLst>
            <a:ext uri="{FF2B5EF4-FFF2-40B4-BE49-F238E27FC236}">
              <a16:creationId xmlns:a16="http://schemas.microsoft.com/office/drawing/2014/main" id="{7CA36A3F-F6F9-BDA1-CAD4-E4182FAD9740}"/>
            </a:ext>
          </a:extLst>
        </xdr:cNvPr>
        <xdr:cNvSpPr>
          <a:spLocks noChangeShapeType="1"/>
        </xdr:cNvSpPr>
      </xdr:nvSpPr>
      <xdr:spPr bwMode="auto">
        <a:xfrm flipH="1">
          <a:off x="838200" y="4953000"/>
          <a:ext cx="1778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457200</xdr:colOff>
      <xdr:row>22</xdr:row>
      <xdr:rowOff>114300</xdr:rowOff>
    </xdr:from>
    <xdr:to>
      <xdr:col>1</xdr:col>
      <xdr:colOff>635000</xdr:colOff>
      <xdr:row>22</xdr:row>
      <xdr:rowOff>114300</xdr:rowOff>
    </xdr:to>
    <xdr:sp macro="" textlink="">
      <xdr:nvSpPr>
        <xdr:cNvPr id="22080" name="Line 35">
          <a:extLst>
            <a:ext uri="{FF2B5EF4-FFF2-40B4-BE49-F238E27FC236}">
              <a16:creationId xmlns:a16="http://schemas.microsoft.com/office/drawing/2014/main" id="{A9ABD802-D601-2890-EF58-704998519B41}"/>
            </a:ext>
          </a:extLst>
        </xdr:cNvPr>
        <xdr:cNvSpPr>
          <a:spLocks noChangeShapeType="1"/>
        </xdr:cNvSpPr>
      </xdr:nvSpPr>
      <xdr:spPr bwMode="auto">
        <a:xfrm flipH="1">
          <a:off x="838200" y="4330700"/>
          <a:ext cx="1778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457200</xdr:colOff>
      <xdr:row>19</xdr:row>
      <xdr:rowOff>114300</xdr:rowOff>
    </xdr:from>
    <xdr:to>
      <xdr:col>1</xdr:col>
      <xdr:colOff>635000</xdr:colOff>
      <xdr:row>19</xdr:row>
      <xdr:rowOff>114300</xdr:rowOff>
    </xdr:to>
    <xdr:sp macro="" textlink="">
      <xdr:nvSpPr>
        <xdr:cNvPr id="22081" name="Line 36">
          <a:extLst>
            <a:ext uri="{FF2B5EF4-FFF2-40B4-BE49-F238E27FC236}">
              <a16:creationId xmlns:a16="http://schemas.microsoft.com/office/drawing/2014/main" id="{F9365197-5CA3-9E4C-5C7A-AAF237EFE7C8}"/>
            </a:ext>
          </a:extLst>
        </xdr:cNvPr>
        <xdr:cNvSpPr>
          <a:spLocks noChangeShapeType="1"/>
        </xdr:cNvSpPr>
      </xdr:nvSpPr>
      <xdr:spPr bwMode="auto">
        <a:xfrm flipH="1">
          <a:off x="838200" y="3708400"/>
          <a:ext cx="1778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457200</xdr:colOff>
      <xdr:row>16</xdr:row>
      <xdr:rowOff>114300</xdr:rowOff>
    </xdr:from>
    <xdr:to>
      <xdr:col>1</xdr:col>
      <xdr:colOff>635000</xdr:colOff>
      <xdr:row>16</xdr:row>
      <xdr:rowOff>114300</xdr:rowOff>
    </xdr:to>
    <xdr:sp macro="" textlink="">
      <xdr:nvSpPr>
        <xdr:cNvPr id="22082" name="Line 37">
          <a:extLst>
            <a:ext uri="{FF2B5EF4-FFF2-40B4-BE49-F238E27FC236}">
              <a16:creationId xmlns:a16="http://schemas.microsoft.com/office/drawing/2014/main" id="{BFF40C4F-8C15-4ADF-3134-1E8FBBDD9F51}"/>
            </a:ext>
          </a:extLst>
        </xdr:cNvPr>
        <xdr:cNvSpPr>
          <a:spLocks noChangeShapeType="1"/>
        </xdr:cNvSpPr>
      </xdr:nvSpPr>
      <xdr:spPr bwMode="auto">
        <a:xfrm flipH="1">
          <a:off x="838200" y="3086100"/>
          <a:ext cx="1778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774700</xdr:colOff>
      <xdr:row>40</xdr:row>
      <xdr:rowOff>114300</xdr:rowOff>
    </xdr:from>
    <xdr:to>
      <xdr:col>4</xdr:col>
      <xdr:colOff>863600</xdr:colOff>
      <xdr:row>40</xdr:row>
      <xdr:rowOff>114300</xdr:rowOff>
    </xdr:to>
    <xdr:sp macro="" textlink="">
      <xdr:nvSpPr>
        <xdr:cNvPr id="22083" name="Line 38">
          <a:extLst>
            <a:ext uri="{FF2B5EF4-FFF2-40B4-BE49-F238E27FC236}">
              <a16:creationId xmlns:a16="http://schemas.microsoft.com/office/drawing/2014/main" id="{AC7C8C64-818B-C09E-9856-E392CAF365AC}"/>
            </a:ext>
          </a:extLst>
        </xdr:cNvPr>
        <xdr:cNvSpPr>
          <a:spLocks noChangeShapeType="1"/>
        </xdr:cNvSpPr>
      </xdr:nvSpPr>
      <xdr:spPr bwMode="auto">
        <a:xfrm flipH="1">
          <a:off x="3517900" y="8064500"/>
          <a:ext cx="889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457200</xdr:colOff>
      <xdr:row>40</xdr:row>
      <xdr:rowOff>114300</xdr:rowOff>
    </xdr:from>
    <xdr:to>
      <xdr:col>1</xdr:col>
      <xdr:colOff>635000</xdr:colOff>
      <xdr:row>40</xdr:row>
      <xdr:rowOff>114300</xdr:rowOff>
    </xdr:to>
    <xdr:sp macro="" textlink="">
      <xdr:nvSpPr>
        <xdr:cNvPr id="22084" name="Line 39">
          <a:extLst>
            <a:ext uri="{FF2B5EF4-FFF2-40B4-BE49-F238E27FC236}">
              <a16:creationId xmlns:a16="http://schemas.microsoft.com/office/drawing/2014/main" id="{FF281F6D-7D0B-C0C1-F78C-4F62ACEF4D51}"/>
            </a:ext>
          </a:extLst>
        </xdr:cNvPr>
        <xdr:cNvSpPr>
          <a:spLocks noChangeShapeType="1"/>
        </xdr:cNvSpPr>
      </xdr:nvSpPr>
      <xdr:spPr bwMode="auto">
        <a:xfrm flipH="1">
          <a:off x="838200" y="8064500"/>
          <a:ext cx="1778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723900</xdr:colOff>
      <xdr:row>3</xdr:row>
      <xdr:rowOff>114300</xdr:rowOff>
    </xdr:from>
    <xdr:to>
      <xdr:col>9</xdr:col>
      <xdr:colOff>12700</xdr:colOff>
      <xdr:row>3</xdr:row>
      <xdr:rowOff>114300</xdr:rowOff>
    </xdr:to>
    <xdr:sp macro="" textlink="">
      <xdr:nvSpPr>
        <xdr:cNvPr id="22085" name="Line 40">
          <a:extLst>
            <a:ext uri="{FF2B5EF4-FFF2-40B4-BE49-F238E27FC236}">
              <a16:creationId xmlns:a16="http://schemas.microsoft.com/office/drawing/2014/main" id="{F718FC66-A6D0-A814-FF57-EB43D842CEC8}"/>
            </a:ext>
          </a:extLst>
        </xdr:cNvPr>
        <xdr:cNvSpPr>
          <a:spLocks noChangeShapeType="1"/>
        </xdr:cNvSpPr>
      </xdr:nvSpPr>
      <xdr:spPr bwMode="auto">
        <a:xfrm flipH="1">
          <a:off x="6934200" y="685800"/>
          <a:ext cx="508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11</xdr:col>
      <xdr:colOff>546100</xdr:colOff>
      <xdr:row>16</xdr:row>
      <xdr:rowOff>203200</xdr:rowOff>
    </xdr:from>
    <xdr:to>
      <xdr:col>23</xdr:col>
      <xdr:colOff>241300</xdr:colOff>
      <xdr:row>25</xdr:row>
      <xdr:rowOff>104927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0290A9B-3207-1505-F95B-23DE78E593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64600" y="3175000"/>
          <a:ext cx="7772400" cy="1768627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558800</xdr:colOff>
      <xdr:row>1</xdr:row>
      <xdr:rowOff>25400</xdr:rowOff>
    </xdr:from>
    <xdr:to>
      <xdr:col>5</xdr:col>
      <xdr:colOff>203200</xdr:colOff>
      <xdr:row>9</xdr:row>
      <xdr:rowOff>12700</xdr:rowOff>
    </xdr:to>
    <xdr:sp macro="" textlink="">
      <xdr:nvSpPr>
        <xdr:cNvPr id="22927" name="Line 1">
          <a:extLst>
            <a:ext uri="{FF2B5EF4-FFF2-40B4-BE49-F238E27FC236}">
              <a16:creationId xmlns:a16="http://schemas.microsoft.com/office/drawing/2014/main" id="{3C2876D1-89F5-BDBB-473E-8323984B6707}"/>
            </a:ext>
          </a:extLst>
        </xdr:cNvPr>
        <xdr:cNvSpPr>
          <a:spLocks noChangeShapeType="1"/>
        </xdr:cNvSpPr>
      </xdr:nvSpPr>
      <xdr:spPr bwMode="auto">
        <a:xfrm flipH="1">
          <a:off x="2882900" y="190500"/>
          <a:ext cx="1358900" cy="15240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190500</xdr:colOff>
      <xdr:row>1</xdr:row>
      <xdr:rowOff>12700</xdr:rowOff>
    </xdr:from>
    <xdr:to>
      <xdr:col>8</xdr:col>
      <xdr:colOff>0</xdr:colOff>
      <xdr:row>8</xdr:row>
      <xdr:rowOff>139700</xdr:rowOff>
    </xdr:to>
    <xdr:sp macro="" textlink="">
      <xdr:nvSpPr>
        <xdr:cNvPr id="22928" name="Line 2">
          <a:extLst>
            <a:ext uri="{FF2B5EF4-FFF2-40B4-BE49-F238E27FC236}">
              <a16:creationId xmlns:a16="http://schemas.microsoft.com/office/drawing/2014/main" id="{7959060D-FADC-6CA3-6FC2-7594B7EA8267}"/>
            </a:ext>
          </a:extLst>
        </xdr:cNvPr>
        <xdr:cNvSpPr>
          <a:spLocks noChangeShapeType="1"/>
        </xdr:cNvSpPr>
      </xdr:nvSpPr>
      <xdr:spPr bwMode="auto">
        <a:xfrm>
          <a:off x="4229100" y="177800"/>
          <a:ext cx="2628900" cy="14986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596900</xdr:colOff>
      <xdr:row>9</xdr:row>
      <xdr:rowOff>12700</xdr:rowOff>
    </xdr:from>
    <xdr:to>
      <xdr:col>8</xdr:col>
      <xdr:colOff>12700</xdr:colOff>
      <xdr:row>9</xdr:row>
      <xdr:rowOff>12700</xdr:rowOff>
    </xdr:to>
    <xdr:sp macro="" textlink="">
      <xdr:nvSpPr>
        <xdr:cNvPr id="22929" name="Line 3">
          <a:extLst>
            <a:ext uri="{FF2B5EF4-FFF2-40B4-BE49-F238E27FC236}">
              <a16:creationId xmlns:a16="http://schemas.microsoft.com/office/drawing/2014/main" id="{0D1392C4-0A55-0F19-A321-508387D5D1D0}"/>
            </a:ext>
          </a:extLst>
        </xdr:cNvPr>
        <xdr:cNvSpPr>
          <a:spLocks noChangeShapeType="1"/>
        </xdr:cNvSpPr>
      </xdr:nvSpPr>
      <xdr:spPr bwMode="auto">
        <a:xfrm>
          <a:off x="2921000" y="1714500"/>
          <a:ext cx="394970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6</xdr:col>
      <xdr:colOff>398145</xdr:colOff>
      <xdr:row>3</xdr:row>
      <xdr:rowOff>76200</xdr:rowOff>
    </xdr:from>
    <xdr:ext cx="140776" cy="270463"/>
    <xdr:sp macro="" textlink="">
      <xdr:nvSpPr>
        <xdr:cNvPr id="22532" name="Text Box 4">
          <a:extLst>
            <a:ext uri="{FF2B5EF4-FFF2-40B4-BE49-F238E27FC236}">
              <a16:creationId xmlns:a16="http://schemas.microsoft.com/office/drawing/2014/main" id="{F278B40F-487E-5794-A84A-7271E4B8B1D9}"/>
            </a:ext>
          </a:extLst>
        </xdr:cNvPr>
        <xdr:cNvSpPr txBox="1">
          <a:spLocks noChangeArrowheads="1"/>
        </xdr:cNvSpPr>
      </xdr:nvSpPr>
      <xdr:spPr bwMode="auto">
        <a:xfrm>
          <a:off x="4941570" y="609600"/>
          <a:ext cx="127535" cy="234167"/>
        </a:xfrm>
        <a:prstGeom prst="rect">
          <a:avLst/>
        </a:prstGeom>
        <a:noFill/>
        <a:ln>
          <a:noFill/>
        </a:ln>
      </xdr:spPr>
      <xdr:txBody>
        <a:bodyPr wrap="none" lIns="27432" tIns="27432" rIns="0" bIns="0" anchor="t" upright="1">
          <a:spAutoFit/>
        </a:bodyPr>
        <a:lstStyle/>
        <a:p>
          <a:pPr algn="l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c</a:t>
          </a:r>
        </a:p>
      </xdr:txBody>
    </xdr:sp>
    <xdr:clientData/>
  </xdr:oneCellAnchor>
  <xdr:oneCellAnchor>
    <xdr:from>
      <xdr:col>5</xdr:col>
      <xdr:colOff>546100</xdr:colOff>
      <xdr:row>9</xdr:row>
      <xdr:rowOff>11430</xdr:rowOff>
    </xdr:from>
    <xdr:ext cx="140776" cy="257065"/>
    <xdr:sp macro="" textlink="">
      <xdr:nvSpPr>
        <xdr:cNvPr id="22533" name="Text Box 5">
          <a:extLst>
            <a:ext uri="{FF2B5EF4-FFF2-40B4-BE49-F238E27FC236}">
              <a16:creationId xmlns:a16="http://schemas.microsoft.com/office/drawing/2014/main" id="{EF63D486-7B88-ABDB-D06F-22C4D9AB0358}"/>
            </a:ext>
          </a:extLst>
        </xdr:cNvPr>
        <xdr:cNvSpPr txBox="1">
          <a:spLocks noChangeArrowheads="1"/>
        </xdr:cNvSpPr>
      </xdr:nvSpPr>
      <xdr:spPr bwMode="auto">
        <a:xfrm>
          <a:off x="4143375" y="1720215"/>
          <a:ext cx="127535" cy="234167"/>
        </a:xfrm>
        <a:prstGeom prst="rect">
          <a:avLst/>
        </a:prstGeom>
        <a:noFill/>
        <a:ln>
          <a:noFill/>
        </a:ln>
      </xdr:spPr>
      <xdr:txBody>
        <a:bodyPr wrap="none" lIns="27432" tIns="27432" rIns="0" bIns="0" anchor="t" upright="1">
          <a:spAutoFit/>
        </a:bodyPr>
        <a:lstStyle/>
        <a:p>
          <a:pPr algn="l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a</a:t>
          </a:r>
        </a:p>
      </xdr:txBody>
    </xdr:sp>
    <xdr:clientData/>
  </xdr:oneCellAnchor>
  <xdr:oneCellAnchor>
    <xdr:from>
      <xdr:col>4</xdr:col>
      <xdr:colOff>172720</xdr:colOff>
      <xdr:row>3</xdr:row>
      <xdr:rowOff>118110</xdr:rowOff>
    </xdr:from>
    <xdr:ext cx="164814" cy="234167"/>
    <xdr:sp macro="" textlink="">
      <xdr:nvSpPr>
        <xdr:cNvPr id="22534" name="Text Box 6">
          <a:extLst>
            <a:ext uri="{FF2B5EF4-FFF2-40B4-BE49-F238E27FC236}">
              <a16:creationId xmlns:a16="http://schemas.microsoft.com/office/drawing/2014/main" id="{5A1E0395-B916-FB81-0B3D-485EE046B4CC}"/>
            </a:ext>
          </a:extLst>
        </xdr:cNvPr>
        <xdr:cNvSpPr txBox="1">
          <a:spLocks noChangeArrowheads="1"/>
        </xdr:cNvSpPr>
      </xdr:nvSpPr>
      <xdr:spPr bwMode="auto">
        <a:xfrm>
          <a:off x="3017520" y="651510"/>
          <a:ext cx="137345" cy="234167"/>
        </a:xfrm>
        <a:prstGeom prst="rect">
          <a:avLst/>
        </a:prstGeom>
        <a:noFill/>
        <a:ln>
          <a:noFill/>
        </a:ln>
      </xdr:spPr>
      <xdr:txBody>
        <a:bodyPr wrap="none" lIns="27432" tIns="27432" rIns="0" bIns="0" anchor="t" upright="1">
          <a:spAutoFit/>
        </a:bodyPr>
        <a:lstStyle/>
        <a:p>
          <a:pPr algn="l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b</a:t>
          </a:r>
        </a:p>
      </xdr:txBody>
    </xdr:sp>
    <xdr:clientData/>
  </xdr:oneCellAnchor>
  <xdr:oneCellAnchor>
    <xdr:from>
      <xdr:col>5</xdr:col>
      <xdr:colOff>130810</xdr:colOff>
      <xdr:row>2</xdr:row>
      <xdr:rowOff>0</xdr:rowOff>
    </xdr:from>
    <xdr:ext cx="192756" cy="257584"/>
    <xdr:sp macro="" textlink="">
      <xdr:nvSpPr>
        <xdr:cNvPr id="22535" name="Text Box 7">
          <a:extLst>
            <a:ext uri="{FF2B5EF4-FFF2-40B4-BE49-F238E27FC236}">
              <a16:creationId xmlns:a16="http://schemas.microsoft.com/office/drawing/2014/main" id="{137E6490-C6C2-E6B3-E63C-D17AAD3B6618}"/>
            </a:ext>
          </a:extLst>
        </xdr:cNvPr>
        <xdr:cNvSpPr txBox="1">
          <a:spLocks noChangeArrowheads="1"/>
        </xdr:cNvSpPr>
      </xdr:nvSpPr>
      <xdr:spPr bwMode="auto">
        <a:xfrm>
          <a:off x="3724275" y="371475"/>
          <a:ext cx="157351" cy="234167"/>
        </a:xfrm>
        <a:prstGeom prst="rect">
          <a:avLst/>
        </a:prstGeom>
        <a:noFill/>
        <a:ln>
          <a:noFill/>
        </a:ln>
      </xdr:spPr>
      <xdr:txBody>
        <a:bodyPr wrap="none" lIns="27432" tIns="27432" rIns="0" bIns="0" anchor="t" upright="1">
          <a:spAutoFit/>
        </a:bodyPr>
        <a:lstStyle/>
        <a:p>
          <a:pPr algn="l" rtl="0">
            <a:defRPr sz="1000"/>
          </a:pPr>
          <a:r>
            <a:rPr lang="en-US" sz="1400" b="1" i="0" u="none" strike="noStrike" baseline="0">
              <a:solidFill>
                <a:srgbClr val="0000FF"/>
              </a:solidFill>
              <a:latin typeface="Arial"/>
              <a:cs typeface="Arial"/>
            </a:rPr>
            <a:t>A</a:t>
          </a:r>
        </a:p>
      </xdr:txBody>
    </xdr:sp>
    <xdr:clientData/>
  </xdr:oneCellAnchor>
  <xdr:oneCellAnchor>
    <xdr:from>
      <xdr:col>4</xdr:col>
      <xdr:colOff>77470</xdr:colOff>
      <xdr:row>7</xdr:row>
      <xdr:rowOff>64770</xdr:rowOff>
    </xdr:from>
    <xdr:ext cx="171205" cy="257065"/>
    <xdr:sp macro="" textlink="">
      <xdr:nvSpPr>
        <xdr:cNvPr id="22536" name="Text Box 8">
          <a:extLst>
            <a:ext uri="{FF2B5EF4-FFF2-40B4-BE49-F238E27FC236}">
              <a16:creationId xmlns:a16="http://schemas.microsoft.com/office/drawing/2014/main" id="{885DD254-30C4-06C0-CD26-F4DC075B4C50}"/>
            </a:ext>
          </a:extLst>
        </xdr:cNvPr>
        <xdr:cNvSpPr txBox="1">
          <a:spLocks noChangeArrowheads="1"/>
        </xdr:cNvSpPr>
      </xdr:nvSpPr>
      <xdr:spPr bwMode="auto">
        <a:xfrm>
          <a:off x="2924175" y="1423035"/>
          <a:ext cx="157351" cy="234167"/>
        </a:xfrm>
        <a:prstGeom prst="rect">
          <a:avLst/>
        </a:prstGeom>
        <a:noFill/>
        <a:ln>
          <a:noFill/>
        </a:ln>
      </xdr:spPr>
      <xdr:txBody>
        <a:bodyPr wrap="none" lIns="27432" tIns="27432" rIns="0" bIns="0" anchor="t" upright="1">
          <a:spAutoFit/>
        </a:bodyPr>
        <a:lstStyle/>
        <a:p>
          <a:pPr algn="l" rtl="0">
            <a:defRPr sz="1000"/>
          </a:pPr>
          <a:r>
            <a:rPr lang="en-US" sz="1400" b="1" i="0" u="none" strike="noStrike" baseline="0">
              <a:solidFill>
                <a:srgbClr val="0000FF"/>
              </a:solidFill>
              <a:latin typeface="Arial"/>
              <a:cs typeface="Arial"/>
            </a:rPr>
            <a:t>C</a:t>
          </a:r>
        </a:p>
      </xdr:txBody>
    </xdr:sp>
    <xdr:clientData/>
  </xdr:oneCellAnchor>
  <xdr:oneCellAnchor>
    <xdr:from>
      <xdr:col>7</xdr:col>
      <xdr:colOff>15240</xdr:colOff>
      <xdr:row>7</xdr:row>
      <xdr:rowOff>64770</xdr:rowOff>
    </xdr:from>
    <xdr:ext cx="169840" cy="257065"/>
    <xdr:sp macro="" textlink="">
      <xdr:nvSpPr>
        <xdr:cNvPr id="22537" name="Text Box 9">
          <a:extLst>
            <a:ext uri="{FF2B5EF4-FFF2-40B4-BE49-F238E27FC236}">
              <a16:creationId xmlns:a16="http://schemas.microsoft.com/office/drawing/2014/main" id="{28BACE38-D4F5-D8AB-338B-8AC54F11A8C1}"/>
            </a:ext>
          </a:extLst>
        </xdr:cNvPr>
        <xdr:cNvSpPr txBox="1">
          <a:spLocks noChangeArrowheads="1"/>
        </xdr:cNvSpPr>
      </xdr:nvSpPr>
      <xdr:spPr bwMode="auto">
        <a:xfrm>
          <a:off x="5406390" y="1423035"/>
          <a:ext cx="157351" cy="234167"/>
        </a:xfrm>
        <a:prstGeom prst="rect">
          <a:avLst/>
        </a:prstGeom>
        <a:noFill/>
        <a:ln>
          <a:noFill/>
        </a:ln>
      </xdr:spPr>
      <xdr:txBody>
        <a:bodyPr wrap="none" lIns="27432" tIns="27432" rIns="0" bIns="0" anchor="t" upright="1">
          <a:spAutoFit/>
        </a:bodyPr>
        <a:lstStyle/>
        <a:p>
          <a:pPr algn="l" rtl="0">
            <a:defRPr sz="1000"/>
          </a:pPr>
          <a:r>
            <a:rPr lang="en-US" sz="1400" b="1" i="0" u="none" strike="noStrike" baseline="0">
              <a:solidFill>
                <a:srgbClr val="0000FF"/>
              </a:solidFill>
              <a:latin typeface="Arial"/>
              <a:cs typeface="Arial"/>
            </a:rPr>
            <a:t>B</a:t>
          </a:r>
        </a:p>
      </xdr:txBody>
    </xdr:sp>
    <xdr:clientData/>
  </xdr:oneCellAnchor>
  <xdr:twoCellAnchor>
    <xdr:from>
      <xdr:col>0</xdr:col>
      <xdr:colOff>457200</xdr:colOff>
      <xdr:row>15</xdr:row>
      <xdr:rowOff>114300</xdr:rowOff>
    </xdr:from>
    <xdr:to>
      <xdr:col>0</xdr:col>
      <xdr:colOff>635000</xdr:colOff>
      <xdr:row>15</xdr:row>
      <xdr:rowOff>114300</xdr:rowOff>
    </xdr:to>
    <xdr:sp macro="" textlink="">
      <xdr:nvSpPr>
        <xdr:cNvPr id="22936" name="Line 10">
          <a:extLst>
            <a:ext uri="{FF2B5EF4-FFF2-40B4-BE49-F238E27FC236}">
              <a16:creationId xmlns:a16="http://schemas.microsoft.com/office/drawing/2014/main" id="{DB24A371-02C9-1108-1EE1-2E8B8042EEF1}"/>
            </a:ext>
          </a:extLst>
        </xdr:cNvPr>
        <xdr:cNvSpPr>
          <a:spLocks noChangeShapeType="1"/>
        </xdr:cNvSpPr>
      </xdr:nvSpPr>
      <xdr:spPr bwMode="auto">
        <a:xfrm flipH="1">
          <a:off x="457200" y="2946400"/>
          <a:ext cx="1778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762000</xdr:colOff>
      <xdr:row>15</xdr:row>
      <xdr:rowOff>114300</xdr:rowOff>
    </xdr:from>
    <xdr:to>
      <xdr:col>4</xdr:col>
      <xdr:colOff>850900</xdr:colOff>
      <xdr:row>15</xdr:row>
      <xdr:rowOff>114300</xdr:rowOff>
    </xdr:to>
    <xdr:sp macro="" textlink="">
      <xdr:nvSpPr>
        <xdr:cNvPr id="22937" name="Line 11">
          <a:extLst>
            <a:ext uri="{FF2B5EF4-FFF2-40B4-BE49-F238E27FC236}">
              <a16:creationId xmlns:a16="http://schemas.microsoft.com/office/drawing/2014/main" id="{E2C977C5-ECD9-27C2-F011-90F7180BCAD5}"/>
            </a:ext>
          </a:extLst>
        </xdr:cNvPr>
        <xdr:cNvSpPr>
          <a:spLocks noChangeShapeType="1"/>
        </xdr:cNvSpPr>
      </xdr:nvSpPr>
      <xdr:spPr bwMode="auto">
        <a:xfrm flipH="1">
          <a:off x="3924300" y="2946400"/>
          <a:ext cx="889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457200</xdr:colOff>
      <xdr:row>18</xdr:row>
      <xdr:rowOff>114300</xdr:rowOff>
    </xdr:from>
    <xdr:to>
      <xdr:col>0</xdr:col>
      <xdr:colOff>635000</xdr:colOff>
      <xdr:row>18</xdr:row>
      <xdr:rowOff>114300</xdr:rowOff>
    </xdr:to>
    <xdr:sp macro="" textlink="">
      <xdr:nvSpPr>
        <xdr:cNvPr id="22938" name="Line 12">
          <a:extLst>
            <a:ext uri="{FF2B5EF4-FFF2-40B4-BE49-F238E27FC236}">
              <a16:creationId xmlns:a16="http://schemas.microsoft.com/office/drawing/2014/main" id="{FDAE288D-FBA2-369E-F6A1-4B1C433E006A}"/>
            </a:ext>
          </a:extLst>
        </xdr:cNvPr>
        <xdr:cNvSpPr>
          <a:spLocks noChangeShapeType="1"/>
        </xdr:cNvSpPr>
      </xdr:nvSpPr>
      <xdr:spPr bwMode="auto">
        <a:xfrm flipH="1">
          <a:off x="457200" y="3606800"/>
          <a:ext cx="1778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762000</xdr:colOff>
      <xdr:row>18</xdr:row>
      <xdr:rowOff>114300</xdr:rowOff>
    </xdr:from>
    <xdr:to>
      <xdr:col>4</xdr:col>
      <xdr:colOff>850900</xdr:colOff>
      <xdr:row>18</xdr:row>
      <xdr:rowOff>114300</xdr:rowOff>
    </xdr:to>
    <xdr:sp macro="" textlink="">
      <xdr:nvSpPr>
        <xdr:cNvPr id="22939" name="Line 13">
          <a:extLst>
            <a:ext uri="{FF2B5EF4-FFF2-40B4-BE49-F238E27FC236}">
              <a16:creationId xmlns:a16="http://schemas.microsoft.com/office/drawing/2014/main" id="{F018F1AA-2096-DF25-9828-26882E7E15F4}"/>
            </a:ext>
          </a:extLst>
        </xdr:cNvPr>
        <xdr:cNvSpPr>
          <a:spLocks noChangeShapeType="1"/>
        </xdr:cNvSpPr>
      </xdr:nvSpPr>
      <xdr:spPr bwMode="auto">
        <a:xfrm flipH="1">
          <a:off x="3924300" y="3606800"/>
          <a:ext cx="889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457200</xdr:colOff>
      <xdr:row>21</xdr:row>
      <xdr:rowOff>114300</xdr:rowOff>
    </xdr:from>
    <xdr:to>
      <xdr:col>0</xdr:col>
      <xdr:colOff>635000</xdr:colOff>
      <xdr:row>21</xdr:row>
      <xdr:rowOff>114300</xdr:rowOff>
    </xdr:to>
    <xdr:sp macro="" textlink="">
      <xdr:nvSpPr>
        <xdr:cNvPr id="22940" name="Line 14">
          <a:extLst>
            <a:ext uri="{FF2B5EF4-FFF2-40B4-BE49-F238E27FC236}">
              <a16:creationId xmlns:a16="http://schemas.microsoft.com/office/drawing/2014/main" id="{30CFF0A9-130F-8771-9971-74CE3E1B43EB}"/>
            </a:ext>
          </a:extLst>
        </xdr:cNvPr>
        <xdr:cNvSpPr>
          <a:spLocks noChangeShapeType="1"/>
        </xdr:cNvSpPr>
      </xdr:nvSpPr>
      <xdr:spPr bwMode="auto">
        <a:xfrm flipH="1">
          <a:off x="457200" y="4267200"/>
          <a:ext cx="1778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762000</xdr:colOff>
      <xdr:row>21</xdr:row>
      <xdr:rowOff>114300</xdr:rowOff>
    </xdr:from>
    <xdr:to>
      <xdr:col>4</xdr:col>
      <xdr:colOff>850900</xdr:colOff>
      <xdr:row>21</xdr:row>
      <xdr:rowOff>114300</xdr:rowOff>
    </xdr:to>
    <xdr:sp macro="" textlink="">
      <xdr:nvSpPr>
        <xdr:cNvPr id="22941" name="Line 15">
          <a:extLst>
            <a:ext uri="{FF2B5EF4-FFF2-40B4-BE49-F238E27FC236}">
              <a16:creationId xmlns:a16="http://schemas.microsoft.com/office/drawing/2014/main" id="{E8AEAB50-8C97-5339-3BBE-1DCAA8BFF1D4}"/>
            </a:ext>
          </a:extLst>
        </xdr:cNvPr>
        <xdr:cNvSpPr>
          <a:spLocks noChangeShapeType="1"/>
        </xdr:cNvSpPr>
      </xdr:nvSpPr>
      <xdr:spPr bwMode="auto">
        <a:xfrm flipH="1">
          <a:off x="3924300" y="4267200"/>
          <a:ext cx="889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457200</xdr:colOff>
      <xdr:row>24</xdr:row>
      <xdr:rowOff>114300</xdr:rowOff>
    </xdr:from>
    <xdr:to>
      <xdr:col>0</xdr:col>
      <xdr:colOff>635000</xdr:colOff>
      <xdr:row>24</xdr:row>
      <xdr:rowOff>114300</xdr:rowOff>
    </xdr:to>
    <xdr:sp macro="" textlink="">
      <xdr:nvSpPr>
        <xdr:cNvPr id="22942" name="Line 16">
          <a:extLst>
            <a:ext uri="{FF2B5EF4-FFF2-40B4-BE49-F238E27FC236}">
              <a16:creationId xmlns:a16="http://schemas.microsoft.com/office/drawing/2014/main" id="{C9C6B828-828D-511E-E983-B8EA77207AF1}"/>
            </a:ext>
          </a:extLst>
        </xdr:cNvPr>
        <xdr:cNvSpPr>
          <a:spLocks noChangeShapeType="1"/>
        </xdr:cNvSpPr>
      </xdr:nvSpPr>
      <xdr:spPr bwMode="auto">
        <a:xfrm flipH="1">
          <a:off x="457200" y="4927600"/>
          <a:ext cx="1778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762000</xdr:colOff>
      <xdr:row>24</xdr:row>
      <xdr:rowOff>114300</xdr:rowOff>
    </xdr:from>
    <xdr:to>
      <xdr:col>4</xdr:col>
      <xdr:colOff>850900</xdr:colOff>
      <xdr:row>24</xdr:row>
      <xdr:rowOff>114300</xdr:rowOff>
    </xdr:to>
    <xdr:sp macro="" textlink="">
      <xdr:nvSpPr>
        <xdr:cNvPr id="22943" name="Line 17">
          <a:extLst>
            <a:ext uri="{FF2B5EF4-FFF2-40B4-BE49-F238E27FC236}">
              <a16:creationId xmlns:a16="http://schemas.microsoft.com/office/drawing/2014/main" id="{CE97E647-0BC8-8649-A58E-AB140530238B}"/>
            </a:ext>
          </a:extLst>
        </xdr:cNvPr>
        <xdr:cNvSpPr>
          <a:spLocks noChangeShapeType="1"/>
        </xdr:cNvSpPr>
      </xdr:nvSpPr>
      <xdr:spPr bwMode="auto">
        <a:xfrm flipH="1">
          <a:off x="3924300" y="4927600"/>
          <a:ext cx="889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457200</xdr:colOff>
      <xdr:row>28</xdr:row>
      <xdr:rowOff>114300</xdr:rowOff>
    </xdr:from>
    <xdr:to>
      <xdr:col>0</xdr:col>
      <xdr:colOff>635000</xdr:colOff>
      <xdr:row>28</xdr:row>
      <xdr:rowOff>114300</xdr:rowOff>
    </xdr:to>
    <xdr:sp macro="" textlink="">
      <xdr:nvSpPr>
        <xdr:cNvPr id="22944" name="Line 18">
          <a:extLst>
            <a:ext uri="{FF2B5EF4-FFF2-40B4-BE49-F238E27FC236}">
              <a16:creationId xmlns:a16="http://schemas.microsoft.com/office/drawing/2014/main" id="{D2C1C86B-D687-9468-72C9-579858FB651C}"/>
            </a:ext>
          </a:extLst>
        </xdr:cNvPr>
        <xdr:cNvSpPr>
          <a:spLocks noChangeShapeType="1"/>
        </xdr:cNvSpPr>
      </xdr:nvSpPr>
      <xdr:spPr bwMode="auto">
        <a:xfrm flipH="1">
          <a:off x="457200" y="5816600"/>
          <a:ext cx="1778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762000</xdr:colOff>
      <xdr:row>28</xdr:row>
      <xdr:rowOff>114300</xdr:rowOff>
    </xdr:from>
    <xdr:to>
      <xdr:col>4</xdr:col>
      <xdr:colOff>850900</xdr:colOff>
      <xdr:row>28</xdr:row>
      <xdr:rowOff>114300</xdr:rowOff>
    </xdr:to>
    <xdr:sp macro="" textlink="">
      <xdr:nvSpPr>
        <xdr:cNvPr id="22945" name="Line 19">
          <a:extLst>
            <a:ext uri="{FF2B5EF4-FFF2-40B4-BE49-F238E27FC236}">
              <a16:creationId xmlns:a16="http://schemas.microsoft.com/office/drawing/2014/main" id="{3586063E-98D0-2E82-F774-F2CB42FA7DB7}"/>
            </a:ext>
          </a:extLst>
        </xdr:cNvPr>
        <xdr:cNvSpPr>
          <a:spLocks noChangeShapeType="1"/>
        </xdr:cNvSpPr>
      </xdr:nvSpPr>
      <xdr:spPr bwMode="auto">
        <a:xfrm flipH="1">
          <a:off x="3924300" y="5816600"/>
          <a:ext cx="889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457200</xdr:colOff>
      <xdr:row>31</xdr:row>
      <xdr:rowOff>114300</xdr:rowOff>
    </xdr:from>
    <xdr:to>
      <xdr:col>0</xdr:col>
      <xdr:colOff>635000</xdr:colOff>
      <xdr:row>31</xdr:row>
      <xdr:rowOff>114300</xdr:rowOff>
    </xdr:to>
    <xdr:sp macro="" textlink="">
      <xdr:nvSpPr>
        <xdr:cNvPr id="22946" name="Line 20">
          <a:extLst>
            <a:ext uri="{FF2B5EF4-FFF2-40B4-BE49-F238E27FC236}">
              <a16:creationId xmlns:a16="http://schemas.microsoft.com/office/drawing/2014/main" id="{0CC3BF6F-9366-CB58-615A-BEC40815AA8F}"/>
            </a:ext>
          </a:extLst>
        </xdr:cNvPr>
        <xdr:cNvSpPr>
          <a:spLocks noChangeShapeType="1"/>
        </xdr:cNvSpPr>
      </xdr:nvSpPr>
      <xdr:spPr bwMode="auto">
        <a:xfrm flipH="1">
          <a:off x="457200" y="6477000"/>
          <a:ext cx="1778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762000</xdr:colOff>
      <xdr:row>31</xdr:row>
      <xdr:rowOff>114300</xdr:rowOff>
    </xdr:from>
    <xdr:to>
      <xdr:col>4</xdr:col>
      <xdr:colOff>850900</xdr:colOff>
      <xdr:row>31</xdr:row>
      <xdr:rowOff>114300</xdr:rowOff>
    </xdr:to>
    <xdr:sp macro="" textlink="">
      <xdr:nvSpPr>
        <xdr:cNvPr id="22947" name="Line 21">
          <a:extLst>
            <a:ext uri="{FF2B5EF4-FFF2-40B4-BE49-F238E27FC236}">
              <a16:creationId xmlns:a16="http://schemas.microsoft.com/office/drawing/2014/main" id="{4C68EDF5-78A3-4D99-0DAA-D2A889EA888B}"/>
            </a:ext>
          </a:extLst>
        </xdr:cNvPr>
        <xdr:cNvSpPr>
          <a:spLocks noChangeShapeType="1"/>
        </xdr:cNvSpPr>
      </xdr:nvSpPr>
      <xdr:spPr bwMode="auto">
        <a:xfrm flipH="1">
          <a:off x="3924300" y="6477000"/>
          <a:ext cx="889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711200</xdr:colOff>
      <xdr:row>4</xdr:row>
      <xdr:rowOff>114300</xdr:rowOff>
    </xdr:from>
    <xdr:to>
      <xdr:col>8</xdr:col>
      <xdr:colOff>12700</xdr:colOff>
      <xdr:row>4</xdr:row>
      <xdr:rowOff>114300</xdr:rowOff>
    </xdr:to>
    <xdr:sp macro="" textlink="">
      <xdr:nvSpPr>
        <xdr:cNvPr id="22948" name="Line 22">
          <a:extLst>
            <a:ext uri="{FF2B5EF4-FFF2-40B4-BE49-F238E27FC236}">
              <a16:creationId xmlns:a16="http://schemas.microsoft.com/office/drawing/2014/main" id="{E1903B68-FFCB-CCD9-ACFD-EA03A5144516}"/>
            </a:ext>
          </a:extLst>
        </xdr:cNvPr>
        <xdr:cNvSpPr>
          <a:spLocks noChangeShapeType="1"/>
        </xdr:cNvSpPr>
      </xdr:nvSpPr>
      <xdr:spPr bwMode="auto">
        <a:xfrm flipH="1">
          <a:off x="6680200" y="914400"/>
          <a:ext cx="1905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13</xdr:col>
      <xdr:colOff>63500</xdr:colOff>
      <xdr:row>24</xdr:row>
      <xdr:rowOff>38100</xdr:rowOff>
    </xdr:from>
    <xdr:to>
      <xdr:col>24</xdr:col>
      <xdr:colOff>431800</xdr:colOff>
      <xdr:row>30</xdr:row>
      <xdr:rowOff>210502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F19AD47-31E2-4364-ECC6-5615F4B17D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87000" y="4851400"/>
          <a:ext cx="7772400" cy="1505902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276860</xdr:colOff>
      <xdr:row>1</xdr:row>
      <xdr:rowOff>117475</xdr:rowOff>
    </xdr:from>
    <xdr:to>
      <xdr:col>1</xdr:col>
      <xdr:colOff>808886</xdr:colOff>
      <xdr:row>3</xdr:row>
      <xdr:rowOff>2092</xdr:rowOff>
    </xdr:to>
    <xdr:sp macro="" textlink="">
      <xdr:nvSpPr>
        <xdr:cNvPr id="34817" name="Text Box 1">
          <a:extLst>
            <a:ext uri="{FF2B5EF4-FFF2-40B4-BE49-F238E27FC236}">
              <a16:creationId xmlns:a16="http://schemas.microsoft.com/office/drawing/2014/main" id="{29F2A122-83B0-0F73-6CBA-FD1508D65CD6}"/>
            </a:ext>
          </a:extLst>
        </xdr:cNvPr>
        <xdr:cNvSpPr txBox="1">
          <a:spLocks noChangeArrowheads="1"/>
        </xdr:cNvSpPr>
      </xdr:nvSpPr>
      <xdr:spPr bwMode="auto">
        <a:xfrm>
          <a:off x="428625" y="295275"/>
          <a:ext cx="457200" cy="238125"/>
        </a:xfrm>
        <a:prstGeom prst="rect">
          <a:avLst/>
        </a:prstGeom>
        <a:noFill/>
        <a:ln>
          <a:noFill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Total</a:t>
          </a:r>
        </a:p>
      </xdr:txBody>
    </xdr:sp>
    <xdr:clientData/>
  </xdr:twoCellAnchor>
  <xdr:twoCellAnchor editAs="oneCell">
    <xdr:from>
      <xdr:col>13</xdr:col>
      <xdr:colOff>60960</xdr:colOff>
      <xdr:row>1</xdr:row>
      <xdr:rowOff>49530</xdr:rowOff>
    </xdr:from>
    <xdr:to>
      <xdr:col>13</xdr:col>
      <xdr:colOff>592508</xdr:colOff>
      <xdr:row>2</xdr:row>
      <xdr:rowOff>111405</xdr:rowOff>
    </xdr:to>
    <xdr:sp macro="" textlink="">
      <xdr:nvSpPr>
        <xdr:cNvPr id="34818" name="Text Box 2">
          <a:extLst>
            <a:ext uri="{FF2B5EF4-FFF2-40B4-BE49-F238E27FC236}">
              <a16:creationId xmlns:a16="http://schemas.microsoft.com/office/drawing/2014/main" id="{6F9C6F4A-529E-BC78-30ED-20FB4C0BD457}"/>
            </a:ext>
          </a:extLst>
        </xdr:cNvPr>
        <xdr:cNvSpPr txBox="1">
          <a:spLocks noChangeArrowheads="1"/>
        </xdr:cNvSpPr>
      </xdr:nvSpPr>
      <xdr:spPr bwMode="auto">
        <a:xfrm>
          <a:off x="6162675" y="257175"/>
          <a:ext cx="457200" cy="238125"/>
        </a:xfrm>
        <a:prstGeom prst="rect">
          <a:avLst/>
        </a:prstGeom>
        <a:noFill/>
        <a:ln>
          <a:noFill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Total</a:t>
          </a:r>
        </a:p>
      </xdr:txBody>
    </xdr: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660400</xdr:colOff>
      <xdr:row>5</xdr:row>
      <xdr:rowOff>152400</xdr:rowOff>
    </xdr:from>
    <xdr:to>
      <xdr:col>4</xdr:col>
      <xdr:colOff>12700</xdr:colOff>
      <xdr:row>7</xdr:row>
      <xdr:rowOff>0</xdr:rowOff>
    </xdr:to>
    <xdr:sp macro="" textlink="">
      <xdr:nvSpPr>
        <xdr:cNvPr id="56932" name="Rectangle 1">
          <a:extLst>
            <a:ext uri="{FF2B5EF4-FFF2-40B4-BE49-F238E27FC236}">
              <a16:creationId xmlns:a16="http://schemas.microsoft.com/office/drawing/2014/main" id="{D6404721-7CAC-2DCC-D5FD-C7FC1175395C}"/>
            </a:ext>
          </a:extLst>
        </xdr:cNvPr>
        <xdr:cNvSpPr>
          <a:spLocks noChangeArrowheads="1"/>
        </xdr:cNvSpPr>
      </xdr:nvSpPr>
      <xdr:spPr bwMode="auto">
        <a:xfrm>
          <a:off x="1333500" y="1041400"/>
          <a:ext cx="1371600" cy="177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FF" mc:Ignorable="a14" a14:legacySpreadsheetColorIndex="12"/>
        </a:solidFill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660400</xdr:colOff>
      <xdr:row>15</xdr:row>
      <xdr:rowOff>0</xdr:rowOff>
    </xdr:from>
    <xdr:to>
      <xdr:col>4</xdr:col>
      <xdr:colOff>12700</xdr:colOff>
      <xdr:row>16</xdr:row>
      <xdr:rowOff>12700</xdr:rowOff>
    </xdr:to>
    <xdr:sp macro="" textlink="">
      <xdr:nvSpPr>
        <xdr:cNvPr id="56933" name="Rectangle 2">
          <a:extLst>
            <a:ext uri="{FF2B5EF4-FFF2-40B4-BE49-F238E27FC236}">
              <a16:creationId xmlns:a16="http://schemas.microsoft.com/office/drawing/2014/main" id="{AB1E174C-44C9-BD75-6BE4-0AB39BBACC80}"/>
            </a:ext>
          </a:extLst>
        </xdr:cNvPr>
        <xdr:cNvSpPr>
          <a:spLocks noChangeArrowheads="1"/>
        </xdr:cNvSpPr>
      </xdr:nvSpPr>
      <xdr:spPr bwMode="auto">
        <a:xfrm>
          <a:off x="1333500" y="2540000"/>
          <a:ext cx="1371600" cy="177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FF" mc:Ignorable="a14" a14:legacySpreadsheetColorIndex="12"/>
        </a:solidFill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469900</xdr:colOff>
      <xdr:row>5</xdr:row>
      <xdr:rowOff>152400</xdr:rowOff>
    </xdr:from>
    <xdr:to>
      <xdr:col>2</xdr:col>
      <xdr:colOff>0</xdr:colOff>
      <xdr:row>16</xdr:row>
      <xdr:rowOff>12700</xdr:rowOff>
    </xdr:to>
    <xdr:sp macro="" textlink="">
      <xdr:nvSpPr>
        <xdr:cNvPr id="56934" name="Rectangle 3">
          <a:extLst>
            <a:ext uri="{FF2B5EF4-FFF2-40B4-BE49-F238E27FC236}">
              <a16:creationId xmlns:a16="http://schemas.microsoft.com/office/drawing/2014/main" id="{8B98EFF2-0F12-63D1-DB72-6527B0978CA7}"/>
            </a:ext>
          </a:extLst>
        </xdr:cNvPr>
        <xdr:cNvSpPr>
          <a:spLocks noChangeArrowheads="1"/>
        </xdr:cNvSpPr>
      </xdr:nvSpPr>
      <xdr:spPr bwMode="auto">
        <a:xfrm>
          <a:off x="1143000" y="1041400"/>
          <a:ext cx="203200" cy="1676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FF" mc:Ignorable="a14" a14:legacySpreadsheetColorIndex="12"/>
        </a:solidFill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12700</xdr:colOff>
      <xdr:row>5</xdr:row>
      <xdr:rowOff>152400</xdr:rowOff>
    </xdr:from>
    <xdr:to>
      <xdr:col>4</xdr:col>
      <xdr:colOff>215900</xdr:colOff>
      <xdr:row>16</xdr:row>
      <xdr:rowOff>12700</xdr:rowOff>
    </xdr:to>
    <xdr:sp macro="" textlink="">
      <xdr:nvSpPr>
        <xdr:cNvPr id="56935" name="Rectangle 4">
          <a:extLst>
            <a:ext uri="{FF2B5EF4-FFF2-40B4-BE49-F238E27FC236}">
              <a16:creationId xmlns:a16="http://schemas.microsoft.com/office/drawing/2014/main" id="{29589D60-9C9D-EBD0-4723-2040016E7CE1}"/>
            </a:ext>
          </a:extLst>
        </xdr:cNvPr>
        <xdr:cNvSpPr>
          <a:spLocks noChangeArrowheads="1"/>
        </xdr:cNvSpPr>
      </xdr:nvSpPr>
      <xdr:spPr bwMode="auto">
        <a:xfrm>
          <a:off x="2705100" y="1041400"/>
          <a:ext cx="203200" cy="1676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FF" mc:Ignorable="a14" a14:legacySpreadsheetColorIndex="12"/>
        </a:solidFill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457200</xdr:colOff>
      <xdr:row>16</xdr:row>
      <xdr:rowOff>139700</xdr:rowOff>
    </xdr:from>
    <xdr:to>
      <xdr:col>5</xdr:col>
      <xdr:colOff>660400</xdr:colOff>
      <xdr:row>16</xdr:row>
      <xdr:rowOff>139700</xdr:rowOff>
    </xdr:to>
    <xdr:sp macro="" textlink="">
      <xdr:nvSpPr>
        <xdr:cNvPr id="56936" name="Line 5">
          <a:extLst>
            <a:ext uri="{FF2B5EF4-FFF2-40B4-BE49-F238E27FC236}">
              <a16:creationId xmlns:a16="http://schemas.microsoft.com/office/drawing/2014/main" id="{FCDA6D74-7AD0-85B7-E8B5-5EE280F12571}"/>
            </a:ext>
          </a:extLst>
        </xdr:cNvPr>
        <xdr:cNvSpPr>
          <a:spLocks noChangeShapeType="1"/>
        </xdr:cNvSpPr>
      </xdr:nvSpPr>
      <xdr:spPr bwMode="auto">
        <a:xfrm>
          <a:off x="1130300" y="2844800"/>
          <a:ext cx="289560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prstDash val="dash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342900</xdr:colOff>
      <xdr:row>8</xdr:row>
      <xdr:rowOff>12700</xdr:rowOff>
    </xdr:from>
    <xdr:to>
      <xdr:col>2</xdr:col>
      <xdr:colOff>381000</xdr:colOff>
      <xdr:row>8</xdr:row>
      <xdr:rowOff>152400</xdr:rowOff>
    </xdr:to>
    <xdr:sp macro="" textlink="">
      <xdr:nvSpPr>
        <xdr:cNvPr id="56937" name="Rectangle 6">
          <a:extLst>
            <a:ext uri="{FF2B5EF4-FFF2-40B4-BE49-F238E27FC236}">
              <a16:creationId xmlns:a16="http://schemas.microsoft.com/office/drawing/2014/main" id="{4A9B4D9D-512C-073E-7488-806881AC31AA}"/>
            </a:ext>
          </a:extLst>
        </xdr:cNvPr>
        <xdr:cNvSpPr>
          <a:spLocks noChangeArrowheads="1"/>
        </xdr:cNvSpPr>
      </xdr:nvSpPr>
      <xdr:spPr bwMode="auto">
        <a:xfrm>
          <a:off x="1689100" y="1397000"/>
          <a:ext cx="38100" cy="139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28575">
          <a:solidFill>
            <a:srgbClr xmlns:mc="http://schemas.openxmlformats.org/markup-compatibility/2006" xmlns:a14="http://schemas.microsoft.com/office/drawing/2010/main" val="FF6600" mc:Ignorable="a14" a14:legacySpreadsheetColorIndex="53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241300</xdr:colOff>
      <xdr:row>8</xdr:row>
      <xdr:rowOff>12700</xdr:rowOff>
    </xdr:from>
    <xdr:to>
      <xdr:col>3</xdr:col>
      <xdr:colOff>279400</xdr:colOff>
      <xdr:row>8</xdr:row>
      <xdr:rowOff>152400</xdr:rowOff>
    </xdr:to>
    <xdr:sp macro="" textlink="">
      <xdr:nvSpPr>
        <xdr:cNvPr id="56938" name="Rectangle 7">
          <a:extLst>
            <a:ext uri="{FF2B5EF4-FFF2-40B4-BE49-F238E27FC236}">
              <a16:creationId xmlns:a16="http://schemas.microsoft.com/office/drawing/2014/main" id="{2BDBE88E-EA5B-2CCB-6CE1-0085D2E6107A}"/>
            </a:ext>
          </a:extLst>
        </xdr:cNvPr>
        <xdr:cNvSpPr>
          <a:spLocks noChangeArrowheads="1"/>
        </xdr:cNvSpPr>
      </xdr:nvSpPr>
      <xdr:spPr bwMode="auto">
        <a:xfrm>
          <a:off x="2260600" y="1397000"/>
          <a:ext cx="38100" cy="139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28575">
          <a:solidFill>
            <a:srgbClr xmlns:mc="http://schemas.openxmlformats.org/markup-compatibility/2006" xmlns:a14="http://schemas.microsoft.com/office/drawing/2010/main" val="FF6600" mc:Ignorable="a14" a14:legacySpreadsheetColorIndex="53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381000</xdr:colOff>
      <xdr:row>8</xdr:row>
      <xdr:rowOff>76200</xdr:rowOff>
    </xdr:from>
    <xdr:to>
      <xdr:col>3</xdr:col>
      <xdr:colOff>241300</xdr:colOff>
      <xdr:row>8</xdr:row>
      <xdr:rowOff>76200</xdr:rowOff>
    </xdr:to>
    <xdr:sp macro="" textlink="">
      <xdr:nvSpPr>
        <xdr:cNvPr id="56939" name="Line 8">
          <a:extLst>
            <a:ext uri="{FF2B5EF4-FFF2-40B4-BE49-F238E27FC236}">
              <a16:creationId xmlns:a16="http://schemas.microsoft.com/office/drawing/2014/main" id="{7E79DAE2-0906-9B1D-B156-BB8BF4DA0F8D}"/>
            </a:ext>
          </a:extLst>
        </xdr:cNvPr>
        <xdr:cNvSpPr>
          <a:spLocks noChangeShapeType="1"/>
        </xdr:cNvSpPr>
      </xdr:nvSpPr>
      <xdr:spPr bwMode="auto">
        <a:xfrm>
          <a:off x="1727200" y="1460500"/>
          <a:ext cx="53340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457200</xdr:colOff>
      <xdr:row>8</xdr:row>
      <xdr:rowOff>101600</xdr:rowOff>
    </xdr:from>
    <xdr:to>
      <xdr:col>6</xdr:col>
      <xdr:colOff>25400</xdr:colOff>
      <xdr:row>8</xdr:row>
      <xdr:rowOff>101600</xdr:rowOff>
    </xdr:to>
    <xdr:sp macro="" textlink="">
      <xdr:nvSpPr>
        <xdr:cNvPr id="56940" name="Line 9">
          <a:extLst>
            <a:ext uri="{FF2B5EF4-FFF2-40B4-BE49-F238E27FC236}">
              <a16:creationId xmlns:a16="http://schemas.microsoft.com/office/drawing/2014/main" id="{F4DC061A-CFBC-876A-5B87-7FCF33709C44}"/>
            </a:ext>
          </a:extLst>
        </xdr:cNvPr>
        <xdr:cNvSpPr>
          <a:spLocks noChangeShapeType="1"/>
        </xdr:cNvSpPr>
      </xdr:nvSpPr>
      <xdr:spPr bwMode="auto">
        <a:xfrm>
          <a:off x="2476500" y="1485900"/>
          <a:ext cx="15875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254000</xdr:colOff>
      <xdr:row>7</xdr:row>
      <xdr:rowOff>0</xdr:rowOff>
    </xdr:from>
    <xdr:to>
      <xdr:col>5</xdr:col>
      <xdr:colOff>254000</xdr:colOff>
      <xdr:row>7</xdr:row>
      <xdr:rowOff>0</xdr:rowOff>
    </xdr:to>
    <xdr:sp macro="" textlink="">
      <xdr:nvSpPr>
        <xdr:cNvPr id="56941" name="Line 10">
          <a:extLst>
            <a:ext uri="{FF2B5EF4-FFF2-40B4-BE49-F238E27FC236}">
              <a16:creationId xmlns:a16="http://schemas.microsoft.com/office/drawing/2014/main" id="{BF3D9442-3922-5BF1-D4CB-420B63B77196}"/>
            </a:ext>
          </a:extLst>
        </xdr:cNvPr>
        <xdr:cNvSpPr>
          <a:spLocks noChangeShapeType="1"/>
        </xdr:cNvSpPr>
      </xdr:nvSpPr>
      <xdr:spPr bwMode="auto">
        <a:xfrm>
          <a:off x="2946400" y="1219200"/>
          <a:ext cx="6731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139700</xdr:colOff>
      <xdr:row>8</xdr:row>
      <xdr:rowOff>101600</xdr:rowOff>
    </xdr:from>
    <xdr:to>
      <xdr:col>5</xdr:col>
      <xdr:colOff>139700</xdr:colOff>
      <xdr:row>15</xdr:row>
      <xdr:rowOff>0</xdr:rowOff>
    </xdr:to>
    <xdr:sp macro="" textlink="">
      <xdr:nvSpPr>
        <xdr:cNvPr id="56942" name="Line 11">
          <a:extLst>
            <a:ext uri="{FF2B5EF4-FFF2-40B4-BE49-F238E27FC236}">
              <a16:creationId xmlns:a16="http://schemas.microsoft.com/office/drawing/2014/main" id="{094FEC51-9E99-7029-870F-2455144F80B0}"/>
            </a:ext>
          </a:extLst>
        </xdr:cNvPr>
        <xdr:cNvSpPr>
          <a:spLocks noChangeShapeType="1"/>
        </xdr:cNvSpPr>
      </xdr:nvSpPr>
      <xdr:spPr bwMode="auto">
        <a:xfrm>
          <a:off x="3505200" y="1485900"/>
          <a:ext cx="0" cy="10541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88900</xdr:colOff>
      <xdr:row>11</xdr:row>
      <xdr:rowOff>140970</xdr:rowOff>
    </xdr:from>
    <xdr:ext cx="818823" cy="170560"/>
    <xdr:sp macro="" textlink="">
      <xdr:nvSpPr>
        <xdr:cNvPr id="35852" name="Text Box 12">
          <a:extLst>
            <a:ext uri="{FF2B5EF4-FFF2-40B4-BE49-F238E27FC236}">
              <a16:creationId xmlns:a16="http://schemas.microsoft.com/office/drawing/2014/main" id="{49B75200-A1E5-BC64-CAE9-3BCB06DD9F48}"/>
            </a:ext>
          </a:extLst>
        </xdr:cNvPr>
        <xdr:cNvSpPr txBox="1">
          <a:spLocks noChangeArrowheads="1"/>
        </xdr:cNvSpPr>
      </xdr:nvSpPr>
      <xdr:spPr bwMode="auto">
        <a:xfrm>
          <a:off x="76200" y="2038350"/>
          <a:ext cx="795089" cy="170560"/>
        </a:xfrm>
        <a:prstGeom prst="rect">
          <a:avLst/>
        </a:prstGeom>
        <a:noFill/>
        <a:ln>
          <a:noFill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Smooth Wall</a:t>
          </a:r>
        </a:p>
      </xdr:txBody>
    </xdr:sp>
    <xdr:clientData/>
  </xdr:oneCellAnchor>
  <xdr:twoCellAnchor>
    <xdr:from>
      <xdr:col>1</xdr:col>
      <xdr:colOff>317500</xdr:colOff>
      <xdr:row>12</xdr:row>
      <xdr:rowOff>50800</xdr:rowOff>
    </xdr:from>
    <xdr:to>
      <xdr:col>2</xdr:col>
      <xdr:colOff>381000</xdr:colOff>
      <xdr:row>14</xdr:row>
      <xdr:rowOff>139700</xdr:rowOff>
    </xdr:to>
    <xdr:sp macro="" textlink="">
      <xdr:nvSpPr>
        <xdr:cNvPr id="56944" name="Line 13">
          <a:extLst>
            <a:ext uri="{FF2B5EF4-FFF2-40B4-BE49-F238E27FC236}">
              <a16:creationId xmlns:a16="http://schemas.microsoft.com/office/drawing/2014/main" id="{860B9DF2-44D5-90BA-449E-BAB718DF4C08}"/>
            </a:ext>
          </a:extLst>
        </xdr:cNvPr>
        <xdr:cNvSpPr>
          <a:spLocks noChangeShapeType="1"/>
        </xdr:cNvSpPr>
      </xdr:nvSpPr>
      <xdr:spPr bwMode="auto">
        <a:xfrm flipH="1" flipV="1">
          <a:off x="990600" y="2095500"/>
          <a:ext cx="736600" cy="4191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635000</xdr:colOff>
      <xdr:row>7</xdr:row>
      <xdr:rowOff>139700</xdr:rowOff>
    </xdr:from>
    <xdr:to>
      <xdr:col>2</xdr:col>
      <xdr:colOff>660400</xdr:colOff>
      <xdr:row>11</xdr:row>
      <xdr:rowOff>152400</xdr:rowOff>
    </xdr:to>
    <xdr:sp macro="" textlink="">
      <xdr:nvSpPr>
        <xdr:cNvPr id="56945" name="Line 14">
          <a:extLst>
            <a:ext uri="{FF2B5EF4-FFF2-40B4-BE49-F238E27FC236}">
              <a16:creationId xmlns:a16="http://schemas.microsoft.com/office/drawing/2014/main" id="{60BB87E2-84C3-C5B2-B921-9775EFB3E174}"/>
            </a:ext>
          </a:extLst>
        </xdr:cNvPr>
        <xdr:cNvSpPr>
          <a:spLocks noChangeShapeType="1"/>
        </xdr:cNvSpPr>
      </xdr:nvSpPr>
      <xdr:spPr bwMode="auto">
        <a:xfrm flipH="1">
          <a:off x="1981200" y="1358900"/>
          <a:ext cx="25400" cy="6731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241300</xdr:colOff>
      <xdr:row>14</xdr:row>
      <xdr:rowOff>152400</xdr:rowOff>
    </xdr:from>
    <xdr:to>
      <xdr:col>5</xdr:col>
      <xdr:colOff>203200</xdr:colOff>
      <xdr:row>14</xdr:row>
      <xdr:rowOff>152400</xdr:rowOff>
    </xdr:to>
    <xdr:sp macro="" textlink="">
      <xdr:nvSpPr>
        <xdr:cNvPr id="56946" name="Line 15">
          <a:extLst>
            <a:ext uri="{FF2B5EF4-FFF2-40B4-BE49-F238E27FC236}">
              <a16:creationId xmlns:a16="http://schemas.microsoft.com/office/drawing/2014/main" id="{891864CC-74AB-E28B-E312-A73517380487}"/>
            </a:ext>
          </a:extLst>
        </xdr:cNvPr>
        <xdr:cNvSpPr>
          <a:spLocks noChangeShapeType="1"/>
        </xdr:cNvSpPr>
      </xdr:nvSpPr>
      <xdr:spPr bwMode="auto">
        <a:xfrm>
          <a:off x="2933700" y="2527300"/>
          <a:ext cx="6350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5</xdr:col>
      <xdr:colOff>42422</xdr:colOff>
      <xdr:row>9</xdr:row>
      <xdr:rowOff>100321</xdr:rowOff>
    </xdr:from>
    <xdr:ext cx="292790" cy="573491"/>
    <xdr:sp macro="" textlink="">
      <xdr:nvSpPr>
        <xdr:cNvPr id="35856" name="Text Box 16">
          <a:extLst>
            <a:ext uri="{FF2B5EF4-FFF2-40B4-BE49-F238E27FC236}">
              <a16:creationId xmlns:a16="http://schemas.microsoft.com/office/drawing/2014/main" id="{ED7BD30B-CB22-1798-B2DB-F4CFC7754E20}"/>
            </a:ext>
          </a:extLst>
        </xdr:cNvPr>
        <xdr:cNvSpPr txBox="1">
          <a:spLocks noChangeArrowheads="1"/>
        </xdr:cNvSpPr>
      </xdr:nvSpPr>
      <xdr:spPr bwMode="auto">
        <a:xfrm>
          <a:off x="3077722" y="1662421"/>
          <a:ext cx="280590" cy="573491"/>
        </a:xfrm>
        <a:prstGeom prst="rect">
          <a:avLst/>
        </a:prstGeom>
        <a:noFill/>
        <a:ln>
          <a:noFill/>
        </a:ln>
      </xdr:spPr>
      <xdr:txBody>
        <a:bodyPr vert="vert270" wrap="none" lIns="18288" tIns="22860" rIns="18288" bIns="22860" anchor="ctr" upright="1">
          <a:spAutoFit/>
        </a:bodyPr>
        <a:lstStyle/>
        <a:p>
          <a:pPr algn="ctr" rtl="0">
            <a:lnSpc>
              <a:spcPts val="1000"/>
            </a:lnSpc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2'-3"</a:t>
          </a:r>
          <a:endParaRPr lang="en-US" sz="1000" b="1" i="0" u="none" strike="noStrike" baseline="0">
            <a:solidFill>
              <a:srgbClr val="FF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(686mm)</a:t>
          </a:r>
        </a:p>
      </xdr:txBody>
    </xdr:sp>
    <xdr:clientData/>
  </xdr:oneCellAnchor>
  <xdr:twoCellAnchor>
    <xdr:from>
      <xdr:col>2</xdr:col>
      <xdr:colOff>25400</xdr:colOff>
      <xdr:row>11</xdr:row>
      <xdr:rowOff>0</xdr:rowOff>
    </xdr:from>
    <xdr:to>
      <xdr:col>2</xdr:col>
      <xdr:colOff>647700</xdr:colOff>
      <xdr:row>11</xdr:row>
      <xdr:rowOff>0</xdr:rowOff>
    </xdr:to>
    <xdr:sp macro="" textlink="">
      <xdr:nvSpPr>
        <xdr:cNvPr id="56948" name="Line 17">
          <a:extLst>
            <a:ext uri="{FF2B5EF4-FFF2-40B4-BE49-F238E27FC236}">
              <a16:creationId xmlns:a16="http://schemas.microsoft.com/office/drawing/2014/main" id="{399E1D34-7125-20E5-0F2D-7E604F78EC95}"/>
            </a:ext>
          </a:extLst>
        </xdr:cNvPr>
        <xdr:cNvSpPr>
          <a:spLocks noChangeShapeType="1"/>
        </xdr:cNvSpPr>
      </xdr:nvSpPr>
      <xdr:spPr bwMode="auto">
        <a:xfrm>
          <a:off x="1371600" y="1879600"/>
          <a:ext cx="6223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660400</xdr:colOff>
      <xdr:row>11</xdr:row>
      <xdr:rowOff>0</xdr:rowOff>
    </xdr:from>
    <xdr:to>
      <xdr:col>3</xdr:col>
      <xdr:colOff>635000</xdr:colOff>
      <xdr:row>11</xdr:row>
      <xdr:rowOff>0</xdr:rowOff>
    </xdr:to>
    <xdr:sp macro="" textlink="">
      <xdr:nvSpPr>
        <xdr:cNvPr id="56949" name="Line 18">
          <a:extLst>
            <a:ext uri="{FF2B5EF4-FFF2-40B4-BE49-F238E27FC236}">
              <a16:creationId xmlns:a16="http://schemas.microsoft.com/office/drawing/2014/main" id="{399BA2AD-8A84-DFB2-0083-22C369BD0EE6}"/>
            </a:ext>
          </a:extLst>
        </xdr:cNvPr>
        <xdr:cNvSpPr>
          <a:spLocks noChangeShapeType="1"/>
        </xdr:cNvSpPr>
      </xdr:nvSpPr>
      <xdr:spPr bwMode="auto">
        <a:xfrm>
          <a:off x="2006600" y="1879600"/>
          <a:ext cx="6477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1</xdr:col>
      <xdr:colOff>661670</xdr:colOff>
      <xdr:row>9</xdr:row>
      <xdr:rowOff>149225</xdr:rowOff>
    </xdr:from>
    <xdr:to>
      <xdr:col>3</xdr:col>
      <xdr:colOff>85403</xdr:colOff>
      <xdr:row>14</xdr:row>
      <xdr:rowOff>226</xdr:rowOff>
    </xdr:to>
    <xdr:sp macro="" textlink="">
      <xdr:nvSpPr>
        <xdr:cNvPr id="35859" name="Text Box 19">
          <a:extLst>
            <a:ext uri="{FF2B5EF4-FFF2-40B4-BE49-F238E27FC236}">
              <a16:creationId xmlns:a16="http://schemas.microsoft.com/office/drawing/2014/main" id="{D707AF99-FFC3-AB15-BE5F-77838F6289A8}"/>
            </a:ext>
          </a:extLst>
        </xdr:cNvPr>
        <xdr:cNvSpPr txBox="1">
          <a:spLocks noChangeArrowheads="1"/>
        </xdr:cNvSpPr>
      </xdr:nvSpPr>
      <xdr:spPr bwMode="auto">
        <a:xfrm>
          <a:off x="1209675" y="1685925"/>
          <a:ext cx="685800" cy="657225"/>
        </a:xfrm>
        <a:prstGeom prst="rect">
          <a:avLst/>
        </a:prstGeom>
        <a:noFill/>
        <a:ln>
          <a:noFill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1'-3" Min.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(381mm)</a:t>
          </a:r>
        </a:p>
        <a:p>
          <a:pPr algn="ctr" rtl="0">
            <a:defRPr sz="1000"/>
          </a:pPr>
          <a:r>
            <a:rPr lang="en-US" sz="800" b="1" i="1" u="none" strike="noStrike" baseline="0">
              <a:solidFill>
                <a:srgbClr val="FF0000"/>
              </a:solidFill>
              <a:latin typeface="Arial"/>
              <a:cs typeface="Arial"/>
            </a:rPr>
            <a:t>See </a:t>
          </a:r>
        </a:p>
        <a:p>
          <a:pPr algn="ctr" rtl="0">
            <a:defRPr sz="1000"/>
          </a:pPr>
          <a:r>
            <a:rPr lang="en-US" sz="800" b="1" i="1" u="none" strike="noStrike" baseline="0">
              <a:solidFill>
                <a:srgbClr val="FF0000"/>
              </a:solidFill>
              <a:latin typeface="Arial"/>
              <a:cs typeface="Arial"/>
            </a:rPr>
            <a:t>Note12</a:t>
          </a: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 editAs="oneCell">
    <xdr:from>
      <xdr:col>2</xdr:col>
      <xdr:colOff>654050</xdr:colOff>
      <xdr:row>10</xdr:row>
      <xdr:rowOff>0</xdr:rowOff>
    </xdr:from>
    <xdr:to>
      <xdr:col>4</xdr:col>
      <xdr:colOff>82128</xdr:colOff>
      <xdr:row>14</xdr:row>
      <xdr:rowOff>149553</xdr:rowOff>
    </xdr:to>
    <xdr:sp macro="" textlink="">
      <xdr:nvSpPr>
        <xdr:cNvPr id="35860" name="Text Box 20">
          <a:extLst>
            <a:ext uri="{FF2B5EF4-FFF2-40B4-BE49-F238E27FC236}">
              <a16:creationId xmlns:a16="http://schemas.microsoft.com/office/drawing/2014/main" id="{53BDA3A4-650D-E703-28D9-1EEE6AFFFA09}"/>
            </a:ext>
          </a:extLst>
        </xdr:cNvPr>
        <xdr:cNvSpPr txBox="1">
          <a:spLocks noChangeArrowheads="1"/>
        </xdr:cNvSpPr>
      </xdr:nvSpPr>
      <xdr:spPr bwMode="auto">
        <a:xfrm>
          <a:off x="1800225" y="1695450"/>
          <a:ext cx="733425" cy="800100"/>
        </a:xfrm>
        <a:prstGeom prst="rect">
          <a:avLst/>
        </a:prstGeom>
        <a:noFill/>
        <a:ln>
          <a:noFill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1'-3" Min.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(381mm)</a:t>
          </a:r>
        </a:p>
        <a:p>
          <a:pPr algn="ctr" rtl="0">
            <a:defRPr sz="1000"/>
          </a:pPr>
          <a:r>
            <a:rPr lang="en-US" sz="800" b="1" i="1" u="none" strike="noStrike" baseline="0">
              <a:solidFill>
                <a:srgbClr val="FF0000"/>
              </a:solidFill>
              <a:latin typeface="Arial"/>
              <a:cs typeface="Arial"/>
            </a:rPr>
            <a:t>See </a:t>
          </a:r>
        </a:p>
        <a:p>
          <a:pPr algn="ctr" rtl="0">
            <a:defRPr sz="1000"/>
          </a:pPr>
          <a:r>
            <a:rPr lang="en-US" sz="800" b="1" i="1" u="none" strike="noStrike" baseline="0">
              <a:solidFill>
                <a:srgbClr val="FF0000"/>
              </a:solidFill>
              <a:latin typeface="Arial"/>
              <a:cs typeface="Arial"/>
            </a:rPr>
            <a:t>Note12</a:t>
          </a: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5</xdr:col>
      <xdr:colOff>139700</xdr:colOff>
      <xdr:row>6</xdr:row>
      <xdr:rowOff>152400</xdr:rowOff>
    </xdr:from>
    <xdr:to>
      <xdr:col>5</xdr:col>
      <xdr:colOff>139700</xdr:colOff>
      <xdr:row>8</xdr:row>
      <xdr:rowOff>76200</xdr:rowOff>
    </xdr:to>
    <xdr:sp macro="" textlink="">
      <xdr:nvSpPr>
        <xdr:cNvPr id="56952" name="Line 21">
          <a:extLst>
            <a:ext uri="{FF2B5EF4-FFF2-40B4-BE49-F238E27FC236}">
              <a16:creationId xmlns:a16="http://schemas.microsoft.com/office/drawing/2014/main" id="{ECDBA0E3-4DA0-DCED-0B39-B207120F4D44}"/>
            </a:ext>
          </a:extLst>
        </xdr:cNvPr>
        <xdr:cNvSpPr>
          <a:spLocks noChangeShapeType="1"/>
        </xdr:cNvSpPr>
      </xdr:nvSpPr>
      <xdr:spPr bwMode="auto">
        <a:xfrm flipV="1">
          <a:off x="3505200" y="1206500"/>
          <a:ext cx="0" cy="2540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660400</xdr:colOff>
      <xdr:row>8</xdr:row>
      <xdr:rowOff>114300</xdr:rowOff>
    </xdr:from>
    <xdr:to>
      <xdr:col>5</xdr:col>
      <xdr:colOff>660400</xdr:colOff>
      <xdr:row>16</xdr:row>
      <xdr:rowOff>139700</xdr:rowOff>
    </xdr:to>
    <xdr:sp macro="" textlink="">
      <xdr:nvSpPr>
        <xdr:cNvPr id="56953" name="Line 22">
          <a:extLst>
            <a:ext uri="{FF2B5EF4-FFF2-40B4-BE49-F238E27FC236}">
              <a16:creationId xmlns:a16="http://schemas.microsoft.com/office/drawing/2014/main" id="{A83A6C95-5A69-BBB2-BC77-ABD4D19B9A1B}"/>
            </a:ext>
          </a:extLst>
        </xdr:cNvPr>
        <xdr:cNvSpPr>
          <a:spLocks noChangeShapeType="1"/>
        </xdr:cNvSpPr>
      </xdr:nvSpPr>
      <xdr:spPr bwMode="auto">
        <a:xfrm flipV="1">
          <a:off x="4025900" y="1498600"/>
          <a:ext cx="0" cy="13462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5</xdr:col>
      <xdr:colOff>507888</xdr:colOff>
      <xdr:row>10</xdr:row>
      <xdr:rowOff>134467</xdr:rowOff>
    </xdr:from>
    <xdr:ext cx="484283" cy="607217"/>
    <xdr:sp macro="" textlink="">
      <xdr:nvSpPr>
        <xdr:cNvPr id="35863" name="Text Box 23">
          <a:extLst>
            <a:ext uri="{FF2B5EF4-FFF2-40B4-BE49-F238E27FC236}">
              <a16:creationId xmlns:a16="http://schemas.microsoft.com/office/drawing/2014/main" id="{FC797A12-424C-34F9-F116-DCF139876D83}"/>
            </a:ext>
          </a:extLst>
        </xdr:cNvPr>
        <xdr:cNvSpPr txBox="1">
          <a:spLocks noChangeArrowheads="1"/>
        </xdr:cNvSpPr>
      </xdr:nvSpPr>
      <xdr:spPr bwMode="auto">
        <a:xfrm>
          <a:off x="3499373" y="1868017"/>
          <a:ext cx="449803" cy="599331"/>
        </a:xfrm>
        <a:prstGeom prst="rect">
          <a:avLst/>
        </a:prstGeom>
        <a:noFill/>
        <a:ln>
          <a:noFill/>
        </a:ln>
      </xdr:spPr>
      <xdr:txBody>
        <a:bodyPr vert="vert270" wrap="none" lIns="18288" tIns="22860" rIns="18288" bIns="22860" anchor="ctr" upright="1">
          <a:spAutoFit/>
        </a:bodyPr>
        <a:lstStyle/>
        <a:p>
          <a:pPr algn="ctr" rtl="0">
            <a:lnSpc>
              <a:spcPts val="1100"/>
            </a:lnSpc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2'-6"</a:t>
          </a:r>
          <a:endParaRPr lang="en-US" sz="1000" b="1" i="0" u="none" strike="noStrike" baseline="0">
            <a:solidFill>
              <a:srgbClr val="FF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(762mm)</a:t>
          </a:r>
        </a:p>
        <a:p>
          <a:pPr algn="ctr" rtl="0">
            <a:lnSpc>
              <a:spcPts val="700"/>
            </a:lnSpc>
            <a:defRPr sz="1000"/>
          </a:pPr>
          <a:r>
            <a:rPr lang="en-US" sz="800" b="1" i="1" u="none" strike="noStrike" baseline="0">
              <a:solidFill>
                <a:srgbClr val="FF0000"/>
              </a:solidFill>
              <a:latin typeface="Arial"/>
              <a:cs typeface="Arial"/>
            </a:rPr>
            <a:t>See Note11</a:t>
          </a:r>
        </a:p>
      </xdr:txBody>
    </xdr:sp>
    <xdr:clientData/>
  </xdr:oneCellAnchor>
  <xdr:oneCellAnchor>
    <xdr:from>
      <xdr:col>0</xdr:col>
      <xdr:colOff>136525</xdr:colOff>
      <xdr:row>17</xdr:row>
      <xdr:rowOff>140970</xdr:rowOff>
    </xdr:from>
    <xdr:ext cx="1194173" cy="170560"/>
    <xdr:sp macro="" textlink="">
      <xdr:nvSpPr>
        <xdr:cNvPr id="35864" name="Text Box 24">
          <a:extLst>
            <a:ext uri="{FF2B5EF4-FFF2-40B4-BE49-F238E27FC236}">
              <a16:creationId xmlns:a16="http://schemas.microsoft.com/office/drawing/2014/main" id="{B59ECFA4-1BBE-8BA8-7A5D-F54DAB61427D}"/>
            </a:ext>
          </a:extLst>
        </xdr:cNvPr>
        <xdr:cNvSpPr txBox="1">
          <a:spLocks noChangeArrowheads="1"/>
        </xdr:cNvSpPr>
      </xdr:nvSpPr>
      <xdr:spPr bwMode="auto">
        <a:xfrm>
          <a:off x="123825" y="3044190"/>
          <a:ext cx="1194173" cy="170560"/>
        </a:xfrm>
        <a:prstGeom prst="rect">
          <a:avLst/>
        </a:prstGeom>
        <a:noFill/>
        <a:ln>
          <a:noFill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Other Obstructions</a:t>
          </a:r>
        </a:p>
      </xdr:txBody>
    </xdr:sp>
    <xdr:clientData/>
  </xdr:oneCellAnchor>
  <xdr:twoCellAnchor>
    <xdr:from>
      <xdr:col>2</xdr:col>
      <xdr:colOff>342900</xdr:colOff>
      <xdr:row>17</xdr:row>
      <xdr:rowOff>12700</xdr:rowOff>
    </xdr:from>
    <xdr:to>
      <xdr:col>2</xdr:col>
      <xdr:colOff>342900</xdr:colOff>
      <xdr:row>18</xdr:row>
      <xdr:rowOff>63500</xdr:rowOff>
    </xdr:to>
    <xdr:sp macro="" textlink="">
      <xdr:nvSpPr>
        <xdr:cNvPr id="56956" name="Line 25">
          <a:extLst>
            <a:ext uri="{FF2B5EF4-FFF2-40B4-BE49-F238E27FC236}">
              <a16:creationId xmlns:a16="http://schemas.microsoft.com/office/drawing/2014/main" id="{69DA2C7B-9891-6EF6-CDD9-C8EE342DF593}"/>
            </a:ext>
          </a:extLst>
        </xdr:cNvPr>
        <xdr:cNvSpPr>
          <a:spLocks noChangeShapeType="1"/>
        </xdr:cNvSpPr>
      </xdr:nvSpPr>
      <xdr:spPr bwMode="auto">
        <a:xfrm>
          <a:off x="1689100" y="2882900"/>
          <a:ext cx="0" cy="2159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88900</xdr:colOff>
      <xdr:row>18</xdr:row>
      <xdr:rowOff>76200</xdr:rowOff>
    </xdr:from>
    <xdr:to>
      <xdr:col>2</xdr:col>
      <xdr:colOff>330200</xdr:colOff>
      <xdr:row>18</xdr:row>
      <xdr:rowOff>76200</xdr:rowOff>
    </xdr:to>
    <xdr:sp macro="" textlink="">
      <xdr:nvSpPr>
        <xdr:cNvPr id="56957" name="Line 26">
          <a:extLst>
            <a:ext uri="{FF2B5EF4-FFF2-40B4-BE49-F238E27FC236}">
              <a16:creationId xmlns:a16="http://schemas.microsoft.com/office/drawing/2014/main" id="{152B2C9F-2025-883E-F8C4-E4ACF97A3958}"/>
            </a:ext>
          </a:extLst>
        </xdr:cNvPr>
        <xdr:cNvSpPr>
          <a:spLocks noChangeShapeType="1"/>
        </xdr:cNvSpPr>
      </xdr:nvSpPr>
      <xdr:spPr bwMode="auto">
        <a:xfrm>
          <a:off x="1435100" y="3111500"/>
          <a:ext cx="2413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139700</xdr:colOff>
      <xdr:row>3</xdr:row>
      <xdr:rowOff>139700</xdr:rowOff>
    </xdr:from>
    <xdr:to>
      <xdr:col>5</xdr:col>
      <xdr:colOff>139700</xdr:colOff>
      <xdr:row>6</xdr:row>
      <xdr:rowOff>139700</xdr:rowOff>
    </xdr:to>
    <xdr:sp macro="" textlink="">
      <xdr:nvSpPr>
        <xdr:cNvPr id="56958" name="Line 27">
          <a:extLst>
            <a:ext uri="{FF2B5EF4-FFF2-40B4-BE49-F238E27FC236}">
              <a16:creationId xmlns:a16="http://schemas.microsoft.com/office/drawing/2014/main" id="{12A3E4C7-1B39-8CF3-006A-566053290404}"/>
            </a:ext>
          </a:extLst>
        </xdr:cNvPr>
        <xdr:cNvSpPr>
          <a:spLocks noChangeShapeType="1"/>
        </xdr:cNvSpPr>
      </xdr:nvSpPr>
      <xdr:spPr bwMode="auto">
        <a:xfrm flipV="1">
          <a:off x="3505200" y="698500"/>
          <a:ext cx="0" cy="4953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4</xdr:col>
      <xdr:colOff>591820</xdr:colOff>
      <xdr:row>2</xdr:row>
      <xdr:rowOff>60960</xdr:rowOff>
    </xdr:from>
    <xdr:to>
      <xdr:col>5</xdr:col>
      <xdr:colOff>458882</xdr:colOff>
      <xdr:row>7</xdr:row>
      <xdr:rowOff>11502</xdr:rowOff>
    </xdr:to>
    <xdr:sp macro="" textlink="">
      <xdr:nvSpPr>
        <xdr:cNvPr id="35869" name="Text Box 29">
          <a:extLst>
            <a:ext uri="{FF2B5EF4-FFF2-40B4-BE49-F238E27FC236}">
              <a16:creationId xmlns:a16="http://schemas.microsoft.com/office/drawing/2014/main" id="{FAF4DDBB-9A7F-711C-652E-0EC16C808C47}"/>
            </a:ext>
          </a:extLst>
        </xdr:cNvPr>
        <xdr:cNvSpPr txBox="1">
          <a:spLocks noChangeArrowheads="1"/>
        </xdr:cNvSpPr>
      </xdr:nvSpPr>
      <xdr:spPr bwMode="auto">
        <a:xfrm>
          <a:off x="2990850" y="457200"/>
          <a:ext cx="466725" cy="781050"/>
        </a:xfrm>
        <a:prstGeom prst="rect">
          <a:avLst/>
        </a:prstGeom>
        <a:noFill/>
        <a:ln>
          <a:noFill/>
        </a:ln>
      </xdr:spPr>
      <xdr:txBody>
        <a:bodyPr vertOverflow="clip" vert="vert270" wrap="square" lIns="27432" tIns="22860" rIns="27432" bIns="22860" anchor="ctr" upright="1"/>
        <a:lstStyle/>
        <a:p>
          <a:pPr algn="ctr" rtl="0">
            <a:lnSpc>
              <a:spcPts val="1100"/>
            </a:lnSpc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7" Min.</a:t>
          </a:r>
          <a:endParaRPr lang="en-US" sz="1000" b="1" i="0" u="none" strike="noStrike" baseline="0">
            <a:solidFill>
              <a:srgbClr val="FF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(178mm)</a:t>
          </a:r>
        </a:p>
        <a:p>
          <a:pPr algn="ctr" rtl="0">
            <a:lnSpc>
              <a:spcPts val="1000"/>
            </a:lnSpc>
            <a:defRPr sz="1000"/>
          </a:pPr>
          <a:r>
            <a:rPr lang="en-US" sz="800" b="1" i="1" u="none" strike="noStrike" baseline="0">
              <a:solidFill>
                <a:srgbClr val="FF0000"/>
              </a:solidFill>
              <a:latin typeface="Arial"/>
              <a:cs typeface="Arial"/>
            </a:rPr>
            <a:t>See Note13</a:t>
          </a:r>
        </a:p>
      </xdr:txBody>
    </xdr:sp>
    <xdr:clientData/>
  </xdr:twoCellAnchor>
  <xdr:oneCellAnchor>
    <xdr:from>
      <xdr:col>0</xdr:col>
      <xdr:colOff>369570</xdr:colOff>
      <xdr:row>18</xdr:row>
      <xdr:rowOff>140970</xdr:rowOff>
    </xdr:from>
    <xdr:ext cx="3262681" cy="251479"/>
    <xdr:sp macro="" textlink="">
      <xdr:nvSpPr>
        <xdr:cNvPr id="35870" name="Text Box 30">
          <a:extLst>
            <a:ext uri="{FF2B5EF4-FFF2-40B4-BE49-F238E27FC236}">
              <a16:creationId xmlns:a16="http://schemas.microsoft.com/office/drawing/2014/main" id="{5AD57FBA-5284-4748-AA07-46FFEEF8322C}"/>
            </a:ext>
          </a:extLst>
        </xdr:cNvPr>
        <xdr:cNvSpPr txBox="1">
          <a:spLocks noChangeArrowheads="1"/>
        </xdr:cNvSpPr>
      </xdr:nvSpPr>
      <xdr:spPr bwMode="auto">
        <a:xfrm>
          <a:off x="331470" y="3211830"/>
          <a:ext cx="3239541" cy="251479"/>
        </a:xfrm>
        <a:prstGeom prst="rect">
          <a:avLst/>
        </a:prstGeom>
        <a:noFill/>
        <a:ln>
          <a:noFill/>
        </a:ln>
      </xdr:spPr>
      <xdr:txBody>
        <a:bodyPr wrap="none" lIns="27432" tIns="32004" rIns="0" bIns="0" anchor="t" upright="1">
          <a:spAutoFit/>
        </a:bodyPr>
        <a:lstStyle/>
        <a:p>
          <a:pPr algn="l" rtl="0">
            <a:defRPr sz="1000"/>
          </a:pPr>
          <a:r>
            <a:rPr lang="en-US" sz="1400" b="1" i="0" u="sng" strike="noStrike" baseline="0">
              <a:solidFill>
                <a:srgbClr val="0000FF"/>
              </a:solidFill>
              <a:latin typeface="Roman"/>
            </a:rPr>
            <a:t>Clearance Diagram for Fixed Ladder in Well</a:t>
          </a:r>
        </a:p>
      </xdr:txBody>
    </xdr:sp>
    <xdr:clientData/>
  </xdr:oneCellAnchor>
  <xdr:oneCellAnchor>
    <xdr:from>
      <xdr:col>2</xdr:col>
      <xdr:colOff>273050</xdr:colOff>
      <xdr:row>20</xdr:row>
      <xdr:rowOff>72390</xdr:rowOff>
    </xdr:from>
    <xdr:ext cx="628866" cy="170560"/>
    <xdr:sp macro="" textlink="">
      <xdr:nvSpPr>
        <xdr:cNvPr id="35871" name="Text Box 31">
          <a:extLst>
            <a:ext uri="{FF2B5EF4-FFF2-40B4-BE49-F238E27FC236}">
              <a16:creationId xmlns:a16="http://schemas.microsoft.com/office/drawing/2014/main" id="{81B40691-7BE3-FF90-3DCD-663E258E88FC}"/>
            </a:ext>
          </a:extLst>
        </xdr:cNvPr>
        <xdr:cNvSpPr txBox="1">
          <a:spLocks noChangeArrowheads="1"/>
        </xdr:cNvSpPr>
      </xdr:nvSpPr>
      <xdr:spPr bwMode="auto">
        <a:xfrm>
          <a:off x="1466850" y="3478530"/>
          <a:ext cx="617220" cy="170560"/>
        </a:xfrm>
        <a:prstGeom prst="rect">
          <a:avLst/>
        </a:prstGeom>
        <a:noFill/>
        <a:ln>
          <a:noFill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Plan View</a:t>
          </a:r>
        </a:p>
      </xdr:txBody>
    </xdr:sp>
    <xdr:clientData/>
  </xdr:oneCellAnchor>
  <xdr:oneCellAnchor>
    <xdr:from>
      <xdr:col>1</xdr:col>
      <xdr:colOff>88900</xdr:colOff>
      <xdr:row>4</xdr:row>
      <xdr:rowOff>11430</xdr:rowOff>
    </xdr:from>
    <xdr:ext cx="840305" cy="170560"/>
    <xdr:sp macro="" textlink="">
      <xdr:nvSpPr>
        <xdr:cNvPr id="35872" name="Text Box 32">
          <a:extLst>
            <a:ext uri="{FF2B5EF4-FFF2-40B4-BE49-F238E27FC236}">
              <a16:creationId xmlns:a16="http://schemas.microsoft.com/office/drawing/2014/main" id="{F6D59B74-A7DB-EF56-FE77-73A37EFC760A}"/>
            </a:ext>
          </a:extLst>
        </xdr:cNvPr>
        <xdr:cNvSpPr txBox="1">
          <a:spLocks noChangeArrowheads="1"/>
        </xdr:cNvSpPr>
      </xdr:nvSpPr>
      <xdr:spPr bwMode="auto">
        <a:xfrm>
          <a:off x="685800" y="735330"/>
          <a:ext cx="816634" cy="170560"/>
        </a:xfrm>
        <a:prstGeom prst="rect">
          <a:avLst/>
        </a:prstGeom>
        <a:noFill/>
        <a:ln>
          <a:noFill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Fixed Ladder</a:t>
          </a:r>
        </a:p>
      </xdr:txBody>
    </xdr:sp>
    <xdr:clientData/>
  </xdr:oneCellAnchor>
  <xdr:twoCellAnchor>
    <xdr:from>
      <xdr:col>2</xdr:col>
      <xdr:colOff>355600</xdr:colOff>
      <xdr:row>4</xdr:row>
      <xdr:rowOff>139700</xdr:rowOff>
    </xdr:from>
    <xdr:to>
      <xdr:col>3</xdr:col>
      <xdr:colOff>76200</xdr:colOff>
      <xdr:row>8</xdr:row>
      <xdr:rowOff>63500</xdr:rowOff>
    </xdr:to>
    <xdr:sp macro="" textlink="">
      <xdr:nvSpPr>
        <xdr:cNvPr id="56963" name="Line 33">
          <a:extLst>
            <a:ext uri="{FF2B5EF4-FFF2-40B4-BE49-F238E27FC236}">
              <a16:creationId xmlns:a16="http://schemas.microsoft.com/office/drawing/2014/main" id="{C9F09AEA-594E-7BDA-3D77-7C46AAC8CC60}"/>
            </a:ext>
          </a:extLst>
        </xdr:cNvPr>
        <xdr:cNvSpPr>
          <a:spLocks noChangeShapeType="1"/>
        </xdr:cNvSpPr>
      </xdr:nvSpPr>
      <xdr:spPr bwMode="auto">
        <a:xfrm flipH="1" flipV="1">
          <a:off x="1701800" y="863600"/>
          <a:ext cx="393700" cy="5842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457200</xdr:colOff>
      <xdr:row>23</xdr:row>
      <xdr:rowOff>139700</xdr:rowOff>
    </xdr:from>
    <xdr:to>
      <xdr:col>1</xdr:col>
      <xdr:colOff>457200</xdr:colOff>
      <xdr:row>28</xdr:row>
      <xdr:rowOff>12700</xdr:rowOff>
    </xdr:to>
    <xdr:sp macro="" textlink="">
      <xdr:nvSpPr>
        <xdr:cNvPr id="56964" name="Line 34">
          <a:extLst>
            <a:ext uri="{FF2B5EF4-FFF2-40B4-BE49-F238E27FC236}">
              <a16:creationId xmlns:a16="http://schemas.microsoft.com/office/drawing/2014/main" id="{AA3DB8B5-D5E1-6B93-D7B1-C7900C7B8EF3}"/>
            </a:ext>
          </a:extLst>
        </xdr:cNvPr>
        <xdr:cNvSpPr>
          <a:spLocks noChangeShapeType="1"/>
        </xdr:cNvSpPr>
      </xdr:nvSpPr>
      <xdr:spPr bwMode="auto">
        <a:xfrm>
          <a:off x="1130300" y="4000500"/>
          <a:ext cx="0" cy="698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FF6600" mc:Ignorable="a14" a14:legacySpreadsheetColorIndex="53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0</xdr:colOff>
      <xdr:row>24</xdr:row>
      <xdr:rowOff>101600</xdr:rowOff>
    </xdr:from>
    <xdr:to>
      <xdr:col>2</xdr:col>
      <xdr:colOff>0</xdr:colOff>
      <xdr:row>28</xdr:row>
      <xdr:rowOff>114300</xdr:rowOff>
    </xdr:to>
    <xdr:sp macro="" textlink="">
      <xdr:nvSpPr>
        <xdr:cNvPr id="56965" name="Line 35">
          <a:extLst>
            <a:ext uri="{FF2B5EF4-FFF2-40B4-BE49-F238E27FC236}">
              <a16:creationId xmlns:a16="http://schemas.microsoft.com/office/drawing/2014/main" id="{FDD36978-50FD-6875-AB9F-2D5B09B71C9B}"/>
            </a:ext>
          </a:extLst>
        </xdr:cNvPr>
        <xdr:cNvSpPr>
          <a:spLocks noChangeShapeType="1"/>
        </xdr:cNvSpPr>
      </xdr:nvSpPr>
      <xdr:spPr bwMode="auto">
        <a:xfrm>
          <a:off x="1346200" y="4127500"/>
          <a:ext cx="0" cy="6731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FF6600" mc:Ignorable="a14" a14:legacySpreadsheetColorIndex="53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444500</xdr:colOff>
      <xdr:row>27</xdr:row>
      <xdr:rowOff>63500</xdr:rowOff>
    </xdr:from>
    <xdr:to>
      <xdr:col>2</xdr:col>
      <xdr:colOff>0</xdr:colOff>
      <xdr:row>27</xdr:row>
      <xdr:rowOff>63500</xdr:rowOff>
    </xdr:to>
    <xdr:sp macro="" textlink="">
      <xdr:nvSpPr>
        <xdr:cNvPr id="56966" name="Line 36">
          <a:extLst>
            <a:ext uri="{FF2B5EF4-FFF2-40B4-BE49-F238E27FC236}">
              <a16:creationId xmlns:a16="http://schemas.microsoft.com/office/drawing/2014/main" id="{013E71EC-B9BA-4748-523F-C1DDEFA09ACC}"/>
            </a:ext>
          </a:extLst>
        </xdr:cNvPr>
        <xdr:cNvSpPr>
          <a:spLocks noChangeShapeType="1"/>
        </xdr:cNvSpPr>
      </xdr:nvSpPr>
      <xdr:spPr bwMode="auto">
        <a:xfrm>
          <a:off x="1117600" y="4584700"/>
          <a:ext cx="2286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444500</xdr:colOff>
      <xdr:row>26</xdr:row>
      <xdr:rowOff>152400</xdr:rowOff>
    </xdr:from>
    <xdr:to>
      <xdr:col>1</xdr:col>
      <xdr:colOff>660400</xdr:colOff>
      <xdr:row>26</xdr:row>
      <xdr:rowOff>152400</xdr:rowOff>
    </xdr:to>
    <xdr:sp macro="" textlink="">
      <xdr:nvSpPr>
        <xdr:cNvPr id="56967" name="Line 42">
          <a:extLst>
            <a:ext uri="{FF2B5EF4-FFF2-40B4-BE49-F238E27FC236}">
              <a16:creationId xmlns:a16="http://schemas.microsoft.com/office/drawing/2014/main" id="{9EF4630D-B53A-C29B-83B7-B55C93A9AB14}"/>
            </a:ext>
          </a:extLst>
        </xdr:cNvPr>
        <xdr:cNvSpPr>
          <a:spLocks noChangeShapeType="1"/>
        </xdr:cNvSpPr>
      </xdr:nvSpPr>
      <xdr:spPr bwMode="auto">
        <a:xfrm>
          <a:off x="1117600" y="4508500"/>
          <a:ext cx="2159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457200</xdr:colOff>
      <xdr:row>26</xdr:row>
      <xdr:rowOff>76200</xdr:rowOff>
    </xdr:from>
    <xdr:to>
      <xdr:col>2</xdr:col>
      <xdr:colOff>12700</xdr:colOff>
      <xdr:row>26</xdr:row>
      <xdr:rowOff>76200</xdr:rowOff>
    </xdr:to>
    <xdr:sp macro="" textlink="">
      <xdr:nvSpPr>
        <xdr:cNvPr id="56968" name="Line 43">
          <a:extLst>
            <a:ext uri="{FF2B5EF4-FFF2-40B4-BE49-F238E27FC236}">
              <a16:creationId xmlns:a16="http://schemas.microsoft.com/office/drawing/2014/main" id="{1A591FCE-ABC6-0189-7AC8-D27428C950E1}"/>
            </a:ext>
          </a:extLst>
        </xdr:cNvPr>
        <xdr:cNvSpPr>
          <a:spLocks noChangeShapeType="1"/>
        </xdr:cNvSpPr>
      </xdr:nvSpPr>
      <xdr:spPr bwMode="auto">
        <a:xfrm>
          <a:off x="1130300" y="4432300"/>
          <a:ext cx="2286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444500</xdr:colOff>
      <xdr:row>26</xdr:row>
      <xdr:rowOff>0</xdr:rowOff>
    </xdr:from>
    <xdr:to>
      <xdr:col>2</xdr:col>
      <xdr:colOff>0</xdr:colOff>
      <xdr:row>26</xdr:row>
      <xdr:rowOff>0</xdr:rowOff>
    </xdr:to>
    <xdr:sp macro="" textlink="">
      <xdr:nvSpPr>
        <xdr:cNvPr id="56969" name="Line 44">
          <a:extLst>
            <a:ext uri="{FF2B5EF4-FFF2-40B4-BE49-F238E27FC236}">
              <a16:creationId xmlns:a16="http://schemas.microsoft.com/office/drawing/2014/main" id="{95C85E39-91DA-9424-D0B7-B332EE378D7C}"/>
            </a:ext>
          </a:extLst>
        </xdr:cNvPr>
        <xdr:cNvSpPr>
          <a:spLocks noChangeShapeType="1"/>
        </xdr:cNvSpPr>
      </xdr:nvSpPr>
      <xdr:spPr bwMode="auto">
        <a:xfrm>
          <a:off x="1117600" y="4356100"/>
          <a:ext cx="2286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444500</xdr:colOff>
      <xdr:row>25</xdr:row>
      <xdr:rowOff>76200</xdr:rowOff>
    </xdr:from>
    <xdr:to>
      <xdr:col>2</xdr:col>
      <xdr:colOff>0</xdr:colOff>
      <xdr:row>25</xdr:row>
      <xdr:rowOff>76200</xdr:rowOff>
    </xdr:to>
    <xdr:sp macro="" textlink="">
      <xdr:nvSpPr>
        <xdr:cNvPr id="56970" name="Line 45">
          <a:extLst>
            <a:ext uri="{FF2B5EF4-FFF2-40B4-BE49-F238E27FC236}">
              <a16:creationId xmlns:a16="http://schemas.microsoft.com/office/drawing/2014/main" id="{B2A82DE6-87B1-6F6F-1098-2D374705B70D}"/>
            </a:ext>
          </a:extLst>
        </xdr:cNvPr>
        <xdr:cNvSpPr>
          <a:spLocks noChangeShapeType="1"/>
        </xdr:cNvSpPr>
      </xdr:nvSpPr>
      <xdr:spPr bwMode="auto">
        <a:xfrm>
          <a:off x="1117600" y="4267200"/>
          <a:ext cx="2286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457200</xdr:colOff>
      <xdr:row>24</xdr:row>
      <xdr:rowOff>152400</xdr:rowOff>
    </xdr:from>
    <xdr:to>
      <xdr:col>2</xdr:col>
      <xdr:colOff>12700</xdr:colOff>
      <xdr:row>24</xdr:row>
      <xdr:rowOff>152400</xdr:rowOff>
    </xdr:to>
    <xdr:sp macro="" textlink="">
      <xdr:nvSpPr>
        <xdr:cNvPr id="56971" name="Line 46">
          <a:extLst>
            <a:ext uri="{FF2B5EF4-FFF2-40B4-BE49-F238E27FC236}">
              <a16:creationId xmlns:a16="http://schemas.microsoft.com/office/drawing/2014/main" id="{4D7BF2B0-08FE-0121-AD74-6C6EEDB4621E}"/>
            </a:ext>
          </a:extLst>
        </xdr:cNvPr>
        <xdr:cNvSpPr>
          <a:spLocks noChangeShapeType="1"/>
        </xdr:cNvSpPr>
      </xdr:nvSpPr>
      <xdr:spPr bwMode="auto">
        <a:xfrm>
          <a:off x="1130300" y="4178300"/>
          <a:ext cx="2286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457200</xdr:colOff>
      <xdr:row>24</xdr:row>
      <xdr:rowOff>63500</xdr:rowOff>
    </xdr:from>
    <xdr:to>
      <xdr:col>1</xdr:col>
      <xdr:colOff>571500</xdr:colOff>
      <xdr:row>24</xdr:row>
      <xdr:rowOff>63500</xdr:rowOff>
    </xdr:to>
    <xdr:sp macro="" textlink="">
      <xdr:nvSpPr>
        <xdr:cNvPr id="56972" name="Line 47">
          <a:extLst>
            <a:ext uri="{FF2B5EF4-FFF2-40B4-BE49-F238E27FC236}">
              <a16:creationId xmlns:a16="http://schemas.microsoft.com/office/drawing/2014/main" id="{602909C5-903E-A236-EE6E-A747C68C5025}"/>
            </a:ext>
          </a:extLst>
        </xdr:cNvPr>
        <xdr:cNvSpPr>
          <a:spLocks noChangeShapeType="1"/>
        </xdr:cNvSpPr>
      </xdr:nvSpPr>
      <xdr:spPr bwMode="auto">
        <a:xfrm>
          <a:off x="1130300" y="4089400"/>
          <a:ext cx="1143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342900</xdr:colOff>
      <xdr:row>28</xdr:row>
      <xdr:rowOff>12700</xdr:rowOff>
    </xdr:from>
    <xdr:to>
      <xdr:col>2</xdr:col>
      <xdr:colOff>114300</xdr:colOff>
      <xdr:row>28</xdr:row>
      <xdr:rowOff>101600</xdr:rowOff>
    </xdr:to>
    <xdr:sp macro="" textlink="">
      <xdr:nvSpPr>
        <xdr:cNvPr id="56973" name="Rectangle 51">
          <a:extLst>
            <a:ext uri="{FF2B5EF4-FFF2-40B4-BE49-F238E27FC236}">
              <a16:creationId xmlns:a16="http://schemas.microsoft.com/office/drawing/2014/main" id="{48829F13-252C-3221-705B-F403ED787430}"/>
            </a:ext>
          </a:extLst>
        </xdr:cNvPr>
        <xdr:cNvSpPr>
          <a:spLocks noChangeArrowheads="1"/>
        </xdr:cNvSpPr>
      </xdr:nvSpPr>
      <xdr:spPr bwMode="auto">
        <a:xfrm>
          <a:off x="1016000" y="4699000"/>
          <a:ext cx="444500" cy="88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FF" mc:Ignorable="a14" a14:legacySpreadsheetColorIndex="12"/>
        </a:solidFill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279400</xdr:colOff>
      <xdr:row>25</xdr:row>
      <xdr:rowOff>139700</xdr:rowOff>
    </xdr:from>
    <xdr:to>
      <xdr:col>2</xdr:col>
      <xdr:colOff>279400</xdr:colOff>
      <xdr:row>42</xdr:row>
      <xdr:rowOff>12700</xdr:rowOff>
    </xdr:to>
    <xdr:sp macro="" textlink="">
      <xdr:nvSpPr>
        <xdr:cNvPr id="56974" name="Line 52">
          <a:extLst>
            <a:ext uri="{FF2B5EF4-FFF2-40B4-BE49-F238E27FC236}">
              <a16:creationId xmlns:a16="http://schemas.microsoft.com/office/drawing/2014/main" id="{F9764DB5-8095-23F0-D2CF-4BE96440D2A9}"/>
            </a:ext>
          </a:extLst>
        </xdr:cNvPr>
        <xdr:cNvSpPr>
          <a:spLocks noChangeShapeType="1"/>
        </xdr:cNvSpPr>
      </xdr:nvSpPr>
      <xdr:spPr bwMode="auto">
        <a:xfrm>
          <a:off x="1625600" y="4330700"/>
          <a:ext cx="0" cy="26797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FF6600" mc:Ignorable="a14" a14:legacySpreadsheetColorIndex="53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482600</xdr:colOff>
      <xdr:row>25</xdr:row>
      <xdr:rowOff>139700</xdr:rowOff>
    </xdr:from>
    <xdr:to>
      <xdr:col>2</xdr:col>
      <xdr:colOff>482600</xdr:colOff>
      <xdr:row>42</xdr:row>
      <xdr:rowOff>38100</xdr:rowOff>
    </xdr:to>
    <xdr:sp macro="" textlink="">
      <xdr:nvSpPr>
        <xdr:cNvPr id="56975" name="Line 53">
          <a:extLst>
            <a:ext uri="{FF2B5EF4-FFF2-40B4-BE49-F238E27FC236}">
              <a16:creationId xmlns:a16="http://schemas.microsoft.com/office/drawing/2014/main" id="{EA64B718-F0F6-2C68-66E5-BA7BAA960F76}"/>
            </a:ext>
          </a:extLst>
        </xdr:cNvPr>
        <xdr:cNvSpPr>
          <a:spLocks noChangeShapeType="1"/>
        </xdr:cNvSpPr>
      </xdr:nvSpPr>
      <xdr:spPr bwMode="auto">
        <a:xfrm flipH="1">
          <a:off x="1828800" y="4330700"/>
          <a:ext cx="0" cy="27051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FF6600" mc:Ignorable="a14" a14:legacySpreadsheetColorIndex="53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266700</xdr:colOff>
      <xdr:row>27</xdr:row>
      <xdr:rowOff>101600</xdr:rowOff>
    </xdr:from>
    <xdr:to>
      <xdr:col>2</xdr:col>
      <xdr:colOff>508000</xdr:colOff>
      <xdr:row>27</xdr:row>
      <xdr:rowOff>101600</xdr:rowOff>
    </xdr:to>
    <xdr:sp macro="" textlink="">
      <xdr:nvSpPr>
        <xdr:cNvPr id="56976" name="Line 54">
          <a:extLst>
            <a:ext uri="{FF2B5EF4-FFF2-40B4-BE49-F238E27FC236}">
              <a16:creationId xmlns:a16="http://schemas.microsoft.com/office/drawing/2014/main" id="{D4A72EB3-9489-FA43-BE34-87A292D3061B}"/>
            </a:ext>
          </a:extLst>
        </xdr:cNvPr>
        <xdr:cNvSpPr>
          <a:spLocks noChangeShapeType="1"/>
        </xdr:cNvSpPr>
      </xdr:nvSpPr>
      <xdr:spPr bwMode="auto">
        <a:xfrm>
          <a:off x="1612900" y="4622800"/>
          <a:ext cx="2413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266700</xdr:colOff>
      <xdr:row>28</xdr:row>
      <xdr:rowOff>12700</xdr:rowOff>
    </xdr:from>
    <xdr:to>
      <xdr:col>2</xdr:col>
      <xdr:colOff>508000</xdr:colOff>
      <xdr:row>28</xdr:row>
      <xdr:rowOff>12700</xdr:rowOff>
    </xdr:to>
    <xdr:sp macro="" textlink="">
      <xdr:nvSpPr>
        <xdr:cNvPr id="56977" name="Line 55">
          <a:extLst>
            <a:ext uri="{FF2B5EF4-FFF2-40B4-BE49-F238E27FC236}">
              <a16:creationId xmlns:a16="http://schemas.microsoft.com/office/drawing/2014/main" id="{50CAD790-936D-B13C-1D4C-534FBEB150E3}"/>
            </a:ext>
          </a:extLst>
        </xdr:cNvPr>
        <xdr:cNvSpPr>
          <a:spLocks noChangeShapeType="1"/>
        </xdr:cNvSpPr>
      </xdr:nvSpPr>
      <xdr:spPr bwMode="auto">
        <a:xfrm>
          <a:off x="1612900" y="4699000"/>
          <a:ext cx="2413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127000</xdr:colOff>
      <xdr:row>28</xdr:row>
      <xdr:rowOff>139700</xdr:rowOff>
    </xdr:from>
    <xdr:to>
      <xdr:col>2</xdr:col>
      <xdr:colOff>127000</xdr:colOff>
      <xdr:row>30</xdr:row>
      <xdr:rowOff>101600</xdr:rowOff>
    </xdr:to>
    <xdr:sp macro="" textlink="">
      <xdr:nvSpPr>
        <xdr:cNvPr id="56978" name="Line 56">
          <a:extLst>
            <a:ext uri="{FF2B5EF4-FFF2-40B4-BE49-F238E27FC236}">
              <a16:creationId xmlns:a16="http://schemas.microsoft.com/office/drawing/2014/main" id="{1C6DA1DE-2C88-5ED7-E3F5-3C7692E178E4}"/>
            </a:ext>
          </a:extLst>
        </xdr:cNvPr>
        <xdr:cNvSpPr>
          <a:spLocks noChangeShapeType="1"/>
        </xdr:cNvSpPr>
      </xdr:nvSpPr>
      <xdr:spPr bwMode="auto">
        <a:xfrm>
          <a:off x="1473200" y="4826000"/>
          <a:ext cx="0" cy="29210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279400</xdr:colOff>
      <xdr:row>30</xdr:row>
      <xdr:rowOff>76200</xdr:rowOff>
    </xdr:from>
    <xdr:to>
      <xdr:col>2</xdr:col>
      <xdr:colOff>635000</xdr:colOff>
      <xdr:row>30</xdr:row>
      <xdr:rowOff>76200</xdr:rowOff>
    </xdr:to>
    <xdr:sp macro="" textlink="">
      <xdr:nvSpPr>
        <xdr:cNvPr id="56979" name="Line 57">
          <a:extLst>
            <a:ext uri="{FF2B5EF4-FFF2-40B4-BE49-F238E27FC236}">
              <a16:creationId xmlns:a16="http://schemas.microsoft.com/office/drawing/2014/main" id="{9B75B684-365B-F0D7-7087-C44DA7E3AD05}"/>
            </a:ext>
          </a:extLst>
        </xdr:cNvPr>
        <xdr:cNvSpPr>
          <a:spLocks noChangeShapeType="1"/>
        </xdr:cNvSpPr>
      </xdr:nvSpPr>
      <xdr:spPr bwMode="auto">
        <a:xfrm>
          <a:off x="1625600" y="5092700"/>
          <a:ext cx="355600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139700</xdr:colOff>
      <xdr:row>30</xdr:row>
      <xdr:rowOff>76200</xdr:rowOff>
    </xdr:from>
    <xdr:to>
      <xdr:col>2</xdr:col>
      <xdr:colOff>266700</xdr:colOff>
      <xdr:row>30</xdr:row>
      <xdr:rowOff>76200</xdr:rowOff>
    </xdr:to>
    <xdr:sp macro="" textlink="">
      <xdr:nvSpPr>
        <xdr:cNvPr id="56980" name="Line 58">
          <a:extLst>
            <a:ext uri="{FF2B5EF4-FFF2-40B4-BE49-F238E27FC236}">
              <a16:creationId xmlns:a16="http://schemas.microsoft.com/office/drawing/2014/main" id="{9C7590AA-D853-A9CD-9ABD-99EB6C8DFBEF}"/>
            </a:ext>
          </a:extLst>
        </xdr:cNvPr>
        <xdr:cNvSpPr>
          <a:spLocks noChangeShapeType="1"/>
        </xdr:cNvSpPr>
      </xdr:nvSpPr>
      <xdr:spPr bwMode="auto">
        <a:xfrm flipH="1">
          <a:off x="1485900" y="5092700"/>
          <a:ext cx="1270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110619</xdr:colOff>
      <xdr:row>29</xdr:row>
      <xdr:rowOff>68580</xdr:rowOff>
    </xdr:from>
    <xdr:ext cx="564258" cy="318036"/>
    <xdr:sp macro="" textlink="">
      <xdr:nvSpPr>
        <xdr:cNvPr id="35899" name="Text Box 59">
          <a:extLst>
            <a:ext uri="{FF2B5EF4-FFF2-40B4-BE49-F238E27FC236}">
              <a16:creationId xmlns:a16="http://schemas.microsoft.com/office/drawing/2014/main" id="{6040D8E6-EE5B-33CB-BBB7-215ACE58C987}"/>
            </a:ext>
          </a:extLst>
        </xdr:cNvPr>
        <xdr:cNvSpPr txBox="1">
          <a:spLocks noChangeArrowheads="1"/>
        </xdr:cNvSpPr>
      </xdr:nvSpPr>
      <xdr:spPr bwMode="auto">
        <a:xfrm>
          <a:off x="707519" y="4983480"/>
          <a:ext cx="564258" cy="318036"/>
        </a:xfrm>
        <a:prstGeom prst="rect">
          <a:avLst/>
        </a:prstGeom>
        <a:noFill/>
        <a:ln>
          <a:noFill/>
        </a:ln>
      </xdr:spPr>
      <xdr:txBody>
        <a:bodyPr wrap="none" lIns="18288" tIns="22860" rIns="18288" bIns="0" anchor="t" upright="1">
          <a:spAutoFit/>
        </a:bodyPr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12"Max.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(305mm)</a:t>
          </a:r>
        </a:p>
      </xdr:txBody>
    </xdr:sp>
    <xdr:clientData/>
  </xdr:oneCellAnchor>
  <xdr:twoCellAnchor>
    <xdr:from>
      <xdr:col>1</xdr:col>
      <xdr:colOff>304800</xdr:colOff>
      <xdr:row>30</xdr:row>
      <xdr:rowOff>63500</xdr:rowOff>
    </xdr:from>
    <xdr:to>
      <xdr:col>2</xdr:col>
      <xdr:colOff>139700</xdr:colOff>
      <xdr:row>30</xdr:row>
      <xdr:rowOff>63500</xdr:rowOff>
    </xdr:to>
    <xdr:sp macro="" textlink="">
      <xdr:nvSpPr>
        <xdr:cNvPr id="56982" name="Line 60">
          <a:extLst>
            <a:ext uri="{FF2B5EF4-FFF2-40B4-BE49-F238E27FC236}">
              <a16:creationId xmlns:a16="http://schemas.microsoft.com/office/drawing/2014/main" id="{19E116E9-48D5-25B4-444C-57679AB434CA}"/>
            </a:ext>
          </a:extLst>
        </xdr:cNvPr>
        <xdr:cNvSpPr>
          <a:spLocks noChangeShapeType="1"/>
        </xdr:cNvSpPr>
      </xdr:nvSpPr>
      <xdr:spPr bwMode="auto">
        <a:xfrm flipH="1">
          <a:off x="977900" y="5080000"/>
          <a:ext cx="508000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152400</xdr:colOff>
      <xdr:row>42</xdr:row>
      <xdr:rowOff>0</xdr:rowOff>
    </xdr:from>
    <xdr:to>
      <xdr:col>2</xdr:col>
      <xdr:colOff>558800</xdr:colOff>
      <xdr:row>42</xdr:row>
      <xdr:rowOff>76200</xdr:rowOff>
    </xdr:to>
    <xdr:sp macro="" textlink="">
      <xdr:nvSpPr>
        <xdr:cNvPr id="56983" name="Rectangle 61">
          <a:extLst>
            <a:ext uri="{FF2B5EF4-FFF2-40B4-BE49-F238E27FC236}">
              <a16:creationId xmlns:a16="http://schemas.microsoft.com/office/drawing/2014/main" id="{221A2511-2B70-651B-B3D6-4E6BAB6978B1}"/>
            </a:ext>
          </a:extLst>
        </xdr:cNvPr>
        <xdr:cNvSpPr>
          <a:spLocks noChangeArrowheads="1"/>
        </xdr:cNvSpPr>
      </xdr:nvSpPr>
      <xdr:spPr bwMode="auto">
        <a:xfrm>
          <a:off x="1498600" y="6997700"/>
          <a:ext cx="406400" cy="76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FF" mc:Ignorable="a14" a14:legacySpreadsheetColorIndex="12"/>
        </a:solidFill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152400</xdr:colOff>
      <xdr:row>28</xdr:row>
      <xdr:rowOff>12700</xdr:rowOff>
    </xdr:from>
    <xdr:to>
      <xdr:col>2</xdr:col>
      <xdr:colOff>241300</xdr:colOff>
      <xdr:row>28</xdr:row>
      <xdr:rowOff>12700</xdr:rowOff>
    </xdr:to>
    <xdr:sp macro="" textlink="">
      <xdr:nvSpPr>
        <xdr:cNvPr id="56984" name="Line 62">
          <a:extLst>
            <a:ext uri="{FF2B5EF4-FFF2-40B4-BE49-F238E27FC236}">
              <a16:creationId xmlns:a16="http://schemas.microsoft.com/office/drawing/2014/main" id="{D5EAEC20-FF44-47FC-15AE-7D4014A767F6}"/>
            </a:ext>
          </a:extLst>
        </xdr:cNvPr>
        <xdr:cNvSpPr>
          <a:spLocks noChangeShapeType="1"/>
        </xdr:cNvSpPr>
      </xdr:nvSpPr>
      <xdr:spPr bwMode="auto">
        <a:xfrm>
          <a:off x="1498600" y="4699000"/>
          <a:ext cx="889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558800</xdr:colOff>
      <xdr:row>28</xdr:row>
      <xdr:rowOff>0</xdr:rowOff>
    </xdr:from>
    <xdr:to>
      <xdr:col>4</xdr:col>
      <xdr:colOff>38100</xdr:colOff>
      <xdr:row>28</xdr:row>
      <xdr:rowOff>0</xdr:rowOff>
    </xdr:to>
    <xdr:sp macro="" textlink="">
      <xdr:nvSpPr>
        <xdr:cNvPr id="56985" name="Line 63">
          <a:extLst>
            <a:ext uri="{FF2B5EF4-FFF2-40B4-BE49-F238E27FC236}">
              <a16:creationId xmlns:a16="http://schemas.microsoft.com/office/drawing/2014/main" id="{7C141DF1-2CC7-5A0C-949C-9508309CCAE7}"/>
            </a:ext>
          </a:extLst>
        </xdr:cNvPr>
        <xdr:cNvSpPr>
          <a:spLocks noChangeShapeType="1"/>
        </xdr:cNvSpPr>
      </xdr:nvSpPr>
      <xdr:spPr bwMode="auto">
        <a:xfrm>
          <a:off x="1905000" y="4686300"/>
          <a:ext cx="825500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635000</xdr:colOff>
      <xdr:row>41</xdr:row>
      <xdr:rowOff>152400</xdr:rowOff>
    </xdr:from>
    <xdr:to>
      <xdr:col>4</xdr:col>
      <xdr:colOff>38100</xdr:colOff>
      <xdr:row>41</xdr:row>
      <xdr:rowOff>152400</xdr:rowOff>
    </xdr:to>
    <xdr:sp macro="" textlink="">
      <xdr:nvSpPr>
        <xdr:cNvPr id="56986" name="Line 64">
          <a:extLst>
            <a:ext uri="{FF2B5EF4-FFF2-40B4-BE49-F238E27FC236}">
              <a16:creationId xmlns:a16="http://schemas.microsoft.com/office/drawing/2014/main" id="{310995FA-7FE6-E9D5-D212-C02CBF90D1E9}"/>
            </a:ext>
          </a:extLst>
        </xdr:cNvPr>
        <xdr:cNvSpPr>
          <a:spLocks noChangeShapeType="1"/>
        </xdr:cNvSpPr>
      </xdr:nvSpPr>
      <xdr:spPr bwMode="auto">
        <a:xfrm>
          <a:off x="1981200" y="6985000"/>
          <a:ext cx="749300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660400</xdr:colOff>
      <xdr:row>28</xdr:row>
      <xdr:rowOff>0</xdr:rowOff>
    </xdr:from>
    <xdr:to>
      <xdr:col>3</xdr:col>
      <xdr:colOff>660400</xdr:colOff>
      <xdr:row>41</xdr:row>
      <xdr:rowOff>152400</xdr:rowOff>
    </xdr:to>
    <xdr:sp macro="" textlink="">
      <xdr:nvSpPr>
        <xdr:cNvPr id="56987" name="Line 65">
          <a:extLst>
            <a:ext uri="{FF2B5EF4-FFF2-40B4-BE49-F238E27FC236}">
              <a16:creationId xmlns:a16="http://schemas.microsoft.com/office/drawing/2014/main" id="{D99EBF55-1195-85B4-D17D-E26371D2DA6C}"/>
            </a:ext>
          </a:extLst>
        </xdr:cNvPr>
        <xdr:cNvSpPr>
          <a:spLocks noChangeShapeType="1"/>
        </xdr:cNvSpPr>
      </xdr:nvSpPr>
      <xdr:spPr bwMode="auto">
        <a:xfrm flipV="1">
          <a:off x="2679700" y="4686300"/>
          <a:ext cx="0" cy="229870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584200</xdr:colOff>
      <xdr:row>26</xdr:row>
      <xdr:rowOff>0</xdr:rowOff>
    </xdr:from>
    <xdr:to>
      <xdr:col>4</xdr:col>
      <xdr:colOff>50800</xdr:colOff>
      <xdr:row>26</xdr:row>
      <xdr:rowOff>0</xdr:rowOff>
    </xdr:to>
    <xdr:sp macro="" textlink="">
      <xdr:nvSpPr>
        <xdr:cNvPr id="56988" name="Line 66">
          <a:extLst>
            <a:ext uri="{FF2B5EF4-FFF2-40B4-BE49-F238E27FC236}">
              <a16:creationId xmlns:a16="http://schemas.microsoft.com/office/drawing/2014/main" id="{D29981D5-882B-1399-F8E8-850AABA4DC9C}"/>
            </a:ext>
          </a:extLst>
        </xdr:cNvPr>
        <xdr:cNvSpPr>
          <a:spLocks noChangeShapeType="1"/>
        </xdr:cNvSpPr>
      </xdr:nvSpPr>
      <xdr:spPr bwMode="auto">
        <a:xfrm>
          <a:off x="1930400" y="4356100"/>
          <a:ext cx="812800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266700</xdr:colOff>
      <xdr:row>26</xdr:row>
      <xdr:rowOff>152400</xdr:rowOff>
    </xdr:from>
    <xdr:to>
      <xdr:col>2</xdr:col>
      <xdr:colOff>508000</xdr:colOff>
      <xdr:row>26</xdr:row>
      <xdr:rowOff>152400</xdr:rowOff>
    </xdr:to>
    <xdr:sp macro="" textlink="">
      <xdr:nvSpPr>
        <xdr:cNvPr id="56989" name="Line 67">
          <a:extLst>
            <a:ext uri="{FF2B5EF4-FFF2-40B4-BE49-F238E27FC236}">
              <a16:creationId xmlns:a16="http://schemas.microsoft.com/office/drawing/2014/main" id="{D1DC5CE7-03BF-41F6-3153-8D47772B84A2}"/>
            </a:ext>
          </a:extLst>
        </xdr:cNvPr>
        <xdr:cNvSpPr>
          <a:spLocks noChangeShapeType="1"/>
        </xdr:cNvSpPr>
      </xdr:nvSpPr>
      <xdr:spPr bwMode="auto">
        <a:xfrm>
          <a:off x="1612900" y="4508500"/>
          <a:ext cx="2413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266700</xdr:colOff>
      <xdr:row>26</xdr:row>
      <xdr:rowOff>76200</xdr:rowOff>
    </xdr:from>
    <xdr:to>
      <xdr:col>2</xdr:col>
      <xdr:colOff>508000</xdr:colOff>
      <xdr:row>26</xdr:row>
      <xdr:rowOff>76200</xdr:rowOff>
    </xdr:to>
    <xdr:sp macro="" textlink="">
      <xdr:nvSpPr>
        <xdr:cNvPr id="56990" name="Line 68">
          <a:extLst>
            <a:ext uri="{FF2B5EF4-FFF2-40B4-BE49-F238E27FC236}">
              <a16:creationId xmlns:a16="http://schemas.microsoft.com/office/drawing/2014/main" id="{355D0E10-26D3-B92F-1D58-DA6D7F8596EF}"/>
            </a:ext>
          </a:extLst>
        </xdr:cNvPr>
        <xdr:cNvSpPr>
          <a:spLocks noChangeShapeType="1"/>
        </xdr:cNvSpPr>
      </xdr:nvSpPr>
      <xdr:spPr bwMode="auto">
        <a:xfrm>
          <a:off x="1612900" y="4432300"/>
          <a:ext cx="2413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266700</xdr:colOff>
      <xdr:row>26</xdr:row>
      <xdr:rowOff>0</xdr:rowOff>
    </xdr:from>
    <xdr:to>
      <xdr:col>2</xdr:col>
      <xdr:colOff>482600</xdr:colOff>
      <xdr:row>26</xdr:row>
      <xdr:rowOff>0</xdr:rowOff>
    </xdr:to>
    <xdr:sp macro="" textlink="">
      <xdr:nvSpPr>
        <xdr:cNvPr id="56991" name="Line 69">
          <a:extLst>
            <a:ext uri="{FF2B5EF4-FFF2-40B4-BE49-F238E27FC236}">
              <a16:creationId xmlns:a16="http://schemas.microsoft.com/office/drawing/2014/main" id="{CA1225B2-9E3D-3507-94D4-99630638AD4E}"/>
            </a:ext>
          </a:extLst>
        </xdr:cNvPr>
        <xdr:cNvSpPr>
          <a:spLocks noChangeShapeType="1"/>
        </xdr:cNvSpPr>
      </xdr:nvSpPr>
      <xdr:spPr bwMode="auto">
        <a:xfrm>
          <a:off x="1612900" y="4356100"/>
          <a:ext cx="2159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533455</xdr:colOff>
      <xdr:row>29</xdr:row>
      <xdr:rowOff>15287</xdr:rowOff>
    </xdr:from>
    <xdr:ext cx="421654" cy="1755096"/>
    <xdr:sp macro="" textlink="">
      <xdr:nvSpPr>
        <xdr:cNvPr id="35910" name="Text Box 70">
          <a:extLst>
            <a:ext uri="{FF2B5EF4-FFF2-40B4-BE49-F238E27FC236}">
              <a16:creationId xmlns:a16="http://schemas.microsoft.com/office/drawing/2014/main" id="{C1AEB1A4-B7A7-15DC-BE46-F9C5D7B9DBC1}"/>
            </a:ext>
          </a:extLst>
        </xdr:cNvPr>
        <xdr:cNvSpPr txBox="1">
          <a:spLocks noChangeArrowheads="1"/>
        </xdr:cNvSpPr>
      </xdr:nvSpPr>
      <xdr:spPr bwMode="auto">
        <a:xfrm>
          <a:off x="2552755" y="4866687"/>
          <a:ext cx="421654" cy="1755096"/>
        </a:xfrm>
        <a:prstGeom prst="rect">
          <a:avLst/>
        </a:prstGeom>
        <a:noFill/>
        <a:ln>
          <a:noFill/>
        </a:ln>
      </xdr:spPr>
      <xdr:txBody>
        <a:bodyPr vert="vert270" wrap="none" lIns="18288" tIns="22860" rIns="18288" bIns="22860" anchor="ctr" upright="1">
          <a:spAutoFit/>
        </a:bodyPr>
        <a:lstStyle/>
        <a:p>
          <a:pPr algn="ctr" rtl="0">
            <a:lnSpc>
              <a:spcPts val="1000"/>
            </a:lnSpc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20'-0" </a:t>
          </a: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(6096mm)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  MAX.</a:t>
          </a:r>
        </a:p>
        <a:p>
          <a:pPr algn="ctr" rtl="0">
            <a:lnSpc>
              <a:spcPts val="1000"/>
            </a:lnSpc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[30'-0" </a:t>
          </a: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(9144mm)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with Cage]</a:t>
          </a:r>
        </a:p>
        <a:p>
          <a:pPr algn="ctr" rtl="0">
            <a:lnSpc>
              <a:spcPts val="1000"/>
            </a:lnSpc>
            <a:defRPr sz="1000"/>
          </a:pPr>
          <a:r>
            <a:rPr lang="en-US" sz="800" b="1" i="1" u="none" strike="noStrike" baseline="0">
              <a:solidFill>
                <a:srgbClr val="FF0000"/>
              </a:solidFill>
              <a:latin typeface="Arial"/>
              <a:cs typeface="Arial"/>
            </a:rPr>
            <a:t>See Notes 8 &amp; 15</a:t>
          </a: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twoCellAnchor>
    <xdr:from>
      <xdr:col>3</xdr:col>
      <xdr:colOff>660400</xdr:colOff>
      <xdr:row>26</xdr:row>
      <xdr:rowOff>0</xdr:rowOff>
    </xdr:from>
    <xdr:to>
      <xdr:col>3</xdr:col>
      <xdr:colOff>660400</xdr:colOff>
      <xdr:row>28</xdr:row>
      <xdr:rowOff>0</xdr:rowOff>
    </xdr:to>
    <xdr:sp macro="" textlink="">
      <xdr:nvSpPr>
        <xdr:cNvPr id="56993" name="Line 71">
          <a:extLst>
            <a:ext uri="{FF2B5EF4-FFF2-40B4-BE49-F238E27FC236}">
              <a16:creationId xmlns:a16="http://schemas.microsoft.com/office/drawing/2014/main" id="{AD4148D1-F600-8805-955D-EE56288683F5}"/>
            </a:ext>
          </a:extLst>
        </xdr:cNvPr>
        <xdr:cNvSpPr>
          <a:spLocks noChangeShapeType="1"/>
        </xdr:cNvSpPr>
      </xdr:nvSpPr>
      <xdr:spPr bwMode="auto">
        <a:xfrm flipV="1">
          <a:off x="2679700" y="4356100"/>
          <a:ext cx="0" cy="33020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660400</xdr:colOff>
      <xdr:row>24</xdr:row>
      <xdr:rowOff>63500</xdr:rowOff>
    </xdr:from>
    <xdr:to>
      <xdr:col>3</xdr:col>
      <xdr:colOff>660400</xdr:colOff>
      <xdr:row>25</xdr:row>
      <xdr:rowOff>152400</xdr:rowOff>
    </xdr:to>
    <xdr:sp macro="" textlink="">
      <xdr:nvSpPr>
        <xdr:cNvPr id="56994" name="Line 72">
          <a:extLst>
            <a:ext uri="{FF2B5EF4-FFF2-40B4-BE49-F238E27FC236}">
              <a16:creationId xmlns:a16="http://schemas.microsoft.com/office/drawing/2014/main" id="{71082AC3-2025-3411-57CA-2AE4680623E1}"/>
            </a:ext>
          </a:extLst>
        </xdr:cNvPr>
        <xdr:cNvSpPr>
          <a:spLocks noChangeShapeType="1"/>
        </xdr:cNvSpPr>
      </xdr:nvSpPr>
      <xdr:spPr bwMode="auto">
        <a:xfrm flipV="1">
          <a:off x="2679700" y="4089400"/>
          <a:ext cx="0" cy="25400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660400</xdr:colOff>
      <xdr:row>24</xdr:row>
      <xdr:rowOff>63500</xdr:rowOff>
    </xdr:from>
    <xdr:to>
      <xdr:col>4</xdr:col>
      <xdr:colOff>127000</xdr:colOff>
      <xdr:row>24</xdr:row>
      <xdr:rowOff>63500</xdr:rowOff>
    </xdr:to>
    <xdr:sp macro="" textlink="">
      <xdr:nvSpPr>
        <xdr:cNvPr id="56995" name="Line 73">
          <a:extLst>
            <a:ext uri="{FF2B5EF4-FFF2-40B4-BE49-F238E27FC236}">
              <a16:creationId xmlns:a16="http://schemas.microsoft.com/office/drawing/2014/main" id="{3D007969-A42B-0B92-06EA-59F0F0B95BBF}"/>
            </a:ext>
          </a:extLst>
        </xdr:cNvPr>
        <xdr:cNvSpPr>
          <a:spLocks noChangeShapeType="1"/>
        </xdr:cNvSpPr>
      </xdr:nvSpPr>
      <xdr:spPr bwMode="auto">
        <a:xfrm>
          <a:off x="2679700" y="4089400"/>
          <a:ext cx="139700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4</xdr:col>
      <xdr:colOff>189865</xdr:colOff>
      <xdr:row>23</xdr:row>
      <xdr:rowOff>140970</xdr:rowOff>
    </xdr:from>
    <xdr:ext cx="617092" cy="318036"/>
    <xdr:sp macro="" textlink="">
      <xdr:nvSpPr>
        <xdr:cNvPr id="35914" name="Text Box 74">
          <a:extLst>
            <a:ext uri="{FF2B5EF4-FFF2-40B4-BE49-F238E27FC236}">
              <a16:creationId xmlns:a16="http://schemas.microsoft.com/office/drawing/2014/main" id="{43531438-62AA-F6F9-0477-F87656935CE1}"/>
            </a:ext>
          </a:extLst>
        </xdr:cNvPr>
        <xdr:cNvSpPr txBox="1">
          <a:spLocks noChangeArrowheads="1"/>
        </xdr:cNvSpPr>
      </xdr:nvSpPr>
      <xdr:spPr bwMode="auto">
        <a:xfrm>
          <a:off x="2882265" y="4001770"/>
          <a:ext cx="617092" cy="318036"/>
        </a:xfrm>
        <a:prstGeom prst="rect">
          <a:avLst/>
        </a:prstGeom>
        <a:noFill/>
        <a:ln>
          <a:noFill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4'-0" Min.</a:t>
          </a:r>
        </a:p>
        <a:p>
          <a:pPr algn="l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(1219mm)</a:t>
          </a:r>
        </a:p>
      </xdr:txBody>
    </xdr:sp>
    <xdr:clientData/>
  </xdr:oneCellAnchor>
  <xdr:twoCellAnchor>
    <xdr:from>
      <xdr:col>2</xdr:col>
      <xdr:colOff>266700</xdr:colOff>
      <xdr:row>28</xdr:row>
      <xdr:rowOff>101600</xdr:rowOff>
    </xdr:from>
    <xdr:to>
      <xdr:col>2</xdr:col>
      <xdr:colOff>508000</xdr:colOff>
      <xdr:row>28</xdr:row>
      <xdr:rowOff>101600</xdr:rowOff>
    </xdr:to>
    <xdr:sp macro="" textlink="">
      <xdr:nvSpPr>
        <xdr:cNvPr id="56997" name="Line 75">
          <a:extLst>
            <a:ext uri="{FF2B5EF4-FFF2-40B4-BE49-F238E27FC236}">
              <a16:creationId xmlns:a16="http://schemas.microsoft.com/office/drawing/2014/main" id="{D5A8E8D2-BD09-102D-587A-6CADB11140FF}"/>
            </a:ext>
          </a:extLst>
        </xdr:cNvPr>
        <xdr:cNvSpPr>
          <a:spLocks noChangeShapeType="1"/>
        </xdr:cNvSpPr>
      </xdr:nvSpPr>
      <xdr:spPr bwMode="auto">
        <a:xfrm flipV="1">
          <a:off x="1612900" y="4787900"/>
          <a:ext cx="2413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279400</xdr:colOff>
      <xdr:row>29</xdr:row>
      <xdr:rowOff>0</xdr:rowOff>
    </xdr:from>
    <xdr:to>
      <xdr:col>2</xdr:col>
      <xdr:colOff>520700</xdr:colOff>
      <xdr:row>29</xdr:row>
      <xdr:rowOff>0</xdr:rowOff>
    </xdr:to>
    <xdr:sp macro="" textlink="">
      <xdr:nvSpPr>
        <xdr:cNvPr id="56998" name="Line 76">
          <a:extLst>
            <a:ext uri="{FF2B5EF4-FFF2-40B4-BE49-F238E27FC236}">
              <a16:creationId xmlns:a16="http://schemas.microsoft.com/office/drawing/2014/main" id="{D67B5F47-01FA-3494-1AF8-7BC21C53EEF6}"/>
            </a:ext>
          </a:extLst>
        </xdr:cNvPr>
        <xdr:cNvSpPr>
          <a:spLocks noChangeShapeType="1"/>
        </xdr:cNvSpPr>
      </xdr:nvSpPr>
      <xdr:spPr bwMode="auto">
        <a:xfrm flipV="1">
          <a:off x="1625600" y="4851400"/>
          <a:ext cx="2413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266700</xdr:colOff>
      <xdr:row>29</xdr:row>
      <xdr:rowOff>76200</xdr:rowOff>
    </xdr:from>
    <xdr:to>
      <xdr:col>2</xdr:col>
      <xdr:colOff>508000</xdr:colOff>
      <xdr:row>29</xdr:row>
      <xdr:rowOff>76200</xdr:rowOff>
    </xdr:to>
    <xdr:sp macro="" textlink="">
      <xdr:nvSpPr>
        <xdr:cNvPr id="56999" name="Line 77">
          <a:extLst>
            <a:ext uri="{FF2B5EF4-FFF2-40B4-BE49-F238E27FC236}">
              <a16:creationId xmlns:a16="http://schemas.microsoft.com/office/drawing/2014/main" id="{008FBF08-425F-5D46-7AB6-2C8B30815A90}"/>
            </a:ext>
          </a:extLst>
        </xdr:cNvPr>
        <xdr:cNvSpPr>
          <a:spLocks noChangeShapeType="1"/>
        </xdr:cNvSpPr>
      </xdr:nvSpPr>
      <xdr:spPr bwMode="auto">
        <a:xfrm flipV="1">
          <a:off x="1612900" y="4927600"/>
          <a:ext cx="2413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254000</xdr:colOff>
      <xdr:row>30</xdr:row>
      <xdr:rowOff>0</xdr:rowOff>
    </xdr:from>
    <xdr:to>
      <xdr:col>2</xdr:col>
      <xdr:colOff>495300</xdr:colOff>
      <xdr:row>30</xdr:row>
      <xdr:rowOff>0</xdr:rowOff>
    </xdr:to>
    <xdr:sp macro="" textlink="">
      <xdr:nvSpPr>
        <xdr:cNvPr id="57000" name="Line 78">
          <a:extLst>
            <a:ext uri="{FF2B5EF4-FFF2-40B4-BE49-F238E27FC236}">
              <a16:creationId xmlns:a16="http://schemas.microsoft.com/office/drawing/2014/main" id="{3CFA4FC1-4E35-F0B3-425E-8C480498CEAA}"/>
            </a:ext>
          </a:extLst>
        </xdr:cNvPr>
        <xdr:cNvSpPr>
          <a:spLocks noChangeShapeType="1"/>
        </xdr:cNvSpPr>
      </xdr:nvSpPr>
      <xdr:spPr bwMode="auto">
        <a:xfrm flipV="1">
          <a:off x="1600200" y="5016500"/>
          <a:ext cx="2413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266700</xdr:colOff>
      <xdr:row>31</xdr:row>
      <xdr:rowOff>0</xdr:rowOff>
    </xdr:from>
    <xdr:to>
      <xdr:col>2</xdr:col>
      <xdr:colOff>508000</xdr:colOff>
      <xdr:row>31</xdr:row>
      <xdr:rowOff>0</xdr:rowOff>
    </xdr:to>
    <xdr:sp macro="" textlink="">
      <xdr:nvSpPr>
        <xdr:cNvPr id="57001" name="Line 79">
          <a:extLst>
            <a:ext uri="{FF2B5EF4-FFF2-40B4-BE49-F238E27FC236}">
              <a16:creationId xmlns:a16="http://schemas.microsoft.com/office/drawing/2014/main" id="{8B6B38F6-8592-305D-A34D-B3BEFAD126E0}"/>
            </a:ext>
          </a:extLst>
        </xdr:cNvPr>
        <xdr:cNvSpPr>
          <a:spLocks noChangeShapeType="1"/>
        </xdr:cNvSpPr>
      </xdr:nvSpPr>
      <xdr:spPr bwMode="auto">
        <a:xfrm flipV="1">
          <a:off x="1612900" y="5181600"/>
          <a:ext cx="2413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266700</xdr:colOff>
      <xdr:row>31</xdr:row>
      <xdr:rowOff>101600</xdr:rowOff>
    </xdr:from>
    <xdr:to>
      <xdr:col>2</xdr:col>
      <xdr:colOff>508000</xdr:colOff>
      <xdr:row>31</xdr:row>
      <xdr:rowOff>101600</xdr:rowOff>
    </xdr:to>
    <xdr:sp macro="" textlink="">
      <xdr:nvSpPr>
        <xdr:cNvPr id="57002" name="Line 80">
          <a:extLst>
            <a:ext uri="{FF2B5EF4-FFF2-40B4-BE49-F238E27FC236}">
              <a16:creationId xmlns:a16="http://schemas.microsoft.com/office/drawing/2014/main" id="{5381AB32-2F32-98C6-8921-5AF07E701F43}"/>
            </a:ext>
          </a:extLst>
        </xdr:cNvPr>
        <xdr:cNvSpPr>
          <a:spLocks noChangeShapeType="1"/>
        </xdr:cNvSpPr>
      </xdr:nvSpPr>
      <xdr:spPr bwMode="auto">
        <a:xfrm flipV="1">
          <a:off x="1612900" y="5283200"/>
          <a:ext cx="2413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266700</xdr:colOff>
      <xdr:row>32</xdr:row>
      <xdr:rowOff>0</xdr:rowOff>
    </xdr:from>
    <xdr:to>
      <xdr:col>2</xdr:col>
      <xdr:colOff>508000</xdr:colOff>
      <xdr:row>32</xdr:row>
      <xdr:rowOff>0</xdr:rowOff>
    </xdr:to>
    <xdr:sp macro="" textlink="">
      <xdr:nvSpPr>
        <xdr:cNvPr id="57003" name="Line 81">
          <a:extLst>
            <a:ext uri="{FF2B5EF4-FFF2-40B4-BE49-F238E27FC236}">
              <a16:creationId xmlns:a16="http://schemas.microsoft.com/office/drawing/2014/main" id="{FAF9BC5D-D3E1-B48D-F550-6E0991E20A38}"/>
            </a:ext>
          </a:extLst>
        </xdr:cNvPr>
        <xdr:cNvSpPr>
          <a:spLocks noChangeShapeType="1"/>
        </xdr:cNvSpPr>
      </xdr:nvSpPr>
      <xdr:spPr bwMode="auto">
        <a:xfrm flipV="1">
          <a:off x="1612900" y="5346700"/>
          <a:ext cx="2413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266700</xdr:colOff>
      <xdr:row>32</xdr:row>
      <xdr:rowOff>76200</xdr:rowOff>
    </xdr:from>
    <xdr:to>
      <xdr:col>2</xdr:col>
      <xdr:colOff>508000</xdr:colOff>
      <xdr:row>32</xdr:row>
      <xdr:rowOff>76200</xdr:rowOff>
    </xdr:to>
    <xdr:sp macro="" textlink="">
      <xdr:nvSpPr>
        <xdr:cNvPr id="57004" name="Line 82">
          <a:extLst>
            <a:ext uri="{FF2B5EF4-FFF2-40B4-BE49-F238E27FC236}">
              <a16:creationId xmlns:a16="http://schemas.microsoft.com/office/drawing/2014/main" id="{A8BFECB1-3F82-30F7-7F14-1209B2354AC5}"/>
            </a:ext>
          </a:extLst>
        </xdr:cNvPr>
        <xdr:cNvSpPr>
          <a:spLocks noChangeShapeType="1"/>
        </xdr:cNvSpPr>
      </xdr:nvSpPr>
      <xdr:spPr bwMode="auto">
        <a:xfrm flipV="1">
          <a:off x="1612900" y="5422900"/>
          <a:ext cx="2413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266700</xdr:colOff>
      <xdr:row>33</xdr:row>
      <xdr:rowOff>0</xdr:rowOff>
    </xdr:from>
    <xdr:to>
      <xdr:col>2</xdr:col>
      <xdr:colOff>508000</xdr:colOff>
      <xdr:row>33</xdr:row>
      <xdr:rowOff>0</xdr:rowOff>
    </xdr:to>
    <xdr:sp macro="" textlink="">
      <xdr:nvSpPr>
        <xdr:cNvPr id="57005" name="Line 83">
          <a:extLst>
            <a:ext uri="{FF2B5EF4-FFF2-40B4-BE49-F238E27FC236}">
              <a16:creationId xmlns:a16="http://schemas.microsoft.com/office/drawing/2014/main" id="{AE7A1B74-66D5-0550-5D07-959C131C63C8}"/>
            </a:ext>
          </a:extLst>
        </xdr:cNvPr>
        <xdr:cNvSpPr>
          <a:spLocks noChangeShapeType="1"/>
        </xdr:cNvSpPr>
      </xdr:nvSpPr>
      <xdr:spPr bwMode="auto">
        <a:xfrm flipV="1">
          <a:off x="1612900" y="5511800"/>
          <a:ext cx="2413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266700</xdr:colOff>
      <xdr:row>33</xdr:row>
      <xdr:rowOff>101600</xdr:rowOff>
    </xdr:from>
    <xdr:to>
      <xdr:col>2</xdr:col>
      <xdr:colOff>508000</xdr:colOff>
      <xdr:row>33</xdr:row>
      <xdr:rowOff>101600</xdr:rowOff>
    </xdr:to>
    <xdr:sp macro="" textlink="">
      <xdr:nvSpPr>
        <xdr:cNvPr id="57006" name="Line 84">
          <a:extLst>
            <a:ext uri="{FF2B5EF4-FFF2-40B4-BE49-F238E27FC236}">
              <a16:creationId xmlns:a16="http://schemas.microsoft.com/office/drawing/2014/main" id="{2638EC79-0D21-DA30-0D8F-FD1BB7B82EF9}"/>
            </a:ext>
          </a:extLst>
        </xdr:cNvPr>
        <xdr:cNvSpPr>
          <a:spLocks noChangeShapeType="1"/>
        </xdr:cNvSpPr>
      </xdr:nvSpPr>
      <xdr:spPr bwMode="auto">
        <a:xfrm flipV="1">
          <a:off x="1612900" y="5613400"/>
          <a:ext cx="2413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266700</xdr:colOff>
      <xdr:row>34</xdr:row>
      <xdr:rowOff>0</xdr:rowOff>
    </xdr:from>
    <xdr:to>
      <xdr:col>2</xdr:col>
      <xdr:colOff>508000</xdr:colOff>
      <xdr:row>34</xdr:row>
      <xdr:rowOff>0</xdr:rowOff>
    </xdr:to>
    <xdr:sp macro="" textlink="">
      <xdr:nvSpPr>
        <xdr:cNvPr id="57007" name="Line 85">
          <a:extLst>
            <a:ext uri="{FF2B5EF4-FFF2-40B4-BE49-F238E27FC236}">
              <a16:creationId xmlns:a16="http://schemas.microsoft.com/office/drawing/2014/main" id="{D5D493F3-D892-84B3-71E1-034985B5C68F}"/>
            </a:ext>
          </a:extLst>
        </xdr:cNvPr>
        <xdr:cNvSpPr>
          <a:spLocks noChangeShapeType="1"/>
        </xdr:cNvSpPr>
      </xdr:nvSpPr>
      <xdr:spPr bwMode="auto">
        <a:xfrm flipV="1">
          <a:off x="1612900" y="5676900"/>
          <a:ext cx="2413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266700</xdr:colOff>
      <xdr:row>34</xdr:row>
      <xdr:rowOff>101600</xdr:rowOff>
    </xdr:from>
    <xdr:to>
      <xdr:col>2</xdr:col>
      <xdr:colOff>508000</xdr:colOff>
      <xdr:row>34</xdr:row>
      <xdr:rowOff>101600</xdr:rowOff>
    </xdr:to>
    <xdr:sp macro="" textlink="">
      <xdr:nvSpPr>
        <xdr:cNvPr id="57008" name="Line 86">
          <a:extLst>
            <a:ext uri="{FF2B5EF4-FFF2-40B4-BE49-F238E27FC236}">
              <a16:creationId xmlns:a16="http://schemas.microsoft.com/office/drawing/2014/main" id="{2B45E3B1-6CF8-551F-78E9-C003BD99CFA4}"/>
            </a:ext>
          </a:extLst>
        </xdr:cNvPr>
        <xdr:cNvSpPr>
          <a:spLocks noChangeShapeType="1"/>
        </xdr:cNvSpPr>
      </xdr:nvSpPr>
      <xdr:spPr bwMode="auto">
        <a:xfrm flipV="1">
          <a:off x="1612900" y="5778500"/>
          <a:ext cx="2413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254000</xdr:colOff>
      <xdr:row>35</xdr:row>
      <xdr:rowOff>0</xdr:rowOff>
    </xdr:from>
    <xdr:to>
      <xdr:col>2</xdr:col>
      <xdr:colOff>495300</xdr:colOff>
      <xdr:row>35</xdr:row>
      <xdr:rowOff>0</xdr:rowOff>
    </xdr:to>
    <xdr:sp macro="" textlink="">
      <xdr:nvSpPr>
        <xdr:cNvPr id="57009" name="Line 87">
          <a:extLst>
            <a:ext uri="{FF2B5EF4-FFF2-40B4-BE49-F238E27FC236}">
              <a16:creationId xmlns:a16="http://schemas.microsoft.com/office/drawing/2014/main" id="{F44370E0-C742-95AE-9FAF-F6A8937F544C}"/>
            </a:ext>
          </a:extLst>
        </xdr:cNvPr>
        <xdr:cNvSpPr>
          <a:spLocks noChangeShapeType="1"/>
        </xdr:cNvSpPr>
      </xdr:nvSpPr>
      <xdr:spPr bwMode="auto">
        <a:xfrm flipV="1">
          <a:off x="1600200" y="5842000"/>
          <a:ext cx="2413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266700</xdr:colOff>
      <xdr:row>35</xdr:row>
      <xdr:rowOff>101600</xdr:rowOff>
    </xdr:from>
    <xdr:to>
      <xdr:col>2</xdr:col>
      <xdr:colOff>508000</xdr:colOff>
      <xdr:row>35</xdr:row>
      <xdr:rowOff>101600</xdr:rowOff>
    </xdr:to>
    <xdr:sp macro="" textlink="">
      <xdr:nvSpPr>
        <xdr:cNvPr id="57010" name="Line 88">
          <a:extLst>
            <a:ext uri="{FF2B5EF4-FFF2-40B4-BE49-F238E27FC236}">
              <a16:creationId xmlns:a16="http://schemas.microsoft.com/office/drawing/2014/main" id="{BC90DCC5-452B-80C0-5A0B-D9FC90A84C2D}"/>
            </a:ext>
          </a:extLst>
        </xdr:cNvPr>
        <xdr:cNvSpPr>
          <a:spLocks noChangeShapeType="1"/>
        </xdr:cNvSpPr>
      </xdr:nvSpPr>
      <xdr:spPr bwMode="auto">
        <a:xfrm flipV="1">
          <a:off x="1612900" y="5943600"/>
          <a:ext cx="2413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266700</xdr:colOff>
      <xdr:row>36</xdr:row>
      <xdr:rowOff>0</xdr:rowOff>
    </xdr:from>
    <xdr:to>
      <xdr:col>2</xdr:col>
      <xdr:colOff>508000</xdr:colOff>
      <xdr:row>36</xdr:row>
      <xdr:rowOff>0</xdr:rowOff>
    </xdr:to>
    <xdr:sp macro="" textlink="">
      <xdr:nvSpPr>
        <xdr:cNvPr id="57011" name="Line 89">
          <a:extLst>
            <a:ext uri="{FF2B5EF4-FFF2-40B4-BE49-F238E27FC236}">
              <a16:creationId xmlns:a16="http://schemas.microsoft.com/office/drawing/2014/main" id="{3964250F-F024-7C5D-D73D-3E85E026F12E}"/>
            </a:ext>
          </a:extLst>
        </xdr:cNvPr>
        <xdr:cNvSpPr>
          <a:spLocks noChangeShapeType="1"/>
        </xdr:cNvSpPr>
      </xdr:nvSpPr>
      <xdr:spPr bwMode="auto">
        <a:xfrm flipV="1">
          <a:off x="1612900" y="6007100"/>
          <a:ext cx="2413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266700</xdr:colOff>
      <xdr:row>36</xdr:row>
      <xdr:rowOff>101600</xdr:rowOff>
    </xdr:from>
    <xdr:to>
      <xdr:col>2</xdr:col>
      <xdr:colOff>508000</xdr:colOff>
      <xdr:row>36</xdr:row>
      <xdr:rowOff>101600</xdr:rowOff>
    </xdr:to>
    <xdr:sp macro="" textlink="">
      <xdr:nvSpPr>
        <xdr:cNvPr id="57012" name="Line 90">
          <a:extLst>
            <a:ext uri="{FF2B5EF4-FFF2-40B4-BE49-F238E27FC236}">
              <a16:creationId xmlns:a16="http://schemas.microsoft.com/office/drawing/2014/main" id="{6CB9C08E-9BF8-BC05-03B1-3EC9E491B7D6}"/>
            </a:ext>
          </a:extLst>
        </xdr:cNvPr>
        <xdr:cNvSpPr>
          <a:spLocks noChangeShapeType="1"/>
        </xdr:cNvSpPr>
      </xdr:nvSpPr>
      <xdr:spPr bwMode="auto">
        <a:xfrm flipV="1">
          <a:off x="1612900" y="6108700"/>
          <a:ext cx="2413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279400</xdr:colOff>
      <xdr:row>37</xdr:row>
      <xdr:rowOff>0</xdr:rowOff>
    </xdr:from>
    <xdr:to>
      <xdr:col>2</xdr:col>
      <xdr:colOff>520700</xdr:colOff>
      <xdr:row>37</xdr:row>
      <xdr:rowOff>0</xdr:rowOff>
    </xdr:to>
    <xdr:sp macro="" textlink="">
      <xdr:nvSpPr>
        <xdr:cNvPr id="57013" name="Line 91">
          <a:extLst>
            <a:ext uri="{FF2B5EF4-FFF2-40B4-BE49-F238E27FC236}">
              <a16:creationId xmlns:a16="http://schemas.microsoft.com/office/drawing/2014/main" id="{206C7ABF-0604-F35E-3951-085E6BB8D786}"/>
            </a:ext>
          </a:extLst>
        </xdr:cNvPr>
        <xdr:cNvSpPr>
          <a:spLocks noChangeShapeType="1"/>
        </xdr:cNvSpPr>
      </xdr:nvSpPr>
      <xdr:spPr bwMode="auto">
        <a:xfrm flipV="1">
          <a:off x="1625600" y="6172200"/>
          <a:ext cx="2413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279400</xdr:colOff>
      <xdr:row>37</xdr:row>
      <xdr:rowOff>76200</xdr:rowOff>
    </xdr:from>
    <xdr:to>
      <xdr:col>2</xdr:col>
      <xdr:colOff>520700</xdr:colOff>
      <xdr:row>37</xdr:row>
      <xdr:rowOff>76200</xdr:rowOff>
    </xdr:to>
    <xdr:sp macro="" textlink="">
      <xdr:nvSpPr>
        <xdr:cNvPr id="57014" name="Line 92">
          <a:extLst>
            <a:ext uri="{FF2B5EF4-FFF2-40B4-BE49-F238E27FC236}">
              <a16:creationId xmlns:a16="http://schemas.microsoft.com/office/drawing/2014/main" id="{0E37E33E-3A78-A4C6-CE6A-90D70D1217C1}"/>
            </a:ext>
          </a:extLst>
        </xdr:cNvPr>
        <xdr:cNvSpPr>
          <a:spLocks noChangeShapeType="1"/>
        </xdr:cNvSpPr>
      </xdr:nvSpPr>
      <xdr:spPr bwMode="auto">
        <a:xfrm flipV="1">
          <a:off x="1625600" y="6248400"/>
          <a:ext cx="2413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279400</xdr:colOff>
      <xdr:row>38</xdr:row>
      <xdr:rowOff>0</xdr:rowOff>
    </xdr:from>
    <xdr:to>
      <xdr:col>2</xdr:col>
      <xdr:colOff>520700</xdr:colOff>
      <xdr:row>38</xdr:row>
      <xdr:rowOff>0</xdr:rowOff>
    </xdr:to>
    <xdr:sp macro="" textlink="">
      <xdr:nvSpPr>
        <xdr:cNvPr id="57015" name="Line 93">
          <a:extLst>
            <a:ext uri="{FF2B5EF4-FFF2-40B4-BE49-F238E27FC236}">
              <a16:creationId xmlns:a16="http://schemas.microsoft.com/office/drawing/2014/main" id="{B1FF83E5-C383-A248-B963-A779E40FF4D7}"/>
            </a:ext>
          </a:extLst>
        </xdr:cNvPr>
        <xdr:cNvSpPr>
          <a:spLocks noChangeShapeType="1"/>
        </xdr:cNvSpPr>
      </xdr:nvSpPr>
      <xdr:spPr bwMode="auto">
        <a:xfrm flipV="1">
          <a:off x="1625600" y="6337300"/>
          <a:ext cx="2413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266700</xdr:colOff>
      <xdr:row>38</xdr:row>
      <xdr:rowOff>101600</xdr:rowOff>
    </xdr:from>
    <xdr:to>
      <xdr:col>2</xdr:col>
      <xdr:colOff>508000</xdr:colOff>
      <xdr:row>38</xdr:row>
      <xdr:rowOff>101600</xdr:rowOff>
    </xdr:to>
    <xdr:sp macro="" textlink="">
      <xdr:nvSpPr>
        <xdr:cNvPr id="57016" name="Line 94">
          <a:extLst>
            <a:ext uri="{FF2B5EF4-FFF2-40B4-BE49-F238E27FC236}">
              <a16:creationId xmlns:a16="http://schemas.microsoft.com/office/drawing/2014/main" id="{07474FBB-AEF7-6AA3-5AEE-AF63877E3C50}"/>
            </a:ext>
          </a:extLst>
        </xdr:cNvPr>
        <xdr:cNvSpPr>
          <a:spLocks noChangeShapeType="1"/>
        </xdr:cNvSpPr>
      </xdr:nvSpPr>
      <xdr:spPr bwMode="auto">
        <a:xfrm flipV="1">
          <a:off x="1612900" y="6438900"/>
          <a:ext cx="2413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254000</xdr:colOff>
      <xdr:row>39</xdr:row>
      <xdr:rowOff>0</xdr:rowOff>
    </xdr:from>
    <xdr:to>
      <xdr:col>2</xdr:col>
      <xdr:colOff>495300</xdr:colOff>
      <xdr:row>39</xdr:row>
      <xdr:rowOff>0</xdr:rowOff>
    </xdr:to>
    <xdr:sp macro="" textlink="">
      <xdr:nvSpPr>
        <xdr:cNvPr id="57017" name="Line 95">
          <a:extLst>
            <a:ext uri="{FF2B5EF4-FFF2-40B4-BE49-F238E27FC236}">
              <a16:creationId xmlns:a16="http://schemas.microsoft.com/office/drawing/2014/main" id="{765F23F3-F3F5-71E4-B050-44F44B4C8CD9}"/>
            </a:ext>
          </a:extLst>
        </xdr:cNvPr>
        <xdr:cNvSpPr>
          <a:spLocks noChangeShapeType="1"/>
        </xdr:cNvSpPr>
      </xdr:nvSpPr>
      <xdr:spPr bwMode="auto">
        <a:xfrm flipV="1">
          <a:off x="1600200" y="6502400"/>
          <a:ext cx="2413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266700</xdr:colOff>
      <xdr:row>39</xdr:row>
      <xdr:rowOff>101600</xdr:rowOff>
    </xdr:from>
    <xdr:to>
      <xdr:col>2</xdr:col>
      <xdr:colOff>508000</xdr:colOff>
      <xdr:row>39</xdr:row>
      <xdr:rowOff>101600</xdr:rowOff>
    </xdr:to>
    <xdr:sp macro="" textlink="">
      <xdr:nvSpPr>
        <xdr:cNvPr id="57018" name="Line 96">
          <a:extLst>
            <a:ext uri="{FF2B5EF4-FFF2-40B4-BE49-F238E27FC236}">
              <a16:creationId xmlns:a16="http://schemas.microsoft.com/office/drawing/2014/main" id="{0EBC86DC-5C62-FDA3-9FFC-6DCDC2A551B9}"/>
            </a:ext>
          </a:extLst>
        </xdr:cNvPr>
        <xdr:cNvSpPr>
          <a:spLocks noChangeShapeType="1"/>
        </xdr:cNvSpPr>
      </xdr:nvSpPr>
      <xdr:spPr bwMode="auto">
        <a:xfrm flipV="1">
          <a:off x="1612900" y="6604000"/>
          <a:ext cx="2413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254000</xdr:colOff>
      <xdr:row>40</xdr:row>
      <xdr:rowOff>0</xdr:rowOff>
    </xdr:from>
    <xdr:to>
      <xdr:col>2</xdr:col>
      <xdr:colOff>495300</xdr:colOff>
      <xdr:row>40</xdr:row>
      <xdr:rowOff>0</xdr:rowOff>
    </xdr:to>
    <xdr:sp macro="" textlink="">
      <xdr:nvSpPr>
        <xdr:cNvPr id="57019" name="Line 97">
          <a:extLst>
            <a:ext uri="{FF2B5EF4-FFF2-40B4-BE49-F238E27FC236}">
              <a16:creationId xmlns:a16="http://schemas.microsoft.com/office/drawing/2014/main" id="{F41EA0D6-5240-E38B-0D7C-6E69DF8AF8E1}"/>
            </a:ext>
          </a:extLst>
        </xdr:cNvPr>
        <xdr:cNvSpPr>
          <a:spLocks noChangeShapeType="1"/>
        </xdr:cNvSpPr>
      </xdr:nvSpPr>
      <xdr:spPr bwMode="auto">
        <a:xfrm flipV="1">
          <a:off x="1600200" y="6667500"/>
          <a:ext cx="2413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266700</xdr:colOff>
      <xdr:row>40</xdr:row>
      <xdr:rowOff>101600</xdr:rowOff>
    </xdr:from>
    <xdr:to>
      <xdr:col>2</xdr:col>
      <xdr:colOff>508000</xdr:colOff>
      <xdr:row>40</xdr:row>
      <xdr:rowOff>101600</xdr:rowOff>
    </xdr:to>
    <xdr:sp macro="" textlink="">
      <xdr:nvSpPr>
        <xdr:cNvPr id="57020" name="Line 98">
          <a:extLst>
            <a:ext uri="{FF2B5EF4-FFF2-40B4-BE49-F238E27FC236}">
              <a16:creationId xmlns:a16="http://schemas.microsoft.com/office/drawing/2014/main" id="{3A58A362-CCFC-C83C-17ED-012F0C03C732}"/>
            </a:ext>
          </a:extLst>
        </xdr:cNvPr>
        <xdr:cNvSpPr>
          <a:spLocks noChangeShapeType="1"/>
        </xdr:cNvSpPr>
      </xdr:nvSpPr>
      <xdr:spPr bwMode="auto">
        <a:xfrm flipV="1">
          <a:off x="1612900" y="6769100"/>
          <a:ext cx="2413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254000</xdr:colOff>
      <xdr:row>41</xdr:row>
      <xdr:rowOff>0</xdr:rowOff>
    </xdr:from>
    <xdr:to>
      <xdr:col>2</xdr:col>
      <xdr:colOff>495300</xdr:colOff>
      <xdr:row>41</xdr:row>
      <xdr:rowOff>0</xdr:rowOff>
    </xdr:to>
    <xdr:sp macro="" textlink="">
      <xdr:nvSpPr>
        <xdr:cNvPr id="57021" name="Line 99">
          <a:extLst>
            <a:ext uri="{FF2B5EF4-FFF2-40B4-BE49-F238E27FC236}">
              <a16:creationId xmlns:a16="http://schemas.microsoft.com/office/drawing/2014/main" id="{65A9BB94-554B-587F-514D-783D3DBAF61F}"/>
            </a:ext>
          </a:extLst>
        </xdr:cNvPr>
        <xdr:cNvSpPr>
          <a:spLocks noChangeShapeType="1"/>
        </xdr:cNvSpPr>
      </xdr:nvSpPr>
      <xdr:spPr bwMode="auto">
        <a:xfrm flipV="1">
          <a:off x="1600200" y="6832600"/>
          <a:ext cx="2413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266700</xdr:colOff>
      <xdr:row>41</xdr:row>
      <xdr:rowOff>76200</xdr:rowOff>
    </xdr:from>
    <xdr:to>
      <xdr:col>2</xdr:col>
      <xdr:colOff>508000</xdr:colOff>
      <xdr:row>41</xdr:row>
      <xdr:rowOff>76200</xdr:rowOff>
    </xdr:to>
    <xdr:sp macro="" textlink="">
      <xdr:nvSpPr>
        <xdr:cNvPr id="57022" name="Line 100">
          <a:extLst>
            <a:ext uri="{FF2B5EF4-FFF2-40B4-BE49-F238E27FC236}">
              <a16:creationId xmlns:a16="http://schemas.microsoft.com/office/drawing/2014/main" id="{828033DB-10D8-F830-CCAF-CB25A9EFDF7B}"/>
            </a:ext>
          </a:extLst>
        </xdr:cNvPr>
        <xdr:cNvSpPr>
          <a:spLocks noChangeShapeType="1"/>
        </xdr:cNvSpPr>
      </xdr:nvSpPr>
      <xdr:spPr bwMode="auto">
        <a:xfrm flipV="1">
          <a:off x="1612900" y="6908800"/>
          <a:ext cx="2413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381000</xdr:colOff>
      <xdr:row>22</xdr:row>
      <xdr:rowOff>101600</xdr:rowOff>
    </xdr:from>
    <xdr:to>
      <xdr:col>2</xdr:col>
      <xdr:colOff>381000</xdr:colOff>
      <xdr:row>27</xdr:row>
      <xdr:rowOff>114300</xdr:rowOff>
    </xdr:to>
    <xdr:sp macro="" textlink="">
      <xdr:nvSpPr>
        <xdr:cNvPr id="57023" name="Line 101">
          <a:extLst>
            <a:ext uri="{FF2B5EF4-FFF2-40B4-BE49-F238E27FC236}">
              <a16:creationId xmlns:a16="http://schemas.microsoft.com/office/drawing/2014/main" id="{A1277C1A-9666-E6E4-9BD1-B252F0FE9479}"/>
            </a:ext>
          </a:extLst>
        </xdr:cNvPr>
        <xdr:cNvSpPr>
          <a:spLocks noChangeShapeType="1"/>
        </xdr:cNvSpPr>
      </xdr:nvSpPr>
      <xdr:spPr bwMode="auto">
        <a:xfrm flipV="1">
          <a:off x="1727200" y="3797300"/>
          <a:ext cx="0" cy="838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190500</xdr:colOff>
      <xdr:row>23</xdr:row>
      <xdr:rowOff>38100</xdr:rowOff>
    </xdr:from>
    <xdr:to>
      <xdr:col>2</xdr:col>
      <xdr:colOff>190500</xdr:colOff>
      <xdr:row>27</xdr:row>
      <xdr:rowOff>139700</xdr:rowOff>
    </xdr:to>
    <xdr:sp macro="" textlink="">
      <xdr:nvSpPr>
        <xdr:cNvPr id="57024" name="Line 102">
          <a:extLst>
            <a:ext uri="{FF2B5EF4-FFF2-40B4-BE49-F238E27FC236}">
              <a16:creationId xmlns:a16="http://schemas.microsoft.com/office/drawing/2014/main" id="{9421A12A-9E1A-F337-16BB-CAF5718944C0}"/>
            </a:ext>
          </a:extLst>
        </xdr:cNvPr>
        <xdr:cNvSpPr>
          <a:spLocks noChangeShapeType="1"/>
        </xdr:cNvSpPr>
      </xdr:nvSpPr>
      <xdr:spPr bwMode="auto">
        <a:xfrm flipV="1">
          <a:off x="1536700" y="3898900"/>
          <a:ext cx="0" cy="76200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558800</xdr:colOff>
      <xdr:row>23</xdr:row>
      <xdr:rowOff>12700</xdr:rowOff>
    </xdr:from>
    <xdr:to>
      <xdr:col>2</xdr:col>
      <xdr:colOff>558800</xdr:colOff>
      <xdr:row>41</xdr:row>
      <xdr:rowOff>101600</xdr:rowOff>
    </xdr:to>
    <xdr:sp macro="" textlink="">
      <xdr:nvSpPr>
        <xdr:cNvPr id="57025" name="Line 103">
          <a:extLst>
            <a:ext uri="{FF2B5EF4-FFF2-40B4-BE49-F238E27FC236}">
              <a16:creationId xmlns:a16="http://schemas.microsoft.com/office/drawing/2014/main" id="{5243AD4E-F93B-0511-5249-9DB7D5A55B82}"/>
            </a:ext>
          </a:extLst>
        </xdr:cNvPr>
        <xdr:cNvSpPr>
          <a:spLocks noChangeShapeType="1"/>
        </xdr:cNvSpPr>
      </xdr:nvSpPr>
      <xdr:spPr bwMode="auto">
        <a:xfrm flipV="1">
          <a:off x="1905000" y="3873500"/>
          <a:ext cx="0" cy="306070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177800</xdr:colOff>
      <xdr:row>23</xdr:row>
      <xdr:rowOff>76200</xdr:rowOff>
    </xdr:from>
    <xdr:to>
      <xdr:col>2</xdr:col>
      <xdr:colOff>558800</xdr:colOff>
      <xdr:row>23</xdr:row>
      <xdr:rowOff>76200</xdr:rowOff>
    </xdr:to>
    <xdr:sp macro="" textlink="">
      <xdr:nvSpPr>
        <xdr:cNvPr id="57026" name="Line 104">
          <a:extLst>
            <a:ext uri="{FF2B5EF4-FFF2-40B4-BE49-F238E27FC236}">
              <a16:creationId xmlns:a16="http://schemas.microsoft.com/office/drawing/2014/main" id="{1206AA94-AAA8-5E2E-E77D-76D687940F33}"/>
            </a:ext>
          </a:extLst>
        </xdr:cNvPr>
        <xdr:cNvSpPr>
          <a:spLocks noChangeShapeType="1"/>
        </xdr:cNvSpPr>
      </xdr:nvSpPr>
      <xdr:spPr bwMode="auto">
        <a:xfrm>
          <a:off x="1524000" y="3937000"/>
          <a:ext cx="381000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355600</xdr:colOff>
      <xdr:row>23</xdr:row>
      <xdr:rowOff>50800</xdr:rowOff>
    </xdr:from>
    <xdr:to>
      <xdr:col>2</xdr:col>
      <xdr:colOff>393700</xdr:colOff>
      <xdr:row>23</xdr:row>
      <xdr:rowOff>114300</xdr:rowOff>
    </xdr:to>
    <xdr:sp macro="" textlink="">
      <xdr:nvSpPr>
        <xdr:cNvPr id="57027" name="Line 105">
          <a:extLst>
            <a:ext uri="{FF2B5EF4-FFF2-40B4-BE49-F238E27FC236}">
              <a16:creationId xmlns:a16="http://schemas.microsoft.com/office/drawing/2014/main" id="{59E73A7E-DC29-B34C-5EF6-90DC6233DC88}"/>
            </a:ext>
          </a:extLst>
        </xdr:cNvPr>
        <xdr:cNvSpPr>
          <a:spLocks noChangeShapeType="1"/>
        </xdr:cNvSpPr>
      </xdr:nvSpPr>
      <xdr:spPr bwMode="auto">
        <a:xfrm flipH="1">
          <a:off x="1701800" y="3911600"/>
          <a:ext cx="38100" cy="6350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342900</xdr:colOff>
      <xdr:row>23</xdr:row>
      <xdr:rowOff>50800</xdr:rowOff>
    </xdr:from>
    <xdr:to>
      <xdr:col>2</xdr:col>
      <xdr:colOff>406400</xdr:colOff>
      <xdr:row>23</xdr:row>
      <xdr:rowOff>114300</xdr:rowOff>
    </xdr:to>
    <xdr:sp macro="" textlink="">
      <xdr:nvSpPr>
        <xdr:cNvPr id="57028" name="Line 106">
          <a:extLst>
            <a:ext uri="{FF2B5EF4-FFF2-40B4-BE49-F238E27FC236}">
              <a16:creationId xmlns:a16="http://schemas.microsoft.com/office/drawing/2014/main" id="{E7D2CB10-A5FB-3665-CB97-54645309B8B4}"/>
            </a:ext>
          </a:extLst>
        </xdr:cNvPr>
        <xdr:cNvSpPr>
          <a:spLocks noChangeShapeType="1"/>
        </xdr:cNvSpPr>
      </xdr:nvSpPr>
      <xdr:spPr bwMode="auto">
        <a:xfrm>
          <a:off x="1689100" y="3911600"/>
          <a:ext cx="63500" cy="6350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330200</xdr:colOff>
      <xdr:row>22</xdr:row>
      <xdr:rowOff>76200</xdr:rowOff>
    </xdr:from>
    <xdr:to>
      <xdr:col>2</xdr:col>
      <xdr:colOff>431800</xdr:colOff>
      <xdr:row>23</xdr:row>
      <xdr:rowOff>76200</xdr:rowOff>
    </xdr:to>
    <xdr:sp macro="" textlink="">
      <xdr:nvSpPr>
        <xdr:cNvPr id="57029" name="Line 107">
          <a:extLst>
            <a:ext uri="{FF2B5EF4-FFF2-40B4-BE49-F238E27FC236}">
              <a16:creationId xmlns:a16="http://schemas.microsoft.com/office/drawing/2014/main" id="{8597F665-49CE-A2CA-4709-C159A92A2E86}"/>
            </a:ext>
          </a:extLst>
        </xdr:cNvPr>
        <xdr:cNvSpPr>
          <a:spLocks noChangeShapeType="1"/>
        </xdr:cNvSpPr>
      </xdr:nvSpPr>
      <xdr:spPr bwMode="auto">
        <a:xfrm flipV="1">
          <a:off x="1676400" y="3771900"/>
          <a:ext cx="101600" cy="1651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431800</xdr:colOff>
      <xdr:row>22</xdr:row>
      <xdr:rowOff>76200</xdr:rowOff>
    </xdr:from>
    <xdr:to>
      <xdr:col>3</xdr:col>
      <xdr:colOff>241300</xdr:colOff>
      <xdr:row>22</xdr:row>
      <xdr:rowOff>76200</xdr:rowOff>
    </xdr:to>
    <xdr:sp macro="" textlink="">
      <xdr:nvSpPr>
        <xdr:cNvPr id="57030" name="Line 108">
          <a:extLst>
            <a:ext uri="{FF2B5EF4-FFF2-40B4-BE49-F238E27FC236}">
              <a16:creationId xmlns:a16="http://schemas.microsoft.com/office/drawing/2014/main" id="{1CF19766-DAF5-1FD4-ED55-D069E8E73989}"/>
            </a:ext>
          </a:extLst>
        </xdr:cNvPr>
        <xdr:cNvSpPr>
          <a:spLocks noChangeShapeType="1"/>
        </xdr:cNvSpPr>
      </xdr:nvSpPr>
      <xdr:spPr bwMode="auto">
        <a:xfrm>
          <a:off x="1778000" y="3771900"/>
          <a:ext cx="4826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406400</xdr:colOff>
      <xdr:row>22</xdr:row>
      <xdr:rowOff>63500</xdr:rowOff>
    </xdr:from>
    <xdr:to>
      <xdr:col>2</xdr:col>
      <xdr:colOff>508000</xdr:colOff>
      <xdr:row>23</xdr:row>
      <xdr:rowOff>63500</xdr:rowOff>
    </xdr:to>
    <xdr:sp macro="" textlink="">
      <xdr:nvSpPr>
        <xdr:cNvPr id="57031" name="Line 109">
          <a:extLst>
            <a:ext uri="{FF2B5EF4-FFF2-40B4-BE49-F238E27FC236}">
              <a16:creationId xmlns:a16="http://schemas.microsoft.com/office/drawing/2014/main" id="{969E2FB6-AD56-874A-D1C2-D5589849F3DB}"/>
            </a:ext>
          </a:extLst>
        </xdr:cNvPr>
        <xdr:cNvSpPr>
          <a:spLocks noChangeShapeType="1"/>
        </xdr:cNvSpPr>
      </xdr:nvSpPr>
      <xdr:spPr bwMode="auto">
        <a:xfrm flipV="1">
          <a:off x="1752600" y="3759200"/>
          <a:ext cx="101600" cy="1651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292100</xdr:colOff>
      <xdr:row>21</xdr:row>
      <xdr:rowOff>142875</xdr:rowOff>
    </xdr:from>
    <xdr:ext cx="1163139" cy="318036"/>
    <xdr:sp macro="" textlink="">
      <xdr:nvSpPr>
        <xdr:cNvPr id="35950" name="Text Box 110">
          <a:extLst>
            <a:ext uri="{FF2B5EF4-FFF2-40B4-BE49-F238E27FC236}">
              <a16:creationId xmlns:a16="http://schemas.microsoft.com/office/drawing/2014/main" id="{B544900B-7B8B-E9FE-5DAC-401B302ABD9F}"/>
            </a:ext>
          </a:extLst>
        </xdr:cNvPr>
        <xdr:cNvSpPr txBox="1">
          <a:spLocks noChangeArrowheads="1"/>
        </xdr:cNvSpPr>
      </xdr:nvSpPr>
      <xdr:spPr bwMode="auto">
        <a:xfrm>
          <a:off x="2311400" y="3673475"/>
          <a:ext cx="1163139" cy="318036"/>
        </a:xfrm>
        <a:prstGeom prst="rect">
          <a:avLst/>
        </a:prstGeom>
        <a:noFill/>
        <a:ln>
          <a:noFill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1'-3" Clr. Min.</a:t>
          </a:r>
        </a:p>
        <a:p>
          <a:pPr algn="l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(381mm) </a:t>
          </a:r>
          <a:r>
            <a:rPr lang="en-US" sz="800" b="1" i="1" u="none" strike="noStrike" baseline="0">
              <a:solidFill>
                <a:srgbClr val="FF0000"/>
              </a:solidFill>
              <a:latin typeface="Arial"/>
              <a:cs typeface="Arial"/>
            </a:rPr>
            <a:t>See Note 12</a:t>
          </a:r>
        </a:p>
      </xdr:txBody>
    </xdr:sp>
    <xdr:clientData/>
  </xdr:oneCellAnchor>
  <xdr:twoCellAnchor>
    <xdr:from>
      <xdr:col>1</xdr:col>
      <xdr:colOff>279400</xdr:colOff>
      <xdr:row>35</xdr:row>
      <xdr:rowOff>0</xdr:rowOff>
    </xdr:from>
    <xdr:to>
      <xdr:col>2</xdr:col>
      <xdr:colOff>241300</xdr:colOff>
      <xdr:row>35</xdr:row>
      <xdr:rowOff>0</xdr:rowOff>
    </xdr:to>
    <xdr:sp macro="" textlink="">
      <xdr:nvSpPr>
        <xdr:cNvPr id="57033" name="Line 111">
          <a:extLst>
            <a:ext uri="{FF2B5EF4-FFF2-40B4-BE49-F238E27FC236}">
              <a16:creationId xmlns:a16="http://schemas.microsoft.com/office/drawing/2014/main" id="{8D0EB74B-B8AC-1EF9-8477-A24DDD153EB5}"/>
            </a:ext>
          </a:extLst>
        </xdr:cNvPr>
        <xdr:cNvSpPr>
          <a:spLocks noChangeShapeType="1"/>
        </xdr:cNvSpPr>
      </xdr:nvSpPr>
      <xdr:spPr bwMode="auto">
        <a:xfrm flipH="1">
          <a:off x="952500" y="5842000"/>
          <a:ext cx="635000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279400</xdr:colOff>
      <xdr:row>35</xdr:row>
      <xdr:rowOff>101600</xdr:rowOff>
    </xdr:from>
    <xdr:to>
      <xdr:col>2</xdr:col>
      <xdr:colOff>241300</xdr:colOff>
      <xdr:row>35</xdr:row>
      <xdr:rowOff>101600</xdr:rowOff>
    </xdr:to>
    <xdr:sp macro="" textlink="">
      <xdr:nvSpPr>
        <xdr:cNvPr id="57034" name="Line 112">
          <a:extLst>
            <a:ext uri="{FF2B5EF4-FFF2-40B4-BE49-F238E27FC236}">
              <a16:creationId xmlns:a16="http://schemas.microsoft.com/office/drawing/2014/main" id="{21902E8D-ADAB-7ECC-9963-ADD790979867}"/>
            </a:ext>
          </a:extLst>
        </xdr:cNvPr>
        <xdr:cNvSpPr>
          <a:spLocks noChangeShapeType="1"/>
        </xdr:cNvSpPr>
      </xdr:nvSpPr>
      <xdr:spPr bwMode="auto">
        <a:xfrm flipH="1">
          <a:off x="952500" y="5943600"/>
          <a:ext cx="635000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317500</xdr:colOff>
      <xdr:row>32</xdr:row>
      <xdr:rowOff>114300</xdr:rowOff>
    </xdr:from>
    <xdr:to>
      <xdr:col>1</xdr:col>
      <xdr:colOff>317500</xdr:colOff>
      <xdr:row>35</xdr:row>
      <xdr:rowOff>0</xdr:rowOff>
    </xdr:to>
    <xdr:sp macro="" textlink="">
      <xdr:nvSpPr>
        <xdr:cNvPr id="57035" name="Line 113">
          <a:extLst>
            <a:ext uri="{FF2B5EF4-FFF2-40B4-BE49-F238E27FC236}">
              <a16:creationId xmlns:a16="http://schemas.microsoft.com/office/drawing/2014/main" id="{9908DF3B-ABBE-3C73-E293-956FB6DFA29D}"/>
            </a:ext>
          </a:extLst>
        </xdr:cNvPr>
        <xdr:cNvSpPr>
          <a:spLocks noChangeShapeType="1"/>
        </xdr:cNvSpPr>
      </xdr:nvSpPr>
      <xdr:spPr bwMode="auto">
        <a:xfrm flipV="1">
          <a:off x="990600" y="5461000"/>
          <a:ext cx="0" cy="38100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317500</xdr:colOff>
      <xdr:row>35</xdr:row>
      <xdr:rowOff>0</xdr:rowOff>
    </xdr:from>
    <xdr:to>
      <xdr:col>1</xdr:col>
      <xdr:colOff>317500</xdr:colOff>
      <xdr:row>35</xdr:row>
      <xdr:rowOff>101600</xdr:rowOff>
    </xdr:to>
    <xdr:sp macro="" textlink="">
      <xdr:nvSpPr>
        <xdr:cNvPr id="57036" name="Line 114">
          <a:extLst>
            <a:ext uri="{FF2B5EF4-FFF2-40B4-BE49-F238E27FC236}">
              <a16:creationId xmlns:a16="http://schemas.microsoft.com/office/drawing/2014/main" id="{58AF0075-7C9D-D97C-026C-6B6EA7C5E11B}"/>
            </a:ext>
          </a:extLst>
        </xdr:cNvPr>
        <xdr:cNvSpPr>
          <a:spLocks noChangeShapeType="1"/>
        </xdr:cNvSpPr>
      </xdr:nvSpPr>
      <xdr:spPr bwMode="auto">
        <a:xfrm>
          <a:off x="990600" y="5842000"/>
          <a:ext cx="0" cy="1016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317500</xdr:colOff>
      <xdr:row>35</xdr:row>
      <xdr:rowOff>101600</xdr:rowOff>
    </xdr:from>
    <xdr:to>
      <xdr:col>1</xdr:col>
      <xdr:colOff>317500</xdr:colOff>
      <xdr:row>37</xdr:row>
      <xdr:rowOff>38100</xdr:rowOff>
    </xdr:to>
    <xdr:sp macro="" textlink="">
      <xdr:nvSpPr>
        <xdr:cNvPr id="57037" name="Line 115">
          <a:extLst>
            <a:ext uri="{FF2B5EF4-FFF2-40B4-BE49-F238E27FC236}">
              <a16:creationId xmlns:a16="http://schemas.microsoft.com/office/drawing/2014/main" id="{320E5FD4-4E74-4059-8D7A-819084690EDC}"/>
            </a:ext>
          </a:extLst>
        </xdr:cNvPr>
        <xdr:cNvSpPr>
          <a:spLocks noChangeShapeType="1"/>
        </xdr:cNvSpPr>
      </xdr:nvSpPr>
      <xdr:spPr bwMode="auto">
        <a:xfrm>
          <a:off x="990600" y="5943600"/>
          <a:ext cx="0" cy="2667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57150</xdr:colOff>
      <xdr:row>32</xdr:row>
      <xdr:rowOff>11430</xdr:rowOff>
    </xdr:from>
    <xdr:ext cx="610765" cy="435953"/>
    <xdr:sp macro="" textlink="">
      <xdr:nvSpPr>
        <xdr:cNvPr id="35956" name="Text Box 116">
          <a:extLst>
            <a:ext uri="{FF2B5EF4-FFF2-40B4-BE49-F238E27FC236}">
              <a16:creationId xmlns:a16="http://schemas.microsoft.com/office/drawing/2014/main" id="{E4CBFED4-707F-FE86-E0DC-9E52FB695E87}"/>
            </a:ext>
          </a:extLst>
        </xdr:cNvPr>
        <xdr:cNvSpPr txBox="1">
          <a:spLocks noChangeArrowheads="1"/>
        </xdr:cNvSpPr>
      </xdr:nvSpPr>
      <xdr:spPr bwMode="auto">
        <a:xfrm>
          <a:off x="57150" y="5429250"/>
          <a:ext cx="545790" cy="435953"/>
        </a:xfrm>
        <a:prstGeom prst="rect">
          <a:avLst/>
        </a:prstGeom>
        <a:noFill/>
        <a:ln>
          <a:noFill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12" Max</a:t>
          </a:r>
        </a:p>
        <a:p>
          <a:pPr algn="l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(305mm)</a:t>
          </a:r>
        </a:p>
        <a:p>
          <a:pPr algn="l" rtl="0">
            <a:defRPr sz="1000"/>
          </a:pPr>
          <a:r>
            <a:rPr lang="en-US" sz="800" b="1" i="1" u="none" strike="noStrike" baseline="0">
              <a:solidFill>
                <a:srgbClr val="FF0000"/>
              </a:solidFill>
              <a:latin typeface="Arial"/>
              <a:cs typeface="Arial"/>
            </a:rPr>
            <a:t>See Note 7</a:t>
          </a:r>
        </a:p>
      </xdr:txBody>
    </xdr:sp>
    <xdr:clientData/>
  </xdr:oneCellAnchor>
  <xdr:twoCellAnchor>
    <xdr:from>
      <xdr:col>1</xdr:col>
      <xdr:colOff>63500</xdr:colOff>
      <xdr:row>32</xdr:row>
      <xdr:rowOff>114300</xdr:rowOff>
    </xdr:from>
    <xdr:to>
      <xdr:col>1</xdr:col>
      <xdr:colOff>330200</xdr:colOff>
      <xdr:row>32</xdr:row>
      <xdr:rowOff>114300</xdr:rowOff>
    </xdr:to>
    <xdr:sp macro="" textlink="">
      <xdr:nvSpPr>
        <xdr:cNvPr id="57039" name="Line 117">
          <a:extLst>
            <a:ext uri="{FF2B5EF4-FFF2-40B4-BE49-F238E27FC236}">
              <a16:creationId xmlns:a16="http://schemas.microsoft.com/office/drawing/2014/main" id="{86E5A4A8-F530-0167-F465-72C13B077054}"/>
            </a:ext>
          </a:extLst>
        </xdr:cNvPr>
        <xdr:cNvSpPr>
          <a:spLocks noChangeShapeType="1"/>
        </xdr:cNvSpPr>
      </xdr:nvSpPr>
      <xdr:spPr bwMode="auto">
        <a:xfrm flipH="1">
          <a:off x="736600" y="5461000"/>
          <a:ext cx="266700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165100</xdr:colOff>
      <xdr:row>38</xdr:row>
      <xdr:rowOff>38100</xdr:rowOff>
    </xdr:from>
    <xdr:ext cx="880309" cy="136384"/>
    <xdr:sp macro="" textlink="">
      <xdr:nvSpPr>
        <xdr:cNvPr id="35958" name="Text Box 118">
          <a:extLst>
            <a:ext uri="{FF2B5EF4-FFF2-40B4-BE49-F238E27FC236}">
              <a16:creationId xmlns:a16="http://schemas.microsoft.com/office/drawing/2014/main" id="{EB7DF1EE-7824-69F0-F73C-8AF1BB290F4F}"/>
            </a:ext>
          </a:extLst>
        </xdr:cNvPr>
        <xdr:cNvSpPr txBox="1">
          <a:spLocks noChangeArrowheads="1"/>
        </xdr:cNvSpPr>
      </xdr:nvSpPr>
      <xdr:spPr bwMode="auto">
        <a:xfrm>
          <a:off x="152400" y="6461760"/>
          <a:ext cx="856517" cy="136384"/>
        </a:xfrm>
        <a:prstGeom prst="rect">
          <a:avLst/>
        </a:prstGeom>
        <a:noFill/>
        <a:ln>
          <a:noFill/>
        </a:ln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800" b="1" i="1" u="none" strike="noStrike" baseline="0">
              <a:solidFill>
                <a:srgbClr val="000000"/>
              </a:solidFill>
              <a:latin typeface="Arial"/>
              <a:cs typeface="Arial"/>
            </a:rPr>
            <a:t>Side Step Ladder</a:t>
          </a:r>
        </a:p>
      </xdr:txBody>
    </xdr:sp>
    <xdr:clientData/>
  </xdr:oneCellAnchor>
  <xdr:twoCellAnchor>
    <xdr:from>
      <xdr:col>1</xdr:col>
      <xdr:colOff>546100</xdr:colOff>
      <xdr:row>38</xdr:row>
      <xdr:rowOff>139700</xdr:rowOff>
    </xdr:from>
    <xdr:to>
      <xdr:col>2</xdr:col>
      <xdr:colOff>292100</xdr:colOff>
      <xdr:row>39</xdr:row>
      <xdr:rowOff>63500</xdr:rowOff>
    </xdr:to>
    <xdr:sp macro="" textlink="">
      <xdr:nvSpPr>
        <xdr:cNvPr id="57041" name="Line 119">
          <a:extLst>
            <a:ext uri="{FF2B5EF4-FFF2-40B4-BE49-F238E27FC236}">
              <a16:creationId xmlns:a16="http://schemas.microsoft.com/office/drawing/2014/main" id="{88BBE2CC-6C2A-E8BE-9952-BFB6BB92848F}"/>
            </a:ext>
          </a:extLst>
        </xdr:cNvPr>
        <xdr:cNvSpPr>
          <a:spLocks noChangeShapeType="1"/>
        </xdr:cNvSpPr>
      </xdr:nvSpPr>
      <xdr:spPr bwMode="auto">
        <a:xfrm flipH="1" flipV="1">
          <a:off x="1219200" y="6477000"/>
          <a:ext cx="419100" cy="889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419100</xdr:colOff>
      <xdr:row>26</xdr:row>
      <xdr:rowOff>101600</xdr:rowOff>
    </xdr:from>
    <xdr:to>
      <xdr:col>4</xdr:col>
      <xdr:colOff>63500</xdr:colOff>
      <xdr:row>28</xdr:row>
      <xdr:rowOff>12700</xdr:rowOff>
    </xdr:to>
    <xdr:sp macro="" textlink="">
      <xdr:nvSpPr>
        <xdr:cNvPr id="57042" name="Line 120">
          <a:extLst>
            <a:ext uri="{FF2B5EF4-FFF2-40B4-BE49-F238E27FC236}">
              <a16:creationId xmlns:a16="http://schemas.microsoft.com/office/drawing/2014/main" id="{B8225EAE-D61A-4758-C6DC-D82B2F5FD3F0}"/>
            </a:ext>
          </a:extLst>
        </xdr:cNvPr>
        <xdr:cNvSpPr>
          <a:spLocks noChangeShapeType="1"/>
        </xdr:cNvSpPr>
      </xdr:nvSpPr>
      <xdr:spPr bwMode="auto">
        <a:xfrm flipV="1">
          <a:off x="2438400" y="4457700"/>
          <a:ext cx="317500" cy="2413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oval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50800</xdr:colOff>
      <xdr:row>26</xdr:row>
      <xdr:rowOff>101600</xdr:rowOff>
    </xdr:from>
    <xdr:to>
      <xdr:col>4</xdr:col>
      <xdr:colOff>165100</xdr:colOff>
      <xdr:row>26</xdr:row>
      <xdr:rowOff>101600</xdr:rowOff>
    </xdr:to>
    <xdr:sp macro="" textlink="">
      <xdr:nvSpPr>
        <xdr:cNvPr id="57043" name="Line 121">
          <a:extLst>
            <a:ext uri="{FF2B5EF4-FFF2-40B4-BE49-F238E27FC236}">
              <a16:creationId xmlns:a16="http://schemas.microsoft.com/office/drawing/2014/main" id="{B5DF637F-A6FA-422D-B0DE-055541081A00}"/>
            </a:ext>
          </a:extLst>
        </xdr:cNvPr>
        <xdr:cNvSpPr>
          <a:spLocks noChangeShapeType="1"/>
        </xdr:cNvSpPr>
      </xdr:nvSpPr>
      <xdr:spPr bwMode="auto">
        <a:xfrm>
          <a:off x="2743200" y="4457700"/>
          <a:ext cx="1143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4</xdr:col>
      <xdr:colOff>204470</xdr:colOff>
      <xdr:row>26</xdr:row>
      <xdr:rowOff>0</xdr:rowOff>
    </xdr:from>
    <xdr:ext cx="759119" cy="276536"/>
    <xdr:sp macro="" textlink="">
      <xdr:nvSpPr>
        <xdr:cNvPr id="35962" name="Text Box 122">
          <a:extLst>
            <a:ext uri="{FF2B5EF4-FFF2-40B4-BE49-F238E27FC236}">
              <a16:creationId xmlns:a16="http://schemas.microsoft.com/office/drawing/2014/main" id="{EA8D0370-425E-D2D8-77FD-6A2D9D0AF9BF}"/>
            </a:ext>
          </a:extLst>
        </xdr:cNvPr>
        <xdr:cNvSpPr txBox="1">
          <a:spLocks noChangeArrowheads="1"/>
        </xdr:cNvSpPr>
      </xdr:nvSpPr>
      <xdr:spPr bwMode="auto">
        <a:xfrm>
          <a:off x="2619375" y="4411980"/>
          <a:ext cx="759119" cy="254300"/>
        </a:xfrm>
        <a:prstGeom prst="rect">
          <a:avLst/>
        </a:prstGeom>
        <a:noFill/>
        <a:ln>
          <a:noFill/>
        </a:ln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800" b="1" i="1" u="none" strike="noStrike" baseline="0">
              <a:solidFill>
                <a:srgbClr val="000000"/>
              </a:solidFill>
              <a:latin typeface="Arial"/>
              <a:cs typeface="Arial"/>
            </a:rPr>
            <a:t>Top of Rung &amp;</a:t>
          </a:r>
        </a:p>
        <a:p>
          <a:pPr algn="l" rtl="0">
            <a:defRPr sz="1000"/>
          </a:pPr>
          <a:r>
            <a:rPr lang="en-US" sz="800" b="1" i="1" u="none" strike="noStrike" baseline="0">
              <a:solidFill>
                <a:srgbClr val="000000"/>
              </a:solidFill>
              <a:latin typeface="Arial"/>
              <a:cs typeface="Arial"/>
            </a:rPr>
            <a:t>Top of Landing</a:t>
          </a:r>
        </a:p>
      </xdr:txBody>
    </xdr:sp>
    <xdr:clientData/>
  </xdr:oneCellAnchor>
  <xdr:oneCellAnchor>
    <xdr:from>
      <xdr:col>0</xdr:col>
      <xdr:colOff>635000</xdr:colOff>
      <xdr:row>43</xdr:row>
      <xdr:rowOff>15240</xdr:rowOff>
    </xdr:from>
    <xdr:ext cx="2137380" cy="251479"/>
    <xdr:sp macro="" textlink="">
      <xdr:nvSpPr>
        <xdr:cNvPr id="35963" name="Text Box 123">
          <a:extLst>
            <a:ext uri="{FF2B5EF4-FFF2-40B4-BE49-F238E27FC236}">
              <a16:creationId xmlns:a16="http://schemas.microsoft.com/office/drawing/2014/main" id="{0E473B49-A34C-E9CA-7F4C-D1ED7FFA1294}"/>
            </a:ext>
          </a:extLst>
        </xdr:cNvPr>
        <xdr:cNvSpPr txBox="1">
          <a:spLocks noChangeArrowheads="1"/>
        </xdr:cNvSpPr>
      </xdr:nvSpPr>
      <xdr:spPr bwMode="auto">
        <a:xfrm>
          <a:off x="635000" y="7178040"/>
          <a:ext cx="2137380" cy="251479"/>
        </a:xfrm>
        <a:prstGeom prst="rect">
          <a:avLst/>
        </a:prstGeom>
        <a:noFill/>
        <a:ln>
          <a:noFill/>
        </a:ln>
      </xdr:spPr>
      <xdr:txBody>
        <a:bodyPr wrap="none" lIns="27432" tIns="32004" rIns="0" bIns="0" anchor="t" upright="1">
          <a:spAutoFit/>
        </a:bodyPr>
        <a:lstStyle/>
        <a:p>
          <a:pPr algn="l" rtl="0">
            <a:defRPr sz="1000"/>
          </a:pPr>
          <a:r>
            <a:rPr lang="en-US" sz="1400" b="1" i="0" u="sng" strike="noStrike" baseline="0">
              <a:solidFill>
                <a:srgbClr val="0000FF"/>
              </a:solidFill>
              <a:latin typeface="Roman"/>
            </a:rPr>
            <a:t>Offset Fixed Ladder Sections</a:t>
          </a:r>
        </a:p>
      </xdr:txBody>
    </xdr:sp>
    <xdr:clientData/>
  </xdr:oneCellAnchor>
  <xdr:oneCellAnchor>
    <xdr:from>
      <xdr:col>1</xdr:col>
      <xdr:colOff>555625</xdr:colOff>
      <xdr:row>44</xdr:row>
      <xdr:rowOff>72390</xdr:rowOff>
    </xdr:from>
    <xdr:ext cx="951927" cy="170560"/>
    <xdr:sp macro="" textlink="">
      <xdr:nvSpPr>
        <xdr:cNvPr id="35964" name="Text Box 124">
          <a:extLst>
            <a:ext uri="{FF2B5EF4-FFF2-40B4-BE49-F238E27FC236}">
              <a16:creationId xmlns:a16="http://schemas.microsoft.com/office/drawing/2014/main" id="{1F2FF3BF-1ABC-38E7-90F9-6CEA5E71EECC}"/>
            </a:ext>
          </a:extLst>
        </xdr:cNvPr>
        <xdr:cNvSpPr txBox="1">
          <a:spLocks noChangeArrowheads="1"/>
        </xdr:cNvSpPr>
      </xdr:nvSpPr>
      <xdr:spPr bwMode="auto">
        <a:xfrm>
          <a:off x="1228725" y="7400290"/>
          <a:ext cx="951927" cy="170560"/>
        </a:xfrm>
        <a:prstGeom prst="rect">
          <a:avLst/>
        </a:prstGeom>
        <a:noFill/>
        <a:ln>
          <a:noFill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Front Elevation</a:t>
          </a:r>
        </a:p>
      </xdr:txBody>
    </xdr:sp>
    <xdr:clientData/>
  </xdr:oneCellAnchor>
  <xdr:twoCellAnchor>
    <xdr:from>
      <xdr:col>7</xdr:col>
      <xdr:colOff>2209800</xdr:colOff>
      <xdr:row>49</xdr:row>
      <xdr:rowOff>152400</xdr:rowOff>
    </xdr:from>
    <xdr:to>
      <xdr:col>7</xdr:col>
      <xdr:colOff>2209800</xdr:colOff>
      <xdr:row>59</xdr:row>
      <xdr:rowOff>12700</xdr:rowOff>
    </xdr:to>
    <xdr:sp macro="" textlink="">
      <xdr:nvSpPr>
        <xdr:cNvPr id="57047" name="Line 125">
          <a:extLst>
            <a:ext uri="{FF2B5EF4-FFF2-40B4-BE49-F238E27FC236}">
              <a16:creationId xmlns:a16="http://schemas.microsoft.com/office/drawing/2014/main" id="{D752D834-EA37-DFE9-6F61-B7A11C5022E0}"/>
            </a:ext>
          </a:extLst>
        </xdr:cNvPr>
        <xdr:cNvSpPr>
          <a:spLocks noChangeShapeType="1"/>
        </xdr:cNvSpPr>
      </xdr:nvSpPr>
      <xdr:spPr bwMode="auto">
        <a:xfrm flipH="1">
          <a:off x="6921500" y="8305800"/>
          <a:ext cx="0" cy="15113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FF6600" mc:Ignorable="a14" a14:legacySpreadsheetColorIndex="53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2247900</xdr:colOff>
      <xdr:row>51</xdr:row>
      <xdr:rowOff>12700</xdr:rowOff>
    </xdr:from>
    <xdr:to>
      <xdr:col>7</xdr:col>
      <xdr:colOff>2362200</xdr:colOff>
      <xdr:row>51</xdr:row>
      <xdr:rowOff>114300</xdr:rowOff>
    </xdr:to>
    <xdr:sp macro="" textlink="">
      <xdr:nvSpPr>
        <xdr:cNvPr id="57048" name="Oval 127">
          <a:extLst>
            <a:ext uri="{FF2B5EF4-FFF2-40B4-BE49-F238E27FC236}">
              <a16:creationId xmlns:a16="http://schemas.microsoft.com/office/drawing/2014/main" id="{092532F8-B217-948F-DD50-A84AE0BE54EC}"/>
            </a:ext>
          </a:extLst>
        </xdr:cNvPr>
        <xdr:cNvSpPr>
          <a:spLocks noChangeArrowheads="1"/>
        </xdr:cNvSpPr>
      </xdr:nvSpPr>
      <xdr:spPr bwMode="auto">
        <a:xfrm>
          <a:off x="6959600" y="8496300"/>
          <a:ext cx="114300" cy="1016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9050">
          <a:solidFill>
            <a:srgbClr xmlns:mc="http://schemas.openxmlformats.org/markup-compatibility/2006" xmlns:a14="http://schemas.microsoft.com/office/drawing/2010/main" val="FF6600" mc:Ignorable="a14" a14:legacySpreadsheetColorIndex="53"/>
          </a:solidFill>
          <a:round/>
          <a:headEnd/>
          <a:tailEnd/>
        </a:ln>
      </xdr:spPr>
    </xdr:sp>
    <xdr:clientData/>
  </xdr:twoCellAnchor>
  <xdr:twoCellAnchor>
    <xdr:from>
      <xdr:col>7</xdr:col>
      <xdr:colOff>2260600</xdr:colOff>
      <xdr:row>56</xdr:row>
      <xdr:rowOff>114300</xdr:rowOff>
    </xdr:from>
    <xdr:to>
      <xdr:col>7</xdr:col>
      <xdr:colOff>2362200</xdr:colOff>
      <xdr:row>57</xdr:row>
      <xdr:rowOff>38100</xdr:rowOff>
    </xdr:to>
    <xdr:sp macro="" textlink="">
      <xdr:nvSpPr>
        <xdr:cNvPr id="57049" name="Oval 128">
          <a:extLst>
            <a:ext uri="{FF2B5EF4-FFF2-40B4-BE49-F238E27FC236}">
              <a16:creationId xmlns:a16="http://schemas.microsoft.com/office/drawing/2014/main" id="{8A2160C2-F53C-18F4-9BF1-27281E181729}"/>
            </a:ext>
          </a:extLst>
        </xdr:cNvPr>
        <xdr:cNvSpPr>
          <a:spLocks noChangeArrowheads="1"/>
        </xdr:cNvSpPr>
      </xdr:nvSpPr>
      <xdr:spPr bwMode="auto">
        <a:xfrm>
          <a:off x="6972300" y="9423400"/>
          <a:ext cx="101600" cy="889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9050">
          <a:solidFill>
            <a:srgbClr xmlns:mc="http://schemas.openxmlformats.org/markup-compatibility/2006" xmlns:a14="http://schemas.microsoft.com/office/drawing/2010/main" val="FF6600" mc:Ignorable="a14" a14:legacySpreadsheetColorIndex="53"/>
          </a:solidFill>
          <a:round/>
          <a:headEnd/>
          <a:tailEnd/>
        </a:ln>
      </xdr:spPr>
    </xdr:sp>
    <xdr:clientData/>
  </xdr:twoCellAnchor>
  <xdr:twoCellAnchor>
    <xdr:from>
      <xdr:col>7</xdr:col>
      <xdr:colOff>2400300</xdr:colOff>
      <xdr:row>50</xdr:row>
      <xdr:rowOff>38100</xdr:rowOff>
    </xdr:from>
    <xdr:to>
      <xdr:col>7</xdr:col>
      <xdr:colOff>2400300</xdr:colOff>
      <xdr:row>59</xdr:row>
      <xdr:rowOff>63500</xdr:rowOff>
    </xdr:to>
    <xdr:sp macro="" textlink="">
      <xdr:nvSpPr>
        <xdr:cNvPr id="57050" name="Line 129">
          <a:extLst>
            <a:ext uri="{FF2B5EF4-FFF2-40B4-BE49-F238E27FC236}">
              <a16:creationId xmlns:a16="http://schemas.microsoft.com/office/drawing/2014/main" id="{99EC8254-DB83-9EAA-6D29-A00418D29996}"/>
            </a:ext>
          </a:extLst>
        </xdr:cNvPr>
        <xdr:cNvSpPr>
          <a:spLocks noChangeShapeType="1"/>
        </xdr:cNvSpPr>
      </xdr:nvSpPr>
      <xdr:spPr bwMode="auto">
        <a:xfrm flipH="1">
          <a:off x="7112000" y="8356600"/>
          <a:ext cx="0" cy="15113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FF6600" mc:Ignorable="a14" a14:legacySpreadsheetColorIndex="53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2400300</xdr:colOff>
      <xdr:row>52</xdr:row>
      <xdr:rowOff>50800</xdr:rowOff>
    </xdr:from>
    <xdr:to>
      <xdr:col>7</xdr:col>
      <xdr:colOff>2959100</xdr:colOff>
      <xdr:row>52</xdr:row>
      <xdr:rowOff>88900</xdr:rowOff>
    </xdr:to>
    <xdr:sp macro="" textlink="">
      <xdr:nvSpPr>
        <xdr:cNvPr id="57051" name="Rectangle 130">
          <a:extLst>
            <a:ext uri="{FF2B5EF4-FFF2-40B4-BE49-F238E27FC236}">
              <a16:creationId xmlns:a16="http://schemas.microsoft.com/office/drawing/2014/main" id="{D70058EE-D7E2-3B34-1661-CBA313C14508}"/>
            </a:ext>
          </a:extLst>
        </xdr:cNvPr>
        <xdr:cNvSpPr>
          <a:spLocks noChangeArrowheads="1"/>
        </xdr:cNvSpPr>
      </xdr:nvSpPr>
      <xdr:spPr bwMode="auto">
        <a:xfrm>
          <a:off x="7112000" y="8699500"/>
          <a:ext cx="558800" cy="381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FF" mc:Ignorable="a14" a14:legacySpreadsheetColorIndex="12"/>
        </a:solidFill>
        <a:ln w="1905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2400300</xdr:colOff>
      <xdr:row>55</xdr:row>
      <xdr:rowOff>12700</xdr:rowOff>
    </xdr:from>
    <xdr:to>
      <xdr:col>7</xdr:col>
      <xdr:colOff>2959100</xdr:colOff>
      <xdr:row>55</xdr:row>
      <xdr:rowOff>50800</xdr:rowOff>
    </xdr:to>
    <xdr:sp macro="" textlink="">
      <xdr:nvSpPr>
        <xdr:cNvPr id="57052" name="Rectangle 131">
          <a:extLst>
            <a:ext uri="{FF2B5EF4-FFF2-40B4-BE49-F238E27FC236}">
              <a16:creationId xmlns:a16="http://schemas.microsoft.com/office/drawing/2014/main" id="{0B6FA1CA-BC08-D7F3-7BAF-5D029AED45EC}"/>
            </a:ext>
          </a:extLst>
        </xdr:cNvPr>
        <xdr:cNvSpPr>
          <a:spLocks noChangeArrowheads="1"/>
        </xdr:cNvSpPr>
      </xdr:nvSpPr>
      <xdr:spPr bwMode="auto">
        <a:xfrm>
          <a:off x="7112000" y="9156700"/>
          <a:ext cx="558800" cy="381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FF" mc:Ignorable="a14" a14:legacySpreadsheetColorIndex="12"/>
        </a:solidFill>
        <a:ln w="1905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2667000</xdr:colOff>
      <xdr:row>52</xdr:row>
      <xdr:rowOff>101600</xdr:rowOff>
    </xdr:from>
    <xdr:to>
      <xdr:col>7</xdr:col>
      <xdr:colOff>2705100</xdr:colOff>
      <xdr:row>55</xdr:row>
      <xdr:rowOff>0</xdr:rowOff>
    </xdr:to>
    <xdr:sp macro="" textlink="">
      <xdr:nvSpPr>
        <xdr:cNvPr id="57053" name="Rectangle 133">
          <a:extLst>
            <a:ext uri="{FF2B5EF4-FFF2-40B4-BE49-F238E27FC236}">
              <a16:creationId xmlns:a16="http://schemas.microsoft.com/office/drawing/2014/main" id="{230C2EA5-A97B-4EC2-2D5D-6D2C669041FF}"/>
            </a:ext>
          </a:extLst>
        </xdr:cNvPr>
        <xdr:cNvSpPr>
          <a:spLocks noChangeArrowheads="1"/>
        </xdr:cNvSpPr>
      </xdr:nvSpPr>
      <xdr:spPr bwMode="auto">
        <a:xfrm>
          <a:off x="7378700" y="8750300"/>
          <a:ext cx="38100" cy="393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FF" mc:Ignorable="a14" a14:legacySpreadsheetColorIndex="12"/>
        </a:solidFill>
        <a:ln w="1905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2286000</xdr:colOff>
      <xdr:row>51</xdr:row>
      <xdr:rowOff>63500</xdr:rowOff>
    </xdr:from>
    <xdr:to>
      <xdr:col>7</xdr:col>
      <xdr:colOff>3848100</xdr:colOff>
      <xdr:row>51</xdr:row>
      <xdr:rowOff>63500</xdr:rowOff>
    </xdr:to>
    <xdr:sp macro="" textlink="">
      <xdr:nvSpPr>
        <xdr:cNvPr id="57054" name="Line 134">
          <a:extLst>
            <a:ext uri="{FF2B5EF4-FFF2-40B4-BE49-F238E27FC236}">
              <a16:creationId xmlns:a16="http://schemas.microsoft.com/office/drawing/2014/main" id="{7A733CEF-8BE4-ED18-9040-43ACBAA6E515}"/>
            </a:ext>
          </a:extLst>
        </xdr:cNvPr>
        <xdr:cNvSpPr>
          <a:spLocks noChangeShapeType="1"/>
        </xdr:cNvSpPr>
      </xdr:nvSpPr>
      <xdr:spPr bwMode="auto">
        <a:xfrm>
          <a:off x="6997700" y="8547100"/>
          <a:ext cx="15621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2997200</xdr:colOff>
      <xdr:row>52</xdr:row>
      <xdr:rowOff>38100</xdr:rowOff>
    </xdr:from>
    <xdr:to>
      <xdr:col>7</xdr:col>
      <xdr:colOff>3860800</xdr:colOff>
      <xdr:row>52</xdr:row>
      <xdr:rowOff>38100</xdr:rowOff>
    </xdr:to>
    <xdr:sp macro="" textlink="">
      <xdr:nvSpPr>
        <xdr:cNvPr id="57055" name="Line 135">
          <a:extLst>
            <a:ext uri="{FF2B5EF4-FFF2-40B4-BE49-F238E27FC236}">
              <a16:creationId xmlns:a16="http://schemas.microsoft.com/office/drawing/2014/main" id="{ABA11817-9EC6-733D-9A54-F6766866373A}"/>
            </a:ext>
          </a:extLst>
        </xdr:cNvPr>
        <xdr:cNvSpPr>
          <a:spLocks noChangeShapeType="1"/>
        </xdr:cNvSpPr>
      </xdr:nvSpPr>
      <xdr:spPr bwMode="auto">
        <a:xfrm>
          <a:off x="7708900" y="8686800"/>
          <a:ext cx="863600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2997200</xdr:colOff>
      <xdr:row>55</xdr:row>
      <xdr:rowOff>50800</xdr:rowOff>
    </xdr:from>
    <xdr:to>
      <xdr:col>7</xdr:col>
      <xdr:colOff>3860800</xdr:colOff>
      <xdr:row>55</xdr:row>
      <xdr:rowOff>50800</xdr:rowOff>
    </xdr:to>
    <xdr:sp macro="" textlink="">
      <xdr:nvSpPr>
        <xdr:cNvPr id="57056" name="Line 136">
          <a:extLst>
            <a:ext uri="{FF2B5EF4-FFF2-40B4-BE49-F238E27FC236}">
              <a16:creationId xmlns:a16="http://schemas.microsoft.com/office/drawing/2014/main" id="{763FBB88-D587-BEFD-09C1-8D7B89A1BE15}"/>
            </a:ext>
          </a:extLst>
        </xdr:cNvPr>
        <xdr:cNvSpPr>
          <a:spLocks noChangeShapeType="1"/>
        </xdr:cNvSpPr>
      </xdr:nvSpPr>
      <xdr:spPr bwMode="auto">
        <a:xfrm>
          <a:off x="7708900" y="9194800"/>
          <a:ext cx="863600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2120900</xdr:colOff>
      <xdr:row>49</xdr:row>
      <xdr:rowOff>139700</xdr:rowOff>
    </xdr:from>
    <xdr:to>
      <xdr:col>7</xdr:col>
      <xdr:colOff>2476500</xdr:colOff>
      <xdr:row>50</xdr:row>
      <xdr:rowOff>76200</xdr:rowOff>
    </xdr:to>
    <xdr:sp macro="" textlink="">
      <xdr:nvSpPr>
        <xdr:cNvPr id="57057" name="Line 137">
          <a:extLst>
            <a:ext uri="{FF2B5EF4-FFF2-40B4-BE49-F238E27FC236}">
              <a16:creationId xmlns:a16="http://schemas.microsoft.com/office/drawing/2014/main" id="{4C0F17D5-C973-ED69-8B5A-F5C65B7D8645}"/>
            </a:ext>
          </a:extLst>
        </xdr:cNvPr>
        <xdr:cNvSpPr>
          <a:spLocks noChangeShapeType="1"/>
        </xdr:cNvSpPr>
      </xdr:nvSpPr>
      <xdr:spPr bwMode="auto">
        <a:xfrm>
          <a:off x="6832600" y="8293100"/>
          <a:ext cx="355600" cy="1016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2260600</xdr:colOff>
      <xdr:row>49</xdr:row>
      <xdr:rowOff>139700</xdr:rowOff>
    </xdr:from>
    <xdr:to>
      <xdr:col>7</xdr:col>
      <xdr:colOff>2298700</xdr:colOff>
      <xdr:row>50</xdr:row>
      <xdr:rowOff>12700</xdr:rowOff>
    </xdr:to>
    <xdr:sp macro="" textlink="">
      <xdr:nvSpPr>
        <xdr:cNvPr id="57058" name="Line 138">
          <a:extLst>
            <a:ext uri="{FF2B5EF4-FFF2-40B4-BE49-F238E27FC236}">
              <a16:creationId xmlns:a16="http://schemas.microsoft.com/office/drawing/2014/main" id="{535D4B2C-6472-8418-114A-2E954D5AEBD8}"/>
            </a:ext>
          </a:extLst>
        </xdr:cNvPr>
        <xdr:cNvSpPr>
          <a:spLocks noChangeShapeType="1"/>
        </xdr:cNvSpPr>
      </xdr:nvSpPr>
      <xdr:spPr bwMode="auto">
        <a:xfrm flipV="1">
          <a:off x="6972300" y="8293100"/>
          <a:ext cx="38100" cy="381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2298700</xdr:colOff>
      <xdr:row>49</xdr:row>
      <xdr:rowOff>139700</xdr:rowOff>
    </xdr:from>
    <xdr:to>
      <xdr:col>7</xdr:col>
      <xdr:colOff>2298700</xdr:colOff>
      <xdr:row>50</xdr:row>
      <xdr:rowOff>76200</xdr:rowOff>
    </xdr:to>
    <xdr:sp macro="" textlink="">
      <xdr:nvSpPr>
        <xdr:cNvPr id="57059" name="Line 139">
          <a:extLst>
            <a:ext uri="{FF2B5EF4-FFF2-40B4-BE49-F238E27FC236}">
              <a16:creationId xmlns:a16="http://schemas.microsoft.com/office/drawing/2014/main" id="{9C3A80F2-F907-86BC-F30D-ED5E09052CA2}"/>
            </a:ext>
          </a:extLst>
        </xdr:cNvPr>
        <xdr:cNvSpPr>
          <a:spLocks noChangeShapeType="1"/>
        </xdr:cNvSpPr>
      </xdr:nvSpPr>
      <xdr:spPr bwMode="auto">
        <a:xfrm>
          <a:off x="7010400" y="8293100"/>
          <a:ext cx="0" cy="1016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2298700</xdr:colOff>
      <xdr:row>50</xdr:row>
      <xdr:rowOff>38100</xdr:rowOff>
    </xdr:from>
    <xdr:to>
      <xdr:col>7</xdr:col>
      <xdr:colOff>2362200</xdr:colOff>
      <xdr:row>50</xdr:row>
      <xdr:rowOff>76200</xdr:rowOff>
    </xdr:to>
    <xdr:sp macro="" textlink="">
      <xdr:nvSpPr>
        <xdr:cNvPr id="57060" name="Line 140">
          <a:extLst>
            <a:ext uri="{FF2B5EF4-FFF2-40B4-BE49-F238E27FC236}">
              <a16:creationId xmlns:a16="http://schemas.microsoft.com/office/drawing/2014/main" id="{CAF8F9DF-87D5-D924-DB01-BF03F6D79135}"/>
            </a:ext>
          </a:extLst>
        </xdr:cNvPr>
        <xdr:cNvSpPr>
          <a:spLocks noChangeShapeType="1"/>
        </xdr:cNvSpPr>
      </xdr:nvSpPr>
      <xdr:spPr bwMode="auto">
        <a:xfrm flipV="1">
          <a:off x="7010400" y="8356600"/>
          <a:ext cx="63500" cy="381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2108200</xdr:colOff>
      <xdr:row>58</xdr:row>
      <xdr:rowOff>139700</xdr:rowOff>
    </xdr:from>
    <xdr:to>
      <xdr:col>7</xdr:col>
      <xdr:colOff>2463800</xdr:colOff>
      <xdr:row>59</xdr:row>
      <xdr:rowOff>76200</xdr:rowOff>
    </xdr:to>
    <xdr:sp macro="" textlink="">
      <xdr:nvSpPr>
        <xdr:cNvPr id="57061" name="Line 141">
          <a:extLst>
            <a:ext uri="{FF2B5EF4-FFF2-40B4-BE49-F238E27FC236}">
              <a16:creationId xmlns:a16="http://schemas.microsoft.com/office/drawing/2014/main" id="{8292B5A0-4B01-E7E9-1646-06AFC61D33B7}"/>
            </a:ext>
          </a:extLst>
        </xdr:cNvPr>
        <xdr:cNvSpPr>
          <a:spLocks noChangeShapeType="1"/>
        </xdr:cNvSpPr>
      </xdr:nvSpPr>
      <xdr:spPr bwMode="auto">
        <a:xfrm>
          <a:off x="6819900" y="9779000"/>
          <a:ext cx="355600" cy="1016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2247900</xdr:colOff>
      <xdr:row>58</xdr:row>
      <xdr:rowOff>139700</xdr:rowOff>
    </xdr:from>
    <xdr:to>
      <xdr:col>7</xdr:col>
      <xdr:colOff>2286000</xdr:colOff>
      <xdr:row>59</xdr:row>
      <xdr:rowOff>12700</xdr:rowOff>
    </xdr:to>
    <xdr:sp macro="" textlink="">
      <xdr:nvSpPr>
        <xdr:cNvPr id="57062" name="Line 142">
          <a:extLst>
            <a:ext uri="{FF2B5EF4-FFF2-40B4-BE49-F238E27FC236}">
              <a16:creationId xmlns:a16="http://schemas.microsoft.com/office/drawing/2014/main" id="{26740025-FA31-4984-FAFF-81B3A7595BE2}"/>
            </a:ext>
          </a:extLst>
        </xdr:cNvPr>
        <xdr:cNvSpPr>
          <a:spLocks noChangeShapeType="1"/>
        </xdr:cNvSpPr>
      </xdr:nvSpPr>
      <xdr:spPr bwMode="auto">
        <a:xfrm flipV="1">
          <a:off x="6959600" y="9779000"/>
          <a:ext cx="38100" cy="381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2286000</xdr:colOff>
      <xdr:row>58</xdr:row>
      <xdr:rowOff>139700</xdr:rowOff>
    </xdr:from>
    <xdr:to>
      <xdr:col>7</xdr:col>
      <xdr:colOff>2298700</xdr:colOff>
      <xdr:row>59</xdr:row>
      <xdr:rowOff>114300</xdr:rowOff>
    </xdr:to>
    <xdr:sp macro="" textlink="">
      <xdr:nvSpPr>
        <xdr:cNvPr id="57063" name="Line 143">
          <a:extLst>
            <a:ext uri="{FF2B5EF4-FFF2-40B4-BE49-F238E27FC236}">
              <a16:creationId xmlns:a16="http://schemas.microsoft.com/office/drawing/2014/main" id="{6BD9B3DB-4847-8627-4E90-134CC1B5B1D9}"/>
            </a:ext>
          </a:extLst>
        </xdr:cNvPr>
        <xdr:cNvSpPr>
          <a:spLocks noChangeShapeType="1"/>
        </xdr:cNvSpPr>
      </xdr:nvSpPr>
      <xdr:spPr bwMode="auto">
        <a:xfrm flipH="1">
          <a:off x="6997700" y="9779000"/>
          <a:ext cx="12700" cy="1397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2286000</xdr:colOff>
      <xdr:row>59</xdr:row>
      <xdr:rowOff>50800</xdr:rowOff>
    </xdr:from>
    <xdr:to>
      <xdr:col>7</xdr:col>
      <xdr:colOff>2349500</xdr:colOff>
      <xdr:row>59</xdr:row>
      <xdr:rowOff>127000</xdr:rowOff>
    </xdr:to>
    <xdr:sp macro="" textlink="">
      <xdr:nvSpPr>
        <xdr:cNvPr id="57064" name="Line 144">
          <a:extLst>
            <a:ext uri="{FF2B5EF4-FFF2-40B4-BE49-F238E27FC236}">
              <a16:creationId xmlns:a16="http://schemas.microsoft.com/office/drawing/2014/main" id="{70477A59-DC6C-B77C-4B74-720477211663}"/>
            </a:ext>
          </a:extLst>
        </xdr:cNvPr>
        <xdr:cNvSpPr>
          <a:spLocks noChangeShapeType="1"/>
        </xdr:cNvSpPr>
      </xdr:nvSpPr>
      <xdr:spPr bwMode="auto">
        <a:xfrm flipV="1">
          <a:off x="6997700" y="9855200"/>
          <a:ext cx="63500" cy="76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2298700</xdr:colOff>
      <xdr:row>57</xdr:row>
      <xdr:rowOff>0</xdr:rowOff>
    </xdr:from>
    <xdr:to>
      <xdr:col>7</xdr:col>
      <xdr:colOff>3860800</xdr:colOff>
      <xdr:row>57</xdr:row>
      <xdr:rowOff>0</xdr:rowOff>
    </xdr:to>
    <xdr:sp macro="" textlink="">
      <xdr:nvSpPr>
        <xdr:cNvPr id="57065" name="Line 145">
          <a:extLst>
            <a:ext uri="{FF2B5EF4-FFF2-40B4-BE49-F238E27FC236}">
              <a16:creationId xmlns:a16="http://schemas.microsoft.com/office/drawing/2014/main" id="{374B0A78-AF67-19C2-B704-5D83682CE238}"/>
            </a:ext>
          </a:extLst>
        </xdr:cNvPr>
        <xdr:cNvSpPr>
          <a:spLocks noChangeShapeType="1"/>
        </xdr:cNvSpPr>
      </xdr:nvSpPr>
      <xdr:spPr bwMode="auto">
        <a:xfrm>
          <a:off x="7010400" y="9474200"/>
          <a:ext cx="15621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3683000</xdr:colOff>
      <xdr:row>48</xdr:row>
      <xdr:rowOff>139700</xdr:rowOff>
    </xdr:from>
    <xdr:to>
      <xdr:col>7</xdr:col>
      <xdr:colOff>3683000</xdr:colOff>
      <xdr:row>51</xdr:row>
      <xdr:rowOff>63500</xdr:rowOff>
    </xdr:to>
    <xdr:sp macro="" textlink="">
      <xdr:nvSpPr>
        <xdr:cNvPr id="57066" name="Line 146">
          <a:extLst>
            <a:ext uri="{FF2B5EF4-FFF2-40B4-BE49-F238E27FC236}">
              <a16:creationId xmlns:a16="http://schemas.microsoft.com/office/drawing/2014/main" id="{E2EF6161-E185-7E5F-3CCF-BA9C1C312F4F}"/>
            </a:ext>
          </a:extLst>
        </xdr:cNvPr>
        <xdr:cNvSpPr>
          <a:spLocks noChangeShapeType="1"/>
        </xdr:cNvSpPr>
      </xdr:nvSpPr>
      <xdr:spPr bwMode="auto">
        <a:xfrm flipV="1">
          <a:off x="8394700" y="8128000"/>
          <a:ext cx="0" cy="41910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3670300</xdr:colOff>
      <xdr:row>54</xdr:row>
      <xdr:rowOff>25400</xdr:rowOff>
    </xdr:from>
    <xdr:to>
      <xdr:col>7</xdr:col>
      <xdr:colOff>3670300</xdr:colOff>
      <xdr:row>55</xdr:row>
      <xdr:rowOff>50800</xdr:rowOff>
    </xdr:to>
    <xdr:sp macro="" textlink="">
      <xdr:nvSpPr>
        <xdr:cNvPr id="57067" name="Line 147">
          <a:extLst>
            <a:ext uri="{FF2B5EF4-FFF2-40B4-BE49-F238E27FC236}">
              <a16:creationId xmlns:a16="http://schemas.microsoft.com/office/drawing/2014/main" id="{B2D0B7B4-54A7-06FE-FBC6-C126BA45A2B2}"/>
            </a:ext>
          </a:extLst>
        </xdr:cNvPr>
        <xdr:cNvSpPr>
          <a:spLocks noChangeShapeType="1"/>
        </xdr:cNvSpPr>
      </xdr:nvSpPr>
      <xdr:spPr bwMode="auto">
        <a:xfrm flipV="1">
          <a:off x="8382000" y="9004300"/>
          <a:ext cx="0" cy="19050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3683000</xdr:colOff>
      <xdr:row>51</xdr:row>
      <xdr:rowOff>63500</xdr:rowOff>
    </xdr:from>
    <xdr:to>
      <xdr:col>7</xdr:col>
      <xdr:colOff>3683000</xdr:colOff>
      <xdr:row>52</xdr:row>
      <xdr:rowOff>38100</xdr:rowOff>
    </xdr:to>
    <xdr:sp macro="" textlink="">
      <xdr:nvSpPr>
        <xdr:cNvPr id="57068" name="Line 148">
          <a:extLst>
            <a:ext uri="{FF2B5EF4-FFF2-40B4-BE49-F238E27FC236}">
              <a16:creationId xmlns:a16="http://schemas.microsoft.com/office/drawing/2014/main" id="{85E8939A-0932-3831-DC85-DD3230671601}"/>
            </a:ext>
          </a:extLst>
        </xdr:cNvPr>
        <xdr:cNvSpPr>
          <a:spLocks noChangeShapeType="1"/>
        </xdr:cNvSpPr>
      </xdr:nvSpPr>
      <xdr:spPr bwMode="auto">
        <a:xfrm>
          <a:off x="8394700" y="8547100"/>
          <a:ext cx="0" cy="13970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3683000</xdr:colOff>
      <xdr:row>52</xdr:row>
      <xdr:rowOff>38100</xdr:rowOff>
    </xdr:from>
    <xdr:to>
      <xdr:col>7</xdr:col>
      <xdr:colOff>3683000</xdr:colOff>
      <xdr:row>53</xdr:row>
      <xdr:rowOff>63500</xdr:rowOff>
    </xdr:to>
    <xdr:sp macro="" textlink="">
      <xdr:nvSpPr>
        <xdr:cNvPr id="57069" name="Line 149">
          <a:extLst>
            <a:ext uri="{FF2B5EF4-FFF2-40B4-BE49-F238E27FC236}">
              <a16:creationId xmlns:a16="http://schemas.microsoft.com/office/drawing/2014/main" id="{E4C6807C-5175-C55C-87F2-2FC6DAF30A8D}"/>
            </a:ext>
          </a:extLst>
        </xdr:cNvPr>
        <xdr:cNvSpPr>
          <a:spLocks noChangeShapeType="1"/>
        </xdr:cNvSpPr>
      </xdr:nvSpPr>
      <xdr:spPr bwMode="auto">
        <a:xfrm>
          <a:off x="8394700" y="8686800"/>
          <a:ext cx="0" cy="19050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3670300</xdr:colOff>
      <xdr:row>55</xdr:row>
      <xdr:rowOff>50800</xdr:rowOff>
    </xdr:from>
    <xdr:to>
      <xdr:col>7</xdr:col>
      <xdr:colOff>3670300</xdr:colOff>
      <xdr:row>57</xdr:row>
      <xdr:rowOff>0</xdr:rowOff>
    </xdr:to>
    <xdr:sp macro="" textlink="">
      <xdr:nvSpPr>
        <xdr:cNvPr id="57070" name="Line 150">
          <a:extLst>
            <a:ext uri="{FF2B5EF4-FFF2-40B4-BE49-F238E27FC236}">
              <a16:creationId xmlns:a16="http://schemas.microsoft.com/office/drawing/2014/main" id="{BDFFFBE9-3363-705E-4CDD-08D6BDA1A0EF}"/>
            </a:ext>
          </a:extLst>
        </xdr:cNvPr>
        <xdr:cNvSpPr>
          <a:spLocks noChangeShapeType="1"/>
        </xdr:cNvSpPr>
      </xdr:nvSpPr>
      <xdr:spPr bwMode="auto">
        <a:xfrm>
          <a:off x="8382000" y="9194800"/>
          <a:ext cx="0" cy="27940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3670300</xdr:colOff>
      <xdr:row>57</xdr:row>
      <xdr:rowOff>12700</xdr:rowOff>
    </xdr:from>
    <xdr:to>
      <xdr:col>7</xdr:col>
      <xdr:colOff>3670300</xdr:colOff>
      <xdr:row>58</xdr:row>
      <xdr:rowOff>38100</xdr:rowOff>
    </xdr:to>
    <xdr:sp macro="" textlink="">
      <xdr:nvSpPr>
        <xdr:cNvPr id="57071" name="Line 151">
          <a:extLst>
            <a:ext uri="{FF2B5EF4-FFF2-40B4-BE49-F238E27FC236}">
              <a16:creationId xmlns:a16="http://schemas.microsoft.com/office/drawing/2014/main" id="{BF129F02-9B4A-3AE5-24BB-62D89411B2AD}"/>
            </a:ext>
          </a:extLst>
        </xdr:cNvPr>
        <xdr:cNvSpPr>
          <a:spLocks noChangeShapeType="1"/>
        </xdr:cNvSpPr>
      </xdr:nvSpPr>
      <xdr:spPr bwMode="auto">
        <a:xfrm>
          <a:off x="8382000" y="9486900"/>
          <a:ext cx="0" cy="19050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7</xdr:col>
      <xdr:colOff>3891280</xdr:colOff>
      <xdr:row>48</xdr:row>
      <xdr:rowOff>36195</xdr:rowOff>
    </xdr:from>
    <xdr:ext cx="740644" cy="318036"/>
    <xdr:sp macro="" textlink="">
      <xdr:nvSpPr>
        <xdr:cNvPr id="35992" name="Text Box 152">
          <a:extLst>
            <a:ext uri="{FF2B5EF4-FFF2-40B4-BE49-F238E27FC236}">
              <a16:creationId xmlns:a16="http://schemas.microsoft.com/office/drawing/2014/main" id="{55606E33-6B91-1234-7349-DC53C5FCADE3}"/>
            </a:ext>
          </a:extLst>
        </xdr:cNvPr>
        <xdr:cNvSpPr txBox="1">
          <a:spLocks noChangeArrowheads="1"/>
        </xdr:cNvSpPr>
      </xdr:nvSpPr>
      <xdr:spPr bwMode="auto">
        <a:xfrm>
          <a:off x="7764780" y="8136255"/>
          <a:ext cx="677878" cy="318036"/>
        </a:xfrm>
        <a:prstGeom prst="rect">
          <a:avLst/>
        </a:prstGeom>
        <a:noFill/>
        <a:ln>
          <a:noFill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1-1/2" MIN.</a:t>
          </a:r>
        </a:p>
        <a:p>
          <a:pPr algn="l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(38mm)</a:t>
          </a:r>
        </a:p>
      </xdr:txBody>
    </xdr:sp>
    <xdr:clientData/>
  </xdr:oneCellAnchor>
  <xdr:twoCellAnchor>
    <xdr:from>
      <xdr:col>7</xdr:col>
      <xdr:colOff>3683000</xdr:colOff>
      <xdr:row>48</xdr:row>
      <xdr:rowOff>139700</xdr:rowOff>
    </xdr:from>
    <xdr:to>
      <xdr:col>7</xdr:col>
      <xdr:colOff>3873500</xdr:colOff>
      <xdr:row>48</xdr:row>
      <xdr:rowOff>139700</xdr:rowOff>
    </xdr:to>
    <xdr:sp macro="" textlink="">
      <xdr:nvSpPr>
        <xdr:cNvPr id="57073" name="Line 153">
          <a:extLst>
            <a:ext uri="{FF2B5EF4-FFF2-40B4-BE49-F238E27FC236}">
              <a16:creationId xmlns:a16="http://schemas.microsoft.com/office/drawing/2014/main" id="{13019F36-CD02-9157-9886-2F12B4055E4E}"/>
            </a:ext>
          </a:extLst>
        </xdr:cNvPr>
        <xdr:cNvSpPr>
          <a:spLocks noChangeShapeType="1"/>
        </xdr:cNvSpPr>
      </xdr:nvSpPr>
      <xdr:spPr bwMode="auto">
        <a:xfrm flipH="1">
          <a:off x="8394700" y="8128000"/>
          <a:ext cx="190500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3670300</xdr:colOff>
      <xdr:row>58</xdr:row>
      <xdr:rowOff>25400</xdr:rowOff>
    </xdr:from>
    <xdr:to>
      <xdr:col>7</xdr:col>
      <xdr:colOff>3835400</xdr:colOff>
      <xdr:row>58</xdr:row>
      <xdr:rowOff>25400</xdr:rowOff>
    </xdr:to>
    <xdr:sp macro="" textlink="">
      <xdr:nvSpPr>
        <xdr:cNvPr id="57074" name="Line 154">
          <a:extLst>
            <a:ext uri="{FF2B5EF4-FFF2-40B4-BE49-F238E27FC236}">
              <a16:creationId xmlns:a16="http://schemas.microsoft.com/office/drawing/2014/main" id="{2322BBB7-1EAD-9FF2-3CAD-0F9F12CC84F1}"/>
            </a:ext>
          </a:extLst>
        </xdr:cNvPr>
        <xdr:cNvSpPr>
          <a:spLocks noChangeShapeType="1"/>
        </xdr:cNvSpPr>
      </xdr:nvSpPr>
      <xdr:spPr bwMode="auto">
        <a:xfrm>
          <a:off x="8382000" y="9664700"/>
          <a:ext cx="165100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7</xdr:col>
      <xdr:colOff>3942715</xdr:colOff>
      <xdr:row>57</xdr:row>
      <xdr:rowOff>59055</xdr:rowOff>
    </xdr:from>
    <xdr:ext cx="754619" cy="318036"/>
    <xdr:sp macro="" textlink="">
      <xdr:nvSpPr>
        <xdr:cNvPr id="35995" name="Text Box 155">
          <a:extLst>
            <a:ext uri="{FF2B5EF4-FFF2-40B4-BE49-F238E27FC236}">
              <a16:creationId xmlns:a16="http://schemas.microsoft.com/office/drawing/2014/main" id="{084A5065-AFAC-F193-8897-6F6CCA411E3B}"/>
            </a:ext>
          </a:extLst>
        </xdr:cNvPr>
        <xdr:cNvSpPr txBox="1">
          <a:spLocks noChangeArrowheads="1"/>
        </xdr:cNvSpPr>
      </xdr:nvSpPr>
      <xdr:spPr bwMode="auto">
        <a:xfrm>
          <a:off x="7816215" y="9667875"/>
          <a:ext cx="677878" cy="318036"/>
        </a:xfrm>
        <a:prstGeom prst="rect">
          <a:avLst/>
        </a:prstGeom>
        <a:noFill/>
        <a:ln>
          <a:noFill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4-1/2" MIN.</a:t>
          </a:r>
        </a:p>
        <a:p>
          <a:pPr algn="l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(114mm)</a:t>
          </a:r>
        </a:p>
      </xdr:txBody>
    </xdr:sp>
    <xdr:clientData/>
  </xdr:oneCellAnchor>
  <xdr:oneCellAnchor>
    <xdr:from>
      <xdr:col>7</xdr:col>
      <xdr:colOff>1141711</xdr:colOff>
      <xdr:row>59</xdr:row>
      <xdr:rowOff>149225</xdr:rowOff>
    </xdr:from>
    <xdr:ext cx="3273950" cy="420694"/>
    <xdr:sp macro="" textlink="">
      <xdr:nvSpPr>
        <xdr:cNvPr id="35996" name="Text Box 156">
          <a:extLst>
            <a:ext uri="{FF2B5EF4-FFF2-40B4-BE49-F238E27FC236}">
              <a16:creationId xmlns:a16="http://schemas.microsoft.com/office/drawing/2014/main" id="{4ED526C8-DBD0-2068-B79C-B257C285FFD2}"/>
            </a:ext>
          </a:extLst>
        </xdr:cNvPr>
        <xdr:cNvSpPr txBox="1">
          <a:spLocks noChangeArrowheads="1"/>
        </xdr:cNvSpPr>
      </xdr:nvSpPr>
      <xdr:spPr bwMode="auto">
        <a:xfrm>
          <a:off x="5294611" y="10106025"/>
          <a:ext cx="2956707" cy="407547"/>
        </a:xfrm>
        <a:prstGeom prst="rect">
          <a:avLst/>
        </a:prstGeom>
        <a:noFill/>
        <a:ln>
          <a:noFill/>
        </a:ln>
      </xdr:spPr>
      <xdr:txBody>
        <a:bodyPr wrap="none" lIns="27432" tIns="32004" rIns="27432" bIns="0" anchor="t" upright="1">
          <a:spAutoFit/>
        </a:bodyPr>
        <a:lstStyle/>
        <a:p>
          <a:pPr algn="ctr" rtl="0">
            <a:lnSpc>
              <a:spcPts val="1500"/>
            </a:lnSpc>
            <a:defRPr sz="1000"/>
          </a:pPr>
          <a:r>
            <a:rPr lang="en-US" sz="1400" b="1" i="0" u="sng" strike="noStrike" baseline="0">
              <a:solidFill>
                <a:srgbClr val="0000FF"/>
              </a:solidFill>
              <a:latin typeface="Roman"/>
            </a:rPr>
            <a:t>Clearance for Unavoidable Obstruction</a:t>
          </a:r>
        </a:p>
        <a:p>
          <a:pPr algn="ctr" rtl="0">
            <a:lnSpc>
              <a:spcPts val="1400"/>
            </a:lnSpc>
            <a:defRPr sz="1000"/>
          </a:pPr>
          <a:r>
            <a:rPr lang="en-US" sz="1400" b="1" i="0" u="sng" strike="noStrike" baseline="0">
              <a:solidFill>
                <a:srgbClr val="0000FF"/>
              </a:solidFill>
              <a:latin typeface="Roman"/>
            </a:rPr>
            <a:t>at Rear of Ladder</a:t>
          </a:r>
        </a:p>
      </xdr:txBody>
    </xdr:sp>
    <xdr:clientData/>
  </xdr:oneCellAnchor>
  <xdr:oneCellAnchor>
    <xdr:from>
      <xdr:col>7</xdr:col>
      <xdr:colOff>2811145</xdr:colOff>
      <xdr:row>62</xdr:row>
      <xdr:rowOff>135255</xdr:rowOff>
    </xdr:from>
    <xdr:ext cx="662681" cy="136384"/>
    <xdr:sp macro="" textlink="">
      <xdr:nvSpPr>
        <xdr:cNvPr id="35997" name="Text Box 157">
          <a:extLst>
            <a:ext uri="{FF2B5EF4-FFF2-40B4-BE49-F238E27FC236}">
              <a16:creationId xmlns:a16="http://schemas.microsoft.com/office/drawing/2014/main" id="{3E2872A3-E6FB-179E-EE01-B00BB54DDA91}"/>
            </a:ext>
          </a:extLst>
        </xdr:cNvPr>
        <xdr:cNvSpPr txBox="1">
          <a:spLocks noChangeArrowheads="1"/>
        </xdr:cNvSpPr>
      </xdr:nvSpPr>
      <xdr:spPr bwMode="auto">
        <a:xfrm>
          <a:off x="6798945" y="10582275"/>
          <a:ext cx="600164" cy="136384"/>
        </a:xfrm>
        <a:prstGeom prst="rect">
          <a:avLst/>
        </a:prstGeom>
        <a:noFill/>
        <a:ln>
          <a:noFill/>
        </a:ln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800" b="1" i="1" u="none" strike="noStrike" baseline="0">
              <a:solidFill>
                <a:srgbClr val="FF0000"/>
              </a:solidFill>
              <a:latin typeface="Arial"/>
              <a:cs typeface="Arial"/>
            </a:rPr>
            <a:t>See Note 13</a:t>
          </a:r>
        </a:p>
      </xdr:txBody>
    </xdr:sp>
    <xdr:clientData/>
  </xdr:oneCellAnchor>
  <xdr:twoCellAnchor>
    <xdr:from>
      <xdr:col>3</xdr:col>
      <xdr:colOff>342900</xdr:colOff>
      <xdr:row>48</xdr:row>
      <xdr:rowOff>152400</xdr:rowOff>
    </xdr:from>
    <xdr:to>
      <xdr:col>3</xdr:col>
      <xdr:colOff>406400</xdr:colOff>
      <xdr:row>75</xdr:row>
      <xdr:rowOff>152400</xdr:rowOff>
    </xdr:to>
    <xdr:sp macro="" textlink="">
      <xdr:nvSpPr>
        <xdr:cNvPr id="57078" name="Rectangle 158">
          <a:extLst>
            <a:ext uri="{FF2B5EF4-FFF2-40B4-BE49-F238E27FC236}">
              <a16:creationId xmlns:a16="http://schemas.microsoft.com/office/drawing/2014/main" id="{20983329-E24E-2816-90D6-DECDF38BADBB}"/>
            </a:ext>
          </a:extLst>
        </xdr:cNvPr>
        <xdr:cNvSpPr>
          <a:spLocks noChangeArrowheads="1"/>
        </xdr:cNvSpPr>
      </xdr:nvSpPr>
      <xdr:spPr bwMode="auto">
        <a:xfrm>
          <a:off x="2362200" y="8140700"/>
          <a:ext cx="63500" cy="4457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9050">
          <a:solidFill>
            <a:srgbClr xmlns:mc="http://schemas.openxmlformats.org/markup-compatibility/2006" xmlns:a14="http://schemas.microsoft.com/office/drawing/2010/main" val="FF6600" mc:Ignorable="a14" a14:legacySpreadsheetColorIndex="53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533400</xdr:colOff>
      <xdr:row>76</xdr:row>
      <xdr:rowOff>0</xdr:rowOff>
    </xdr:from>
    <xdr:to>
      <xdr:col>3</xdr:col>
      <xdr:colOff>558800</xdr:colOff>
      <xdr:row>76</xdr:row>
      <xdr:rowOff>63500</xdr:rowOff>
    </xdr:to>
    <xdr:sp macro="" textlink="">
      <xdr:nvSpPr>
        <xdr:cNvPr id="57079" name="Rectangle 159">
          <a:extLst>
            <a:ext uri="{FF2B5EF4-FFF2-40B4-BE49-F238E27FC236}">
              <a16:creationId xmlns:a16="http://schemas.microsoft.com/office/drawing/2014/main" id="{5596AA93-6AB7-897C-167C-46AEA8C11559}"/>
            </a:ext>
          </a:extLst>
        </xdr:cNvPr>
        <xdr:cNvSpPr>
          <a:spLocks noChangeArrowheads="1"/>
        </xdr:cNvSpPr>
      </xdr:nvSpPr>
      <xdr:spPr bwMode="auto">
        <a:xfrm>
          <a:off x="1206500" y="12611100"/>
          <a:ext cx="1371600" cy="63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FF" mc:Ignorable="a14" a14:legacySpreadsheetColorIndex="12"/>
        </a:solidFill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533400</xdr:colOff>
      <xdr:row>72</xdr:row>
      <xdr:rowOff>38100</xdr:rowOff>
    </xdr:from>
    <xdr:to>
      <xdr:col>1</xdr:col>
      <xdr:colOff>558800</xdr:colOff>
      <xdr:row>76</xdr:row>
      <xdr:rowOff>0</xdr:rowOff>
    </xdr:to>
    <xdr:sp macro="" textlink="">
      <xdr:nvSpPr>
        <xdr:cNvPr id="57080" name="Rectangle 160">
          <a:extLst>
            <a:ext uri="{FF2B5EF4-FFF2-40B4-BE49-F238E27FC236}">
              <a16:creationId xmlns:a16="http://schemas.microsoft.com/office/drawing/2014/main" id="{E8B7FC9B-4669-D0CB-A4F6-CA57EF603C38}"/>
            </a:ext>
          </a:extLst>
        </xdr:cNvPr>
        <xdr:cNvSpPr>
          <a:spLocks noChangeArrowheads="1"/>
        </xdr:cNvSpPr>
      </xdr:nvSpPr>
      <xdr:spPr bwMode="auto">
        <a:xfrm flipH="1">
          <a:off x="1206500" y="11988800"/>
          <a:ext cx="25400" cy="622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457200</xdr:colOff>
      <xdr:row>49</xdr:row>
      <xdr:rowOff>12700</xdr:rowOff>
    </xdr:from>
    <xdr:to>
      <xdr:col>3</xdr:col>
      <xdr:colOff>495300</xdr:colOff>
      <xdr:row>49</xdr:row>
      <xdr:rowOff>63500</xdr:rowOff>
    </xdr:to>
    <xdr:sp macro="" textlink="">
      <xdr:nvSpPr>
        <xdr:cNvPr id="57081" name="Rectangle 161">
          <a:extLst>
            <a:ext uri="{FF2B5EF4-FFF2-40B4-BE49-F238E27FC236}">
              <a16:creationId xmlns:a16="http://schemas.microsoft.com/office/drawing/2014/main" id="{91E79C60-EE31-C963-84A0-F656C02687AE}"/>
            </a:ext>
          </a:extLst>
        </xdr:cNvPr>
        <xdr:cNvSpPr>
          <a:spLocks noChangeArrowheads="1"/>
        </xdr:cNvSpPr>
      </xdr:nvSpPr>
      <xdr:spPr bwMode="auto">
        <a:xfrm>
          <a:off x="1803400" y="8166100"/>
          <a:ext cx="711200" cy="50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431800</xdr:colOff>
      <xdr:row>53</xdr:row>
      <xdr:rowOff>114300</xdr:rowOff>
    </xdr:from>
    <xdr:to>
      <xdr:col>3</xdr:col>
      <xdr:colOff>469900</xdr:colOff>
      <xdr:row>54</xdr:row>
      <xdr:rowOff>0</xdr:rowOff>
    </xdr:to>
    <xdr:sp macro="" textlink="">
      <xdr:nvSpPr>
        <xdr:cNvPr id="57082" name="Rectangle 162">
          <a:extLst>
            <a:ext uri="{FF2B5EF4-FFF2-40B4-BE49-F238E27FC236}">
              <a16:creationId xmlns:a16="http://schemas.microsoft.com/office/drawing/2014/main" id="{FFCBBFBE-A651-260F-73B0-D0304B22FBD8}"/>
            </a:ext>
          </a:extLst>
        </xdr:cNvPr>
        <xdr:cNvSpPr>
          <a:spLocks noChangeArrowheads="1"/>
        </xdr:cNvSpPr>
      </xdr:nvSpPr>
      <xdr:spPr bwMode="auto">
        <a:xfrm>
          <a:off x="1778000" y="8928100"/>
          <a:ext cx="711200" cy="50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419100</xdr:colOff>
      <xdr:row>58</xdr:row>
      <xdr:rowOff>38100</xdr:rowOff>
    </xdr:from>
    <xdr:to>
      <xdr:col>3</xdr:col>
      <xdr:colOff>457200</xdr:colOff>
      <xdr:row>58</xdr:row>
      <xdr:rowOff>101600</xdr:rowOff>
    </xdr:to>
    <xdr:sp macro="" textlink="">
      <xdr:nvSpPr>
        <xdr:cNvPr id="57083" name="Rectangle 163">
          <a:extLst>
            <a:ext uri="{FF2B5EF4-FFF2-40B4-BE49-F238E27FC236}">
              <a16:creationId xmlns:a16="http://schemas.microsoft.com/office/drawing/2014/main" id="{2031CA5A-CEED-90FD-5064-E7FBF67BF37F}"/>
            </a:ext>
          </a:extLst>
        </xdr:cNvPr>
        <xdr:cNvSpPr>
          <a:spLocks noChangeArrowheads="1"/>
        </xdr:cNvSpPr>
      </xdr:nvSpPr>
      <xdr:spPr bwMode="auto">
        <a:xfrm>
          <a:off x="1765300" y="9677400"/>
          <a:ext cx="711200" cy="63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406400</xdr:colOff>
      <xdr:row>62</xdr:row>
      <xdr:rowOff>152400</xdr:rowOff>
    </xdr:from>
    <xdr:to>
      <xdr:col>3</xdr:col>
      <xdr:colOff>457200</xdr:colOff>
      <xdr:row>63</xdr:row>
      <xdr:rowOff>38100</xdr:rowOff>
    </xdr:to>
    <xdr:sp macro="" textlink="">
      <xdr:nvSpPr>
        <xdr:cNvPr id="57084" name="Rectangle 164">
          <a:extLst>
            <a:ext uri="{FF2B5EF4-FFF2-40B4-BE49-F238E27FC236}">
              <a16:creationId xmlns:a16="http://schemas.microsoft.com/office/drawing/2014/main" id="{9FF427F0-4FE7-A33D-70D0-290CF956871A}"/>
            </a:ext>
          </a:extLst>
        </xdr:cNvPr>
        <xdr:cNvSpPr>
          <a:spLocks noChangeArrowheads="1"/>
        </xdr:cNvSpPr>
      </xdr:nvSpPr>
      <xdr:spPr bwMode="auto">
        <a:xfrm>
          <a:off x="1752600" y="10452100"/>
          <a:ext cx="723900" cy="50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279400</xdr:colOff>
      <xdr:row>67</xdr:row>
      <xdr:rowOff>63500</xdr:rowOff>
    </xdr:from>
    <xdr:to>
      <xdr:col>3</xdr:col>
      <xdr:colOff>469900</xdr:colOff>
      <xdr:row>67</xdr:row>
      <xdr:rowOff>139700</xdr:rowOff>
    </xdr:to>
    <xdr:sp macro="" textlink="">
      <xdr:nvSpPr>
        <xdr:cNvPr id="57085" name="Rectangle 165">
          <a:extLst>
            <a:ext uri="{FF2B5EF4-FFF2-40B4-BE49-F238E27FC236}">
              <a16:creationId xmlns:a16="http://schemas.microsoft.com/office/drawing/2014/main" id="{D29BECDF-201D-89EC-EC02-80B3270B47E4}"/>
            </a:ext>
          </a:extLst>
        </xdr:cNvPr>
        <xdr:cNvSpPr>
          <a:spLocks noChangeArrowheads="1"/>
        </xdr:cNvSpPr>
      </xdr:nvSpPr>
      <xdr:spPr bwMode="auto">
        <a:xfrm>
          <a:off x="1625600" y="11188700"/>
          <a:ext cx="863600" cy="76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292100</xdr:colOff>
      <xdr:row>63</xdr:row>
      <xdr:rowOff>38100</xdr:rowOff>
    </xdr:from>
    <xdr:to>
      <xdr:col>2</xdr:col>
      <xdr:colOff>444500</xdr:colOff>
      <xdr:row>67</xdr:row>
      <xdr:rowOff>76200</xdr:rowOff>
    </xdr:to>
    <xdr:sp macro="" textlink="">
      <xdr:nvSpPr>
        <xdr:cNvPr id="57086" name="Line 166">
          <a:extLst>
            <a:ext uri="{FF2B5EF4-FFF2-40B4-BE49-F238E27FC236}">
              <a16:creationId xmlns:a16="http://schemas.microsoft.com/office/drawing/2014/main" id="{FB617478-4A2D-FEE1-ED7E-5FF2B9C861F2}"/>
            </a:ext>
          </a:extLst>
        </xdr:cNvPr>
        <xdr:cNvSpPr>
          <a:spLocks noChangeShapeType="1"/>
        </xdr:cNvSpPr>
      </xdr:nvSpPr>
      <xdr:spPr bwMode="auto">
        <a:xfrm flipV="1">
          <a:off x="1638300" y="10502900"/>
          <a:ext cx="152400" cy="6985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457200</xdr:colOff>
      <xdr:row>58</xdr:row>
      <xdr:rowOff>101600</xdr:rowOff>
    </xdr:from>
    <xdr:to>
      <xdr:col>2</xdr:col>
      <xdr:colOff>457200</xdr:colOff>
      <xdr:row>62</xdr:row>
      <xdr:rowOff>139700</xdr:rowOff>
    </xdr:to>
    <xdr:sp macro="" textlink="">
      <xdr:nvSpPr>
        <xdr:cNvPr id="57087" name="Line 167">
          <a:extLst>
            <a:ext uri="{FF2B5EF4-FFF2-40B4-BE49-F238E27FC236}">
              <a16:creationId xmlns:a16="http://schemas.microsoft.com/office/drawing/2014/main" id="{1FB43F09-9E77-8534-64A2-3C351C1429B4}"/>
            </a:ext>
          </a:extLst>
        </xdr:cNvPr>
        <xdr:cNvSpPr>
          <a:spLocks noChangeShapeType="1"/>
        </xdr:cNvSpPr>
      </xdr:nvSpPr>
      <xdr:spPr bwMode="auto">
        <a:xfrm flipV="1">
          <a:off x="1803400" y="9740900"/>
          <a:ext cx="0" cy="6985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457200</xdr:colOff>
      <xdr:row>54</xdr:row>
      <xdr:rowOff>0</xdr:rowOff>
    </xdr:from>
    <xdr:to>
      <xdr:col>2</xdr:col>
      <xdr:colOff>457200</xdr:colOff>
      <xdr:row>58</xdr:row>
      <xdr:rowOff>38100</xdr:rowOff>
    </xdr:to>
    <xdr:sp macro="" textlink="">
      <xdr:nvSpPr>
        <xdr:cNvPr id="57088" name="Line 168">
          <a:extLst>
            <a:ext uri="{FF2B5EF4-FFF2-40B4-BE49-F238E27FC236}">
              <a16:creationId xmlns:a16="http://schemas.microsoft.com/office/drawing/2014/main" id="{0C3EB8BE-48F1-E76E-9226-AF366CEB03F1}"/>
            </a:ext>
          </a:extLst>
        </xdr:cNvPr>
        <xdr:cNvSpPr>
          <a:spLocks noChangeShapeType="1"/>
        </xdr:cNvSpPr>
      </xdr:nvSpPr>
      <xdr:spPr bwMode="auto">
        <a:xfrm flipV="1">
          <a:off x="1803400" y="8978900"/>
          <a:ext cx="0" cy="6985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457200</xdr:colOff>
      <xdr:row>49</xdr:row>
      <xdr:rowOff>63500</xdr:rowOff>
    </xdr:from>
    <xdr:to>
      <xdr:col>2</xdr:col>
      <xdr:colOff>457200</xdr:colOff>
      <xdr:row>53</xdr:row>
      <xdr:rowOff>101600</xdr:rowOff>
    </xdr:to>
    <xdr:sp macro="" textlink="">
      <xdr:nvSpPr>
        <xdr:cNvPr id="57089" name="Line 169">
          <a:extLst>
            <a:ext uri="{FF2B5EF4-FFF2-40B4-BE49-F238E27FC236}">
              <a16:creationId xmlns:a16="http://schemas.microsoft.com/office/drawing/2014/main" id="{0C97C2D9-D5CA-28EA-B310-85F3B126146C}"/>
            </a:ext>
          </a:extLst>
        </xdr:cNvPr>
        <xdr:cNvSpPr>
          <a:spLocks noChangeShapeType="1"/>
        </xdr:cNvSpPr>
      </xdr:nvSpPr>
      <xdr:spPr bwMode="auto">
        <a:xfrm flipV="1">
          <a:off x="1803400" y="8216900"/>
          <a:ext cx="0" cy="6985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584200</xdr:colOff>
      <xdr:row>53</xdr:row>
      <xdr:rowOff>0</xdr:rowOff>
    </xdr:from>
    <xdr:to>
      <xdr:col>5</xdr:col>
      <xdr:colOff>241300</xdr:colOff>
      <xdr:row>53</xdr:row>
      <xdr:rowOff>63500</xdr:rowOff>
    </xdr:to>
    <xdr:sp macro="" textlink="">
      <xdr:nvSpPr>
        <xdr:cNvPr id="57090" name="Rectangle 170">
          <a:extLst>
            <a:ext uri="{FF2B5EF4-FFF2-40B4-BE49-F238E27FC236}">
              <a16:creationId xmlns:a16="http://schemas.microsoft.com/office/drawing/2014/main" id="{33D4E256-9187-93F9-BED0-1675B9AED5F8}"/>
            </a:ext>
          </a:extLst>
        </xdr:cNvPr>
        <xdr:cNvSpPr>
          <a:spLocks noChangeArrowheads="1"/>
        </xdr:cNvSpPr>
      </xdr:nvSpPr>
      <xdr:spPr bwMode="auto">
        <a:xfrm>
          <a:off x="2603500" y="8813800"/>
          <a:ext cx="1003300" cy="63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FF" mc:Ignorable="a14" a14:legacySpreadsheetColorIndex="12"/>
        </a:solidFill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342900</xdr:colOff>
      <xdr:row>52</xdr:row>
      <xdr:rowOff>152400</xdr:rowOff>
    </xdr:from>
    <xdr:to>
      <xdr:col>3</xdr:col>
      <xdr:colOff>381000</xdr:colOff>
      <xdr:row>53</xdr:row>
      <xdr:rowOff>12700</xdr:rowOff>
    </xdr:to>
    <xdr:sp macro="" textlink="">
      <xdr:nvSpPr>
        <xdr:cNvPr id="57091" name="Oval 172">
          <a:extLst>
            <a:ext uri="{FF2B5EF4-FFF2-40B4-BE49-F238E27FC236}">
              <a16:creationId xmlns:a16="http://schemas.microsoft.com/office/drawing/2014/main" id="{22AE7D22-6B54-409C-4F99-BE2212C88A2F}"/>
            </a:ext>
          </a:extLst>
        </xdr:cNvPr>
        <xdr:cNvSpPr>
          <a:spLocks noChangeArrowheads="1"/>
        </xdr:cNvSpPr>
      </xdr:nvSpPr>
      <xdr:spPr bwMode="auto">
        <a:xfrm>
          <a:off x="2362200" y="8801100"/>
          <a:ext cx="38100" cy="254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3</xdr:col>
      <xdr:colOff>342900</xdr:colOff>
      <xdr:row>54</xdr:row>
      <xdr:rowOff>63500</xdr:rowOff>
    </xdr:from>
    <xdr:to>
      <xdr:col>3</xdr:col>
      <xdr:colOff>381000</xdr:colOff>
      <xdr:row>54</xdr:row>
      <xdr:rowOff>88900</xdr:rowOff>
    </xdr:to>
    <xdr:sp macro="" textlink="">
      <xdr:nvSpPr>
        <xdr:cNvPr id="57092" name="Oval 173">
          <a:extLst>
            <a:ext uri="{FF2B5EF4-FFF2-40B4-BE49-F238E27FC236}">
              <a16:creationId xmlns:a16="http://schemas.microsoft.com/office/drawing/2014/main" id="{9CED3DAC-356B-E163-3B1D-568FD392AC78}"/>
            </a:ext>
          </a:extLst>
        </xdr:cNvPr>
        <xdr:cNvSpPr>
          <a:spLocks noChangeArrowheads="1"/>
        </xdr:cNvSpPr>
      </xdr:nvSpPr>
      <xdr:spPr bwMode="auto">
        <a:xfrm>
          <a:off x="2362200" y="9042400"/>
          <a:ext cx="38100" cy="254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3</xdr:col>
      <xdr:colOff>342900</xdr:colOff>
      <xdr:row>55</xdr:row>
      <xdr:rowOff>139700</xdr:rowOff>
    </xdr:from>
    <xdr:to>
      <xdr:col>3</xdr:col>
      <xdr:colOff>381000</xdr:colOff>
      <xdr:row>55</xdr:row>
      <xdr:rowOff>165100</xdr:rowOff>
    </xdr:to>
    <xdr:sp macro="" textlink="">
      <xdr:nvSpPr>
        <xdr:cNvPr id="57093" name="Oval 174">
          <a:extLst>
            <a:ext uri="{FF2B5EF4-FFF2-40B4-BE49-F238E27FC236}">
              <a16:creationId xmlns:a16="http://schemas.microsoft.com/office/drawing/2014/main" id="{8B161EEE-C170-8C6F-E0B4-6421730A06F9}"/>
            </a:ext>
          </a:extLst>
        </xdr:cNvPr>
        <xdr:cNvSpPr>
          <a:spLocks noChangeArrowheads="1"/>
        </xdr:cNvSpPr>
      </xdr:nvSpPr>
      <xdr:spPr bwMode="auto">
        <a:xfrm>
          <a:off x="2362200" y="9283700"/>
          <a:ext cx="38100" cy="254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3</xdr:col>
      <xdr:colOff>342900</xdr:colOff>
      <xdr:row>57</xdr:row>
      <xdr:rowOff>12700</xdr:rowOff>
    </xdr:from>
    <xdr:to>
      <xdr:col>3</xdr:col>
      <xdr:colOff>381000</xdr:colOff>
      <xdr:row>57</xdr:row>
      <xdr:rowOff>38100</xdr:rowOff>
    </xdr:to>
    <xdr:sp macro="" textlink="">
      <xdr:nvSpPr>
        <xdr:cNvPr id="57094" name="Oval 175">
          <a:extLst>
            <a:ext uri="{FF2B5EF4-FFF2-40B4-BE49-F238E27FC236}">
              <a16:creationId xmlns:a16="http://schemas.microsoft.com/office/drawing/2014/main" id="{E8E20E19-3DED-622D-267D-041E88B2671A}"/>
            </a:ext>
          </a:extLst>
        </xdr:cNvPr>
        <xdr:cNvSpPr>
          <a:spLocks noChangeArrowheads="1"/>
        </xdr:cNvSpPr>
      </xdr:nvSpPr>
      <xdr:spPr bwMode="auto">
        <a:xfrm>
          <a:off x="2362200" y="9486900"/>
          <a:ext cx="38100" cy="254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3</xdr:col>
      <xdr:colOff>342900</xdr:colOff>
      <xdr:row>58</xdr:row>
      <xdr:rowOff>101600</xdr:rowOff>
    </xdr:from>
    <xdr:to>
      <xdr:col>3</xdr:col>
      <xdr:colOff>381000</xdr:colOff>
      <xdr:row>58</xdr:row>
      <xdr:rowOff>127000</xdr:rowOff>
    </xdr:to>
    <xdr:sp macro="" textlink="">
      <xdr:nvSpPr>
        <xdr:cNvPr id="57095" name="Oval 176">
          <a:extLst>
            <a:ext uri="{FF2B5EF4-FFF2-40B4-BE49-F238E27FC236}">
              <a16:creationId xmlns:a16="http://schemas.microsoft.com/office/drawing/2014/main" id="{C97AAF11-3428-D182-9CD0-5070CAC1DBC9}"/>
            </a:ext>
          </a:extLst>
        </xdr:cNvPr>
        <xdr:cNvSpPr>
          <a:spLocks noChangeArrowheads="1"/>
        </xdr:cNvSpPr>
      </xdr:nvSpPr>
      <xdr:spPr bwMode="auto">
        <a:xfrm>
          <a:off x="2362200" y="9740900"/>
          <a:ext cx="38100" cy="254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3</xdr:col>
      <xdr:colOff>342900</xdr:colOff>
      <xdr:row>60</xdr:row>
      <xdr:rowOff>0</xdr:rowOff>
    </xdr:from>
    <xdr:to>
      <xdr:col>3</xdr:col>
      <xdr:colOff>381000</xdr:colOff>
      <xdr:row>60</xdr:row>
      <xdr:rowOff>25400</xdr:rowOff>
    </xdr:to>
    <xdr:sp macro="" textlink="">
      <xdr:nvSpPr>
        <xdr:cNvPr id="57096" name="Oval 177">
          <a:extLst>
            <a:ext uri="{FF2B5EF4-FFF2-40B4-BE49-F238E27FC236}">
              <a16:creationId xmlns:a16="http://schemas.microsoft.com/office/drawing/2014/main" id="{A00091D3-A510-C6D8-F7D0-63EBFB3FC7D4}"/>
            </a:ext>
          </a:extLst>
        </xdr:cNvPr>
        <xdr:cNvSpPr>
          <a:spLocks noChangeArrowheads="1"/>
        </xdr:cNvSpPr>
      </xdr:nvSpPr>
      <xdr:spPr bwMode="auto">
        <a:xfrm>
          <a:off x="2362200" y="9969500"/>
          <a:ext cx="38100" cy="254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3</xdr:col>
      <xdr:colOff>342900</xdr:colOff>
      <xdr:row>61</xdr:row>
      <xdr:rowOff>38100</xdr:rowOff>
    </xdr:from>
    <xdr:to>
      <xdr:col>3</xdr:col>
      <xdr:colOff>381000</xdr:colOff>
      <xdr:row>61</xdr:row>
      <xdr:rowOff>63500</xdr:rowOff>
    </xdr:to>
    <xdr:sp macro="" textlink="">
      <xdr:nvSpPr>
        <xdr:cNvPr id="57097" name="Oval 178">
          <a:extLst>
            <a:ext uri="{FF2B5EF4-FFF2-40B4-BE49-F238E27FC236}">
              <a16:creationId xmlns:a16="http://schemas.microsoft.com/office/drawing/2014/main" id="{CAC37B46-866B-F554-D492-3FA890895E38}"/>
            </a:ext>
          </a:extLst>
        </xdr:cNvPr>
        <xdr:cNvSpPr>
          <a:spLocks noChangeArrowheads="1"/>
        </xdr:cNvSpPr>
      </xdr:nvSpPr>
      <xdr:spPr bwMode="auto">
        <a:xfrm>
          <a:off x="2362200" y="10172700"/>
          <a:ext cx="38100" cy="254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3</xdr:col>
      <xdr:colOff>342900</xdr:colOff>
      <xdr:row>62</xdr:row>
      <xdr:rowOff>101600</xdr:rowOff>
    </xdr:from>
    <xdr:to>
      <xdr:col>3</xdr:col>
      <xdr:colOff>381000</xdr:colOff>
      <xdr:row>62</xdr:row>
      <xdr:rowOff>127000</xdr:rowOff>
    </xdr:to>
    <xdr:sp macro="" textlink="">
      <xdr:nvSpPr>
        <xdr:cNvPr id="57098" name="Oval 179">
          <a:extLst>
            <a:ext uri="{FF2B5EF4-FFF2-40B4-BE49-F238E27FC236}">
              <a16:creationId xmlns:a16="http://schemas.microsoft.com/office/drawing/2014/main" id="{6BA8FA17-3F5E-4465-8354-23BA8C5A422F}"/>
            </a:ext>
          </a:extLst>
        </xdr:cNvPr>
        <xdr:cNvSpPr>
          <a:spLocks noChangeArrowheads="1"/>
        </xdr:cNvSpPr>
      </xdr:nvSpPr>
      <xdr:spPr bwMode="auto">
        <a:xfrm>
          <a:off x="2362200" y="10401300"/>
          <a:ext cx="38100" cy="254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3</xdr:col>
      <xdr:colOff>342900</xdr:colOff>
      <xdr:row>63</xdr:row>
      <xdr:rowOff>152400</xdr:rowOff>
    </xdr:from>
    <xdr:to>
      <xdr:col>3</xdr:col>
      <xdr:colOff>381000</xdr:colOff>
      <xdr:row>64</xdr:row>
      <xdr:rowOff>12700</xdr:rowOff>
    </xdr:to>
    <xdr:sp macro="" textlink="">
      <xdr:nvSpPr>
        <xdr:cNvPr id="57099" name="Oval 180">
          <a:extLst>
            <a:ext uri="{FF2B5EF4-FFF2-40B4-BE49-F238E27FC236}">
              <a16:creationId xmlns:a16="http://schemas.microsoft.com/office/drawing/2014/main" id="{167578AE-6586-E40D-E118-107F7FCEC049}"/>
            </a:ext>
          </a:extLst>
        </xdr:cNvPr>
        <xdr:cNvSpPr>
          <a:spLocks noChangeArrowheads="1"/>
        </xdr:cNvSpPr>
      </xdr:nvSpPr>
      <xdr:spPr bwMode="auto">
        <a:xfrm>
          <a:off x="2362200" y="10617200"/>
          <a:ext cx="38100" cy="254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3</xdr:col>
      <xdr:colOff>342900</xdr:colOff>
      <xdr:row>65</xdr:row>
      <xdr:rowOff>38100</xdr:rowOff>
    </xdr:from>
    <xdr:to>
      <xdr:col>3</xdr:col>
      <xdr:colOff>381000</xdr:colOff>
      <xdr:row>65</xdr:row>
      <xdr:rowOff>63500</xdr:rowOff>
    </xdr:to>
    <xdr:sp macro="" textlink="">
      <xdr:nvSpPr>
        <xdr:cNvPr id="57100" name="Oval 181">
          <a:extLst>
            <a:ext uri="{FF2B5EF4-FFF2-40B4-BE49-F238E27FC236}">
              <a16:creationId xmlns:a16="http://schemas.microsoft.com/office/drawing/2014/main" id="{A028BA14-3AB1-4B4A-75D7-55E831B782CE}"/>
            </a:ext>
          </a:extLst>
        </xdr:cNvPr>
        <xdr:cNvSpPr>
          <a:spLocks noChangeArrowheads="1"/>
        </xdr:cNvSpPr>
      </xdr:nvSpPr>
      <xdr:spPr bwMode="auto">
        <a:xfrm>
          <a:off x="2362200" y="10833100"/>
          <a:ext cx="38100" cy="254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3</xdr:col>
      <xdr:colOff>342900</xdr:colOff>
      <xdr:row>66</xdr:row>
      <xdr:rowOff>101600</xdr:rowOff>
    </xdr:from>
    <xdr:to>
      <xdr:col>3</xdr:col>
      <xdr:colOff>381000</xdr:colOff>
      <xdr:row>66</xdr:row>
      <xdr:rowOff>127000</xdr:rowOff>
    </xdr:to>
    <xdr:sp macro="" textlink="">
      <xdr:nvSpPr>
        <xdr:cNvPr id="57101" name="Oval 182">
          <a:extLst>
            <a:ext uri="{FF2B5EF4-FFF2-40B4-BE49-F238E27FC236}">
              <a16:creationId xmlns:a16="http://schemas.microsoft.com/office/drawing/2014/main" id="{8A4CB7CE-23DD-9EBE-3F93-35A008722943}"/>
            </a:ext>
          </a:extLst>
        </xdr:cNvPr>
        <xdr:cNvSpPr>
          <a:spLocks noChangeArrowheads="1"/>
        </xdr:cNvSpPr>
      </xdr:nvSpPr>
      <xdr:spPr bwMode="auto">
        <a:xfrm>
          <a:off x="2362200" y="11061700"/>
          <a:ext cx="38100" cy="254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3</xdr:col>
      <xdr:colOff>342900</xdr:colOff>
      <xdr:row>67</xdr:row>
      <xdr:rowOff>152400</xdr:rowOff>
    </xdr:from>
    <xdr:to>
      <xdr:col>3</xdr:col>
      <xdr:colOff>381000</xdr:colOff>
      <xdr:row>68</xdr:row>
      <xdr:rowOff>12700</xdr:rowOff>
    </xdr:to>
    <xdr:sp macro="" textlink="">
      <xdr:nvSpPr>
        <xdr:cNvPr id="57102" name="Oval 183">
          <a:extLst>
            <a:ext uri="{FF2B5EF4-FFF2-40B4-BE49-F238E27FC236}">
              <a16:creationId xmlns:a16="http://schemas.microsoft.com/office/drawing/2014/main" id="{513A5D2E-64CE-23D2-8CEC-CC631B86D28F}"/>
            </a:ext>
          </a:extLst>
        </xdr:cNvPr>
        <xdr:cNvSpPr>
          <a:spLocks noChangeArrowheads="1"/>
        </xdr:cNvSpPr>
      </xdr:nvSpPr>
      <xdr:spPr bwMode="auto">
        <a:xfrm>
          <a:off x="2362200" y="11277600"/>
          <a:ext cx="38100" cy="254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3</xdr:col>
      <xdr:colOff>342900</xdr:colOff>
      <xdr:row>69</xdr:row>
      <xdr:rowOff>25400</xdr:rowOff>
    </xdr:from>
    <xdr:to>
      <xdr:col>3</xdr:col>
      <xdr:colOff>381000</xdr:colOff>
      <xdr:row>69</xdr:row>
      <xdr:rowOff>50800</xdr:rowOff>
    </xdr:to>
    <xdr:sp macro="" textlink="">
      <xdr:nvSpPr>
        <xdr:cNvPr id="57103" name="Oval 184">
          <a:extLst>
            <a:ext uri="{FF2B5EF4-FFF2-40B4-BE49-F238E27FC236}">
              <a16:creationId xmlns:a16="http://schemas.microsoft.com/office/drawing/2014/main" id="{8C6F523D-AF19-2F62-02FA-0A5E504FA2D0}"/>
            </a:ext>
          </a:extLst>
        </xdr:cNvPr>
        <xdr:cNvSpPr>
          <a:spLocks noChangeArrowheads="1"/>
        </xdr:cNvSpPr>
      </xdr:nvSpPr>
      <xdr:spPr bwMode="auto">
        <a:xfrm>
          <a:off x="2362200" y="11480800"/>
          <a:ext cx="38100" cy="254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3</xdr:col>
      <xdr:colOff>342900</xdr:colOff>
      <xdr:row>70</xdr:row>
      <xdr:rowOff>101600</xdr:rowOff>
    </xdr:from>
    <xdr:to>
      <xdr:col>3</xdr:col>
      <xdr:colOff>381000</xdr:colOff>
      <xdr:row>70</xdr:row>
      <xdr:rowOff>127000</xdr:rowOff>
    </xdr:to>
    <xdr:sp macro="" textlink="">
      <xdr:nvSpPr>
        <xdr:cNvPr id="57104" name="Oval 185">
          <a:extLst>
            <a:ext uri="{FF2B5EF4-FFF2-40B4-BE49-F238E27FC236}">
              <a16:creationId xmlns:a16="http://schemas.microsoft.com/office/drawing/2014/main" id="{8F6B2E66-4DA9-ACB6-4304-AD1629B1EB81}"/>
            </a:ext>
          </a:extLst>
        </xdr:cNvPr>
        <xdr:cNvSpPr>
          <a:spLocks noChangeArrowheads="1"/>
        </xdr:cNvSpPr>
      </xdr:nvSpPr>
      <xdr:spPr bwMode="auto">
        <a:xfrm>
          <a:off x="2362200" y="11722100"/>
          <a:ext cx="38100" cy="254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3</xdr:col>
      <xdr:colOff>342900</xdr:colOff>
      <xdr:row>71</xdr:row>
      <xdr:rowOff>139700</xdr:rowOff>
    </xdr:from>
    <xdr:to>
      <xdr:col>3</xdr:col>
      <xdr:colOff>381000</xdr:colOff>
      <xdr:row>72</xdr:row>
      <xdr:rowOff>12700</xdr:rowOff>
    </xdr:to>
    <xdr:sp macro="" textlink="">
      <xdr:nvSpPr>
        <xdr:cNvPr id="57105" name="Oval 186">
          <a:extLst>
            <a:ext uri="{FF2B5EF4-FFF2-40B4-BE49-F238E27FC236}">
              <a16:creationId xmlns:a16="http://schemas.microsoft.com/office/drawing/2014/main" id="{5B0A9C4F-801D-6B88-94BB-DDE22552362E}"/>
            </a:ext>
          </a:extLst>
        </xdr:cNvPr>
        <xdr:cNvSpPr>
          <a:spLocks noChangeArrowheads="1"/>
        </xdr:cNvSpPr>
      </xdr:nvSpPr>
      <xdr:spPr bwMode="auto">
        <a:xfrm>
          <a:off x="2362200" y="11925300"/>
          <a:ext cx="38100" cy="381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3</xdr:col>
      <xdr:colOff>342900</xdr:colOff>
      <xdr:row>73</xdr:row>
      <xdr:rowOff>12700</xdr:rowOff>
    </xdr:from>
    <xdr:to>
      <xdr:col>3</xdr:col>
      <xdr:colOff>381000</xdr:colOff>
      <xdr:row>73</xdr:row>
      <xdr:rowOff>38100</xdr:rowOff>
    </xdr:to>
    <xdr:sp macro="" textlink="">
      <xdr:nvSpPr>
        <xdr:cNvPr id="57106" name="Oval 187">
          <a:extLst>
            <a:ext uri="{FF2B5EF4-FFF2-40B4-BE49-F238E27FC236}">
              <a16:creationId xmlns:a16="http://schemas.microsoft.com/office/drawing/2014/main" id="{F218A1D1-6E40-1725-C6DB-5674CA1939EE}"/>
            </a:ext>
          </a:extLst>
        </xdr:cNvPr>
        <xdr:cNvSpPr>
          <a:spLocks noChangeArrowheads="1"/>
        </xdr:cNvSpPr>
      </xdr:nvSpPr>
      <xdr:spPr bwMode="auto">
        <a:xfrm>
          <a:off x="2362200" y="12128500"/>
          <a:ext cx="38100" cy="254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3</xdr:col>
      <xdr:colOff>342900</xdr:colOff>
      <xdr:row>74</xdr:row>
      <xdr:rowOff>63500</xdr:rowOff>
    </xdr:from>
    <xdr:to>
      <xdr:col>3</xdr:col>
      <xdr:colOff>381000</xdr:colOff>
      <xdr:row>74</xdr:row>
      <xdr:rowOff>88900</xdr:rowOff>
    </xdr:to>
    <xdr:sp macro="" textlink="">
      <xdr:nvSpPr>
        <xdr:cNvPr id="57107" name="Oval 188">
          <a:extLst>
            <a:ext uri="{FF2B5EF4-FFF2-40B4-BE49-F238E27FC236}">
              <a16:creationId xmlns:a16="http://schemas.microsoft.com/office/drawing/2014/main" id="{655954FC-5241-7550-0548-0D5A55F86F08}"/>
            </a:ext>
          </a:extLst>
        </xdr:cNvPr>
        <xdr:cNvSpPr>
          <a:spLocks noChangeArrowheads="1"/>
        </xdr:cNvSpPr>
      </xdr:nvSpPr>
      <xdr:spPr bwMode="auto">
        <a:xfrm>
          <a:off x="2362200" y="12344400"/>
          <a:ext cx="38100" cy="254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2</xdr:col>
      <xdr:colOff>431800</xdr:colOff>
      <xdr:row>63</xdr:row>
      <xdr:rowOff>38100</xdr:rowOff>
    </xdr:from>
    <xdr:to>
      <xdr:col>2</xdr:col>
      <xdr:colOff>546100</xdr:colOff>
      <xdr:row>67</xdr:row>
      <xdr:rowOff>76200</xdr:rowOff>
    </xdr:to>
    <xdr:sp macro="" textlink="">
      <xdr:nvSpPr>
        <xdr:cNvPr id="57108" name="Line 189">
          <a:extLst>
            <a:ext uri="{FF2B5EF4-FFF2-40B4-BE49-F238E27FC236}">
              <a16:creationId xmlns:a16="http://schemas.microsoft.com/office/drawing/2014/main" id="{A971E9F9-EFC6-AA00-9203-62455BC05311}"/>
            </a:ext>
          </a:extLst>
        </xdr:cNvPr>
        <xdr:cNvSpPr>
          <a:spLocks noChangeShapeType="1"/>
        </xdr:cNvSpPr>
      </xdr:nvSpPr>
      <xdr:spPr bwMode="auto">
        <a:xfrm flipV="1">
          <a:off x="1778000" y="10502900"/>
          <a:ext cx="114300" cy="6985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469900</xdr:colOff>
      <xdr:row>63</xdr:row>
      <xdr:rowOff>38100</xdr:rowOff>
    </xdr:from>
    <xdr:to>
      <xdr:col>2</xdr:col>
      <xdr:colOff>584200</xdr:colOff>
      <xdr:row>67</xdr:row>
      <xdr:rowOff>63500</xdr:rowOff>
    </xdr:to>
    <xdr:sp macro="" textlink="">
      <xdr:nvSpPr>
        <xdr:cNvPr id="57109" name="Line 190">
          <a:extLst>
            <a:ext uri="{FF2B5EF4-FFF2-40B4-BE49-F238E27FC236}">
              <a16:creationId xmlns:a16="http://schemas.microsoft.com/office/drawing/2014/main" id="{A420FB57-8DEC-D285-EA21-F2160423CFE0}"/>
            </a:ext>
          </a:extLst>
        </xdr:cNvPr>
        <xdr:cNvSpPr>
          <a:spLocks noChangeShapeType="1"/>
        </xdr:cNvSpPr>
      </xdr:nvSpPr>
      <xdr:spPr bwMode="auto">
        <a:xfrm flipV="1">
          <a:off x="1816100" y="10502900"/>
          <a:ext cx="114300" cy="6858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558800</xdr:colOff>
      <xdr:row>58</xdr:row>
      <xdr:rowOff>101600</xdr:rowOff>
    </xdr:from>
    <xdr:to>
      <xdr:col>2</xdr:col>
      <xdr:colOff>558800</xdr:colOff>
      <xdr:row>62</xdr:row>
      <xdr:rowOff>139700</xdr:rowOff>
    </xdr:to>
    <xdr:sp macro="" textlink="">
      <xdr:nvSpPr>
        <xdr:cNvPr id="57110" name="Line 191">
          <a:extLst>
            <a:ext uri="{FF2B5EF4-FFF2-40B4-BE49-F238E27FC236}">
              <a16:creationId xmlns:a16="http://schemas.microsoft.com/office/drawing/2014/main" id="{2E81B3A0-E02E-86B3-324A-7DBF1392E67D}"/>
            </a:ext>
          </a:extLst>
        </xdr:cNvPr>
        <xdr:cNvSpPr>
          <a:spLocks noChangeShapeType="1"/>
        </xdr:cNvSpPr>
      </xdr:nvSpPr>
      <xdr:spPr bwMode="auto">
        <a:xfrm flipV="1">
          <a:off x="1905000" y="9740900"/>
          <a:ext cx="0" cy="6985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596900</xdr:colOff>
      <xdr:row>58</xdr:row>
      <xdr:rowOff>101600</xdr:rowOff>
    </xdr:from>
    <xdr:to>
      <xdr:col>2</xdr:col>
      <xdr:colOff>596900</xdr:colOff>
      <xdr:row>62</xdr:row>
      <xdr:rowOff>152400</xdr:rowOff>
    </xdr:to>
    <xdr:sp macro="" textlink="">
      <xdr:nvSpPr>
        <xdr:cNvPr id="57111" name="Line 192">
          <a:extLst>
            <a:ext uri="{FF2B5EF4-FFF2-40B4-BE49-F238E27FC236}">
              <a16:creationId xmlns:a16="http://schemas.microsoft.com/office/drawing/2014/main" id="{F388CF54-20CC-1483-D618-5C5C450D1306}"/>
            </a:ext>
          </a:extLst>
        </xdr:cNvPr>
        <xdr:cNvSpPr>
          <a:spLocks noChangeShapeType="1"/>
        </xdr:cNvSpPr>
      </xdr:nvSpPr>
      <xdr:spPr bwMode="auto">
        <a:xfrm flipV="1">
          <a:off x="1943100" y="9740900"/>
          <a:ext cx="0" cy="711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558800</xdr:colOff>
      <xdr:row>54</xdr:row>
      <xdr:rowOff>0</xdr:rowOff>
    </xdr:from>
    <xdr:to>
      <xdr:col>2</xdr:col>
      <xdr:colOff>558800</xdr:colOff>
      <xdr:row>58</xdr:row>
      <xdr:rowOff>25400</xdr:rowOff>
    </xdr:to>
    <xdr:sp macro="" textlink="">
      <xdr:nvSpPr>
        <xdr:cNvPr id="57112" name="Line 193">
          <a:extLst>
            <a:ext uri="{FF2B5EF4-FFF2-40B4-BE49-F238E27FC236}">
              <a16:creationId xmlns:a16="http://schemas.microsoft.com/office/drawing/2014/main" id="{0A4B2EB2-A86E-C852-94FA-7F7753C86684}"/>
            </a:ext>
          </a:extLst>
        </xdr:cNvPr>
        <xdr:cNvSpPr>
          <a:spLocks noChangeShapeType="1"/>
        </xdr:cNvSpPr>
      </xdr:nvSpPr>
      <xdr:spPr bwMode="auto">
        <a:xfrm flipV="1">
          <a:off x="1905000" y="8978900"/>
          <a:ext cx="0" cy="6858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596900</xdr:colOff>
      <xdr:row>54</xdr:row>
      <xdr:rowOff>12700</xdr:rowOff>
    </xdr:from>
    <xdr:to>
      <xdr:col>2</xdr:col>
      <xdr:colOff>596900</xdr:colOff>
      <xdr:row>58</xdr:row>
      <xdr:rowOff>38100</xdr:rowOff>
    </xdr:to>
    <xdr:sp macro="" textlink="">
      <xdr:nvSpPr>
        <xdr:cNvPr id="57113" name="Line 194">
          <a:extLst>
            <a:ext uri="{FF2B5EF4-FFF2-40B4-BE49-F238E27FC236}">
              <a16:creationId xmlns:a16="http://schemas.microsoft.com/office/drawing/2014/main" id="{9E58AC37-FB2C-7EF5-EE30-CB34A0DBFE74}"/>
            </a:ext>
          </a:extLst>
        </xdr:cNvPr>
        <xdr:cNvSpPr>
          <a:spLocks noChangeShapeType="1"/>
        </xdr:cNvSpPr>
      </xdr:nvSpPr>
      <xdr:spPr bwMode="auto">
        <a:xfrm flipV="1">
          <a:off x="1943100" y="8991600"/>
          <a:ext cx="0" cy="6858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558800</xdr:colOff>
      <xdr:row>49</xdr:row>
      <xdr:rowOff>63500</xdr:rowOff>
    </xdr:from>
    <xdr:to>
      <xdr:col>2</xdr:col>
      <xdr:colOff>558800</xdr:colOff>
      <xdr:row>53</xdr:row>
      <xdr:rowOff>114300</xdr:rowOff>
    </xdr:to>
    <xdr:sp macro="" textlink="">
      <xdr:nvSpPr>
        <xdr:cNvPr id="57114" name="Line 195">
          <a:extLst>
            <a:ext uri="{FF2B5EF4-FFF2-40B4-BE49-F238E27FC236}">
              <a16:creationId xmlns:a16="http://schemas.microsoft.com/office/drawing/2014/main" id="{09EA3761-4D63-F842-AD3D-DCCF2726B36E}"/>
            </a:ext>
          </a:extLst>
        </xdr:cNvPr>
        <xdr:cNvSpPr>
          <a:spLocks noChangeShapeType="1"/>
        </xdr:cNvSpPr>
      </xdr:nvSpPr>
      <xdr:spPr bwMode="auto">
        <a:xfrm flipV="1">
          <a:off x="1905000" y="8216900"/>
          <a:ext cx="0" cy="711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596900</xdr:colOff>
      <xdr:row>49</xdr:row>
      <xdr:rowOff>63500</xdr:rowOff>
    </xdr:from>
    <xdr:to>
      <xdr:col>2</xdr:col>
      <xdr:colOff>596900</xdr:colOff>
      <xdr:row>53</xdr:row>
      <xdr:rowOff>114300</xdr:rowOff>
    </xdr:to>
    <xdr:sp macro="" textlink="">
      <xdr:nvSpPr>
        <xdr:cNvPr id="57115" name="Line 196">
          <a:extLst>
            <a:ext uri="{FF2B5EF4-FFF2-40B4-BE49-F238E27FC236}">
              <a16:creationId xmlns:a16="http://schemas.microsoft.com/office/drawing/2014/main" id="{DD35F402-0515-FAD0-2773-51D3544A28C6}"/>
            </a:ext>
          </a:extLst>
        </xdr:cNvPr>
        <xdr:cNvSpPr>
          <a:spLocks noChangeShapeType="1"/>
        </xdr:cNvSpPr>
      </xdr:nvSpPr>
      <xdr:spPr bwMode="auto">
        <a:xfrm flipV="1">
          <a:off x="1943100" y="8216900"/>
          <a:ext cx="0" cy="711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25400</xdr:colOff>
      <xdr:row>63</xdr:row>
      <xdr:rowOff>38100</xdr:rowOff>
    </xdr:from>
    <xdr:to>
      <xdr:col>3</xdr:col>
      <xdr:colOff>63500</xdr:colOff>
      <xdr:row>67</xdr:row>
      <xdr:rowOff>63500</xdr:rowOff>
    </xdr:to>
    <xdr:sp macro="" textlink="">
      <xdr:nvSpPr>
        <xdr:cNvPr id="57116" name="Rectangle 197">
          <a:extLst>
            <a:ext uri="{FF2B5EF4-FFF2-40B4-BE49-F238E27FC236}">
              <a16:creationId xmlns:a16="http://schemas.microsoft.com/office/drawing/2014/main" id="{6ADAEA85-BB0F-8C83-DEA9-002BBF35981D}"/>
            </a:ext>
          </a:extLst>
        </xdr:cNvPr>
        <xdr:cNvSpPr>
          <a:spLocks noChangeArrowheads="1"/>
        </xdr:cNvSpPr>
      </xdr:nvSpPr>
      <xdr:spPr bwMode="auto">
        <a:xfrm>
          <a:off x="2044700" y="10502900"/>
          <a:ext cx="38100" cy="685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241300</xdr:colOff>
      <xdr:row>63</xdr:row>
      <xdr:rowOff>38100</xdr:rowOff>
    </xdr:from>
    <xdr:to>
      <xdr:col>3</xdr:col>
      <xdr:colOff>279400</xdr:colOff>
      <xdr:row>67</xdr:row>
      <xdr:rowOff>63500</xdr:rowOff>
    </xdr:to>
    <xdr:sp macro="" textlink="">
      <xdr:nvSpPr>
        <xdr:cNvPr id="57117" name="Rectangle 199">
          <a:extLst>
            <a:ext uri="{FF2B5EF4-FFF2-40B4-BE49-F238E27FC236}">
              <a16:creationId xmlns:a16="http://schemas.microsoft.com/office/drawing/2014/main" id="{CB92B06D-9108-DF3E-A24A-01273DED9467}"/>
            </a:ext>
          </a:extLst>
        </xdr:cNvPr>
        <xdr:cNvSpPr>
          <a:spLocks noChangeArrowheads="1"/>
        </xdr:cNvSpPr>
      </xdr:nvSpPr>
      <xdr:spPr bwMode="auto">
        <a:xfrm>
          <a:off x="2260600" y="10502900"/>
          <a:ext cx="38100" cy="685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241300</xdr:colOff>
      <xdr:row>58</xdr:row>
      <xdr:rowOff>101600</xdr:rowOff>
    </xdr:from>
    <xdr:to>
      <xdr:col>3</xdr:col>
      <xdr:colOff>279400</xdr:colOff>
      <xdr:row>62</xdr:row>
      <xdr:rowOff>152400</xdr:rowOff>
    </xdr:to>
    <xdr:sp macro="" textlink="">
      <xdr:nvSpPr>
        <xdr:cNvPr id="57118" name="Rectangle 200">
          <a:extLst>
            <a:ext uri="{FF2B5EF4-FFF2-40B4-BE49-F238E27FC236}">
              <a16:creationId xmlns:a16="http://schemas.microsoft.com/office/drawing/2014/main" id="{E1C7DB2A-85C3-CA3A-0F8D-649A6F7E3D38}"/>
            </a:ext>
          </a:extLst>
        </xdr:cNvPr>
        <xdr:cNvSpPr>
          <a:spLocks noChangeArrowheads="1"/>
        </xdr:cNvSpPr>
      </xdr:nvSpPr>
      <xdr:spPr bwMode="auto">
        <a:xfrm>
          <a:off x="2260600" y="9740900"/>
          <a:ext cx="38100" cy="711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25400</xdr:colOff>
      <xdr:row>58</xdr:row>
      <xdr:rowOff>101600</xdr:rowOff>
    </xdr:from>
    <xdr:to>
      <xdr:col>3</xdr:col>
      <xdr:colOff>63500</xdr:colOff>
      <xdr:row>62</xdr:row>
      <xdr:rowOff>152400</xdr:rowOff>
    </xdr:to>
    <xdr:sp macro="" textlink="">
      <xdr:nvSpPr>
        <xdr:cNvPr id="57119" name="Rectangle 201">
          <a:extLst>
            <a:ext uri="{FF2B5EF4-FFF2-40B4-BE49-F238E27FC236}">
              <a16:creationId xmlns:a16="http://schemas.microsoft.com/office/drawing/2014/main" id="{D4D19CEB-CF2C-9EE4-ECFC-C260F8B7AC4E}"/>
            </a:ext>
          </a:extLst>
        </xdr:cNvPr>
        <xdr:cNvSpPr>
          <a:spLocks noChangeArrowheads="1"/>
        </xdr:cNvSpPr>
      </xdr:nvSpPr>
      <xdr:spPr bwMode="auto">
        <a:xfrm>
          <a:off x="2044700" y="9740900"/>
          <a:ext cx="38100" cy="711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25400</xdr:colOff>
      <xdr:row>54</xdr:row>
      <xdr:rowOff>0</xdr:rowOff>
    </xdr:from>
    <xdr:to>
      <xdr:col>3</xdr:col>
      <xdr:colOff>63500</xdr:colOff>
      <xdr:row>58</xdr:row>
      <xdr:rowOff>38100</xdr:rowOff>
    </xdr:to>
    <xdr:sp macro="" textlink="">
      <xdr:nvSpPr>
        <xdr:cNvPr id="57120" name="Rectangle 202">
          <a:extLst>
            <a:ext uri="{FF2B5EF4-FFF2-40B4-BE49-F238E27FC236}">
              <a16:creationId xmlns:a16="http://schemas.microsoft.com/office/drawing/2014/main" id="{B64A168B-E66A-2BD4-3F55-1E499EDEB520}"/>
            </a:ext>
          </a:extLst>
        </xdr:cNvPr>
        <xdr:cNvSpPr>
          <a:spLocks noChangeArrowheads="1"/>
        </xdr:cNvSpPr>
      </xdr:nvSpPr>
      <xdr:spPr bwMode="auto">
        <a:xfrm>
          <a:off x="2044700" y="8978900"/>
          <a:ext cx="38100" cy="698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241300</xdr:colOff>
      <xdr:row>54</xdr:row>
      <xdr:rowOff>0</xdr:rowOff>
    </xdr:from>
    <xdr:to>
      <xdr:col>3</xdr:col>
      <xdr:colOff>279400</xdr:colOff>
      <xdr:row>58</xdr:row>
      <xdr:rowOff>38100</xdr:rowOff>
    </xdr:to>
    <xdr:sp macro="" textlink="">
      <xdr:nvSpPr>
        <xdr:cNvPr id="57121" name="Rectangle 203">
          <a:extLst>
            <a:ext uri="{FF2B5EF4-FFF2-40B4-BE49-F238E27FC236}">
              <a16:creationId xmlns:a16="http://schemas.microsoft.com/office/drawing/2014/main" id="{50A86C02-CA75-10D2-7C64-FCD849157F54}"/>
            </a:ext>
          </a:extLst>
        </xdr:cNvPr>
        <xdr:cNvSpPr>
          <a:spLocks noChangeArrowheads="1"/>
        </xdr:cNvSpPr>
      </xdr:nvSpPr>
      <xdr:spPr bwMode="auto">
        <a:xfrm>
          <a:off x="2260600" y="8978900"/>
          <a:ext cx="38100" cy="698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25400</xdr:colOff>
      <xdr:row>49</xdr:row>
      <xdr:rowOff>63500</xdr:rowOff>
    </xdr:from>
    <xdr:to>
      <xdr:col>3</xdr:col>
      <xdr:colOff>63500</xdr:colOff>
      <xdr:row>53</xdr:row>
      <xdr:rowOff>114300</xdr:rowOff>
    </xdr:to>
    <xdr:sp macro="" textlink="">
      <xdr:nvSpPr>
        <xdr:cNvPr id="57122" name="Rectangle 204">
          <a:extLst>
            <a:ext uri="{FF2B5EF4-FFF2-40B4-BE49-F238E27FC236}">
              <a16:creationId xmlns:a16="http://schemas.microsoft.com/office/drawing/2014/main" id="{4FF90D52-243D-ED06-A915-8EE13382E740}"/>
            </a:ext>
          </a:extLst>
        </xdr:cNvPr>
        <xdr:cNvSpPr>
          <a:spLocks noChangeArrowheads="1"/>
        </xdr:cNvSpPr>
      </xdr:nvSpPr>
      <xdr:spPr bwMode="auto">
        <a:xfrm>
          <a:off x="2044700" y="8216900"/>
          <a:ext cx="38100" cy="711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241300</xdr:colOff>
      <xdr:row>49</xdr:row>
      <xdr:rowOff>63500</xdr:rowOff>
    </xdr:from>
    <xdr:to>
      <xdr:col>3</xdr:col>
      <xdr:colOff>279400</xdr:colOff>
      <xdr:row>53</xdr:row>
      <xdr:rowOff>114300</xdr:rowOff>
    </xdr:to>
    <xdr:sp macro="" textlink="">
      <xdr:nvSpPr>
        <xdr:cNvPr id="57123" name="Rectangle 205">
          <a:extLst>
            <a:ext uri="{FF2B5EF4-FFF2-40B4-BE49-F238E27FC236}">
              <a16:creationId xmlns:a16="http://schemas.microsoft.com/office/drawing/2014/main" id="{A0E54704-CDED-EF13-E72F-2239AC52D857}"/>
            </a:ext>
          </a:extLst>
        </xdr:cNvPr>
        <xdr:cNvSpPr>
          <a:spLocks noChangeArrowheads="1"/>
        </xdr:cNvSpPr>
      </xdr:nvSpPr>
      <xdr:spPr bwMode="auto">
        <a:xfrm>
          <a:off x="2260600" y="8216900"/>
          <a:ext cx="38100" cy="711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584200</xdr:colOff>
      <xdr:row>48</xdr:row>
      <xdr:rowOff>0</xdr:rowOff>
    </xdr:from>
    <xdr:to>
      <xdr:col>3</xdr:col>
      <xdr:colOff>584200</xdr:colOff>
      <xdr:row>52</xdr:row>
      <xdr:rowOff>152400</xdr:rowOff>
    </xdr:to>
    <xdr:sp macro="" textlink="">
      <xdr:nvSpPr>
        <xdr:cNvPr id="57124" name="Line 207">
          <a:extLst>
            <a:ext uri="{FF2B5EF4-FFF2-40B4-BE49-F238E27FC236}">
              <a16:creationId xmlns:a16="http://schemas.microsoft.com/office/drawing/2014/main" id="{A1E86235-F7E5-F98D-0237-1817691B0299}"/>
            </a:ext>
          </a:extLst>
        </xdr:cNvPr>
        <xdr:cNvSpPr>
          <a:spLocks noChangeShapeType="1"/>
        </xdr:cNvSpPr>
      </xdr:nvSpPr>
      <xdr:spPr bwMode="auto">
        <a:xfrm>
          <a:off x="2603500" y="7988300"/>
          <a:ext cx="0" cy="81280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355600</xdr:colOff>
      <xdr:row>48</xdr:row>
      <xdr:rowOff>12700</xdr:rowOff>
    </xdr:from>
    <xdr:to>
      <xdr:col>3</xdr:col>
      <xdr:colOff>355600</xdr:colOff>
      <xdr:row>53</xdr:row>
      <xdr:rowOff>25400</xdr:rowOff>
    </xdr:to>
    <xdr:sp macro="" textlink="">
      <xdr:nvSpPr>
        <xdr:cNvPr id="57125" name="Line 208">
          <a:extLst>
            <a:ext uri="{FF2B5EF4-FFF2-40B4-BE49-F238E27FC236}">
              <a16:creationId xmlns:a16="http://schemas.microsoft.com/office/drawing/2014/main" id="{59C9187F-4A5F-F647-7632-91940F7AF1C7}"/>
            </a:ext>
          </a:extLst>
        </xdr:cNvPr>
        <xdr:cNvSpPr>
          <a:spLocks noChangeShapeType="1"/>
        </xdr:cNvSpPr>
      </xdr:nvSpPr>
      <xdr:spPr bwMode="auto">
        <a:xfrm>
          <a:off x="2374900" y="8001000"/>
          <a:ext cx="0" cy="838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48</xdr:row>
      <xdr:rowOff>38100</xdr:rowOff>
    </xdr:from>
    <xdr:to>
      <xdr:col>3</xdr:col>
      <xdr:colOff>342900</xdr:colOff>
      <xdr:row>48</xdr:row>
      <xdr:rowOff>38100</xdr:rowOff>
    </xdr:to>
    <xdr:sp macro="" textlink="">
      <xdr:nvSpPr>
        <xdr:cNvPr id="57126" name="Line 209">
          <a:extLst>
            <a:ext uri="{FF2B5EF4-FFF2-40B4-BE49-F238E27FC236}">
              <a16:creationId xmlns:a16="http://schemas.microsoft.com/office/drawing/2014/main" id="{96A5AA07-03DA-7D80-4D81-D51E908C4572}"/>
            </a:ext>
          </a:extLst>
        </xdr:cNvPr>
        <xdr:cNvSpPr>
          <a:spLocks noChangeShapeType="1"/>
        </xdr:cNvSpPr>
      </xdr:nvSpPr>
      <xdr:spPr bwMode="auto">
        <a:xfrm flipH="1">
          <a:off x="2019300" y="8026400"/>
          <a:ext cx="342900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355600</xdr:colOff>
      <xdr:row>48</xdr:row>
      <xdr:rowOff>38100</xdr:rowOff>
    </xdr:from>
    <xdr:to>
      <xdr:col>3</xdr:col>
      <xdr:colOff>571500</xdr:colOff>
      <xdr:row>48</xdr:row>
      <xdr:rowOff>38100</xdr:rowOff>
    </xdr:to>
    <xdr:sp macro="" textlink="">
      <xdr:nvSpPr>
        <xdr:cNvPr id="57127" name="Line 210">
          <a:extLst>
            <a:ext uri="{FF2B5EF4-FFF2-40B4-BE49-F238E27FC236}">
              <a16:creationId xmlns:a16="http://schemas.microsoft.com/office/drawing/2014/main" id="{F38621CB-C9BD-34D1-EC93-33DFAC2C7C60}"/>
            </a:ext>
          </a:extLst>
        </xdr:cNvPr>
        <xdr:cNvSpPr>
          <a:spLocks noChangeShapeType="1"/>
        </xdr:cNvSpPr>
      </xdr:nvSpPr>
      <xdr:spPr bwMode="auto">
        <a:xfrm>
          <a:off x="2374900" y="8026400"/>
          <a:ext cx="215900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584200</xdr:colOff>
      <xdr:row>48</xdr:row>
      <xdr:rowOff>38100</xdr:rowOff>
    </xdr:from>
    <xdr:to>
      <xdr:col>4</xdr:col>
      <xdr:colOff>177800</xdr:colOff>
      <xdr:row>48</xdr:row>
      <xdr:rowOff>38100</xdr:rowOff>
    </xdr:to>
    <xdr:sp macro="" textlink="">
      <xdr:nvSpPr>
        <xdr:cNvPr id="57128" name="Line 211">
          <a:extLst>
            <a:ext uri="{FF2B5EF4-FFF2-40B4-BE49-F238E27FC236}">
              <a16:creationId xmlns:a16="http://schemas.microsoft.com/office/drawing/2014/main" id="{B0E4A457-CD3F-C45B-9A7E-FF504D8E32EA}"/>
            </a:ext>
          </a:extLst>
        </xdr:cNvPr>
        <xdr:cNvSpPr>
          <a:spLocks noChangeShapeType="1"/>
        </xdr:cNvSpPr>
      </xdr:nvSpPr>
      <xdr:spPr bwMode="auto">
        <a:xfrm>
          <a:off x="2603500" y="8026400"/>
          <a:ext cx="266700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4</xdr:col>
      <xdr:colOff>238760</xdr:colOff>
      <xdr:row>47</xdr:row>
      <xdr:rowOff>142875</xdr:rowOff>
    </xdr:from>
    <xdr:ext cx="1155316" cy="435953"/>
    <xdr:sp macro="" textlink="">
      <xdr:nvSpPr>
        <xdr:cNvPr id="36052" name="Text Box 212">
          <a:extLst>
            <a:ext uri="{FF2B5EF4-FFF2-40B4-BE49-F238E27FC236}">
              <a16:creationId xmlns:a16="http://schemas.microsoft.com/office/drawing/2014/main" id="{25D35517-5C90-96BA-137E-740482B2E268}"/>
            </a:ext>
          </a:extLst>
        </xdr:cNvPr>
        <xdr:cNvSpPr txBox="1">
          <a:spLocks noChangeArrowheads="1"/>
        </xdr:cNvSpPr>
      </xdr:nvSpPr>
      <xdr:spPr bwMode="auto">
        <a:xfrm>
          <a:off x="2931160" y="7966075"/>
          <a:ext cx="1155316" cy="435953"/>
        </a:xfrm>
        <a:prstGeom prst="rect">
          <a:avLst/>
        </a:prstGeom>
        <a:noFill/>
        <a:ln>
          <a:noFill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12" Max. </a:t>
          </a: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(305mm)</a:t>
          </a: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2-1/2" Min. </a:t>
          </a: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(64mm)</a:t>
          </a: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1" i="1" u="none" strike="noStrike" baseline="0">
              <a:solidFill>
                <a:srgbClr val="FF0000"/>
              </a:solidFill>
              <a:latin typeface="Arial"/>
              <a:cs typeface="Arial"/>
            </a:rPr>
            <a:t>See Note 14</a:t>
          </a:r>
        </a:p>
      </xdr:txBody>
    </xdr:sp>
    <xdr:clientData/>
  </xdr:oneCellAnchor>
  <xdr:twoCellAnchor>
    <xdr:from>
      <xdr:col>0</xdr:col>
      <xdr:colOff>431800</xdr:colOff>
      <xdr:row>75</xdr:row>
      <xdr:rowOff>152400</xdr:rowOff>
    </xdr:from>
    <xdr:to>
      <xdr:col>1</xdr:col>
      <xdr:colOff>508000</xdr:colOff>
      <xdr:row>75</xdr:row>
      <xdr:rowOff>152400</xdr:rowOff>
    </xdr:to>
    <xdr:sp macro="" textlink="">
      <xdr:nvSpPr>
        <xdr:cNvPr id="57130" name="Line 213">
          <a:extLst>
            <a:ext uri="{FF2B5EF4-FFF2-40B4-BE49-F238E27FC236}">
              <a16:creationId xmlns:a16="http://schemas.microsoft.com/office/drawing/2014/main" id="{9C9DE08A-B5E0-D985-EC06-34750C1BC688}"/>
            </a:ext>
          </a:extLst>
        </xdr:cNvPr>
        <xdr:cNvSpPr>
          <a:spLocks noChangeShapeType="1"/>
        </xdr:cNvSpPr>
      </xdr:nvSpPr>
      <xdr:spPr bwMode="auto">
        <a:xfrm flipH="1">
          <a:off x="431800" y="12598400"/>
          <a:ext cx="749300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444500</xdr:colOff>
      <xdr:row>67</xdr:row>
      <xdr:rowOff>139700</xdr:rowOff>
    </xdr:from>
    <xdr:to>
      <xdr:col>2</xdr:col>
      <xdr:colOff>215900</xdr:colOff>
      <xdr:row>67</xdr:row>
      <xdr:rowOff>139700</xdr:rowOff>
    </xdr:to>
    <xdr:sp macro="" textlink="">
      <xdr:nvSpPr>
        <xdr:cNvPr id="57131" name="Line 214">
          <a:extLst>
            <a:ext uri="{FF2B5EF4-FFF2-40B4-BE49-F238E27FC236}">
              <a16:creationId xmlns:a16="http://schemas.microsoft.com/office/drawing/2014/main" id="{2D0164B7-AAA7-9CE7-AA25-69AAC12DFCB2}"/>
            </a:ext>
          </a:extLst>
        </xdr:cNvPr>
        <xdr:cNvSpPr>
          <a:spLocks noChangeShapeType="1"/>
        </xdr:cNvSpPr>
      </xdr:nvSpPr>
      <xdr:spPr bwMode="auto">
        <a:xfrm flipH="1" flipV="1">
          <a:off x="444500" y="11264900"/>
          <a:ext cx="1117600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533400</xdr:colOff>
      <xdr:row>72</xdr:row>
      <xdr:rowOff>25400</xdr:rowOff>
    </xdr:from>
    <xdr:to>
      <xdr:col>1</xdr:col>
      <xdr:colOff>571500</xdr:colOff>
      <xdr:row>72</xdr:row>
      <xdr:rowOff>50800</xdr:rowOff>
    </xdr:to>
    <xdr:sp macro="" textlink="">
      <xdr:nvSpPr>
        <xdr:cNvPr id="57132" name="Oval 215">
          <a:extLst>
            <a:ext uri="{FF2B5EF4-FFF2-40B4-BE49-F238E27FC236}">
              <a16:creationId xmlns:a16="http://schemas.microsoft.com/office/drawing/2014/main" id="{7AED6E2A-5707-55C6-C4A7-4B420FC51BB2}"/>
            </a:ext>
          </a:extLst>
        </xdr:cNvPr>
        <xdr:cNvSpPr>
          <a:spLocks noChangeArrowheads="1"/>
        </xdr:cNvSpPr>
      </xdr:nvSpPr>
      <xdr:spPr bwMode="auto">
        <a:xfrm>
          <a:off x="1206500" y="11976100"/>
          <a:ext cx="38100" cy="254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27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</xdr:spPr>
    </xdr:sp>
    <xdr:clientData/>
  </xdr:twoCellAnchor>
  <xdr:twoCellAnchor>
    <xdr:from>
      <xdr:col>1</xdr:col>
      <xdr:colOff>533400</xdr:colOff>
      <xdr:row>74</xdr:row>
      <xdr:rowOff>0</xdr:rowOff>
    </xdr:from>
    <xdr:to>
      <xdr:col>1</xdr:col>
      <xdr:colOff>571500</xdr:colOff>
      <xdr:row>74</xdr:row>
      <xdr:rowOff>25400</xdr:rowOff>
    </xdr:to>
    <xdr:sp macro="" textlink="">
      <xdr:nvSpPr>
        <xdr:cNvPr id="57133" name="Oval 216">
          <a:extLst>
            <a:ext uri="{FF2B5EF4-FFF2-40B4-BE49-F238E27FC236}">
              <a16:creationId xmlns:a16="http://schemas.microsoft.com/office/drawing/2014/main" id="{6ED6561B-96F1-BEFE-D109-A8D34543A6A1}"/>
            </a:ext>
          </a:extLst>
        </xdr:cNvPr>
        <xdr:cNvSpPr>
          <a:spLocks noChangeArrowheads="1"/>
        </xdr:cNvSpPr>
      </xdr:nvSpPr>
      <xdr:spPr bwMode="auto">
        <a:xfrm>
          <a:off x="1206500" y="12280900"/>
          <a:ext cx="38100" cy="254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27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</xdr:spPr>
    </xdr:sp>
    <xdr:clientData/>
  </xdr:twoCellAnchor>
  <xdr:twoCellAnchor>
    <xdr:from>
      <xdr:col>1</xdr:col>
      <xdr:colOff>533400</xdr:colOff>
      <xdr:row>67</xdr:row>
      <xdr:rowOff>139700</xdr:rowOff>
    </xdr:from>
    <xdr:to>
      <xdr:col>2</xdr:col>
      <xdr:colOff>279400</xdr:colOff>
      <xdr:row>72</xdr:row>
      <xdr:rowOff>12700</xdr:rowOff>
    </xdr:to>
    <xdr:sp macro="" textlink="">
      <xdr:nvSpPr>
        <xdr:cNvPr id="57134" name="Line 217">
          <a:extLst>
            <a:ext uri="{FF2B5EF4-FFF2-40B4-BE49-F238E27FC236}">
              <a16:creationId xmlns:a16="http://schemas.microsoft.com/office/drawing/2014/main" id="{8C3247C3-E904-72A2-A357-80D0003B2A5A}"/>
            </a:ext>
          </a:extLst>
        </xdr:cNvPr>
        <xdr:cNvSpPr>
          <a:spLocks noChangeShapeType="1"/>
        </xdr:cNvSpPr>
      </xdr:nvSpPr>
      <xdr:spPr bwMode="auto">
        <a:xfrm flipV="1">
          <a:off x="1206500" y="11264900"/>
          <a:ext cx="419100" cy="6985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546100</xdr:colOff>
      <xdr:row>67</xdr:row>
      <xdr:rowOff>114300</xdr:rowOff>
    </xdr:from>
    <xdr:to>
      <xdr:col>2</xdr:col>
      <xdr:colOff>406400</xdr:colOff>
      <xdr:row>72</xdr:row>
      <xdr:rowOff>12700</xdr:rowOff>
    </xdr:to>
    <xdr:sp macro="" textlink="">
      <xdr:nvSpPr>
        <xdr:cNvPr id="57135" name="Line 218">
          <a:extLst>
            <a:ext uri="{FF2B5EF4-FFF2-40B4-BE49-F238E27FC236}">
              <a16:creationId xmlns:a16="http://schemas.microsoft.com/office/drawing/2014/main" id="{5D89F8CA-773D-8FCF-3584-EECD8662B303}"/>
            </a:ext>
          </a:extLst>
        </xdr:cNvPr>
        <xdr:cNvSpPr>
          <a:spLocks noChangeShapeType="1"/>
        </xdr:cNvSpPr>
      </xdr:nvSpPr>
      <xdr:spPr bwMode="auto">
        <a:xfrm flipV="1">
          <a:off x="1219200" y="11239500"/>
          <a:ext cx="533400" cy="7239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533400</xdr:colOff>
      <xdr:row>67</xdr:row>
      <xdr:rowOff>139700</xdr:rowOff>
    </xdr:from>
    <xdr:to>
      <xdr:col>2</xdr:col>
      <xdr:colOff>431800</xdr:colOff>
      <xdr:row>72</xdr:row>
      <xdr:rowOff>50800</xdr:rowOff>
    </xdr:to>
    <xdr:sp macro="" textlink="">
      <xdr:nvSpPr>
        <xdr:cNvPr id="57136" name="Line 219">
          <a:extLst>
            <a:ext uri="{FF2B5EF4-FFF2-40B4-BE49-F238E27FC236}">
              <a16:creationId xmlns:a16="http://schemas.microsoft.com/office/drawing/2014/main" id="{11C3D54B-E14E-9DA6-390B-00544731D092}"/>
            </a:ext>
          </a:extLst>
        </xdr:cNvPr>
        <xdr:cNvSpPr>
          <a:spLocks noChangeShapeType="1"/>
        </xdr:cNvSpPr>
      </xdr:nvSpPr>
      <xdr:spPr bwMode="auto">
        <a:xfrm flipV="1">
          <a:off x="1206500" y="11264900"/>
          <a:ext cx="571500" cy="7366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2</xdr:col>
      <xdr:colOff>273050</xdr:colOff>
      <xdr:row>71</xdr:row>
      <xdr:rowOff>38100</xdr:rowOff>
    </xdr:from>
    <xdr:ext cx="514564" cy="136384"/>
    <xdr:sp macro="" textlink="">
      <xdr:nvSpPr>
        <xdr:cNvPr id="36060" name="Text Box 220">
          <a:extLst>
            <a:ext uri="{FF2B5EF4-FFF2-40B4-BE49-F238E27FC236}">
              <a16:creationId xmlns:a16="http://schemas.microsoft.com/office/drawing/2014/main" id="{2960ED85-E4AB-3FF0-3A1C-9251F081F625}"/>
            </a:ext>
          </a:extLst>
        </xdr:cNvPr>
        <xdr:cNvSpPr txBox="1">
          <a:spLocks noChangeArrowheads="1"/>
        </xdr:cNvSpPr>
      </xdr:nvSpPr>
      <xdr:spPr bwMode="auto">
        <a:xfrm>
          <a:off x="1619250" y="11823700"/>
          <a:ext cx="514564" cy="136384"/>
        </a:xfrm>
        <a:prstGeom prst="rect">
          <a:avLst/>
        </a:prstGeom>
        <a:noFill/>
        <a:ln>
          <a:noFill/>
        </a:ln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800" b="1" i="1" u="none" strike="noStrike" baseline="0">
              <a:solidFill>
                <a:srgbClr val="FF0000"/>
              </a:solidFill>
              <a:latin typeface="Arial"/>
              <a:cs typeface="Arial"/>
            </a:rPr>
            <a:t>See Note4</a:t>
          </a:r>
        </a:p>
      </xdr:txBody>
    </xdr:sp>
    <xdr:clientData/>
  </xdr:oneCellAnchor>
  <xdr:twoCellAnchor>
    <xdr:from>
      <xdr:col>2</xdr:col>
      <xdr:colOff>114300</xdr:colOff>
      <xdr:row>70</xdr:row>
      <xdr:rowOff>101600</xdr:rowOff>
    </xdr:from>
    <xdr:to>
      <xdr:col>2</xdr:col>
      <xdr:colOff>254000</xdr:colOff>
      <xdr:row>71</xdr:row>
      <xdr:rowOff>114300</xdr:rowOff>
    </xdr:to>
    <xdr:sp macro="" textlink="">
      <xdr:nvSpPr>
        <xdr:cNvPr id="57138" name="Line 221">
          <a:extLst>
            <a:ext uri="{FF2B5EF4-FFF2-40B4-BE49-F238E27FC236}">
              <a16:creationId xmlns:a16="http://schemas.microsoft.com/office/drawing/2014/main" id="{7E334364-41B7-90BD-6B36-60A2B39AB71E}"/>
            </a:ext>
          </a:extLst>
        </xdr:cNvPr>
        <xdr:cNvSpPr>
          <a:spLocks noChangeShapeType="1"/>
        </xdr:cNvSpPr>
      </xdr:nvSpPr>
      <xdr:spPr bwMode="auto">
        <a:xfrm>
          <a:off x="1460500" y="11722100"/>
          <a:ext cx="139700" cy="1778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495300</xdr:colOff>
      <xdr:row>67</xdr:row>
      <xdr:rowOff>114300</xdr:rowOff>
    </xdr:from>
    <xdr:to>
      <xdr:col>0</xdr:col>
      <xdr:colOff>495300</xdr:colOff>
      <xdr:row>75</xdr:row>
      <xdr:rowOff>152400</xdr:rowOff>
    </xdr:to>
    <xdr:sp macro="" textlink="">
      <xdr:nvSpPr>
        <xdr:cNvPr id="57139" name="Line 222">
          <a:extLst>
            <a:ext uri="{FF2B5EF4-FFF2-40B4-BE49-F238E27FC236}">
              <a16:creationId xmlns:a16="http://schemas.microsoft.com/office/drawing/2014/main" id="{5F1B5085-7F82-0119-8D70-39B7C3472D8F}"/>
            </a:ext>
          </a:extLst>
        </xdr:cNvPr>
        <xdr:cNvSpPr>
          <a:spLocks noChangeShapeType="1"/>
        </xdr:cNvSpPr>
      </xdr:nvSpPr>
      <xdr:spPr bwMode="auto">
        <a:xfrm flipV="1">
          <a:off x="495300" y="11239500"/>
          <a:ext cx="0" cy="135890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0</xdr:col>
      <xdr:colOff>83820</xdr:colOff>
      <xdr:row>67</xdr:row>
      <xdr:rowOff>99060</xdr:rowOff>
    </xdr:from>
    <xdr:to>
      <xdr:col>1</xdr:col>
      <xdr:colOff>146163</xdr:colOff>
      <xdr:row>76</xdr:row>
      <xdr:rowOff>11490</xdr:rowOff>
    </xdr:to>
    <xdr:sp macro="" textlink="">
      <xdr:nvSpPr>
        <xdr:cNvPr id="36063" name="Text Box 223">
          <a:extLst>
            <a:ext uri="{FF2B5EF4-FFF2-40B4-BE49-F238E27FC236}">
              <a16:creationId xmlns:a16="http://schemas.microsoft.com/office/drawing/2014/main" id="{C10F5148-63B6-5BE1-C089-F4DF2959F1D8}"/>
            </a:ext>
          </a:extLst>
        </xdr:cNvPr>
        <xdr:cNvSpPr txBox="1">
          <a:spLocks noChangeArrowheads="1"/>
        </xdr:cNvSpPr>
      </xdr:nvSpPr>
      <xdr:spPr bwMode="auto">
        <a:xfrm>
          <a:off x="95250" y="11020425"/>
          <a:ext cx="638175" cy="1371600"/>
        </a:xfrm>
        <a:prstGeom prst="rect">
          <a:avLst/>
        </a:prstGeom>
        <a:noFill/>
        <a:ln>
          <a:noFill/>
        </a:ln>
      </xdr:spPr>
      <xdr:txBody>
        <a:bodyPr vertOverflow="clip" vert="vert270" wrap="square" lIns="27432" tIns="22860" rIns="27432" bIns="22860" anchor="ctr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7'-0" </a:t>
          </a: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(2134mm)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 MIN.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8'-0" </a:t>
          </a: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(2438mm)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 Max.</a:t>
          </a:r>
          <a:endParaRPr lang="en-US" sz="1000" b="1" i="1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800" b="1" i="1" u="none" strike="noStrike" baseline="0">
              <a:solidFill>
                <a:srgbClr val="FF0000"/>
              </a:solidFill>
              <a:latin typeface="Arial"/>
              <a:cs typeface="Arial"/>
            </a:rPr>
            <a:t>See Note 17</a:t>
          </a:r>
          <a:endParaRPr lang="en-US" sz="8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8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88900</xdr:colOff>
      <xdr:row>58</xdr:row>
      <xdr:rowOff>63500</xdr:rowOff>
    </xdr:from>
    <xdr:to>
      <xdr:col>2</xdr:col>
      <xdr:colOff>419100</xdr:colOff>
      <xdr:row>58</xdr:row>
      <xdr:rowOff>63500</xdr:rowOff>
    </xdr:to>
    <xdr:sp macro="" textlink="">
      <xdr:nvSpPr>
        <xdr:cNvPr id="57141" name="Line 224">
          <a:extLst>
            <a:ext uri="{FF2B5EF4-FFF2-40B4-BE49-F238E27FC236}">
              <a16:creationId xmlns:a16="http://schemas.microsoft.com/office/drawing/2014/main" id="{02A3815D-7E03-E077-819E-43FBBDB86B4C}"/>
            </a:ext>
          </a:extLst>
        </xdr:cNvPr>
        <xdr:cNvSpPr>
          <a:spLocks noChangeShapeType="1"/>
        </xdr:cNvSpPr>
      </xdr:nvSpPr>
      <xdr:spPr bwMode="auto">
        <a:xfrm flipH="1">
          <a:off x="762000" y="9702800"/>
          <a:ext cx="10033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50800</xdr:colOff>
      <xdr:row>63</xdr:row>
      <xdr:rowOff>12700</xdr:rowOff>
    </xdr:from>
    <xdr:to>
      <xdr:col>2</xdr:col>
      <xdr:colOff>381000</xdr:colOff>
      <xdr:row>63</xdr:row>
      <xdr:rowOff>12700</xdr:rowOff>
    </xdr:to>
    <xdr:sp macro="" textlink="">
      <xdr:nvSpPr>
        <xdr:cNvPr id="57142" name="Line 225">
          <a:extLst>
            <a:ext uri="{FF2B5EF4-FFF2-40B4-BE49-F238E27FC236}">
              <a16:creationId xmlns:a16="http://schemas.microsoft.com/office/drawing/2014/main" id="{99D96EC7-CC9D-CD29-879A-6C6E4734648C}"/>
            </a:ext>
          </a:extLst>
        </xdr:cNvPr>
        <xdr:cNvSpPr>
          <a:spLocks noChangeShapeType="1"/>
        </xdr:cNvSpPr>
      </xdr:nvSpPr>
      <xdr:spPr bwMode="auto">
        <a:xfrm flipH="1">
          <a:off x="723900" y="10477500"/>
          <a:ext cx="10033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165100</xdr:colOff>
      <xdr:row>58</xdr:row>
      <xdr:rowOff>50800</xdr:rowOff>
    </xdr:from>
    <xdr:to>
      <xdr:col>1</xdr:col>
      <xdr:colOff>165100</xdr:colOff>
      <xdr:row>63</xdr:row>
      <xdr:rowOff>12700</xdr:rowOff>
    </xdr:to>
    <xdr:sp macro="" textlink="">
      <xdr:nvSpPr>
        <xdr:cNvPr id="57143" name="Line 226">
          <a:extLst>
            <a:ext uri="{FF2B5EF4-FFF2-40B4-BE49-F238E27FC236}">
              <a16:creationId xmlns:a16="http://schemas.microsoft.com/office/drawing/2014/main" id="{5695C6F4-3F78-80E3-6E51-3EA69F49B73F}"/>
            </a:ext>
          </a:extLst>
        </xdr:cNvPr>
        <xdr:cNvSpPr>
          <a:spLocks noChangeShapeType="1"/>
        </xdr:cNvSpPr>
      </xdr:nvSpPr>
      <xdr:spPr bwMode="auto">
        <a:xfrm flipV="1">
          <a:off x="838200" y="9690100"/>
          <a:ext cx="0" cy="78740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0</xdr:col>
      <xdr:colOff>654050</xdr:colOff>
      <xdr:row>57</xdr:row>
      <xdr:rowOff>137160</xdr:rowOff>
    </xdr:from>
    <xdr:to>
      <xdr:col>1</xdr:col>
      <xdr:colOff>502338</xdr:colOff>
      <xdr:row>63</xdr:row>
      <xdr:rowOff>104879</xdr:rowOff>
    </xdr:to>
    <xdr:sp macro="" textlink="">
      <xdr:nvSpPr>
        <xdr:cNvPr id="36067" name="Text Box 227">
          <a:extLst>
            <a:ext uri="{FF2B5EF4-FFF2-40B4-BE49-F238E27FC236}">
              <a16:creationId xmlns:a16="http://schemas.microsoft.com/office/drawing/2014/main" id="{D741603E-FD4E-DF49-07F9-4E04FD08E33A}"/>
            </a:ext>
          </a:extLst>
        </xdr:cNvPr>
        <xdr:cNvSpPr txBox="1">
          <a:spLocks noChangeArrowheads="1"/>
        </xdr:cNvSpPr>
      </xdr:nvSpPr>
      <xdr:spPr bwMode="auto">
        <a:xfrm>
          <a:off x="581025" y="9439275"/>
          <a:ext cx="504825" cy="923925"/>
        </a:xfrm>
        <a:prstGeom prst="rect">
          <a:avLst/>
        </a:prstGeom>
        <a:noFill/>
        <a:ln>
          <a:noFill/>
        </a:ln>
      </xdr:spPr>
      <xdr:txBody>
        <a:bodyPr vertOverflow="clip" vert="vert270" wrap="square" lIns="27432" tIns="22860" rIns="0" bIns="2286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4'-0" </a:t>
          </a: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(1219mm)</a:t>
          </a: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 MAX. Spa.</a:t>
          </a:r>
        </a:p>
      </xdr:txBody>
    </xdr:sp>
    <xdr:clientData/>
  </xdr:twoCellAnchor>
  <xdr:twoCellAnchor>
    <xdr:from>
      <xdr:col>1</xdr:col>
      <xdr:colOff>571500</xdr:colOff>
      <xdr:row>73</xdr:row>
      <xdr:rowOff>101600</xdr:rowOff>
    </xdr:from>
    <xdr:to>
      <xdr:col>3</xdr:col>
      <xdr:colOff>304800</xdr:colOff>
      <xdr:row>73</xdr:row>
      <xdr:rowOff>101600</xdr:rowOff>
    </xdr:to>
    <xdr:sp macro="" textlink="">
      <xdr:nvSpPr>
        <xdr:cNvPr id="57145" name="Line 228">
          <a:extLst>
            <a:ext uri="{FF2B5EF4-FFF2-40B4-BE49-F238E27FC236}">
              <a16:creationId xmlns:a16="http://schemas.microsoft.com/office/drawing/2014/main" id="{63C4DE1B-E84D-9AE2-413F-37D227D8703A}"/>
            </a:ext>
          </a:extLst>
        </xdr:cNvPr>
        <xdr:cNvSpPr>
          <a:spLocks noChangeShapeType="1"/>
        </xdr:cNvSpPr>
      </xdr:nvSpPr>
      <xdr:spPr bwMode="auto">
        <a:xfrm>
          <a:off x="1244600" y="12217400"/>
          <a:ext cx="10795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2</xdr:col>
      <xdr:colOff>117475</xdr:colOff>
      <xdr:row>72</xdr:row>
      <xdr:rowOff>114300</xdr:rowOff>
    </xdr:from>
    <xdr:ext cx="601447" cy="318036"/>
    <xdr:sp macro="" textlink="">
      <xdr:nvSpPr>
        <xdr:cNvPr id="36069" name="Text Box 229">
          <a:extLst>
            <a:ext uri="{FF2B5EF4-FFF2-40B4-BE49-F238E27FC236}">
              <a16:creationId xmlns:a16="http://schemas.microsoft.com/office/drawing/2014/main" id="{3029D25D-0CB9-3622-06C2-25868F3BB33A}"/>
            </a:ext>
          </a:extLst>
        </xdr:cNvPr>
        <xdr:cNvSpPr txBox="1">
          <a:spLocks noChangeArrowheads="1"/>
        </xdr:cNvSpPr>
      </xdr:nvSpPr>
      <xdr:spPr bwMode="auto">
        <a:xfrm>
          <a:off x="1323975" y="12237720"/>
          <a:ext cx="601447" cy="318036"/>
        </a:xfrm>
        <a:prstGeom prst="rect">
          <a:avLst/>
        </a:prstGeom>
        <a:noFill/>
        <a:ln>
          <a:noFill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2'-6" MIN.</a:t>
          </a:r>
        </a:p>
        <a:p>
          <a:pPr algn="l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(762mm)</a:t>
          </a:r>
        </a:p>
      </xdr:txBody>
    </xdr:sp>
    <xdr:clientData/>
  </xdr:oneCellAnchor>
  <xdr:twoCellAnchor>
    <xdr:from>
      <xdr:col>5</xdr:col>
      <xdr:colOff>330200</xdr:colOff>
      <xdr:row>52</xdr:row>
      <xdr:rowOff>152400</xdr:rowOff>
    </xdr:from>
    <xdr:to>
      <xdr:col>7</xdr:col>
      <xdr:colOff>444500</xdr:colOff>
      <xdr:row>52</xdr:row>
      <xdr:rowOff>152400</xdr:rowOff>
    </xdr:to>
    <xdr:sp macro="" textlink="">
      <xdr:nvSpPr>
        <xdr:cNvPr id="57147" name="Line 230">
          <a:extLst>
            <a:ext uri="{FF2B5EF4-FFF2-40B4-BE49-F238E27FC236}">
              <a16:creationId xmlns:a16="http://schemas.microsoft.com/office/drawing/2014/main" id="{952C3102-3098-C096-D00F-686F9F893A27}"/>
            </a:ext>
          </a:extLst>
        </xdr:cNvPr>
        <xdr:cNvSpPr>
          <a:spLocks noChangeShapeType="1"/>
        </xdr:cNvSpPr>
      </xdr:nvSpPr>
      <xdr:spPr bwMode="auto">
        <a:xfrm flipH="1">
          <a:off x="3695700" y="8801100"/>
          <a:ext cx="1460500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114300</xdr:colOff>
      <xdr:row>52</xdr:row>
      <xdr:rowOff>152400</xdr:rowOff>
    </xdr:from>
    <xdr:to>
      <xdr:col>3</xdr:col>
      <xdr:colOff>279400</xdr:colOff>
      <xdr:row>52</xdr:row>
      <xdr:rowOff>152400</xdr:rowOff>
    </xdr:to>
    <xdr:sp macro="" textlink="">
      <xdr:nvSpPr>
        <xdr:cNvPr id="57148" name="Line 231">
          <a:extLst>
            <a:ext uri="{FF2B5EF4-FFF2-40B4-BE49-F238E27FC236}">
              <a16:creationId xmlns:a16="http://schemas.microsoft.com/office/drawing/2014/main" id="{A5BF5FC9-2299-28FD-1A2B-282B0F1D7F2F}"/>
            </a:ext>
          </a:extLst>
        </xdr:cNvPr>
        <xdr:cNvSpPr>
          <a:spLocks noChangeShapeType="1"/>
        </xdr:cNvSpPr>
      </xdr:nvSpPr>
      <xdr:spPr bwMode="auto">
        <a:xfrm flipH="1">
          <a:off x="787400" y="8801100"/>
          <a:ext cx="1511300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76200</xdr:colOff>
      <xdr:row>49</xdr:row>
      <xdr:rowOff>12700</xdr:rowOff>
    </xdr:from>
    <xdr:to>
      <xdr:col>2</xdr:col>
      <xdr:colOff>381000</xdr:colOff>
      <xdr:row>49</xdr:row>
      <xdr:rowOff>12700</xdr:rowOff>
    </xdr:to>
    <xdr:sp macro="" textlink="">
      <xdr:nvSpPr>
        <xdr:cNvPr id="57149" name="Line 232">
          <a:extLst>
            <a:ext uri="{FF2B5EF4-FFF2-40B4-BE49-F238E27FC236}">
              <a16:creationId xmlns:a16="http://schemas.microsoft.com/office/drawing/2014/main" id="{B3F04488-4684-3EBD-68FE-9B54B8204903}"/>
            </a:ext>
          </a:extLst>
        </xdr:cNvPr>
        <xdr:cNvSpPr>
          <a:spLocks noChangeShapeType="1"/>
        </xdr:cNvSpPr>
      </xdr:nvSpPr>
      <xdr:spPr bwMode="auto">
        <a:xfrm flipH="1">
          <a:off x="749300" y="8166100"/>
          <a:ext cx="977900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114300</xdr:colOff>
      <xdr:row>49</xdr:row>
      <xdr:rowOff>25400</xdr:rowOff>
    </xdr:from>
    <xdr:to>
      <xdr:col>1</xdr:col>
      <xdr:colOff>114300</xdr:colOff>
      <xdr:row>52</xdr:row>
      <xdr:rowOff>152400</xdr:rowOff>
    </xdr:to>
    <xdr:sp macro="" textlink="">
      <xdr:nvSpPr>
        <xdr:cNvPr id="57150" name="Line 233">
          <a:extLst>
            <a:ext uri="{FF2B5EF4-FFF2-40B4-BE49-F238E27FC236}">
              <a16:creationId xmlns:a16="http://schemas.microsoft.com/office/drawing/2014/main" id="{DA93913C-942B-35D1-00AF-D1FFBA6975BE}"/>
            </a:ext>
          </a:extLst>
        </xdr:cNvPr>
        <xdr:cNvSpPr>
          <a:spLocks noChangeShapeType="1"/>
        </xdr:cNvSpPr>
      </xdr:nvSpPr>
      <xdr:spPr bwMode="auto">
        <a:xfrm flipV="1">
          <a:off x="787400" y="8178800"/>
          <a:ext cx="0" cy="6223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0</xdr:col>
      <xdr:colOff>349250</xdr:colOff>
      <xdr:row>47</xdr:row>
      <xdr:rowOff>137160</xdr:rowOff>
    </xdr:from>
    <xdr:to>
      <xdr:col>1</xdr:col>
      <xdr:colOff>337909</xdr:colOff>
      <xdr:row>54</xdr:row>
      <xdr:rowOff>11537</xdr:rowOff>
    </xdr:to>
    <xdr:sp macro="" textlink="">
      <xdr:nvSpPr>
        <xdr:cNvPr id="36074" name="Text Box 234">
          <a:extLst>
            <a:ext uri="{FF2B5EF4-FFF2-40B4-BE49-F238E27FC236}">
              <a16:creationId xmlns:a16="http://schemas.microsoft.com/office/drawing/2014/main" id="{014BB41A-D7A3-5999-6886-4F62C72F95C0}"/>
            </a:ext>
          </a:extLst>
        </xdr:cNvPr>
        <xdr:cNvSpPr txBox="1">
          <a:spLocks noChangeArrowheads="1"/>
        </xdr:cNvSpPr>
      </xdr:nvSpPr>
      <xdr:spPr bwMode="auto">
        <a:xfrm>
          <a:off x="314325" y="7820025"/>
          <a:ext cx="619125" cy="1009650"/>
        </a:xfrm>
        <a:prstGeom prst="rect">
          <a:avLst/>
        </a:prstGeom>
        <a:noFill/>
        <a:ln>
          <a:noFill/>
        </a:ln>
      </xdr:spPr>
      <xdr:txBody>
        <a:bodyPr vertOverflow="clip" vert="vert270" wrap="square" lIns="27432" tIns="22860" rIns="27432" bIns="22860" anchor="ctr" upright="1"/>
        <a:lstStyle/>
        <a:p>
          <a:pPr algn="ctr" rtl="0">
            <a:lnSpc>
              <a:spcPts val="1100"/>
            </a:lnSpc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3'-6" </a:t>
          </a: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(1067mm)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 MIN.</a:t>
          </a:r>
        </a:p>
        <a:p>
          <a:pPr algn="ctr" rtl="0">
            <a:lnSpc>
              <a:spcPts val="1000"/>
            </a:lnSpc>
            <a:defRPr sz="1000"/>
          </a:pPr>
          <a:r>
            <a:rPr lang="en-US" sz="800" b="1" i="1" u="none" strike="noStrike" baseline="0">
              <a:solidFill>
                <a:srgbClr val="FF0000"/>
              </a:solidFill>
              <a:latin typeface="Arial"/>
              <a:cs typeface="Arial"/>
            </a:rPr>
            <a:t>See Note16</a:t>
          </a:r>
        </a:p>
      </xdr:txBody>
    </xdr:sp>
    <xdr:clientData/>
  </xdr:twoCellAnchor>
  <xdr:oneCellAnchor>
    <xdr:from>
      <xdr:col>0</xdr:col>
      <xdr:colOff>369570</xdr:colOff>
      <xdr:row>53</xdr:row>
      <xdr:rowOff>142875</xdr:rowOff>
    </xdr:from>
    <xdr:ext cx="622286" cy="284645"/>
    <xdr:sp macro="" textlink="">
      <xdr:nvSpPr>
        <xdr:cNvPr id="36075" name="Text Box 235">
          <a:extLst>
            <a:ext uri="{FF2B5EF4-FFF2-40B4-BE49-F238E27FC236}">
              <a16:creationId xmlns:a16="http://schemas.microsoft.com/office/drawing/2014/main" id="{87EB1D8B-1380-9EDA-E405-2645EA5B87FB}"/>
            </a:ext>
          </a:extLst>
        </xdr:cNvPr>
        <xdr:cNvSpPr txBox="1">
          <a:spLocks noChangeArrowheads="1"/>
        </xdr:cNvSpPr>
      </xdr:nvSpPr>
      <xdr:spPr bwMode="auto">
        <a:xfrm>
          <a:off x="333375" y="9069705"/>
          <a:ext cx="622286" cy="254300"/>
        </a:xfrm>
        <a:prstGeom prst="rect">
          <a:avLst/>
        </a:prstGeom>
        <a:noFill/>
        <a:ln>
          <a:noFill/>
        </a:ln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800" b="1" i="1" u="none" strike="noStrike" baseline="0">
              <a:solidFill>
                <a:srgbClr val="000000"/>
              </a:solidFill>
              <a:latin typeface="Arial"/>
              <a:cs typeface="Arial"/>
            </a:rPr>
            <a:t>Top of Rung</a:t>
          </a:r>
        </a:p>
        <a:p>
          <a:pPr algn="l" rtl="0">
            <a:defRPr sz="1000"/>
          </a:pPr>
          <a:r>
            <a:rPr lang="en-US" sz="800" b="1" i="1" u="none" strike="noStrike" baseline="0">
              <a:solidFill>
                <a:srgbClr val="000000"/>
              </a:solidFill>
              <a:latin typeface="Arial"/>
              <a:cs typeface="Arial"/>
            </a:rPr>
            <a:t>&amp; Landing</a:t>
          </a:r>
        </a:p>
      </xdr:txBody>
    </xdr:sp>
    <xdr:clientData/>
  </xdr:oneCellAnchor>
  <xdr:twoCellAnchor>
    <xdr:from>
      <xdr:col>1</xdr:col>
      <xdr:colOff>431800</xdr:colOff>
      <xdr:row>54</xdr:row>
      <xdr:rowOff>38100</xdr:rowOff>
    </xdr:from>
    <xdr:to>
      <xdr:col>1</xdr:col>
      <xdr:colOff>584200</xdr:colOff>
      <xdr:row>54</xdr:row>
      <xdr:rowOff>38100</xdr:rowOff>
    </xdr:to>
    <xdr:sp macro="" textlink="">
      <xdr:nvSpPr>
        <xdr:cNvPr id="57153" name="Line 236">
          <a:extLst>
            <a:ext uri="{FF2B5EF4-FFF2-40B4-BE49-F238E27FC236}">
              <a16:creationId xmlns:a16="http://schemas.microsoft.com/office/drawing/2014/main" id="{7A0D0FD3-4E8E-11A3-3FDB-05E615A95BD3}"/>
            </a:ext>
          </a:extLst>
        </xdr:cNvPr>
        <xdr:cNvSpPr>
          <a:spLocks noChangeShapeType="1"/>
        </xdr:cNvSpPr>
      </xdr:nvSpPr>
      <xdr:spPr bwMode="auto">
        <a:xfrm>
          <a:off x="1104900" y="9017000"/>
          <a:ext cx="1524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571500</xdr:colOff>
      <xdr:row>52</xdr:row>
      <xdr:rowOff>139700</xdr:rowOff>
    </xdr:from>
    <xdr:to>
      <xdr:col>2</xdr:col>
      <xdr:colOff>50800</xdr:colOff>
      <xdr:row>54</xdr:row>
      <xdr:rowOff>50800</xdr:rowOff>
    </xdr:to>
    <xdr:sp macro="" textlink="">
      <xdr:nvSpPr>
        <xdr:cNvPr id="57154" name="Line 237">
          <a:extLst>
            <a:ext uri="{FF2B5EF4-FFF2-40B4-BE49-F238E27FC236}">
              <a16:creationId xmlns:a16="http://schemas.microsoft.com/office/drawing/2014/main" id="{22AF2465-F03B-71F4-5212-48720780A8C5}"/>
            </a:ext>
          </a:extLst>
        </xdr:cNvPr>
        <xdr:cNvSpPr>
          <a:spLocks noChangeShapeType="1"/>
        </xdr:cNvSpPr>
      </xdr:nvSpPr>
      <xdr:spPr bwMode="auto">
        <a:xfrm flipV="1">
          <a:off x="1244600" y="8788400"/>
          <a:ext cx="152400" cy="2413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oval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584200</xdr:colOff>
      <xdr:row>76</xdr:row>
      <xdr:rowOff>12700</xdr:rowOff>
    </xdr:from>
    <xdr:to>
      <xdr:col>7</xdr:col>
      <xdr:colOff>393700</xdr:colOff>
      <xdr:row>76</xdr:row>
      <xdr:rowOff>12700</xdr:rowOff>
    </xdr:to>
    <xdr:sp macro="" textlink="">
      <xdr:nvSpPr>
        <xdr:cNvPr id="57155" name="Line 238">
          <a:extLst>
            <a:ext uri="{FF2B5EF4-FFF2-40B4-BE49-F238E27FC236}">
              <a16:creationId xmlns:a16="http://schemas.microsoft.com/office/drawing/2014/main" id="{272B9330-4CEB-4352-DE87-54FC17622F71}"/>
            </a:ext>
          </a:extLst>
        </xdr:cNvPr>
        <xdr:cNvSpPr>
          <a:spLocks noChangeShapeType="1"/>
        </xdr:cNvSpPr>
      </xdr:nvSpPr>
      <xdr:spPr bwMode="auto">
        <a:xfrm flipH="1" flipV="1">
          <a:off x="2603500" y="12623800"/>
          <a:ext cx="2501900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342900</xdr:colOff>
      <xdr:row>74</xdr:row>
      <xdr:rowOff>76200</xdr:rowOff>
    </xdr:from>
    <xdr:to>
      <xdr:col>6</xdr:col>
      <xdr:colOff>660400</xdr:colOff>
      <xdr:row>74</xdr:row>
      <xdr:rowOff>76200</xdr:rowOff>
    </xdr:to>
    <xdr:sp macro="" textlink="">
      <xdr:nvSpPr>
        <xdr:cNvPr id="57156" name="Line 239">
          <a:extLst>
            <a:ext uri="{FF2B5EF4-FFF2-40B4-BE49-F238E27FC236}">
              <a16:creationId xmlns:a16="http://schemas.microsoft.com/office/drawing/2014/main" id="{6A13D3F4-32C8-D9F5-4229-ED56F87CDB56}"/>
            </a:ext>
          </a:extLst>
        </xdr:cNvPr>
        <xdr:cNvSpPr>
          <a:spLocks noChangeShapeType="1"/>
        </xdr:cNvSpPr>
      </xdr:nvSpPr>
      <xdr:spPr bwMode="auto">
        <a:xfrm flipH="1">
          <a:off x="2362200" y="12357100"/>
          <a:ext cx="23368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609600</xdr:colOff>
      <xdr:row>53</xdr:row>
      <xdr:rowOff>0</xdr:rowOff>
    </xdr:from>
    <xdr:to>
      <xdr:col>6</xdr:col>
      <xdr:colOff>609600</xdr:colOff>
      <xdr:row>74</xdr:row>
      <xdr:rowOff>101600</xdr:rowOff>
    </xdr:to>
    <xdr:sp macro="" textlink="">
      <xdr:nvSpPr>
        <xdr:cNvPr id="57157" name="Line 240">
          <a:extLst>
            <a:ext uri="{FF2B5EF4-FFF2-40B4-BE49-F238E27FC236}">
              <a16:creationId xmlns:a16="http://schemas.microsoft.com/office/drawing/2014/main" id="{01E98EE3-0005-4286-B4CF-5FD25DBABEDF}"/>
            </a:ext>
          </a:extLst>
        </xdr:cNvPr>
        <xdr:cNvSpPr>
          <a:spLocks noChangeShapeType="1"/>
        </xdr:cNvSpPr>
      </xdr:nvSpPr>
      <xdr:spPr bwMode="auto">
        <a:xfrm flipH="1" flipV="1">
          <a:off x="4648200" y="8813800"/>
          <a:ext cx="0" cy="356870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6</xdr:col>
      <xdr:colOff>467872</xdr:colOff>
      <xdr:row>53</xdr:row>
      <xdr:rowOff>29930</xdr:rowOff>
    </xdr:from>
    <xdr:ext cx="352978" cy="3319076"/>
    <xdr:sp macro="" textlink="">
      <xdr:nvSpPr>
        <xdr:cNvPr id="36081" name="Text Box 241">
          <a:extLst>
            <a:ext uri="{FF2B5EF4-FFF2-40B4-BE49-F238E27FC236}">
              <a16:creationId xmlns:a16="http://schemas.microsoft.com/office/drawing/2014/main" id="{5875A4AE-1CE8-98DB-11CA-8B5B074AC3F4}"/>
            </a:ext>
          </a:extLst>
        </xdr:cNvPr>
        <xdr:cNvSpPr txBox="1">
          <a:spLocks noChangeArrowheads="1"/>
        </xdr:cNvSpPr>
      </xdr:nvSpPr>
      <xdr:spPr bwMode="auto">
        <a:xfrm>
          <a:off x="4003552" y="9156785"/>
          <a:ext cx="280590" cy="3295647"/>
        </a:xfrm>
        <a:prstGeom prst="rect">
          <a:avLst/>
        </a:prstGeom>
        <a:noFill/>
        <a:ln>
          <a:noFill/>
        </a:ln>
      </xdr:spPr>
      <xdr:txBody>
        <a:bodyPr vert="vert270" wrap="none" lIns="18288" tIns="22860" rIns="18288" bIns="22860" anchor="ctr" upright="1">
          <a:spAutoFit/>
        </a:bodyPr>
        <a:lstStyle/>
        <a:p>
          <a:pPr algn="ctr" rtl="0">
            <a:lnSpc>
              <a:spcPts val="1000"/>
            </a:lnSpc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"X" Spaces @ 1'-0" </a:t>
          </a: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(305mm)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 MAX. = X'-XX" </a:t>
          </a:r>
          <a:r>
            <a:rPr lang="en-US" sz="800" b="1" i="0" u="none" strike="noStrike" baseline="0">
              <a:solidFill>
                <a:srgbClr val="FF0000"/>
              </a:solidFill>
              <a:latin typeface="Arial"/>
              <a:cs typeface="Arial"/>
            </a:rPr>
            <a:t>(See Note 7)</a:t>
          </a: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("X" RUNGS) </a:t>
          </a:r>
        </a:p>
      </xdr:txBody>
    </xdr:sp>
    <xdr:clientData/>
  </xdr:oneCellAnchor>
  <xdr:twoCellAnchor>
    <xdr:from>
      <xdr:col>6</xdr:col>
      <xdr:colOff>609600</xdr:colOff>
      <xdr:row>74</xdr:row>
      <xdr:rowOff>101600</xdr:rowOff>
    </xdr:from>
    <xdr:to>
      <xdr:col>6</xdr:col>
      <xdr:colOff>609600</xdr:colOff>
      <xdr:row>76</xdr:row>
      <xdr:rowOff>63500</xdr:rowOff>
    </xdr:to>
    <xdr:sp macro="" textlink="">
      <xdr:nvSpPr>
        <xdr:cNvPr id="57159" name="Line 242">
          <a:extLst>
            <a:ext uri="{FF2B5EF4-FFF2-40B4-BE49-F238E27FC236}">
              <a16:creationId xmlns:a16="http://schemas.microsoft.com/office/drawing/2014/main" id="{B114A8BA-430C-D661-B92C-03B2B9A2F920}"/>
            </a:ext>
          </a:extLst>
        </xdr:cNvPr>
        <xdr:cNvSpPr>
          <a:spLocks noChangeShapeType="1"/>
        </xdr:cNvSpPr>
      </xdr:nvSpPr>
      <xdr:spPr bwMode="auto">
        <a:xfrm>
          <a:off x="4648200" y="12382500"/>
          <a:ext cx="0" cy="29210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609600</xdr:colOff>
      <xdr:row>76</xdr:row>
      <xdr:rowOff>38100</xdr:rowOff>
    </xdr:from>
    <xdr:to>
      <xdr:col>6</xdr:col>
      <xdr:colOff>609600</xdr:colOff>
      <xdr:row>78</xdr:row>
      <xdr:rowOff>12700</xdr:rowOff>
    </xdr:to>
    <xdr:sp macro="" textlink="">
      <xdr:nvSpPr>
        <xdr:cNvPr id="57160" name="Line 243">
          <a:extLst>
            <a:ext uri="{FF2B5EF4-FFF2-40B4-BE49-F238E27FC236}">
              <a16:creationId xmlns:a16="http://schemas.microsoft.com/office/drawing/2014/main" id="{B596520C-D506-528F-AE11-0B544C2B6D1F}"/>
            </a:ext>
          </a:extLst>
        </xdr:cNvPr>
        <xdr:cNvSpPr>
          <a:spLocks noChangeShapeType="1"/>
        </xdr:cNvSpPr>
      </xdr:nvSpPr>
      <xdr:spPr bwMode="auto">
        <a:xfrm>
          <a:off x="4648200" y="12649200"/>
          <a:ext cx="0" cy="30480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622300</xdr:colOff>
      <xdr:row>78</xdr:row>
      <xdr:rowOff>0</xdr:rowOff>
    </xdr:from>
    <xdr:to>
      <xdr:col>7</xdr:col>
      <xdr:colOff>127000</xdr:colOff>
      <xdr:row>78</xdr:row>
      <xdr:rowOff>0</xdr:rowOff>
    </xdr:to>
    <xdr:sp macro="" textlink="">
      <xdr:nvSpPr>
        <xdr:cNvPr id="57161" name="Line 244">
          <a:extLst>
            <a:ext uri="{FF2B5EF4-FFF2-40B4-BE49-F238E27FC236}">
              <a16:creationId xmlns:a16="http://schemas.microsoft.com/office/drawing/2014/main" id="{B5B95314-AEC1-CD14-61F9-E8DA27B68132}"/>
            </a:ext>
          </a:extLst>
        </xdr:cNvPr>
        <xdr:cNvSpPr>
          <a:spLocks noChangeShapeType="1"/>
        </xdr:cNvSpPr>
      </xdr:nvSpPr>
      <xdr:spPr bwMode="auto">
        <a:xfrm>
          <a:off x="4660900" y="12941300"/>
          <a:ext cx="177800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7</xdr:col>
      <xdr:colOff>130810</xdr:colOff>
      <xdr:row>77</xdr:row>
      <xdr:rowOff>62865</xdr:rowOff>
    </xdr:from>
    <xdr:ext cx="3102749" cy="170560"/>
    <xdr:sp macro="" textlink="">
      <xdr:nvSpPr>
        <xdr:cNvPr id="36085" name="Text Box 245">
          <a:extLst>
            <a:ext uri="{FF2B5EF4-FFF2-40B4-BE49-F238E27FC236}">
              <a16:creationId xmlns:a16="http://schemas.microsoft.com/office/drawing/2014/main" id="{9981802D-52F5-3307-7F41-B6613896A356}"/>
            </a:ext>
          </a:extLst>
        </xdr:cNvPr>
        <xdr:cNvSpPr txBox="1">
          <a:spLocks noChangeArrowheads="1"/>
        </xdr:cNvSpPr>
      </xdr:nvSpPr>
      <xdr:spPr bwMode="auto">
        <a:xfrm>
          <a:off x="4385310" y="13024485"/>
          <a:ext cx="2797561" cy="170560"/>
        </a:xfrm>
        <a:prstGeom prst="rect">
          <a:avLst/>
        </a:prstGeom>
        <a:noFill/>
        <a:ln>
          <a:noFill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Odd Spacing Should Always Occur at Bottom</a:t>
          </a:r>
        </a:p>
      </xdr:txBody>
    </xdr:sp>
    <xdr:clientData/>
  </xdr:oneCellAnchor>
  <xdr:twoCellAnchor>
    <xdr:from>
      <xdr:col>7</xdr:col>
      <xdr:colOff>330200</xdr:colOff>
      <xdr:row>52</xdr:row>
      <xdr:rowOff>139700</xdr:rowOff>
    </xdr:from>
    <xdr:to>
      <xdr:col>7</xdr:col>
      <xdr:colOff>330200</xdr:colOff>
      <xdr:row>76</xdr:row>
      <xdr:rowOff>12700</xdr:rowOff>
    </xdr:to>
    <xdr:sp macro="" textlink="">
      <xdr:nvSpPr>
        <xdr:cNvPr id="57163" name="Line 246">
          <a:extLst>
            <a:ext uri="{FF2B5EF4-FFF2-40B4-BE49-F238E27FC236}">
              <a16:creationId xmlns:a16="http://schemas.microsoft.com/office/drawing/2014/main" id="{153CEFBC-5F40-B13A-ABC4-963FFE5450FD}"/>
            </a:ext>
          </a:extLst>
        </xdr:cNvPr>
        <xdr:cNvSpPr>
          <a:spLocks noChangeShapeType="1"/>
        </xdr:cNvSpPr>
      </xdr:nvSpPr>
      <xdr:spPr bwMode="auto">
        <a:xfrm flipV="1">
          <a:off x="5041900" y="8788400"/>
          <a:ext cx="0" cy="38354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7</xdr:col>
      <xdr:colOff>196516</xdr:colOff>
      <xdr:row>59</xdr:row>
      <xdr:rowOff>73916</xdr:rowOff>
    </xdr:from>
    <xdr:ext cx="267082" cy="1384610"/>
    <xdr:sp macro="" textlink="">
      <xdr:nvSpPr>
        <xdr:cNvPr id="36087" name="Text Box 247">
          <a:extLst>
            <a:ext uri="{FF2B5EF4-FFF2-40B4-BE49-F238E27FC236}">
              <a16:creationId xmlns:a16="http://schemas.microsoft.com/office/drawing/2014/main" id="{278EAE96-6B28-F47A-96BF-BEDEA57E892C}"/>
            </a:ext>
          </a:extLst>
        </xdr:cNvPr>
        <xdr:cNvSpPr txBox="1">
          <a:spLocks noChangeArrowheads="1"/>
        </xdr:cNvSpPr>
      </xdr:nvSpPr>
      <xdr:spPr bwMode="auto">
        <a:xfrm>
          <a:off x="4438316" y="10018016"/>
          <a:ext cx="254942" cy="1384610"/>
        </a:xfrm>
        <a:prstGeom prst="rect">
          <a:avLst/>
        </a:prstGeom>
        <a:noFill/>
        <a:ln>
          <a:noFill/>
        </a:ln>
      </xdr:spPr>
      <xdr:txBody>
        <a:bodyPr vert="vert270" wrap="none" lIns="18288" tIns="22860" rIns="18288" bIns="22860" anchor="ctr" upright="1">
          <a:spAutoFit/>
        </a:bodyPr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30'-0" </a:t>
          </a: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(9144mm)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 MAX.</a:t>
          </a:r>
        </a:p>
        <a:p>
          <a:pPr algn="ctr" rtl="0">
            <a:lnSpc>
              <a:spcPts val="800"/>
            </a:lnSpc>
            <a:defRPr sz="1000"/>
          </a:pPr>
          <a:r>
            <a:rPr lang="en-US" sz="800" b="1" i="1" u="none" strike="noStrike" baseline="0">
              <a:solidFill>
                <a:srgbClr val="FF0000"/>
              </a:solidFill>
              <a:latin typeface="Arial"/>
              <a:cs typeface="Arial"/>
            </a:rPr>
            <a:t>See Note 15</a:t>
          </a:r>
        </a:p>
      </xdr:txBody>
    </xdr:sp>
    <xdr:clientData/>
  </xdr:oneCellAnchor>
  <xdr:twoCellAnchor>
    <xdr:from>
      <xdr:col>3</xdr:col>
      <xdr:colOff>558800</xdr:colOff>
      <xdr:row>59</xdr:row>
      <xdr:rowOff>63500</xdr:rowOff>
    </xdr:from>
    <xdr:to>
      <xdr:col>4</xdr:col>
      <xdr:colOff>25400</xdr:colOff>
      <xdr:row>60</xdr:row>
      <xdr:rowOff>12700</xdr:rowOff>
    </xdr:to>
    <xdr:sp macro="" textlink="">
      <xdr:nvSpPr>
        <xdr:cNvPr id="57165" name="Oval 248">
          <a:extLst>
            <a:ext uri="{FF2B5EF4-FFF2-40B4-BE49-F238E27FC236}">
              <a16:creationId xmlns:a16="http://schemas.microsoft.com/office/drawing/2014/main" id="{92C51490-4297-ABB6-AEEC-550BEA5DB75B}"/>
            </a:ext>
          </a:extLst>
        </xdr:cNvPr>
        <xdr:cNvSpPr>
          <a:spLocks noChangeArrowheads="1"/>
        </xdr:cNvSpPr>
      </xdr:nvSpPr>
      <xdr:spPr bwMode="auto">
        <a:xfrm>
          <a:off x="2578100" y="9867900"/>
          <a:ext cx="139700" cy="1143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</xdr:spPr>
    </xdr:sp>
    <xdr:clientData/>
  </xdr:twoCellAnchor>
  <xdr:twoCellAnchor>
    <xdr:from>
      <xdr:col>3</xdr:col>
      <xdr:colOff>533400</xdr:colOff>
      <xdr:row>59</xdr:row>
      <xdr:rowOff>50800</xdr:rowOff>
    </xdr:from>
    <xdr:to>
      <xdr:col>3</xdr:col>
      <xdr:colOff>533400</xdr:colOff>
      <xdr:row>61</xdr:row>
      <xdr:rowOff>63500</xdr:rowOff>
    </xdr:to>
    <xdr:sp macro="" textlink="">
      <xdr:nvSpPr>
        <xdr:cNvPr id="57166" name="Line 249">
          <a:extLst>
            <a:ext uri="{FF2B5EF4-FFF2-40B4-BE49-F238E27FC236}">
              <a16:creationId xmlns:a16="http://schemas.microsoft.com/office/drawing/2014/main" id="{3AC744E3-D41D-8C5D-CB30-5B893BCC9BA1}"/>
            </a:ext>
          </a:extLst>
        </xdr:cNvPr>
        <xdr:cNvSpPr>
          <a:spLocks noChangeShapeType="1"/>
        </xdr:cNvSpPr>
      </xdr:nvSpPr>
      <xdr:spPr bwMode="auto">
        <a:xfrm>
          <a:off x="2552700" y="9855200"/>
          <a:ext cx="0" cy="3429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355600</xdr:colOff>
      <xdr:row>57</xdr:row>
      <xdr:rowOff>50800</xdr:rowOff>
    </xdr:from>
    <xdr:to>
      <xdr:col>3</xdr:col>
      <xdr:colOff>355600</xdr:colOff>
      <xdr:row>62</xdr:row>
      <xdr:rowOff>63500</xdr:rowOff>
    </xdr:to>
    <xdr:sp macro="" textlink="">
      <xdr:nvSpPr>
        <xdr:cNvPr id="57167" name="Line 250">
          <a:extLst>
            <a:ext uri="{FF2B5EF4-FFF2-40B4-BE49-F238E27FC236}">
              <a16:creationId xmlns:a16="http://schemas.microsoft.com/office/drawing/2014/main" id="{5DBF5582-F7A1-EB60-DAF3-464AD9A89BCB}"/>
            </a:ext>
          </a:extLst>
        </xdr:cNvPr>
        <xdr:cNvSpPr>
          <a:spLocks noChangeShapeType="1"/>
        </xdr:cNvSpPr>
      </xdr:nvSpPr>
      <xdr:spPr bwMode="auto">
        <a:xfrm>
          <a:off x="2374900" y="9525000"/>
          <a:ext cx="0" cy="838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88900</xdr:colOff>
      <xdr:row>60</xdr:row>
      <xdr:rowOff>139700</xdr:rowOff>
    </xdr:from>
    <xdr:to>
      <xdr:col>3</xdr:col>
      <xdr:colOff>355600</xdr:colOff>
      <xdr:row>60</xdr:row>
      <xdr:rowOff>139700</xdr:rowOff>
    </xdr:to>
    <xdr:sp macro="" textlink="">
      <xdr:nvSpPr>
        <xdr:cNvPr id="57168" name="Line 251">
          <a:extLst>
            <a:ext uri="{FF2B5EF4-FFF2-40B4-BE49-F238E27FC236}">
              <a16:creationId xmlns:a16="http://schemas.microsoft.com/office/drawing/2014/main" id="{A6937B69-41B1-DBF4-B0C4-484E94575F30}"/>
            </a:ext>
          </a:extLst>
        </xdr:cNvPr>
        <xdr:cNvSpPr>
          <a:spLocks noChangeShapeType="1"/>
        </xdr:cNvSpPr>
      </xdr:nvSpPr>
      <xdr:spPr bwMode="auto">
        <a:xfrm flipH="1">
          <a:off x="2108200" y="10109200"/>
          <a:ext cx="266700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355600</xdr:colOff>
      <xdr:row>60</xdr:row>
      <xdr:rowOff>139700</xdr:rowOff>
    </xdr:from>
    <xdr:to>
      <xdr:col>3</xdr:col>
      <xdr:colOff>520700</xdr:colOff>
      <xdr:row>60</xdr:row>
      <xdr:rowOff>139700</xdr:rowOff>
    </xdr:to>
    <xdr:sp macro="" textlink="">
      <xdr:nvSpPr>
        <xdr:cNvPr id="57169" name="Line 252">
          <a:extLst>
            <a:ext uri="{FF2B5EF4-FFF2-40B4-BE49-F238E27FC236}">
              <a16:creationId xmlns:a16="http://schemas.microsoft.com/office/drawing/2014/main" id="{D81C0285-7ECC-13B6-6293-FB23E088BD22}"/>
            </a:ext>
          </a:extLst>
        </xdr:cNvPr>
        <xdr:cNvSpPr>
          <a:spLocks noChangeShapeType="1"/>
        </xdr:cNvSpPr>
      </xdr:nvSpPr>
      <xdr:spPr bwMode="auto">
        <a:xfrm>
          <a:off x="2374900" y="10109200"/>
          <a:ext cx="165100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533400</xdr:colOff>
      <xdr:row>60</xdr:row>
      <xdr:rowOff>139700</xdr:rowOff>
    </xdr:from>
    <xdr:to>
      <xdr:col>4</xdr:col>
      <xdr:colOff>25400</xdr:colOff>
      <xdr:row>60</xdr:row>
      <xdr:rowOff>139700</xdr:rowOff>
    </xdr:to>
    <xdr:sp macro="" textlink="">
      <xdr:nvSpPr>
        <xdr:cNvPr id="57170" name="Line 253">
          <a:extLst>
            <a:ext uri="{FF2B5EF4-FFF2-40B4-BE49-F238E27FC236}">
              <a16:creationId xmlns:a16="http://schemas.microsoft.com/office/drawing/2014/main" id="{B4BABEED-6B6F-9512-16F7-816E7ED0C5F6}"/>
            </a:ext>
          </a:extLst>
        </xdr:cNvPr>
        <xdr:cNvSpPr>
          <a:spLocks noChangeShapeType="1"/>
        </xdr:cNvSpPr>
      </xdr:nvSpPr>
      <xdr:spPr bwMode="auto">
        <a:xfrm>
          <a:off x="2552700" y="10109200"/>
          <a:ext cx="165100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4</xdr:col>
      <xdr:colOff>59055</xdr:colOff>
      <xdr:row>60</xdr:row>
      <xdr:rowOff>72390</xdr:rowOff>
    </xdr:from>
    <xdr:ext cx="715574" cy="435953"/>
    <xdr:sp macro="" textlink="">
      <xdr:nvSpPr>
        <xdr:cNvPr id="36094" name="Text Box 254">
          <a:extLst>
            <a:ext uri="{FF2B5EF4-FFF2-40B4-BE49-F238E27FC236}">
              <a16:creationId xmlns:a16="http://schemas.microsoft.com/office/drawing/2014/main" id="{472C4FC4-1140-8C43-F7CA-1E8D76229E59}"/>
            </a:ext>
          </a:extLst>
        </xdr:cNvPr>
        <xdr:cNvSpPr txBox="1">
          <a:spLocks noChangeArrowheads="1"/>
        </xdr:cNvSpPr>
      </xdr:nvSpPr>
      <xdr:spPr bwMode="auto">
        <a:xfrm>
          <a:off x="2497455" y="10184130"/>
          <a:ext cx="692113" cy="435953"/>
        </a:xfrm>
        <a:prstGeom prst="rect">
          <a:avLst/>
        </a:prstGeom>
        <a:noFill/>
        <a:ln>
          <a:noFill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7" Min. Clr.</a:t>
          </a:r>
        </a:p>
        <a:p>
          <a:pPr algn="l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(178mm)</a:t>
          </a: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1" i="1" u="none" strike="noStrike" baseline="0">
              <a:solidFill>
                <a:srgbClr val="FF0000"/>
              </a:solidFill>
              <a:latin typeface="Arial"/>
              <a:cs typeface="Arial"/>
            </a:rPr>
            <a:t>See Note 13</a:t>
          </a:r>
        </a:p>
      </xdr:txBody>
    </xdr:sp>
    <xdr:clientData/>
  </xdr:oneCellAnchor>
  <xdr:twoCellAnchor editAs="oneCell">
    <xdr:from>
      <xdr:col>0</xdr:col>
      <xdr:colOff>165100</xdr:colOff>
      <xdr:row>76</xdr:row>
      <xdr:rowOff>83820</xdr:rowOff>
    </xdr:from>
    <xdr:to>
      <xdr:col>5</xdr:col>
      <xdr:colOff>165100</xdr:colOff>
      <xdr:row>79</xdr:row>
      <xdr:rowOff>61083</xdr:rowOff>
    </xdr:to>
    <xdr:sp macro="" textlink="">
      <xdr:nvSpPr>
        <xdr:cNvPr id="36095" name="Text Box 255">
          <a:extLst>
            <a:ext uri="{FF2B5EF4-FFF2-40B4-BE49-F238E27FC236}">
              <a16:creationId xmlns:a16="http://schemas.microsoft.com/office/drawing/2014/main" id="{438109FC-AB06-540A-10E7-F6ABF4ED30A0}"/>
            </a:ext>
          </a:extLst>
        </xdr:cNvPr>
        <xdr:cNvSpPr txBox="1">
          <a:spLocks noChangeArrowheads="1"/>
        </xdr:cNvSpPr>
      </xdr:nvSpPr>
      <xdr:spPr bwMode="auto">
        <a:xfrm>
          <a:off x="152400" y="12477750"/>
          <a:ext cx="3048000" cy="447675"/>
        </a:xfrm>
        <a:prstGeom prst="rect">
          <a:avLst/>
        </a:prstGeom>
        <a:noFill/>
        <a:ln>
          <a:noFill/>
        </a:ln>
      </xdr:spPr>
      <xdr:txBody>
        <a:bodyPr vertOverflow="clip" wrap="square" lIns="36576" tIns="32004" rIns="36576" bIns="0" anchor="t" upright="1"/>
        <a:lstStyle/>
        <a:p>
          <a:pPr algn="ctr" rtl="0">
            <a:lnSpc>
              <a:spcPts val="1600"/>
            </a:lnSpc>
            <a:defRPr sz="1000"/>
          </a:pPr>
          <a:r>
            <a:rPr lang="en-US" sz="1400" b="1" i="0" u="sng" strike="noStrike" baseline="0">
              <a:solidFill>
                <a:srgbClr val="0000FF"/>
              </a:solidFill>
              <a:latin typeface="Roman"/>
            </a:rPr>
            <a:t>Cages for Ladders More Than 20'-0" </a:t>
          </a:r>
          <a:r>
            <a:rPr lang="en-US" sz="1400" b="1" i="0" u="sng" strike="noStrike" baseline="0">
              <a:solidFill>
                <a:srgbClr val="FF0000"/>
              </a:solidFill>
              <a:latin typeface="Roman"/>
            </a:rPr>
            <a:t>(6096mm)</a:t>
          </a:r>
        </a:p>
      </xdr:txBody>
    </xdr:sp>
    <xdr:clientData/>
  </xdr:twoCellAnchor>
  <xdr:twoCellAnchor>
    <xdr:from>
      <xdr:col>1</xdr:col>
      <xdr:colOff>457200</xdr:colOff>
      <xdr:row>21</xdr:row>
      <xdr:rowOff>139700</xdr:rowOff>
    </xdr:from>
    <xdr:to>
      <xdr:col>1</xdr:col>
      <xdr:colOff>457200</xdr:colOff>
      <xdr:row>23</xdr:row>
      <xdr:rowOff>114300</xdr:rowOff>
    </xdr:to>
    <xdr:sp macro="" textlink="">
      <xdr:nvSpPr>
        <xdr:cNvPr id="57173" name="Line 256">
          <a:extLst>
            <a:ext uri="{FF2B5EF4-FFF2-40B4-BE49-F238E27FC236}">
              <a16:creationId xmlns:a16="http://schemas.microsoft.com/office/drawing/2014/main" id="{06A6D701-8EFC-64EB-DA85-5296981B0CE8}"/>
            </a:ext>
          </a:extLst>
        </xdr:cNvPr>
        <xdr:cNvSpPr>
          <a:spLocks noChangeShapeType="1"/>
        </xdr:cNvSpPr>
      </xdr:nvSpPr>
      <xdr:spPr bwMode="auto">
        <a:xfrm flipV="1">
          <a:off x="1130300" y="3670300"/>
          <a:ext cx="0" cy="30480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431800</xdr:colOff>
      <xdr:row>23</xdr:row>
      <xdr:rowOff>50800</xdr:rowOff>
    </xdr:from>
    <xdr:to>
      <xdr:col>1</xdr:col>
      <xdr:colOff>431800</xdr:colOff>
      <xdr:row>23</xdr:row>
      <xdr:rowOff>114300</xdr:rowOff>
    </xdr:to>
    <xdr:sp macro="" textlink="">
      <xdr:nvSpPr>
        <xdr:cNvPr id="57174" name="Line 257">
          <a:extLst>
            <a:ext uri="{FF2B5EF4-FFF2-40B4-BE49-F238E27FC236}">
              <a16:creationId xmlns:a16="http://schemas.microsoft.com/office/drawing/2014/main" id="{8CBAFB24-A711-FFCF-4CE0-F6F65790134C}"/>
            </a:ext>
          </a:extLst>
        </xdr:cNvPr>
        <xdr:cNvSpPr>
          <a:spLocks noChangeShapeType="1"/>
        </xdr:cNvSpPr>
      </xdr:nvSpPr>
      <xdr:spPr bwMode="auto">
        <a:xfrm flipV="1">
          <a:off x="1104900" y="3911600"/>
          <a:ext cx="0" cy="635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660400</xdr:colOff>
      <xdr:row>21</xdr:row>
      <xdr:rowOff>139700</xdr:rowOff>
    </xdr:from>
    <xdr:to>
      <xdr:col>1</xdr:col>
      <xdr:colOff>660400</xdr:colOff>
      <xdr:row>24</xdr:row>
      <xdr:rowOff>76200</xdr:rowOff>
    </xdr:to>
    <xdr:sp macro="" textlink="">
      <xdr:nvSpPr>
        <xdr:cNvPr id="57175" name="Line 258">
          <a:extLst>
            <a:ext uri="{FF2B5EF4-FFF2-40B4-BE49-F238E27FC236}">
              <a16:creationId xmlns:a16="http://schemas.microsoft.com/office/drawing/2014/main" id="{6AEC7E50-0BA0-C1A5-B5C7-18641BE04208}"/>
            </a:ext>
          </a:extLst>
        </xdr:cNvPr>
        <xdr:cNvSpPr>
          <a:spLocks noChangeShapeType="1"/>
        </xdr:cNvSpPr>
      </xdr:nvSpPr>
      <xdr:spPr bwMode="auto">
        <a:xfrm flipV="1">
          <a:off x="1333500" y="3670300"/>
          <a:ext cx="0" cy="43180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660400</xdr:colOff>
      <xdr:row>22</xdr:row>
      <xdr:rowOff>0</xdr:rowOff>
    </xdr:from>
    <xdr:to>
      <xdr:col>2</xdr:col>
      <xdr:colOff>127000</xdr:colOff>
      <xdr:row>22</xdr:row>
      <xdr:rowOff>0</xdr:rowOff>
    </xdr:to>
    <xdr:sp macro="" textlink="">
      <xdr:nvSpPr>
        <xdr:cNvPr id="57176" name="Line 259">
          <a:extLst>
            <a:ext uri="{FF2B5EF4-FFF2-40B4-BE49-F238E27FC236}">
              <a16:creationId xmlns:a16="http://schemas.microsoft.com/office/drawing/2014/main" id="{F2885152-76B5-B349-67EA-82D5DF305857}"/>
            </a:ext>
          </a:extLst>
        </xdr:cNvPr>
        <xdr:cNvSpPr>
          <a:spLocks noChangeShapeType="1"/>
        </xdr:cNvSpPr>
      </xdr:nvSpPr>
      <xdr:spPr bwMode="auto">
        <a:xfrm>
          <a:off x="1333500" y="3695700"/>
          <a:ext cx="139700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457200</xdr:colOff>
      <xdr:row>22</xdr:row>
      <xdr:rowOff>0</xdr:rowOff>
    </xdr:from>
    <xdr:to>
      <xdr:col>1</xdr:col>
      <xdr:colOff>660400</xdr:colOff>
      <xdr:row>22</xdr:row>
      <xdr:rowOff>0</xdr:rowOff>
    </xdr:to>
    <xdr:sp macro="" textlink="">
      <xdr:nvSpPr>
        <xdr:cNvPr id="57177" name="Line 260">
          <a:extLst>
            <a:ext uri="{FF2B5EF4-FFF2-40B4-BE49-F238E27FC236}">
              <a16:creationId xmlns:a16="http://schemas.microsoft.com/office/drawing/2014/main" id="{BE57D90B-616E-F120-CCCF-4A69DDC3D9FA}"/>
            </a:ext>
          </a:extLst>
        </xdr:cNvPr>
        <xdr:cNvSpPr>
          <a:spLocks noChangeShapeType="1"/>
        </xdr:cNvSpPr>
      </xdr:nvSpPr>
      <xdr:spPr bwMode="auto">
        <a:xfrm flipH="1">
          <a:off x="1130300" y="3695700"/>
          <a:ext cx="203200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660400</xdr:colOff>
      <xdr:row>22</xdr:row>
      <xdr:rowOff>0</xdr:rowOff>
    </xdr:from>
    <xdr:to>
      <xdr:col>1</xdr:col>
      <xdr:colOff>457200</xdr:colOff>
      <xdr:row>22</xdr:row>
      <xdr:rowOff>0</xdr:rowOff>
    </xdr:to>
    <xdr:sp macro="" textlink="">
      <xdr:nvSpPr>
        <xdr:cNvPr id="57178" name="Line 261">
          <a:extLst>
            <a:ext uri="{FF2B5EF4-FFF2-40B4-BE49-F238E27FC236}">
              <a16:creationId xmlns:a16="http://schemas.microsoft.com/office/drawing/2014/main" id="{90643B1A-7183-F3F3-E2BE-02D699D7D5CD}"/>
            </a:ext>
          </a:extLst>
        </xdr:cNvPr>
        <xdr:cNvSpPr>
          <a:spLocks noChangeShapeType="1"/>
        </xdr:cNvSpPr>
      </xdr:nvSpPr>
      <xdr:spPr bwMode="auto">
        <a:xfrm flipH="1">
          <a:off x="660400" y="3695700"/>
          <a:ext cx="469900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12700</xdr:colOff>
      <xdr:row>24</xdr:row>
      <xdr:rowOff>12700</xdr:rowOff>
    </xdr:from>
    <xdr:to>
      <xdr:col>2</xdr:col>
      <xdr:colOff>12700</xdr:colOff>
      <xdr:row>24</xdr:row>
      <xdr:rowOff>76200</xdr:rowOff>
    </xdr:to>
    <xdr:sp macro="" textlink="">
      <xdr:nvSpPr>
        <xdr:cNvPr id="57179" name="Line 262">
          <a:extLst>
            <a:ext uri="{FF2B5EF4-FFF2-40B4-BE49-F238E27FC236}">
              <a16:creationId xmlns:a16="http://schemas.microsoft.com/office/drawing/2014/main" id="{247B036C-4BA2-1C50-02B9-F7B1045BAC6E}"/>
            </a:ext>
          </a:extLst>
        </xdr:cNvPr>
        <xdr:cNvSpPr>
          <a:spLocks noChangeShapeType="1"/>
        </xdr:cNvSpPr>
      </xdr:nvSpPr>
      <xdr:spPr bwMode="auto">
        <a:xfrm flipV="1">
          <a:off x="1358900" y="4038600"/>
          <a:ext cx="0" cy="635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0</xdr:colOff>
      <xdr:row>21</xdr:row>
      <xdr:rowOff>635</xdr:rowOff>
    </xdr:from>
    <xdr:ext cx="1055545" cy="288477"/>
    <xdr:sp macro="" textlink="">
      <xdr:nvSpPr>
        <xdr:cNvPr id="36103" name="Text Box 263">
          <a:extLst>
            <a:ext uri="{FF2B5EF4-FFF2-40B4-BE49-F238E27FC236}">
              <a16:creationId xmlns:a16="http://schemas.microsoft.com/office/drawing/2014/main" id="{033F21D8-0BE0-3A3B-7636-F90ED35FD620}"/>
            </a:ext>
          </a:extLst>
        </xdr:cNvPr>
        <xdr:cNvSpPr txBox="1">
          <a:spLocks noChangeArrowheads="1"/>
        </xdr:cNvSpPr>
      </xdr:nvSpPr>
      <xdr:spPr bwMode="auto">
        <a:xfrm>
          <a:off x="0" y="3531235"/>
          <a:ext cx="1055545" cy="288477"/>
        </a:xfrm>
        <a:prstGeom prst="rect">
          <a:avLst/>
        </a:prstGeom>
        <a:noFill/>
        <a:ln>
          <a:noFill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16" </a:t>
          </a: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(407mm)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 MIN</a:t>
          </a:r>
        </a:p>
        <a:p>
          <a:pPr algn="l" rtl="0">
            <a:defRPr sz="1000"/>
          </a:pPr>
          <a:r>
            <a:rPr lang="en-US" sz="800" b="1" i="1" u="none" strike="noStrike" baseline="0">
              <a:solidFill>
                <a:srgbClr val="FF0000"/>
              </a:solidFill>
              <a:latin typeface="Arial"/>
              <a:cs typeface="Arial"/>
            </a:rPr>
            <a:t>See Note 10  </a:t>
          </a:r>
        </a:p>
      </xdr:txBody>
    </xdr:sp>
    <xdr:clientData/>
  </xdr:oneCellAnchor>
  <xdr:twoCellAnchor>
    <xdr:from>
      <xdr:col>3</xdr:col>
      <xdr:colOff>355600</xdr:colOff>
      <xdr:row>65</xdr:row>
      <xdr:rowOff>139700</xdr:rowOff>
    </xdr:from>
    <xdr:to>
      <xdr:col>3</xdr:col>
      <xdr:colOff>660400</xdr:colOff>
      <xdr:row>66</xdr:row>
      <xdr:rowOff>38100</xdr:rowOff>
    </xdr:to>
    <xdr:sp macro="" textlink="">
      <xdr:nvSpPr>
        <xdr:cNvPr id="57181" name="Rectangle 264">
          <a:extLst>
            <a:ext uri="{FF2B5EF4-FFF2-40B4-BE49-F238E27FC236}">
              <a16:creationId xmlns:a16="http://schemas.microsoft.com/office/drawing/2014/main" id="{8B3F11F1-F047-FE95-3A53-5975CD60847C}"/>
            </a:ext>
          </a:extLst>
        </xdr:cNvPr>
        <xdr:cNvSpPr>
          <a:spLocks noChangeArrowheads="1"/>
        </xdr:cNvSpPr>
      </xdr:nvSpPr>
      <xdr:spPr bwMode="auto">
        <a:xfrm>
          <a:off x="2374900" y="10934700"/>
          <a:ext cx="304800" cy="63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9050">
          <a:solidFill>
            <a:srgbClr xmlns:mc="http://schemas.openxmlformats.org/markup-compatibility/2006" xmlns:a14="http://schemas.microsoft.com/office/drawing/2010/main" val="FF6600" mc:Ignorable="a14" a14:legacySpreadsheetColorIndex="53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355600</xdr:colOff>
      <xdr:row>53</xdr:row>
      <xdr:rowOff>12700</xdr:rowOff>
    </xdr:from>
    <xdr:to>
      <xdr:col>3</xdr:col>
      <xdr:colOff>571500</xdr:colOff>
      <xdr:row>53</xdr:row>
      <xdr:rowOff>63500</xdr:rowOff>
    </xdr:to>
    <xdr:sp macro="" textlink="">
      <xdr:nvSpPr>
        <xdr:cNvPr id="57182" name="Rectangle 267">
          <a:extLst>
            <a:ext uri="{FF2B5EF4-FFF2-40B4-BE49-F238E27FC236}">
              <a16:creationId xmlns:a16="http://schemas.microsoft.com/office/drawing/2014/main" id="{3F0CAF7C-D3D4-E436-994F-E1948BDE4D4D}"/>
            </a:ext>
          </a:extLst>
        </xdr:cNvPr>
        <xdr:cNvSpPr>
          <a:spLocks noChangeArrowheads="1"/>
        </xdr:cNvSpPr>
      </xdr:nvSpPr>
      <xdr:spPr bwMode="auto">
        <a:xfrm>
          <a:off x="2374900" y="8826500"/>
          <a:ext cx="215900" cy="50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9050">
          <a:solidFill>
            <a:srgbClr xmlns:mc="http://schemas.openxmlformats.org/markup-compatibility/2006" xmlns:a14="http://schemas.microsoft.com/office/drawing/2010/main" val="FF6600" mc:Ignorable="a14" a14:legacySpreadsheetColorIndex="53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609600</xdr:colOff>
      <xdr:row>65</xdr:row>
      <xdr:rowOff>50800</xdr:rowOff>
    </xdr:from>
    <xdr:to>
      <xdr:col>4</xdr:col>
      <xdr:colOff>88900</xdr:colOff>
      <xdr:row>65</xdr:row>
      <xdr:rowOff>76200</xdr:rowOff>
    </xdr:to>
    <xdr:sp macro="" textlink="">
      <xdr:nvSpPr>
        <xdr:cNvPr id="57183" name="Rectangle 270">
          <a:extLst>
            <a:ext uri="{FF2B5EF4-FFF2-40B4-BE49-F238E27FC236}">
              <a16:creationId xmlns:a16="http://schemas.microsoft.com/office/drawing/2014/main" id="{42570769-54CF-CC39-0CC8-667C83E155EE}"/>
            </a:ext>
          </a:extLst>
        </xdr:cNvPr>
        <xdr:cNvSpPr>
          <a:spLocks noChangeArrowheads="1"/>
        </xdr:cNvSpPr>
      </xdr:nvSpPr>
      <xdr:spPr bwMode="auto">
        <a:xfrm>
          <a:off x="2628900" y="10845800"/>
          <a:ext cx="152400" cy="25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FF" mc:Ignorable="a14" a14:legacySpreadsheetColorIndex="12"/>
        </a:solidFill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0</xdr:colOff>
      <xdr:row>65</xdr:row>
      <xdr:rowOff>76200</xdr:rowOff>
    </xdr:from>
    <xdr:to>
      <xdr:col>4</xdr:col>
      <xdr:colOff>38100</xdr:colOff>
      <xdr:row>66</xdr:row>
      <xdr:rowOff>101600</xdr:rowOff>
    </xdr:to>
    <xdr:sp macro="" textlink="">
      <xdr:nvSpPr>
        <xdr:cNvPr id="57184" name="Rectangle 272">
          <a:extLst>
            <a:ext uri="{FF2B5EF4-FFF2-40B4-BE49-F238E27FC236}">
              <a16:creationId xmlns:a16="http://schemas.microsoft.com/office/drawing/2014/main" id="{53E2368B-0F2A-9557-0398-3AF29BEE2E2C}"/>
            </a:ext>
          </a:extLst>
        </xdr:cNvPr>
        <xdr:cNvSpPr>
          <a:spLocks noChangeArrowheads="1"/>
        </xdr:cNvSpPr>
      </xdr:nvSpPr>
      <xdr:spPr bwMode="auto">
        <a:xfrm>
          <a:off x="2692400" y="10871200"/>
          <a:ext cx="38100" cy="190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FF" mc:Ignorable="a14" a14:legacySpreadsheetColorIndex="12"/>
        </a:solidFill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609600</xdr:colOff>
      <xdr:row>66</xdr:row>
      <xdr:rowOff>101600</xdr:rowOff>
    </xdr:from>
    <xdr:to>
      <xdr:col>4</xdr:col>
      <xdr:colOff>88900</xdr:colOff>
      <xdr:row>66</xdr:row>
      <xdr:rowOff>114300</xdr:rowOff>
    </xdr:to>
    <xdr:sp macro="" textlink="">
      <xdr:nvSpPr>
        <xdr:cNvPr id="57185" name="Rectangle 273">
          <a:extLst>
            <a:ext uri="{FF2B5EF4-FFF2-40B4-BE49-F238E27FC236}">
              <a16:creationId xmlns:a16="http://schemas.microsoft.com/office/drawing/2014/main" id="{A6FD2812-9214-7F6A-0D46-C4E0334D2693}"/>
            </a:ext>
          </a:extLst>
        </xdr:cNvPr>
        <xdr:cNvSpPr>
          <a:spLocks noChangeArrowheads="1"/>
        </xdr:cNvSpPr>
      </xdr:nvSpPr>
      <xdr:spPr bwMode="auto">
        <a:xfrm>
          <a:off x="2628900" y="11061700"/>
          <a:ext cx="152400" cy="12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FF" mc:Ignorable="a14" a14:legacySpreadsheetColorIndex="12"/>
        </a:solidFill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584200</xdr:colOff>
      <xdr:row>56</xdr:row>
      <xdr:rowOff>139700</xdr:rowOff>
    </xdr:from>
    <xdr:to>
      <xdr:col>4</xdr:col>
      <xdr:colOff>63500</xdr:colOff>
      <xdr:row>57</xdr:row>
      <xdr:rowOff>12700</xdr:rowOff>
    </xdr:to>
    <xdr:sp macro="" textlink="">
      <xdr:nvSpPr>
        <xdr:cNvPr id="57186" name="Rectangle 274">
          <a:extLst>
            <a:ext uri="{FF2B5EF4-FFF2-40B4-BE49-F238E27FC236}">
              <a16:creationId xmlns:a16="http://schemas.microsoft.com/office/drawing/2014/main" id="{543482E7-CE5A-F6C6-5EC8-402ABD66F08C}"/>
            </a:ext>
          </a:extLst>
        </xdr:cNvPr>
        <xdr:cNvSpPr>
          <a:spLocks noChangeArrowheads="1"/>
        </xdr:cNvSpPr>
      </xdr:nvSpPr>
      <xdr:spPr bwMode="auto">
        <a:xfrm>
          <a:off x="2603500" y="9448800"/>
          <a:ext cx="152400" cy="381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FF" mc:Ignorable="a14" a14:legacySpreadsheetColorIndex="12"/>
        </a:solidFill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342900</xdr:colOff>
      <xdr:row>57</xdr:row>
      <xdr:rowOff>63500</xdr:rowOff>
    </xdr:from>
    <xdr:to>
      <xdr:col>3</xdr:col>
      <xdr:colOff>647700</xdr:colOff>
      <xdr:row>57</xdr:row>
      <xdr:rowOff>127000</xdr:rowOff>
    </xdr:to>
    <xdr:sp macro="" textlink="">
      <xdr:nvSpPr>
        <xdr:cNvPr id="57187" name="Rectangle 275">
          <a:extLst>
            <a:ext uri="{FF2B5EF4-FFF2-40B4-BE49-F238E27FC236}">
              <a16:creationId xmlns:a16="http://schemas.microsoft.com/office/drawing/2014/main" id="{44B86D77-DDCF-FF35-3E88-461B8AFD3DD4}"/>
            </a:ext>
          </a:extLst>
        </xdr:cNvPr>
        <xdr:cNvSpPr>
          <a:spLocks noChangeArrowheads="1"/>
        </xdr:cNvSpPr>
      </xdr:nvSpPr>
      <xdr:spPr bwMode="auto">
        <a:xfrm>
          <a:off x="2362200" y="9537700"/>
          <a:ext cx="304800" cy="63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9050">
          <a:solidFill>
            <a:srgbClr xmlns:mc="http://schemas.openxmlformats.org/markup-compatibility/2006" xmlns:a14="http://schemas.microsoft.com/office/drawing/2010/main" val="FF6600" mc:Ignorable="a14" a14:legacySpreadsheetColorIndex="53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635000</xdr:colOff>
      <xdr:row>57</xdr:row>
      <xdr:rowOff>12700</xdr:rowOff>
    </xdr:from>
    <xdr:to>
      <xdr:col>4</xdr:col>
      <xdr:colOff>0</xdr:colOff>
      <xdr:row>58</xdr:row>
      <xdr:rowOff>12700</xdr:rowOff>
    </xdr:to>
    <xdr:sp macro="" textlink="">
      <xdr:nvSpPr>
        <xdr:cNvPr id="57188" name="Rectangle 276">
          <a:extLst>
            <a:ext uri="{FF2B5EF4-FFF2-40B4-BE49-F238E27FC236}">
              <a16:creationId xmlns:a16="http://schemas.microsoft.com/office/drawing/2014/main" id="{E49D3625-2CAB-3C45-AE85-42C3ABE738EE}"/>
            </a:ext>
          </a:extLst>
        </xdr:cNvPr>
        <xdr:cNvSpPr>
          <a:spLocks noChangeArrowheads="1"/>
        </xdr:cNvSpPr>
      </xdr:nvSpPr>
      <xdr:spPr bwMode="auto">
        <a:xfrm>
          <a:off x="2654300" y="9486900"/>
          <a:ext cx="38100" cy="1651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FF" mc:Ignorable="a14" a14:legacySpreadsheetColorIndex="12"/>
        </a:solidFill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584200</xdr:colOff>
      <xdr:row>58</xdr:row>
      <xdr:rowOff>12700</xdr:rowOff>
    </xdr:from>
    <xdr:to>
      <xdr:col>4</xdr:col>
      <xdr:colOff>63500</xdr:colOff>
      <xdr:row>58</xdr:row>
      <xdr:rowOff>50800</xdr:rowOff>
    </xdr:to>
    <xdr:sp macro="" textlink="">
      <xdr:nvSpPr>
        <xdr:cNvPr id="57189" name="Rectangle 277">
          <a:extLst>
            <a:ext uri="{FF2B5EF4-FFF2-40B4-BE49-F238E27FC236}">
              <a16:creationId xmlns:a16="http://schemas.microsoft.com/office/drawing/2014/main" id="{97B8D250-626B-E935-1957-1ECEDD34B61A}"/>
            </a:ext>
          </a:extLst>
        </xdr:cNvPr>
        <xdr:cNvSpPr>
          <a:spLocks noChangeArrowheads="1"/>
        </xdr:cNvSpPr>
      </xdr:nvSpPr>
      <xdr:spPr bwMode="auto">
        <a:xfrm>
          <a:off x="2603500" y="9652000"/>
          <a:ext cx="152400" cy="381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FF" mc:Ignorable="a14" a14:legacySpreadsheetColorIndex="12"/>
        </a:solidFill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miter lim="800000"/>
          <a:headEnd/>
          <a:tailEnd/>
        </a:ln>
      </xdr:spPr>
    </xdr:sp>
    <xdr:clientData/>
  </xdr:twoCellAnchor>
  <xdr:twoCellAnchor editAs="oneCell">
    <xdr:from>
      <xdr:col>4</xdr:col>
      <xdr:colOff>165100</xdr:colOff>
      <xdr:row>67</xdr:row>
      <xdr:rowOff>140970</xdr:rowOff>
    </xdr:from>
    <xdr:to>
      <xdr:col>5</xdr:col>
      <xdr:colOff>508000</xdr:colOff>
      <xdr:row>69</xdr:row>
      <xdr:rowOff>140970</xdr:rowOff>
    </xdr:to>
    <xdr:sp macro="" textlink="">
      <xdr:nvSpPr>
        <xdr:cNvPr id="36124" name="Text Box 284">
          <a:extLst>
            <a:ext uri="{FF2B5EF4-FFF2-40B4-BE49-F238E27FC236}">
              <a16:creationId xmlns:a16="http://schemas.microsoft.com/office/drawing/2014/main" id="{90458460-65A3-A27B-0B4B-CB0BD063875F}"/>
            </a:ext>
          </a:extLst>
        </xdr:cNvPr>
        <xdr:cNvSpPr txBox="1">
          <a:spLocks noChangeArrowheads="1"/>
        </xdr:cNvSpPr>
      </xdr:nvSpPr>
      <xdr:spPr bwMode="auto">
        <a:xfrm>
          <a:off x="2590800" y="11068050"/>
          <a:ext cx="914400" cy="323850"/>
        </a:xfrm>
        <a:prstGeom prst="rect">
          <a:avLst/>
        </a:prstGeom>
        <a:noFill/>
        <a:ln>
          <a:noFill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800" b="1" i="1" u="none" strike="noStrike" baseline="0">
              <a:solidFill>
                <a:srgbClr val="000000"/>
              </a:solidFill>
              <a:latin typeface="Arial"/>
              <a:cs typeface="Arial"/>
            </a:rPr>
            <a:t>Ladder Supt.</a:t>
          </a:r>
        </a:p>
        <a:p>
          <a:pPr algn="l" rtl="0">
            <a:defRPr sz="1000"/>
          </a:pPr>
          <a:r>
            <a:rPr lang="en-US" sz="800" b="1" i="1" u="none" strike="noStrike" baseline="0">
              <a:solidFill>
                <a:srgbClr val="000000"/>
              </a:solidFill>
              <a:latin typeface="Arial"/>
              <a:cs typeface="Arial"/>
            </a:rPr>
            <a:t>(Typ.)</a:t>
          </a:r>
        </a:p>
      </xdr:txBody>
    </xdr:sp>
    <xdr:clientData/>
  </xdr:twoCellAnchor>
  <xdr:twoCellAnchor>
    <xdr:from>
      <xdr:col>3</xdr:col>
      <xdr:colOff>495300</xdr:colOff>
      <xdr:row>66</xdr:row>
      <xdr:rowOff>50800</xdr:rowOff>
    </xdr:from>
    <xdr:to>
      <xdr:col>4</xdr:col>
      <xdr:colOff>88900</xdr:colOff>
      <xdr:row>68</xdr:row>
      <xdr:rowOff>63500</xdr:rowOff>
    </xdr:to>
    <xdr:sp macro="" textlink="">
      <xdr:nvSpPr>
        <xdr:cNvPr id="57191" name="Line 287">
          <a:extLst>
            <a:ext uri="{FF2B5EF4-FFF2-40B4-BE49-F238E27FC236}">
              <a16:creationId xmlns:a16="http://schemas.microsoft.com/office/drawing/2014/main" id="{5BE19482-FACD-7823-3E1C-BD2900DEE3D1}"/>
            </a:ext>
          </a:extLst>
        </xdr:cNvPr>
        <xdr:cNvSpPr>
          <a:spLocks noChangeShapeType="1"/>
        </xdr:cNvSpPr>
      </xdr:nvSpPr>
      <xdr:spPr bwMode="auto">
        <a:xfrm>
          <a:off x="2514600" y="11010900"/>
          <a:ext cx="266700" cy="3429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12700</xdr:colOff>
      <xdr:row>7</xdr:row>
      <xdr:rowOff>0</xdr:rowOff>
    </xdr:from>
    <xdr:to>
      <xdr:col>10</xdr:col>
      <xdr:colOff>12700</xdr:colOff>
      <xdr:row>7</xdr:row>
      <xdr:rowOff>0</xdr:rowOff>
    </xdr:to>
    <xdr:sp macro="" textlink="">
      <xdr:nvSpPr>
        <xdr:cNvPr id="2846" name="Line 6">
          <a:extLst>
            <a:ext uri="{FF2B5EF4-FFF2-40B4-BE49-F238E27FC236}">
              <a16:creationId xmlns:a16="http://schemas.microsoft.com/office/drawing/2014/main" id="{3C8573EF-D212-0D0A-3174-673DB48E818A}"/>
            </a:ext>
          </a:extLst>
        </xdr:cNvPr>
        <xdr:cNvSpPr>
          <a:spLocks noChangeShapeType="1"/>
        </xdr:cNvSpPr>
      </xdr:nvSpPr>
      <xdr:spPr bwMode="auto">
        <a:xfrm>
          <a:off x="4902200" y="1397000"/>
          <a:ext cx="14478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38100</xdr:colOff>
      <xdr:row>7</xdr:row>
      <xdr:rowOff>12700</xdr:rowOff>
    </xdr:from>
    <xdr:to>
      <xdr:col>8</xdr:col>
      <xdr:colOff>38100</xdr:colOff>
      <xdr:row>7</xdr:row>
      <xdr:rowOff>63500</xdr:rowOff>
    </xdr:to>
    <xdr:sp macro="" textlink="">
      <xdr:nvSpPr>
        <xdr:cNvPr id="2847" name="Line 7">
          <a:extLst>
            <a:ext uri="{FF2B5EF4-FFF2-40B4-BE49-F238E27FC236}">
              <a16:creationId xmlns:a16="http://schemas.microsoft.com/office/drawing/2014/main" id="{8B38C2FF-99BB-FCDF-4DF8-858A5D072A46}"/>
            </a:ext>
          </a:extLst>
        </xdr:cNvPr>
        <xdr:cNvSpPr>
          <a:spLocks noChangeShapeType="1"/>
        </xdr:cNvSpPr>
      </xdr:nvSpPr>
      <xdr:spPr bwMode="auto">
        <a:xfrm>
          <a:off x="4927600" y="1409700"/>
          <a:ext cx="0" cy="508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12700</xdr:colOff>
      <xdr:row>6</xdr:row>
      <xdr:rowOff>152400</xdr:rowOff>
    </xdr:from>
    <xdr:to>
      <xdr:col>10</xdr:col>
      <xdr:colOff>12700</xdr:colOff>
      <xdr:row>7</xdr:row>
      <xdr:rowOff>63500</xdr:rowOff>
    </xdr:to>
    <xdr:sp macro="" textlink="">
      <xdr:nvSpPr>
        <xdr:cNvPr id="2848" name="Line 8">
          <a:extLst>
            <a:ext uri="{FF2B5EF4-FFF2-40B4-BE49-F238E27FC236}">
              <a16:creationId xmlns:a16="http://schemas.microsoft.com/office/drawing/2014/main" id="{931F203E-D0F9-D149-AA13-A8209D62F1E5}"/>
            </a:ext>
          </a:extLst>
        </xdr:cNvPr>
        <xdr:cNvSpPr>
          <a:spLocks noChangeShapeType="1"/>
        </xdr:cNvSpPr>
      </xdr:nvSpPr>
      <xdr:spPr bwMode="auto">
        <a:xfrm>
          <a:off x="6350000" y="1384300"/>
          <a:ext cx="0" cy="762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38100</xdr:colOff>
      <xdr:row>7</xdr:row>
      <xdr:rowOff>63500</xdr:rowOff>
    </xdr:from>
    <xdr:to>
      <xdr:col>8</xdr:col>
      <xdr:colOff>647700</xdr:colOff>
      <xdr:row>7</xdr:row>
      <xdr:rowOff>63500</xdr:rowOff>
    </xdr:to>
    <xdr:sp macro="" textlink="">
      <xdr:nvSpPr>
        <xdr:cNvPr id="2849" name="Line 9">
          <a:extLst>
            <a:ext uri="{FF2B5EF4-FFF2-40B4-BE49-F238E27FC236}">
              <a16:creationId xmlns:a16="http://schemas.microsoft.com/office/drawing/2014/main" id="{FACEBF2D-A9DB-0636-A226-54AD227D73DD}"/>
            </a:ext>
          </a:extLst>
        </xdr:cNvPr>
        <xdr:cNvSpPr>
          <a:spLocks noChangeShapeType="1"/>
        </xdr:cNvSpPr>
      </xdr:nvSpPr>
      <xdr:spPr bwMode="auto">
        <a:xfrm flipV="1">
          <a:off x="4927600" y="1460500"/>
          <a:ext cx="6096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38100</xdr:colOff>
      <xdr:row>7</xdr:row>
      <xdr:rowOff>63500</xdr:rowOff>
    </xdr:from>
    <xdr:to>
      <xdr:col>10</xdr:col>
      <xdr:colOff>12700</xdr:colOff>
      <xdr:row>7</xdr:row>
      <xdr:rowOff>63500</xdr:rowOff>
    </xdr:to>
    <xdr:sp macro="" textlink="">
      <xdr:nvSpPr>
        <xdr:cNvPr id="2850" name="Line 10">
          <a:extLst>
            <a:ext uri="{FF2B5EF4-FFF2-40B4-BE49-F238E27FC236}">
              <a16:creationId xmlns:a16="http://schemas.microsoft.com/office/drawing/2014/main" id="{561C09B9-90CD-5906-1A36-6822AF0618B4}"/>
            </a:ext>
          </a:extLst>
        </xdr:cNvPr>
        <xdr:cNvSpPr>
          <a:spLocks noChangeShapeType="1"/>
        </xdr:cNvSpPr>
      </xdr:nvSpPr>
      <xdr:spPr bwMode="auto">
        <a:xfrm flipH="1">
          <a:off x="5651500" y="1460500"/>
          <a:ext cx="6985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12700</xdr:colOff>
      <xdr:row>14</xdr:row>
      <xdr:rowOff>139700</xdr:rowOff>
    </xdr:from>
    <xdr:to>
      <xdr:col>10</xdr:col>
      <xdr:colOff>12700</xdr:colOff>
      <xdr:row>14</xdr:row>
      <xdr:rowOff>139700</xdr:rowOff>
    </xdr:to>
    <xdr:sp macro="" textlink="">
      <xdr:nvSpPr>
        <xdr:cNvPr id="2851" name="Line 11">
          <a:extLst>
            <a:ext uri="{FF2B5EF4-FFF2-40B4-BE49-F238E27FC236}">
              <a16:creationId xmlns:a16="http://schemas.microsoft.com/office/drawing/2014/main" id="{DC9E7033-CA69-A431-9C40-8F32A17A0E87}"/>
            </a:ext>
          </a:extLst>
        </xdr:cNvPr>
        <xdr:cNvSpPr>
          <a:spLocks noChangeShapeType="1"/>
        </xdr:cNvSpPr>
      </xdr:nvSpPr>
      <xdr:spPr bwMode="auto">
        <a:xfrm>
          <a:off x="4902200" y="2844800"/>
          <a:ext cx="14478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673100</xdr:colOff>
      <xdr:row>7</xdr:row>
      <xdr:rowOff>63500</xdr:rowOff>
    </xdr:from>
    <xdr:to>
      <xdr:col>8</xdr:col>
      <xdr:colOff>673100</xdr:colOff>
      <xdr:row>14</xdr:row>
      <xdr:rowOff>63500</xdr:rowOff>
    </xdr:to>
    <xdr:sp macro="" textlink="">
      <xdr:nvSpPr>
        <xdr:cNvPr id="2852" name="Line 12">
          <a:extLst>
            <a:ext uri="{FF2B5EF4-FFF2-40B4-BE49-F238E27FC236}">
              <a16:creationId xmlns:a16="http://schemas.microsoft.com/office/drawing/2014/main" id="{14ACEF9A-F99B-BD52-CF43-F561B07CD218}"/>
            </a:ext>
          </a:extLst>
        </xdr:cNvPr>
        <xdr:cNvSpPr>
          <a:spLocks noChangeShapeType="1"/>
        </xdr:cNvSpPr>
      </xdr:nvSpPr>
      <xdr:spPr bwMode="auto">
        <a:xfrm>
          <a:off x="5562600" y="1460500"/>
          <a:ext cx="0" cy="13081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12700</xdr:colOff>
      <xdr:row>14</xdr:row>
      <xdr:rowOff>76200</xdr:rowOff>
    </xdr:from>
    <xdr:to>
      <xdr:col>8</xdr:col>
      <xdr:colOff>622300</xdr:colOff>
      <xdr:row>14</xdr:row>
      <xdr:rowOff>76200</xdr:rowOff>
    </xdr:to>
    <xdr:sp macro="" textlink="">
      <xdr:nvSpPr>
        <xdr:cNvPr id="2853" name="Line 13">
          <a:extLst>
            <a:ext uri="{FF2B5EF4-FFF2-40B4-BE49-F238E27FC236}">
              <a16:creationId xmlns:a16="http://schemas.microsoft.com/office/drawing/2014/main" id="{88C81F3A-87DE-B295-49E7-6948A6FA4AC7}"/>
            </a:ext>
          </a:extLst>
        </xdr:cNvPr>
        <xdr:cNvSpPr>
          <a:spLocks noChangeShapeType="1"/>
        </xdr:cNvSpPr>
      </xdr:nvSpPr>
      <xdr:spPr bwMode="auto">
        <a:xfrm flipH="1">
          <a:off x="4902200" y="2781300"/>
          <a:ext cx="6096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12700</xdr:colOff>
      <xdr:row>14</xdr:row>
      <xdr:rowOff>76200</xdr:rowOff>
    </xdr:from>
    <xdr:to>
      <xdr:col>8</xdr:col>
      <xdr:colOff>38100</xdr:colOff>
      <xdr:row>15</xdr:row>
      <xdr:rowOff>0</xdr:rowOff>
    </xdr:to>
    <xdr:sp macro="" textlink="">
      <xdr:nvSpPr>
        <xdr:cNvPr id="2854" name="Line 14">
          <a:extLst>
            <a:ext uri="{FF2B5EF4-FFF2-40B4-BE49-F238E27FC236}">
              <a16:creationId xmlns:a16="http://schemas.microsoft.com/office/drawing/2014/main" id="{B83A1B64-30AA-231A-F65D-F01956387FB0}"/>
            </a:ext>
          </a:extLst>
        </xdr:cNvPr>
        <xdr:cNvSpPr>
          <a:spLocks noChangeShapeType="1"/>
        </xdr:cNvSpPr>
      </xdr:nvSpPr>
      <xdr:spPr bwMode="auto">
        <a:xfrm flipH="1">
          <a:off x="4902200" y="2781300"/>
          <a:ext cx="25400" cy="889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609600</xdr:colOff>
      <xdr:row>14</xdr:row>
      <xdr:rowOff>25400</xdr:rowOff>
    </xdr:from>
    <xdr:to>
      <xdr:col>8</xdr:col>
      <xdr:colOff>685800</xdr:colOff>
      <xdr:row>14</xdr:row>
      <xdr:rowOff>76200</xdr:rowOff>
    </xdr:to>
    <xdr:sp macro="" textlink="">
      <xdr:nvSpPr>
        <xdr:cNvPr id="2855" name="Line 15">
          <a:extLst>
            <a:ext uri="{FF2B5EF4-FFF2-40B4-BE49-F238E27FC236}">
              <a16:creationId xmlns:a16="http://schemas.microsoft.com/office/drawing/2014/main" id="{30CC8B47-C571-473B-9333-CABD259C65D3}"/>
            </a:ext>
          </a:extLst>
        </xdr:cNvPr>
        <xdr:cNvSpPr>
          <a:spLocks noChangeShapeType="1"/>
        </xdr:cNvSpPr>
      </xdr:nvSpPr>
      <xdr:spPr bwMode="auto">
        <a:xfrm flipH="1">
          <a:off x="5499100" y="2730500"/>
          <a:ext cx="76200" cy="508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12700</xdr:colOff>
      <xdr:row>7</xdr:row>
      <xdr:rowOff>63500</xdr:rowOff>
    </xdr:from>
    <xdr:to>
      <xdr:col>9</xdr:col>
      <xdr:colOff>12700</xdr:colOff>
      <xdr:row>14</xdr:row>
      <xdr:rowOff>12700</xdr:rowOff>
    </xdr:to>
    <xdr:sp macro="" textlink="">
      <xdr:nvSpPr>
        <xdr:cNvPr id="2856" name="Line 16">
          <a:extLst>
            <a:ext uri="{FF2B5EF4-FFF2-40B4-BE49-F238E27FC236}">
              <a16:creationId xmlns:a16="http://schemas.microsoft.com/office/drawing/2014/main" id="{6F0B22E5-BFA4-9E83-9C89-26B9497606F9}"/>
            </a:ext>
          </a:extLst>
        </xdr:cNvPr>
        <xdr:cNvSpPr>
          <a:spLocks noChangeShapeType="1"/>
        </xdr:cNvSpPr>
      </xdr:nvSpPr>
      <xdr:spPr bwMode="auto">
        <a:xfrm>
          <a:off x="5626100" y="1460500"/>
          <a:ext cx="0" cy="12573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38100</xdr:colOff>
      <xdr:row>14</xdr:row>
      <xdr:rowOff>12700</xdr:rowOff>
    </xdr:from>
    <xdr:to>
      <xdr:col>9</xdr:col>
      <xdr:colOff>76200</xdr:colOff>
      <xdr:row>14</xdr:row>
      <xdr:rowOff>63500</xdr:rowOff>
    </xdr:to>
    <xdr:sp macro="" textlink="">
      <xdr:nvSpPr>
        <xdr:cNvPr id="2857" name="Line 17">
          <a:extLst>
            <a:ext uri="{FF2B5EF4-FFF2-40B4-BE49-F238E27FC236}">
              <a16:creationId xmlns:a16="http://schemas.microsoft.com/office/drawing/2014/main" id="{CC1B60FC-7365-BF37-F718-44EFB350917A}"/>
            </a:ext>
          </a:extLst>
        </xdr:cNvPr>
        <xdr:cNvSpPr>
          <a:spLocks noChangeShapeType="1"/>
        </xdr:cNvSpPr>
      </xdr:nvSpPr>
      <xdr:spPr bwMode="auto">
        <a:xfrm>
          <a:off x="5651500" y="2717800"/>
          <a:ext cx="38100" cy="508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50800</xdr:colOff>
      <xdr:row>14</xdr:row>
      <xdr:rowOff>63500</xdr:rowOff>
    </xdr:from>
    <xdr:to>
      <xdr:col>10</xdr:col>
      <xdr:colOff>12700</xdr:colOff>
      <xdr:row>14</xdr:row>
      <xdr:rowOff>63500</xdr:rowOff>
    </xdr:to>
    <xdr:sp macro="" textlink="">
      <xdr:nvSpPr>
        <xdr:cNvPr id="2858" name="Line 18">
          <a:extLst>
            <a:ext uri="{FF2B5EF4-FFF2-40B4-BE49-F238E27FC236}">
              <a16:creationId xmlns:a16="http://schemas.microsoft.com/office/drawing/2014/main" id="{DA4A87DB-3AC9-49B8-7FE6-024DD85A5D58}"/>
            </a:ext>
          </a:extLst>
        </xdr:cNvPr>
        <xdr:cNvSpPr>
          <a:spLocks noChangeShapeType="1"/>
        </xdr:cNvSpPr>
      </xdr:nvSpPr>
      <xdr:spPr bwMode="auto">
        <a:xfrm>
          <a:off x="5664200" y="2768600"/>
          <a:ext cx="6858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14</xdr:row>
      <xdr:rowOff>63500</xdr:rowOff>
    </xdr:from>
    <xdr:to>
      <xdr:col>10</xdr:col>
      <xdr:colOff>12700</xdr:colOff>
      <xdr:row>14</xdr:row>
      <xdr:rowOff>139700</xdr:rowOff>
    </xdr:to>
    <xdr:sp macro="" textlink="">
      <xdr:nvSpPr>
        <xdr:cNvPr id="2859" name="Line 19">
          <a:extLst>
            <a:ext uri="{FF2B5EF4-FFF2-40B4-BE49-F238E27FC236}">
              <a16:creationId xmlns:a16="http://schemas.microsoft.com/office/drawing/2014/main" id="{9249A2EB-E762-8235-B53A-E8627BF36325}"/>
            </a:ext>
          </a:extLst>
        </xdr:cNvPr>
        <xdr:cNvSpPr>
          <a:spLocks noChangeShapeType="1"/>
        </xdr:cNvSpPr>
      </xdr:nvSpPr>
      <xdr:spPr bwMode="auto">
        <a:xfrm flipH="1">
          <a:off x="6337300" y="2768600"/>
          <a:ext cx="12700" cy="762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12700</xdr:colOff>
      <xdr:row>1</xdr:row>
      <xdr:rowOff>127000</xdr:rowOff>
    </xdr:from>
    <xdr:to>
      <xdr:col>8</xdr:col>
      <xdr:colOff>12700</xdr:colOff>
      <xdr:row>6</xdr:row>
      <xdr:rowOff>101600</xdr:rowOff>
    </xdr:to>
    <xdr:sp macro="" textlink="">
      <xdr:nvSpPr>
        <xdr:cNvPr id="2860" name="Line 20">
          <a:extLst>
            <a:ext uri="{FF2B5EF4-FFF2-40B4-BE49-F238E27FC236}">
              <a16:creationId xmlns:a16="http://schemas.microsoft.com/office/drawing/2014/main" id="{31734514-F041-DE5B-9594-9028440C5045}"/>
            </a:ext>
          </a:extLst>
        </xdr:cNvPr>
        <xdr:cNvSpPr>
          <a:spLocks noChangeShapeType="1"/>
        </xdr:cNvSpPr>
      </xdr:nvSpPr>
      <xdr:spPr bwMode="auto">
        <a:xfrm flipV="1">
          <a:off x="4902200" y="292100"/>
          <a:ext cx="0" cy="10414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12700</xdr:colOff>
      <xdr:row>1</xdr:row>
      <xdr:rowOff>88900</xdr:rowOff>
    </xdr:from>
    <xdr:to>
      <xdr:col>10</xdr:col>
      <xdr:colOff>12700</xdr:colOff>
      <xdr:row>6</xdr:row>
      <xdr:rowOff>101600</xdr:rowOff>
    </xdr:to>
    <xdr:sp macro="" textlink="">
      <xdr:nvSpPr>
        <xdr:cNvPr id="2861" name="Line 21">
          <a:extLst>
            <a:ext uri="{FF2B5EF4-FFF2-40B4-BE49-F238E27FC236}">
              <a16:creationId xmlns:a16="http://schemas.microsoft.com/office/drawing/2014/main" id="{389115D3-8339-8FD4-6D89-27AA1A6B15F3}"/>
            </a:ext>
          </a:extLst>
        </xdr:cNvPr>
        <xdr:cNvSpPr>
          <a:spLocks noChangeShapeType="1"/>
        </xdr:cNvSpPr>
      </xdr:nvSpPr>
      <xdr:spPr bwMode="auto">
        <a:xfrm flipV="1">
          <a:off x="6350000" y="254000"/>
          <a:ext cx="0" cy="10795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2</xdr:row>
      <xdr:rowOff>0</xdr:rowOff>
    </xdr:from>
    <xdr:to>
      <xdr:col>10</xdr:col>
      <xdr:colOff>50800</xdr:colOff>
      <xdr:row>2</xdr:row>
      <xdr:rowOff>0</xdr:rowOff>
    </xdr:to>
    <xdr:sp macro="" textlink="">
      <xdr:nvSpPr>
        <xdr:cNvPr id="2862" name="Line 22">
          <a:extLst>
            <a:ext uri="{FF2B5EF4-FFF2-40B4-BE49-F238E27FC236}">
              <a16:creationId xmlns:a16="http://schemas.microsoft.com/office/drawing/2014/main" id="{6A35BC8B-8816-514B-3493-CBDFD97F6D26}"/>
            </a:ext>
          </a:extLst>
        </xdr:cNvPr>
        <xdr:cNvSpPr>
          <a:spLocks noChangeShapeType="1"/>
        </xdr:cNvSpPr>
      </xdr:nvSpPr>
      <xdr:spPr bwMode="auto">
        <a:xfrm>
          <a:off x="4889500" y="368300"/>
          <a:ext cx="14986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292100</xdr:colOff>
      <xdr:row>6</xdr:row>
      <xdr:rowOff>152400</xdr:rowOff>
    </xdr:from>
    <xdr:to>
      <xdr:col>8</xdr:col>
      <xdr:colOff>431800</xdr:colOff>
      <xdr:row>7</xdr:row>
      <xdr:rowOff>63500</xdr:rowOff>
    </xdr:to>
    <xdr:sp macro="" textlink="">
      <xdr:nvSpPr>
        <xdr:cNvPr id="2863" name="Rectangle 23">
          <a:extLst>
            <a:ext uri="{FF2B5EF4-FFF2-40B4-BE49-F238E27FC236}">
              <a16:creationId xmlns:a16="http://schemas.microsoft.com/office/drawing/2014/main" id="{5E8D3AE2-D7B3-4079-BCFA-A2C263BCCFC4}"/>
            </a:ext>
          </a:extLst>
        </xdr:cNvPr>
        <xdr:cNvSpPr>
          <a:spLocks noChangeArrowheads="1"/>
        </xdr:cNvSpPr>
      </xdr:nvSpPr>
      <xdr:spPr bwMode="auto">
        <a:xfrm>
          <a:off x="5181600" y="1384300"/>
          <a:ext cx="139700" cy="76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FF" mc:Ignorable="a14" a14:legacySpreadsheetColorIndex="12"/>
        </a:solidFill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317500</xdr:colOff>
      <xdr:row>6</xdr:row>
      <xdr:rowOff>152400</xdr:rowOff>
    </xdr:from>
    <xdr:to>
      <xdr:col>9</xdr:col>
      <xdr:colOff>406400</xdr:colOff>
      <xdr:row>7</xdr:row>
      <xdr:rowOff>76200</xdr:rowOff>
    </xdr:to>
    <xdr:sp macro="" textlink="">
      <xdr:nvSpPr>
        <xdr:cNvPr id="2864" name="Rectangle 24">
          <a:extLst>
            <a:ext uri="{FF2B5EF4-FFF2-40B4-BE49-F238E27FC236}">
              <a16:creationId xmlns:a16="http://schemas.microsoft.com/office/drawing/2014/main" id="{34038DFE-5E4E-4610-96AE-B89677FC9C1E}"/>
            </a:ext>
          </a:extLst>
        </xdr:cNvPr>
        <xdr:cNvSpPr>
          <a:spLocks noChangeArrowheads="1"/>
        </xdr:cNvSpPr>
      </xdr:nvSpPr>
      <xdr:spPr bwMode="auto">
        <a:xfrm>
          <a:off x="5930900" y="1384300"/>
          <a:ext cx="88900" cy="88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FF" mc:Ignorable="a14" a14:legacySpreadsheetColorIndex="12"/>
        </a:solidFill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368300</xdr:colOff>
      <xdr:row>2</xdr:row>
      <xdr:rowOff>241300</xdr:rowOff>
    </xdr:from>
    <xdr:to>
      <xdr:col>8</xdr:col>
      <xdr:colOff>368300</xdr:colOff>
      <xdr:row>8</xdr:row>
      <xdr:rowOff>0</xdr:rowOff>
    </xdr:to>
    <xdr:sp macro="" textlink="">
      <xdr:nvSpPr>
        <xdr:cNvPr id="2865" name="Line 25">
          <a:extLst>
            <a:ext uri="{FF2B5EF4-FFF2-40B4-BE49-F238E27FC236}">
              <a16:creationId xmlns:a16="http://schemas.microsoft.com/office/drawing/2014/main" id="{4373FB81-0ECE-4F03-1DB0-73B97C6A1DAE}"/>
            </a:ext>
          </a:extLst>
        </xdr:cNvPr>
        <xdr:cNvSpPr>
          <a:spLocks noChangeShapeType="1"/>
        </xdr:cNvSpPr>
      </xdr:nvSpPr>
      <xdr:spPr bwMode="auto">
        <a:xfrm flipV="1">
          <a:off x="5257800" y="609600"/>
          <a:ext cx="0" cy="9525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Dot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368300</xdr:colOff>
      <xdr:row>2</xdr:row>
      <xdr:rowOff>266700</xdr:rowOff>
    </xdr:from>
    <xdr:to>
      <xdr:col>9</xdr:col>
      <xdr:colOff>381000</xdr:colOff>
      <xdr:row>8</xdr:row>
      <xdr:rowOff>0</xdr:rowOff>
    </xdr:to>
    <xdr:sp macro="" textlink="">
      <xdr:nvSpPr>
        <xdr:cNvPr id="2866" name="Line 26">
          <a:extLst>
            <a:ext uri="{FF2B5EF4-FFF2-40B4-BE49-F238E27FC236}">
              <a16:creationId xmlns:a16="http://schemas.microsoft.com/office/drawing/2014/main" id="{EA3B8B7F-C31C-6DF6-9B11-036560650003}"/>
            </a:ext>
          </a:extLst>
        </xdr:cNvPr>
        <xdr:cNvSpPr>
          <a:spLocks noChangeShapeType="1"/>
        </xdr:cNvSpPr>
      </xdr:nvSpPr>
      <xdr:spPr bwMode="auto">
        <a:xfrm flipH="1" flipV="1">
          <a:off x="5981700" y="635000"/>
          <a:ext cx="12700" cy="9271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Dot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342900</xdr:colOff>
      <xdr:row>2</xdr:row>
      <xdr:rowOff>266700</xdr:rowOff>
    </xdr:from>
    <xdr:to>
      <xdr:col>9</xdr:col>
      <xdr:colOff>381000</xdr:colOff>
      <xdr:row>2</xdr:row>
      <xdr:rowOff>266700</xdr:rowOff>
    </xdr:to>
    <xdr:sp macro="" textlink="">
      <xdr:nvSpPr>
        <xdr:cNvPr id="2867" name="Line 27">
          <a:extLst>
            <a:ext uri="{FF2B5EF4-FFF2-40B4-BE49-F238E27FC236}">
              <a16:creationId xmlns:a16="http://schemas.microsoft.com/office/drawing/2014/main" id="{56A9B3D4-A95A-5E02-C37F-F224A5E869BF}"/>
            </a:ext>
          </a:extLst>
        </xdr:cNvPr>
        <xdr:cNvSpPr>
          <a:spLocks noChangeShapeType="1"/>
        </xdr:cNvSpPr>
      </xdr:nvSpPr>
      <xdr:spPr bwMode="auto">
        <a:xfrm>
          <a:off x="5232400" y="635000"/>
          <a:ext cx="7620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457200</xdr:colOff>
      <xdr:row>7</xdr:row>
      <xdr:rowOff>0</xdr:rowOff>
    </xdr:from>
    <xdr:to>
      <xdr:col>7</xdr:col>
      <xdr:colOff>635000</xdr:colOff>
      <xdr:row>7</xdr:row>
      <xdr:rowOff>0</xdr:rowOff>
    </xdr:to>
    <xdr:sp macro="" textlink="">
      <xdr:nvSpPr>
        <xdr:cNvPr id="2868" name="Line 28">
          <a:extLst>
            <a:ext uri="{FF2B5EF4-FFF2-40B4-BE49-F238E27FC236}">
              <a16:creationId xmlns:a16="http://schemas.microsoft.com/office/drawing/2014/main" id="{5C215017-102F-8B77-C077-4F48F5EB1414}"/>
            </a:ext>
          </a:extLst>
        </xdr:cNvPr>
        <xdr:cNvSpPr>
          <a:spLocks noChangeShapeType="1"/>
        </xdr:cNvSpPr>
      </xdr:nvSpPr>
      <xdr:spPr bwMode="auto">
        <a:xfrm flipH="1">
          <a:off x="4000500" y="1397000"/>
          <a:ext cx="8509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508000</xdr:colOff>
      <xdr:row>14</xdr:row>
      <xdr:rowOff>152400</xdr:rowOff>
    </xdr:from>
    <xdr:to>
      <xdr:col>7</xdr:col>
      <xdr:colOff>660400</xdr:colOff>
      <xdr:row>14</xdr:row>
      <xdr:rowOff>152400</xdr:rowOff>
    </xdr:to>
    <xdr:sp macro="" textlink="">
      <xdr:nvSpPr>
        <xdr:cNvPr id="2869" name="Line 29">
          <a:extLst>
            <a:ext uri="{FF2B5EF4-FFF2-40B4-BE49-F238E27FC236}">
              <a16:creationId xmlns:a16="http://schemas.microsoft.com/office/drawing/2014/main" id="{861E21AB-0DB4-1DDC-9B09-CBCC802AB1C5}"/>
            </a:ext>
          </a:extLst>
        </xdr:cNvPr>
        <xdr:cNvSpPr>
          <a:spLocks noChangeShapeType="1"/>
        </xdr:cNvSpPr>
      </xdr:nvSpPr>
      <xdr:spPr bwMode="auto">
        <a:xfrm flipH="1">
          <a:off x="4051300" y="2857500"/>
          <a:ext cx="8255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571500</xdr:colOff>
      <xdr:row>6</xdr:row>
      <xdr:rowOff>152400</xdr:rowOff>
    </xdr:from>
    <xdr:to>
      <xdr:col>6</xdr:col>
      <xdr:colOff>571500</xdr:colOff>
      <xdr:row>14</xdr:row>
      <xdr:rowOff>139700</xdr:rowOff>
    </xdr:to>
    <xdr:sp macro="" textlink="">
      <xdr:nvSpPr>
        <xdr:cNvPr id="2870" name="Line 30">
          <a:extLst>
            <a:ext uri="{FF2B5EF4-FFF2-40B4-BE49-F238E27FC236}">
              <a16:creationId xmlns:a16="http://schemas.microsoft.com/office/drawing/2014/main" id="{F17CECB9-226C-FAFB-04CB-42F2A7004FCC}"/>
            </a:ext>
          </a:extLst>
        </xdr:cNvPr>
        <xdr:cNvSpPr>
          <a:spLocks noChangeShapeType="1"/>
        </xdr:cNvSpPr>
      </xdr:nvSpPr>
      <xdr:spPr bwMode="auto">
        <a:xfrm flipV="1">
          <a:off x="4114800" y="1384300"/>
          <a:ext cx="0" cy="14605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203200</xdr:colOff>
      <xdr:row>12</xdr:row>
      <xdr:rowOff>88900</xdr:rowOff>
    </xdr:from>
    <xdr:to>
      <xdr:col>8</xdr:col>
      <xdr:colOff>647700</xdr:colOff>
      <xdr:row>12</xdr:row>
      <xdr:rowOff>88900</xdr:rowOff>
    </xdr:to>
    <xdr:sp macro="" textlink="">
      <xdr:nvSpPr>
        <xdr:cNvPr id="2871" name="Line 31">
          <a:extLst>
            <a:ext uri="{FF2B5EF4-FFF2-40B4-BE49-F238E27FC236}">
              <a16:creationId xmlns:a16="http://schemas.microsoft.com/office/drawing/2014/main" id="{8F7AD44B-1E0D-6117-9251-432399640EB0}"/>
            </a:ext>
          </a:extLst>
        </xdr:cNvPr>
        <xdr:cNvSpPr>
          <a:spLocks noChangeShapeType="1"/>
        </xdr:cNvSpPr>
      </xdr:nvSpPr>
      <xdr:spPr bwMode="auto">
        <a:xfrm>
          <a:off x="5092700" y="2425700"/>
          <a:ext cx="4445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38100</xdr:colOff>
      <xdr:row>12</xdr:row>
      <xdr:rowOff>88900</xdr:rowOff>
    </xdr:from>
    <xdr:to>
      <xdr:col>9</xdr:col>
      <xdr:colOff>368300</xdr:colOff>
      <xdr:row>12</xdr:row>
      <xdr:rowOff>88900</xdr:rowOff>
    </xdr:to>
    <xdr:sp macro="" textlink="">
      <xdr:nvSpPr>
        <xdr:cNvPr id="2872" name="Line 32">
          <a:extLst>
            <a:ext uri="{FF2B5EF4-FFF2-40B4-BE49-F238E27FC236}">
              <a16:creationId xmlns:a16="http://schemas.microsoft.com/office/drawing/2014/main" id="{77161191-254E-4F3E-226F-1F51890C2FBB}"/>
            </a:ext>
          </a:extLst>
        </xdr:cNvPr>
        <xdr:cNvSpPr>
          <a:spLocks noChangeShapeType="1"/>
        </xdr:cNvSpPr>
      </xdr:nvSpPr>
      <xdr:spPr bwMode="auto">
        <a:xfrm>
          <a:off x="5651500" y="2425700"/>
          <a:ext cx="3302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203200</xdr:colOff>
      <xdr:row>7</xdr:row>
      <xdr:rowOff>76200</xdr:rowOff>
    </xdr:from>
    <xdr:to>
      <xdr:col>7</xdr:col>
      <xdr:colOff>660400</xdr:colOff>
      <xdr:row>7</xdr:row>
      <xdr:rowOff>76200</xdr:rowOff>
    </xdr:to>
    <xdr:sp macro="" textlink="">
      <xdr:nvSpPr>
        <xdr:cNvPr id="2873" name="Line 33">
          <a:extLst>
            <a:ext uri="{FF2B5EF4-FFF2-40B4-BE49-F238E27FC236}">
              <a16:creationId xmlns:a16="http://schemas.microsoft.com/office/drawing/2014/main" id="{EAE3A128-F929-D518-0338-BB05B1A1B7CC}"/>
            </a:ext>
          </a:extLst>
        </xdr:cNvPr>
        <xdr:cNvSpPr>
          <a:spLocks noChangeShapeType="1"/>
        </xdr:cNvSpPr>
      </xdr:nvSpPr>
      <xdr:spPr bwMode="auto">
        <a:xfrm flipH="1">
          <a:off x="4419600" y="1473200"/>
          <a:ext cx="4572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266700</xdr:colOff>
      <xdr:row>7</xdr:row>
      <xdr:rowOff>63500</xdr:rowOff>
    </xdr:from>
    <xdr:to>
      <xdr:col>7</xdr:col>
      <xdr:colOff>266700</xdr:colOff>
      <xdr:row>8</xdr:row>
      <xdr:rowOff>139700</xdr:rowOff>
    </xdr:to>
    <xdr:sp macro="" textlink="">
      <xdr:nvSpPr>
        <xdr:cNvPr id="2874" name="Line 34">
          <a:extLst>
            <a:ext uri="{FF2B5EF4-FFF2-40B4-BE49-F238E27FC236}">
              <a16:creationId xmlns:a16="http://schemas.microsoft.com/office/drawing/2014/main" id="{96C0A2FE-1F81-25E7-C77A-73F774AB0EAF}"/>
            </a:ext>
          </a:extLst>
        </xdr:cNvPr>
        <xdr:cNvSpPr>
          <a:spLocks noChangeShapeType="1"/>
        </xdr:cNvSpPr>
      </xdr:nvSpPr>
      <xdr:spPr bwMode="auto">
        <a:xfrm>
          <a:off x="4483100" y="1460500"/>
          <a:ext cx="0" cy="2413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254000</xdr:colOff>
      <xdr:row>5</xdr:row>
      <xdr:rowOff>76200</xdr:rowOff>
    </xdr:from>
    <xdr:to>
      <xdr:col>7</xdr:col>
      <xdr:colOff>254000</xdr:colOff>
      <xdr:row>6</xdr:row>
      <xdr:rowOff>139700</xdr:rowOff>
    </xdr:to>
    <xdr:sp macro="" textlink="">
      <xdr:nvSpPr>
        <xdr:cNvPr id="2875" name="Line 35">
          <a:extLst>
            <a:ext uri="{FF2B5EF4-FFF2-40B4-BE49-F238E27FC236}">
              <a16:creationId xmlns:a16="http://schemas.microsoft.com/office/drawing/2014/main" id="{0AF99877-DE2F-B720-0941-9510E60CC2C2}"/>
            </a:ext>
          </a:extLst>
        </xdr:cNvPr>
        <xdr:cNvSpPr>
          <a:spLocks noChangeShapeType="1"/>
        </xdr:cNvSpPr>
      </xdr:nvSpPr>
      <xdr:spPr bwMode="auto">
        <a:xfrm flipV="1">
          <a:off x="4470400" y="1104900"/>
          <a:ext cx="0" cy="2667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342900</xdr:colOff>
      <xdr:row>5</xdr:row>
      <xdr:rowOff>88900</xdr:rowOff>
    </xdr:from>
    <xdr:to>
      <xdr:col>7</xdr:col>
      <xdr:colOff>241300</xdr:colOff>
      <xdr:row>5</xdr:row>
      <xdr:rowOff>88900</xdr:rowOff>
    </xdr:to>
    <xdr:sp macro="" textlink="">
      <xdr:nvSpPr>
        <xdr:cNvPr id="2876" name="Line 36">
          <a:extLst>
            <a:ext uri="{FF2B5EF4-FFF2-40B4-BE49-F238E27FC236}">
              <a16:creationId xmlns:a16="http://schemas.microsoft.com/office/drawing/2014/main" id="{ECE114A2-FFB5-8F84-F37C-F80E26B04515}"/>
            </a:ext>
          </a:extLst>
        </xdr:cNvPr>
        <xdr:cNvSpPr>
          <a:spLocks noChangeShapeType="1"/>
        </xdr:cNvSpPr>
      </xdr:nvSpPr>
      <xdr:spPr bwMode="auto">
        <a:xfrm>
          <a:off x="3886200" y="1117600"/>
          <a:ext cx="5715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685800</xdr:colOff>
      <xdr:row>4</xdr:row>
      <xdr:rowOff>88900</xdr:rowOff>
    </xdr:from>
    <xdr:to>
      <xdr:col>8</xdr:col>
      <xdr:colOff>685800</xdr:colOff>
      <xdr:row>7</xdr:row>
      <xdr:rowOff>139700</xdr:rowOff>
    </xdr:to>
    <xdr:sp macro="" textlink="">
      <xdr:nvSpPr>
        <xdr:cNvPr id="2877" name="Line 37">
          <a:extLst>
            <a:ext uri="{FF2B5EF4-FFF2-40B4-BE49-F238E27FC236}">
              <a16:creationId xmlns:a16="http://schemas.microsoft.com/office/drawing/2014/main" id="{2A39D2AE-B897-9A79-452D-CD0448D7758A}"/>
            </a:ext>
          </a:extLst>
        </xdr:cNvPr>
        <xdr:cNvSpPr>
          <a:spLocks noChangeShapeType="1"/>
        </xdr:cNvSpPr>
      </xdr:nvSpPr>
      <xdr:spPr bwMode="auto">
        <a:xfrm flipH="1" flipV="1">
          <a:off x="5575300" y="914400"/>
          <a:ext cx="0" cy="6223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339966" mc:Ignorable="a14" a14:legacySpreadsheetColorIndex="57"/>
          </a:solidFill>
          <a:prstDash val="lgDashDot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63500</xdr:colOff>
      <xdr:row>4</xdr:row>
      <xdr:rowOff>88900</xdr:rowOff>
    </xdr:from>
    <xdr:to>
      <xdr:col>9</xdr:col>
      <xdr:colOff>63500</xdr:colOff>
      <xdr:row>7</xdr:row>
      <xdr:rowOff>76200</xdr:rowOff>
    </xdr:to>
    <xdr:sp macro="" textlink="">
      <xdr:nvSpPr>
        <xdr:cNvPr id="2878" name="Line 38">
          <a:extLst>
            <a:ext uri="{FF2B5EF4-FFF2-40B4-BE49-F238E27FC236}">
              <a16:creationId xmlns:a16="http://schemas.microsoft.com/office/drawing/2014/main" id="{BDF42BD7-8020-0F6A-7744-1DCBFD630526}"/>
            </a:ext>
          </a:extLst>
        </xdr:cNvPr>
        <xdr:cNvSpPr>
          <a:spLocks noChangeShapeType="1"/>
        </xdr:cNvSpPr>
      </xdr:nvSpPr>
      <xdr:spPr bwMode="auto">
        <a:xfrm flipV="1">
          <a:off x="5676900" y="914400"/>
          <a:ext cx="0" cy="5588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419100</xdr:colOff>
      <xdr:row>5</xdr:row>
      <xdr:rowOff>25400</xdr:rowOff>
    </xdr:from>
    <xdr:to>
      <xdr:col>8</xdr:col>
      <xdr:colOff>673100</xdr:colOff>
      <xdr:row>5</xdr:row>
      <xdr:rowOff>25400</xdr:rowOff>
    </xdr:to>
    <xdr:sp macro="" textlink="">
      <xdr:nvSpPr>
        <xdr:cNvPr id="2879" name="Line 39">
          <a:extLst>
            <a:ext uri="{FF2B5EF4-FFF2-40B4-BE49-F238E27FC236}">
              <a16:creationId xmlns:a16="http://schemas.microsoft.com/office/drawing/2014/main" id="{92901AF3-1CDA-A842-6833-85D7127F7A77}"/>
            </a:ext>
          </a:extLst>
        </xdr:cNvPr>
        <xdr:cNvSpPr>
          <a:spLocks noChangeShapeType="1"/>
        </xdr:cNvSpPr>
      </xdr:nvSpPr>
      <xdr:spPr bwMode="auto">
        <a:xfrm flipH="1">
          <a:off x="5308600" y="1054100"/>
          <a:ext cx="2540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76200</xdr:colOff>
      <xdr:row>5</xdr:row>
      <xdr:rowOff>25400</xdr:rowOff>
    </xdr:from>
    <xdr:to>
      <xdr:col>9</xdr:col>
      <xdr:colOff>292100</xdr:colOff>
      <xdr:row>5</xdr:row>
      <xdr:rowOff>25400</xdr:rowOff>
    </xdr:to>
    <xdr:sp macro="" textlink="">
      <xdr:nvSpPr>
        <xdr:cNvPr id="2880" name="Line 40">
          <a:extLst>
            <a:ext uri="{FF2B5EF4-FFF2-40B4-BE49-F238E27FC236}">
              <a16:creationId xmlns:a16="http://schemas.microsoft.com/office/drawing/2014/main" id="{2991E5A1-0D18-4AD0-B77D-29AE6772EC04}"/>
            </a:ext>
          </a:extLst>
        </xdr:cNvPr>
        <xdr:cNvSpPr>
          <a:spLocks noChangeShapeType="1"/>
        </xdr:cNvSpPr>
      </xdr:nvSpPr>
      <xdr:spPr bwMode="auto">
        <a:xfrm>
          <a:off x="5689600" y="1054100"/>
          <a:ext cx="2159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101600</xdr:colOff>
      <xdr:row>6</xdr:row>
      <xdr:rowOff>152400</xdr:rowOff>
    </xdr:from>
    <xdr:to>
      <xdr:col>11</xdr:col>
      <xdr:colOff>355600</xdr:colOff>
      <xdr:row>7</xdr:row>
      <xdr:rowOff>0</xdr:rowOff>
    </xdr:to>
    <xdr:sp macro="" textlink="">
      <xdr:nvSpPr>
        <xdr:cNvPr id="2881" name="Line 41">
          <a:extLst>
            <a:ext uri="{FF2B5EF4-FFF2-40B4-BE49-F238E27FC236}">
              <a16:creationId xmlns:a16="http://schemas.microsoft.com/office/drawing/2014/main" id="{017F487D-A247-63FF-DAB4-25A73DDC925B}"/>
            </a:ext>
          </a:extLst>
        </xdr:cNvPr>
        <xdr:cNvSpPr>
          <a:spLocks noChangeShapeType="1"/>
        </xdr:cNvSpPr>
      </xdr:nvSpPr>
      <xdr:spPr bwMode="auto">
        <a:xfrm flipV="1">
          <a:off x="6438900" y="1384300"/>
          <a:ext cx="1231900" cy="127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88900</xdr:colOff>
      <xdr:row>7</xdr:row>
      <xdr:rowOff>139700</xdr:rowOff>
    </xdr:from>
    <xdr:to>
      <xdr:col>10</xdr:col>
      <xdr:colOff>647700</xdr:colOff>
      <xdr:row>7</xdr:row>
      <xdr:rowOff>139700</xdr:rowOff>
    </xdr:to>
    <xdr:sp macro="" textlink="">
      <xdr:nvSpPr>
        <xdr:cNvPr id="2882" name="Line 42">
          <a:extLst>
            <a:ext uri="{FF2B5EF4-FFF2-40B4-BE49-F238E27FC236}">
              <a16:creationId xmlns:a16="http://schemas.microsoft.com/office/drawing/2014/main" id="{061EE497-534A-417E-6CCB-24951672F445}"/>
            </a:ext>
          </a:extLst>
        </xdr:cNvPr>
        <xdr:cNvSpPr>
          <a:spLocks noChangeShapeType="1"/>
        </xdr:cNvSpPr>
      </xdr:nvSpPr>
      <xdr:spPr bwMode="auto">
        <a:xfrm>
          <a:off x="5702300" y="1536700"/>
          <a:ext cx="12827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584200</xdr:colOff>
      <xdr:row>5</xdr:row>
      <xdr:rowOff>114300</xdr:rowOff>
    </xdr:from>
    <xdr:to>
      <xdr:col>10</xdr:col>
      <xdr:colOff>584200</xdr:colOff>
      <xdr:row>6</xdr:row>
      <xdr:rowOff>152400</xdr:rowOff>
    </xdr:to>
    <xdr:sp macro="" textlink="">
      <xdr:nvSpPr>
        <xdr:cNvPr id="2883" name="Line 43">
          <a:extLst>
            <a:ext uri="{FF2B5EF4-FFF2-40B4-BE49-F238E27FC236}">
              <a16:creationId xmlns:a16="http://schemas.microsoft.com/office/drawing/2014/main" id="{6B6E9D4D-53BE-F7EE-A4C7-6DE54E72E960}"/>
            </a:ext>
          </a:extLst>
        </xdr:cNvPr>
        <xdr:cNvSpPr>
          <a:spLocks noChangeShapeType="1"/>
        </xdr:cNvSpPr>
      </xdr:nvSpPr>
      <xdr:spPr bwMode="auto">
        <a:xfrm flipV="1">
          <a:off x="6921500" y="1143000"/>
          <a:ext cx="0" cy="2413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596900</xdr:colOff>
      <xdr:row>7</xdr:row>
      <xdr:rowOff>139700</xdr:rowOff>
    </xdr:from>
    <xdr:to>
      <xdr:col>10</xdr:col>
      <xdr:colOff>596900</xdr:colOff>
      <xdr:row>9</xdr:row>
      <xdr:rowOff>0</xdr:rowOff>
    </xdr:to>
    <xdr:sp macro="" textlink="">
      <xdr:nvSpPr>
        <xdr:cNvPr id="2884" name="Line 44">
          <a:extLst>
            <a:ext uri="{FF2B5EF4-FFF2-40B4-BE49-F238E27FC236}">
              <a16:creationId xmlns:a16="http://schemas.microsoft.com/office/drawing/2014/main" id="{9A60D8B3-1941-52CC-01F9-36847DC992C3}"/>
            </a:ext>
          </a:extLst>
        </xdr:cNvPr>
        <xdr:cNvSpPr>
          <a:spLocks noChangeShapeType="1"/>
        </xdr:cNvSpPr>
      </xdr:nvSpPr>
      <xdr:spPr bwMode="auto">
        <a:xfrm>
          <a:off x="6934200" y="1536700"/>
          <a:ext cx="0" cy="2286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596900</xdr:colOff>
      <xdr:row>5</xdr:row>
      <xdr:rowOff>114300</xdr:rowOff>
    </xdr:from>
    <xdr:to>
      <xdr:col>11</xdr:col>
      <xdr:colOff>76200</xdr:colOff>
      <xdr:row>5</xdr:row>
      <xdr:rowOff>114300</xdr:rowOff>
    </xdr:to>
    <xdr:sp macro="" textlink="">
      <xdr:nvSpPr>
        <xdr:cNvPr id="2885" name="Line 45">
          <a:extLst>
            <a:ext uri="{FF2B5EF4-FFF2-40B4-BE49-F238E27FC236}">
              <a16:creationId xmlns:a16="http://schemas.microsoft.com/office/drawing/2014/main" id="{2F7EB64D-DA8A-A56C-558A-CF84BDDE8BE4}"/>
            </a:ext>
          </a:extLst>
        </xdr:cNvPr>
        <xdr:cNvSpPr>
          <a:spLocks noChangeShapeType="1"/>
        </xdr:cNvSpPr>
      </xdr:nvSpPr>
      <xdr:spPr bwMode="auto">
        <a:xfrm>
          <a:off x="6934200" y="1143000"/>
          <a:ext cx="4572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533400</xdr:colOff>
      <xdr:row>9</xdr:row>
      <xdr:rowOff>152400</xdr:rowOff>
    </xdr:from>
    <xdr:to>
      <xdr:col>11</xdr:col>
      <xdr:colOff>355600</xdr:colOff>
      <xdr:row>9</xdr:row>
      <xdr:rowOff>152400</xdr:rowOff>
    </xdr:to>
    <xdr:sp macro="" textlink="">
      <xdr:nvSpPr>
        <xdr:cNvPr id="2886" name="Line 46">
          <a:extLst>
            <a:ext uri="{FF2B5EF4-FFF2-40B4-BE49-F238E27FC236}">
              <a16:creationId xmlns:a16="http://schemas.microsoft.com/office/drawing/2014/main" id="{0544C7D9-8B40-73E3-B8CC-97FFAA214058}"/>
            </a:ext>
          </a:extLst>
        </xdr:cNvPr>
        <xdr:cNvSpPr>
          <a:spLocks noChangeShapeType="1"/>
        </xdr:cNvSpPr>
      </xdr:nvSpPr>
      <xdr:spPr bwMode="auto">
        <a:xfrm>
          <a:off x="5422900" y="1917700"/>
          <a:ext cx="22479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Dot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660400</xdr:colOff>
      <xdr:row>9</xdr:row>
      <xdr:rowOff>101600</xdr:rowOff>
    </xdr:from>
    <xdr:to>
      <xdr:col>9</xdr:col>
      <xdr:colOff>38100</xdr:colOff>
      <xdr:row>10</xdr:row>
      <xdr:rowOff>76200</xdr:rowOff>
    </xdr:to>
    <xdr:sp macro="" textlink="">
      <xdr:nvSpPr>
        <xdr:cNvPr id="2887" name="Rectangle 47">
          <a:extLst>
            <a:ext uri="{FF2B5EF4-FFF2-40B4-BE49-F238E27FC236}">
              <a16:creationId xmlns:a16="http://schemas.microsoft.com/office/drawing/2014/main" id="{233226E9-6F74-DE95-77BF-BE23D0FB89CF}"/>
            </a:ext>
          </a:extLst>
        </xdr:cNvPr>
        <xdr:cNvSpPr>
          <a:spLocks noChangeArrowheads="1"/>
        </xdr:cNvSpPr>
      </xdr:nvSpPr>
      <xdr:spPr bwMode="auto">
        <a:xfrm>
          <a:off x="5549900" y="1866900"/>
          <a:ext cx="101600" cy="139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FF" mc:Ignorable="a14" a14:legacySpreadsheetColorIndex="1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254000</xdr:colOff>
      <xdr:row>9</xdr:row>
      <xdr:rowOff>25400</xdr:rowOff>
    </xdr:from>
    <xdr:to>
      <xdr:col>11</xdr:col>
      <xdr:colOff>254000</xdr:colOff>
      <xdr:row>9</xdr:row>
      <xdr:rowOff>165100</xdr:rowOff>
    </xdr:to>
    <xdr:sp macro="" textlink="">
      <xdr:nvSpPr>
        <xdr:cNvPr id="2888" name="Line 48">
          <a:extLst>
            <a:ext uri="{FF2B5EF4-FFF2-40B4-BE49-F238E27FC236}">
              <a16:creationId xmlns:a16="http://schemas.microsoft.com/office/drawing/2014/main" id="{6426491F-CC53-33D8-58D8-D454E5ACA57A}"/>
            </a:ext>
          </a:extLst>
        </xdr:cNvPr>
        <xdr:cNvSpPr>
          <a:spLocks noChangeShapeType="1"/>
        </xdr:cNvSpPr>
      </xdr:nvSpPr>
      <xdr:spPr bwMode="auto">
        <a:xfrm flipV="1">
          <a:off x="7569200" y="1790700"/>
          <a:ext cx="0" cy="1397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254000</xdr:colOff>
      <xdr:row>7</xdr:row>
      <xdr:rowOff>0</xdr:rowOff>
    </xdr:from>
    <xdr:to>
      <xdr:col>11</xdr:col>
      <xdr:colOff>254000</xdr:colOff>
      <xdr:row>7</xdr:row>
      <xdr:rowOff>139700</xdr:rowOff>
    </xdr:to>
    <xdr:sp macro="" textlink="">
      <xdr:nvSpPr>
        <xdr:cNvPr id="2889" name="Line 49">
          <a:extLst>
            <a:ext uri="{FF2B5EF4-FFF2-40B4-BE49-F238E27FC236}">
              <a16:creationId xmlns:a16="http://schemas.microsoft.com/office/drawing/2014/main" id="{8AFEFCD6-829B-80EB-D56D-C42028CA92C7}"/>
            </a:ext>
          </a:extLst>
        </xdr:cNvPr>
        <xdr:cNvSpPr>
          <a:spLocks noChangeShapeType="1"/>
        </xdr:cNvSpPr>
      </xdr:nvSpPr>
      <xdr:spPr bwMode="auto">
        <a:xfrm>
          <a:off x="7569200" y="1397000"/>
          <a:ext cx="0" cy="1397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19</xdr:col>
      <xdr:colOff>18048</xdr:colOff>
      <xdr:row>32</xdr:row>
      <xdr:rowOff>43447</xdr:rowOff>
    </xdr:from>
    <xdr:to>
      <xdr:col>29</xdr:col>
      <xdr:colOff>636338</xdr:colOff>
      <xdr:row>49</xdr:row>
      <xdr:rowOff>59489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C76E2F4-AE28-4B85-6DCB-0F43F5CBB9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97206" y="5698289"/>
          <a:ext cx="7302500" cy="274320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419100</xdr:colOff>
      <xdr:row>28</xdr:row>
      <xdr:rowOff>139700</xdr:rowOff>
    </xdr:from>
    <xdr:to>
      <xdr:col>8</xdr:col>
      <xdr:colOff>469900</xdr:colOff>
      <xdr:row>34</xdr:row>
      <xdr:rowOff>101600</xdr:rowOff>
    </xdr:to>
    <xdr:sp macro="" textlink="">
      <xdr:nvSpPr>
        <xdr:cNvPr id="34028" name="AutoShape 2">
          <a:extLst>
            <a:ext uri="{FF2B5EF4-FFF2-40B4-BE49-F238E27FC236}">
              <a16:creationId xmlns:a16="http://schemas.microsoft.com/office/drawing/2014/main" id="{6EC5FEAA-9EFD-7184-436B-7B22AAF529ED}"/>
            </a:ext>
          </a:extLst>
        </xdr:cNvPr>
        <xdr:cNvSpPr>
          <a:spLocks noChangeArrowheads="1"/>
        </xdr:cNvSpPr>
      </xdr:nvSpPr>
      <xdr:spPr bwMode="auto">
        <a:xfrm rot="-5400000">
          <a:off x="5321300" y="4013200"/>
          <a:ext cx="1066800" cy="2489200"/>
        </a:xfrm>
        <a:prstGeom prst="rtTriangl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596900</xdr:colOff>
      <xdr:row>30</xdr:row>
      <xdr:rowOff>50800</xdr:rowOff>
    </xdr:from>
    <xdr:to>
      <xdr:col>6</xdr:col>
      <xdr:colOff>88900</xdr:colOff>
      <xdr:row>34</xdr:row>
      <xdr:rowOff>12700</xdr:rowOff>
    </xdr:to>
    <xdr:sp macro="" textlink="">
      <xdr:nvSpPr>
        <xdr:cNvPr id="34029" name="Line 3">
          <a:extLst>
            <a:ext uri="{FF2B5EF4-FFF2-40B4-BE49-F238E27FC236}">
              <a16:creationId xmlns:a16="http://schemas.microsoft.com/office/drawing/2014/main" id="{3B9EC4C5-28EF-FDDD-DDB1-D0FBE6E0294E}"/>
            </a:ext>
          </a:extLst>
        </xdr:cNvPr>
        <xdr:cNvSpPr>
          <a:spLocks noChangeShapeType="1"/>
        </xdr:cNvSpPr>
      </xdr:nvSpPr>
      <xdr:spPr bwMode="auto">
        <a:xfrm flipH="1" flipV="1">
          <a:off x="4787900" y="5016500"/>
          <a:ext cx="393700" cy="6858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oval" w="med" len="med"/>
          <a:tailEnd type="oval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749300</xdr:colOff>
      <xdr:row>31</xdr:row>
      <xdr:rowOff>114300</xdr:rowOff>
    </xdr:from>
    <xdr:to>
      <xdr:col>16</xdr:col>
      <xdr:colOff>673100</xdr:colOff>
      <xdr:row>31</xdr:row>
      <xdr:rowOff>114300</xdr:rowOff>
    </xdr:to>
    <xdr:sp macro="" textlink="">
      <xdr:nvSpPr>
        <xdr:cNvPr id="34030" name="Line 4">
          <a:extLst>
            <a:ext uri="{FF2B5EF4-FFF2-40B4-BE49-F238E27FC236}">
              <a16:creationId xmlns:a16="http://schemas.microsoft.com/office/drawing/2014/main" id="{00B313B7-24F7-F99B-48CD-AC45A39C3A25}"/>
            </a:ext>
          </a:extLst>
        </xdr:cNvPr>
        <xdr:cNvSpPr>
          <a:spLocks noChangeShapeType="1"/>
        </xdr:cNvSpPr>
      </xdr:nvSpPr>
      <xdr:spPr bwMode="auto">
        <a:xfrm flipH="1">
          <a:off x="10858500" y="52705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215900</xdr:colOff>
      <xdr:row>29</xdr:row>
      <xdr:rowOff>25400</xdr:rowOff>
    </xdr:from>
    <xdr:to>
      <xdr:col>7</xdr:col>
      <xdr:colOff>317500</xdr:colOff>
      <xdr:row>31</xdr:row>
      <xdr:rowOff>76200</xdr:rowOff>
    </xdr:to>
    <xdr:sp macro="" textlink="">
      <xdr:nvSpPr>
        <xdr:cNvPr id="34031" name="Line 5">
          <a:extLst>
            <a:ext uri="{FF2B5EF4-FFF2-40B4-BE49-F238E27FC236}">
              <a16:creationId xmlns:a16="http://schemas.microsoft.com/office/drawing/2014/main" id="{C262BCC7-71F1-3A43-B03C-CAC01F83B37F}"/>
            </a:ext>
          </a:extLst>
        </xdr:cNvPr>
        <xdr:cNvSpPr>
          <a:spLocks noChangeShapeType="1"/>
        </xdr:cNvSpPr>
      </xdr:nvSpPr>
      <xdr:spPr bwMode="auto">
        <a:xfrm flipH="1">
          <a:off x="5981700" y="4800600"/>
          <a:ext cx="101600" cy="4318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oval" w="med" len="med"/>
          <a:tailEnd type="oval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584200</xdr:colOff>
      <xdr:row>28</xdr:row>
      <xdr:rowOff>127000</xdr:rowOff>
    </xdr:from>
    <xdr:to>
      <xdr:col>9</xdr:col>
      <xdr:colOff>571500</xdr:colOff>
      <xdr:row>28</xdr:row>
      <xdr:rowOff>127000</xdr:rowOff>
    </xdr:to>
    <xdr:sp macro="" textlink="">
      <xdr:nvSpPr>
        <xdr:cNvPr id="34032" name="Line 6">
          <a:extLst>
            <a:ext uri="{FF2B5EF4-FFF2-40B4-BE49-F238E27FC236}">
              <a16:creationId xmlns:a16="http://schemas.microsoft.com/office/drawing/2014/main" id="{4CBA111C-1723-33D2-29C5-4DD92EC65CDC}"/>
            </a:ext>
          </a:extLst>
        </xdr:cNvPr>
        <xdr:cNvSpPr>
          <a:spLocks noChangeShapeType="1"/>
        </xdr:cNvSpPr>
      </xdr:nvSpPr>
      <xdr:spPr bwMode="auto">
        <a:xfrm>
          <a:off x="7213600" y="4711700"/>
          <a:ext cx="6604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368300</xdr:colOff>
      <xdr:row>28</xdr:row>
      <xdr:rowOff>139700</xdr:rowOff>
    </xdr:from>
    <xdr:to>
      <xdr:col>9</xdr:col>
      <xdr:colOff>368300</xdr:colOff>
      <xdr:row>30</xdr:row>
      <xdr:rowOff>25400</xdr:rowOff>
    </xdr:to>
    <xdr:sp macro="" textlink="">
      <xdr:nvSpPr>
        <xdr:cNvPr id="34033" name="Line 7">
          <a:extLst>
            <a:ext uri="{FF2B5EF4-FFF2-40B4-BE49-F238E27FC236}">
              <a16:creationId xmlns:a16="http://schemas.microsoft.com/office/drawing/2014/main" id="{E98A383F-E870-692C-C40E-EC32678A7EC7}"/>
            </a:ext>
          </a:extLst>
        </xdr:cNvPr>
        <xdr:cNvSpPr>
          <a:spLocks noChangeShapeType="1"/>
        </xdr:cNvSpPr>
      </xdr:nvSpPr>
      <xdr:spPr bwMode="auto">
        <a:xfrm>
          <a:off x="7670800" y="4724400"/>
          <a:ext cx="0" cy="2667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558800</xdr:colOff>
      <xdr:row>34</xdr:row>
      <xdr:rowOff>101600</xdr:rowOff>
    </xdr:from>
    <xdr:to>
      <xdr:col>9</xdr:col>
      <xdr:colOff>558800</xdr:colOff>
      <xdr:row>34</xdr:row>
      <xdr:rowOff>101600</xdr:rowOff>
    </xdr:to>
    <xdr:sp macro="" textlink="">
      <xdr:nvSpPr>
        <xdr:cNvPr id="34034" name="Line 8">
          <a:extLst>
            <a:ext uri="{FF2B5EF4-FFF2-40B4-BE49-F238E27FC236}">
              <a16:creationId xmlns:a16="http://schemas.microsoft.com/office/drawing/2014/main" id="{33885F1B-DC3C-9FBA-046C-73B0A0F314D2}"/>
            </a:ext>
          </a:extLst>
        </xdr:cNvPr>
        <xdr:cNvSpPr>
          <a:spLocks noChangeShapeType="1"/>
        </xdr:cNvSpPr>
      </xdr:nvSpPr>
      <xdr:spPr bwMode="auto">
        <a:xfrm>
          <a:off x="7188200" y="5791200"/>
          <a:ext cx="6731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381000</xdr:colOff>
      <xdr:row>32</xdr:row>
      <xdr:rowOff>12700</xdr:rowOff>
    </xdr:from>
    <xdr:to>
      <xdr:col>9</xdr:col>
      <xdr:colOff>381000</xdr:colOff>
      <xdr:row>34</xdr:row>
      <xdr:rowOff>101600</xdr:rowOff>
    </xdr:to>
    <xdr:sp macro="" textlink="">
      <xdr:nvSpPr>
        <xdr:cNvPr id="34035" name="Line 9">
          <a:extLst>
            <a:ext uri="{FF2B5EF4-FFF2-40B4-BE49-F238E27FC236}">
              <a16:creationId xmlns:a16="http://schemas.microsoft.com/office/drawing/2014/main" id="{3B01DA33-2BB2-4B18-C2B4-085C58FF3B73}"/>
            </a:ext>
          </a:extLst>
        </xdr:cNvPr>
        <xdr:cNvSpPr>
          <a:spLocks noChangeShapeType="1"/>
        </xdr:cNvSpPr>
      </xdr:nvSpPr>
      <xdr:spPr bwMode="auto">
        <a:xfrm flipV="1">
          <a:off x="7683500" y="5359400"/>
          <a:ext cx="0" cy="4318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482600</xdr:colOff>
      <xdr:row>34</xdr:row>
      <xdr:rowOff>139700</xdr:rowOff>
    </xdr:from>
    <xdr:to>
      <xdr:col>8</xdr:col>
      <xdr:colOff>482600</xdr:colOff>
      <xdr:row>37</xdr:row>
      <xdr:rowOff>25400</xdr:rowOff>
    </xdr:to>
    <xdr:sp macro="" textlink="">
      <xdr:nvSpPr>
        <xdr:cNvPr id="34036" name="Line 10">
          <a:extLst>
            <a:ext uri="{FF2B5EF4-FFF2-40B4-BE49-F238E27FC236}">
              <a16:creationId xmlns:a16="http://schemas.microsoft.com/office/drawing/2014/main" id="{571383F4-C3EA-62F9-1BD7-E758BFC25903}"/>
            </a:ext>
          </a:extLst>
        </xdr:cNvPr>
        <xdr:cNvSpPr>
          <a:spLocks noChangeShapeType="1"/>
        </xdr:cNvSpPr>
      </xdr:nvSpPr>
      <xdr:spPr bwMode="auto">
        <a:xfrm>
          <a:off x="7112000" y="5829300"/>
          <a:ext cx="0" cy="4191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12700</xdr:colOff>
      <xdr:row>36</xdr:row>
      <xdr:rowOff>88900</xdr:rowOff>
    </xdr:from>
    <xdr:to>
      <xdr:col>8</xdr:col>
      <xdr:colOff>482600</xdr:colOff>
      <xdr:row>36</xdr:row>
      <xdr:rowOff>88900</xdr:rowOff>
    </xdr:to>
    <xdr:sp macro="" textlink="">
      <xdr:nvSpPr>
        <xdr:cNvPr id="34037" name="Line 11">
          <a:extLst>
            <a:ext uri="{FF2B5EF4-FFF2-40B4-BE49-F238E27FC236}">
              <a16:creationId xmlns:a16="http://schemas.microsoft.com/office/drawing/2014/main" id="{D5074ACF-7F6E-69C9-9A2C-1347B5BCA749}"/>
            </a:ext>
          </a:extLst>
        </xdr:cNvPr>
        <xdr:cNvSpPr>
          <a:spLocks noChangeShapeType="1"/>
        </xdr:cNvSpPr>
      </xdr:nvSpPr>
      <xdr:spPr bwMode="auto">
        <a:xfrm flipH="1">
          <a:off x="6642100" y="6121400"/>
          <a:ext cx="4699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368300</xdr:colOff>
      <xdr:row>34</xdr:row>
      <xdr:rowOff>139700</xdr:rowOff>
    </xdr:from>
    <xdr:to>
      <xdr:col>5</xdr:col>
      <xdr:colOff>368300</xdr:colOff>
      <xdr:row>37</xdr:row>
      <xdr:rowOff>25400</xdr:rowOff>
    </xdr:to>
    <xdr:sp macro="" textlink="">
      <xdr:nvSpPr>
        <xdr:cNvPr id="34038" name="Line 12">
          <a:extLst>
            <a:ext uri="{FF2B5EF4-FFF2-40B4-BE49-F238E27FC236}">
              <a16:creationId xmlns:a16="http://schemas.microsoft.com/office/drawing/2014/main" id="{1083B3AC-28F9-039A-FF6A-25BA2B74258F}"/>
            </a:ext>
          </a:extLst>
        </xdr:cNvPr>
        <xdr:cNvSpPr>
          <a:spLocks noChangeShapeType="1"/>
        </xdr:cNvSpPr>
      </xdr:nvSpPr>
      <xdr:spPr bwMode="auto">
        <a:xfrm>
          <a:off x="4559300" y="5829300"/>
          <a:ext cx="0" cy="4191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368300</xdr:colOff>
      <xdr:row>36</xdr:row>
      <xdr:rowOff>101600</xdr:rowOff>
    </xdr:from>
    <xdr:to>
      <xdr:col>6</xdr:col>
      <xdr:colOff>660400</xdr:colOff>
      <xdr:row>36</xdr:row>
      <xdr:rowOff>101600</xdr:rowOff>
    </xdr:to>
    <xdr:sp macro="" textlink="">
      <xdr:nvSpPr>
        <xdr:cNvPr id="34039" name="Line 13">
          <a:extLst>
            <a:ext uri="{FF2B5EF4-FFF2-40B4-BE49-F238E27FC236}">
              <a16:creationId xmlns:a16="http://schemas.microsoft.com/office/drawing/2014/main" id="{59B419DB-9E82-894E-911B-E5F68F79F1BF}"/>
            </a:ext>
          </a:extLst>
        </xdr:cNvPr>
        <xdr:cNvSpPr>
          <a:spLocks noChangeShapeType="1"/>
        </xdr:cNvSpPr>
      </xdr:nvSpPr>
      <xdr:spPr bwMode="auto">
        <a:xfrm>
          <a:off x="4559300" y="6134100"/>
          <a:ext cx="11938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711200</xdr:colOff>
      <xdr:row>23</xdr:row>
      <xdr:rowOff>114300</xdr:rowOff>
    </xdr:from>
    <xdr:to>
      <xdr:col>6</xdr:col>
      <xdr:colOff>12700</xdr:colOff>
      <xdr:row>23</xdr:row>
      <xdr:rowOff>114300</xdr:rowOff>
    </xdr:to>
    <xdr:sp macro="" textlink="">
      <xdr:nvSpPr>
        <xdr:cNvPr id="34040" name="Line 14">
          <a:extLst>
            <a:ext uri="{FF2B5EF4-FFF2-40B4-BE49-F238E27FC236}">
              <a16:creationId xmlns:a16="http://schemas.microsoft.com/office/drawing/2014/main" id="{85106C4C-C306-1DC4-2D88-65BD7140245C}"/>
            </a:ext>
          </a:extLst>
        </xdr:cNvPr>
        <xdr:cNvSpPr>
          <a:spLocks noChangeShapeType="1"/>
        </xdr:cNvSpPr>
      </xdr:nvSpPr>
      <xdr:spPr bwMode="auto">
        <a:xfrm flipH="1">
          <a:off x="4902200" y="3822700"/>
          <a:ext cx="2032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457200</xdr:colOff>
      <xdr:row>9</xdr:row>
      <xdr:rowOff>152400</xdr:rowOff>
    </xdr:from>
    <xdr:to>
      <xdr:col>5</xdr:col>
      <xdr:colOff>279400</xdr:colOff>
      <xdr:row>19</xdr:row>
      <xdr:rowOff>152400</xdr:rowOff>
    </xdr:to>
    <xdr:sp macro="" textlink="">
      <xdr:nvSpPr>
        <xdr:cNvPr id="52900" name="Oval 2">
          <a:extLst>
            <a:ext uri="{FF2B5EF4-FFF2-40B4-BE49-F238E27FC236}">
              <a16:creationId xmlns:a16="http://schemas.microsoft.com/office/drawing/2014/main" id="{B89252B0-4CE2-BC0A-72BD-C305DDA4D376}"/>
            </a:ext>
          </a:extLst>
        </xdr:cNvPr>
        <xdr:cNvSpPr>
          <a:spLocks noChangeArrowheads="1"/>
        </xdr:cNvSpPr>
      </xdr:nvSpPr>
      <xdr:spPr bwMode="auto">
        <a:xfrm>
          <a:off x="1778000" y="1739900"/>
          <a:ext cx="1841500" cy="17907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2857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dashDot"/>
          <a:round/>
          <a:headEnd/>
          <a:tailEnd/>
        </a:ln>
      </xdr:spPr>
    </xdr:sp>
    <xdr:clientData/>
  </xdr:twoCellAnchor>
  <xdr:twoCellAnchor>
    <xdr:from>
      <xdr:col>2</xdr:col>
      <xdr:colOff>177800</xdr:colOff>
      <xdr:row>5</xdr:row>
      <xdr:rowOff>139700</xdr:rowOff>
    </xdr:from>
    <xdr:to>
      <xdr:col>6</xdr:col>
      <xdr:colOff>342900</xdr:colOff>
      <xdr:row>24</xdr:row>
      <xdr:rowOff>12700</xdr:rowOff>
    </xdr:to>
    <xdr:sp macro="" textlink="">
      <xdr:nvSpPr>
        <xdr:cNvPr id="52901" name="AutoShape 3">
          <a:extLst>
            <a:ext uri="{FF2B5EF4-FFF2-40B4-BE49-F238E27FC236}">
              <a16:creationId xmlns:a16="http://schemas.microsoft.com/office/drawing/2014/main" id="{F25CE180-6F30-1CA5-A56D-284A0BA8A515}"/>
            </a:ext>
          </a:extLst>
        </xdr:cNvPr>
        <xdr:cNvSpPr>
          <a:spLocks noChangeArrowheads="1"/>
        </xdr:cNvSpPr>
      </xdr:nvSpPr>
      <xdr:spPr bwMode="auto">
        <a:xfrm rot="5813229">
          <a:off x="1289050" y="1238250"/>
          <a:ext cx="3276600" cy="2857500"/>
        </a:xfrm>
        <a:custGeom>
          <a:avLst/>
          <a:gdLst>
            <a:gd name="T0" fmla="*/ 2147483646 w 21600"/>
            <a:gd name="T1" fmla="*/ 0 h 21600"/>
            <a:gd name="T2" fmla="*/ 2147483646 w 21600"/>
            <a:gd name="T3" fmla="*/ 2147483646 h 21600"/>
            <a:gd name="T4" fmla="*/ 2147483646 w 21600"/>
            <a:gd name="T5" fmla="*/ 2147483646 h 21600"/>
            <a:gd name="T6" fmla="*/ 2147483646 w 21600"/>
            <a:gd name="T7" fmla="*/ 2147483646 h 21600"/>
            <a:gd name="T8" fmla="*/ 0 60000 65536"/>
            <a:gd name="T9" fmla="*/ 0 60000 65536"/>
            <a:gd name="T10" fmla="*/ 0 60000 65536"/>
            <a:gd name="T11" fmla="*/ 0 60000 65536"/>
            <a:gd name="T12" fmla="*/ 22 w 21600"/>
            <a:gd name="T13" fmla="*/ 0 h 21600"/>
            <a:gd name="T14" fmla="*/ 21578 w 21600"/>
            <a:gd name="T15" fmla="*/ 11224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4319" y="9441"/>
              </a:moveTo>
              <a:cubicBezTo>
                <a:pt x="4962" y="6374"/>
                <a:pt x="7667" y="4178"/>
                <a:pt x="10800" y="4179"/>
              </a:cubicBezTo>
              <a:cubicBezTo>
                <a:pt x="13932" y="4179"/>
                <a:pt x="16637" y="6374"/>
                <a:pt x="17280" y="9441"/>
              </a:cubicBezTo>
              <a:lnTo>
                <a:pt x="21370" y="8583"/>
              </a:lnTo>
              <a:cubicBezTo>
                <a:pt x="20321" y="3581"/>
                <a:pt x="15910" y="-1"/>
                <a:pt x="10799" y="0"/>
              </a:cubicBezTo>
              <a:cubicBezTo>
                <a:pt x="5689" y="0"/>
                <a:pt x="1278" y="3581"/>
                <a:pt x="229" y="8583"/>
              </a:cubicBezTo>
              <a:lnTo>
                <a:pt x="4319" y="9441"/>
              </a:lnTo>
              <a:close/>
            </a:path>
          </a:pathLst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28575">
          <a:solidFill>
            <a:srgbClr xmlns:mc="http://schemas.openxmlformats.org/markup-compatibility/2006" xmlns:a14="http://schemas.microsoft.com/office/drawing/2010/main" val="666699" mc:Ignorable="a14" a14:legacySpreadsheetColorIndex="54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38100</xdr:colOff>
      <xdr:row>14</xdr:row>
      <xdr:rowOff>127000</xdr:rowOff>
    </xdr:from>
    <xdr:to>
      <xdr:col>6</xdr:col>
      <xdr:colOff>431800</xdr:colOff>
      <xdr:row>21</xdr:row>
      <xdr:rowOff>25400</xdr:rowOff>
    </xdr:to>
    <xdr:sp macro="" textlink="">
      <xdr:nvSpPr>
        <xdr:cNvPr id="52902" name="Line 4">
          <a:extLst>
            <a:ext uri="{FF2B5EF4-FFF2-40B4-BE49-F238E27FC236}">
              <a16:creationId xmlns:a16="http://schemas.microsoft.com/office/drawing/2014/main" id="{D50540A2-E993-8491-395B-5146D3EAC6F7}"/>
            </a:ext>
          </a:extLst>
        </xdr:cNvPr>
        <xdr:cNvSpPr>
          <a:spLocks noChangeShapeType="1"/>
        </xdr:cNvSpPr>
      </xdr:nvSpPr>
      <xdr:spPr bwMode="auto">
        <a:xfrm rot="-138348">
          <a:off x="2705100" y="2578100"/>
          <a:ext cx="1739900" cy="11811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660400</xdr:colOff>
      <xdr:row>15</xdr:row>
      <xdr:rowOff>0</xdr:rowOff>
    </xdr:from>
    <xdr:to>
      <xdr:col>5</xdr:col>
      <xdr:colOff>292100</xdr:colOff>
      <xdr:row>26</xdr:row>
      <xdr:rowOff>152400</xdr:rowOff>
    </xdr:to>
    <xdr:sp macro="" textlink="">
      <xdr:nvSpPr>
        <xdr:cNvPr id="52903" name="Line 5">
          <a:extLst>
            <a:ext uri="{FF2B5EF4-FFF2-40B4-BE49-F238E27FC236}">
              <a16:creationId xmlns:a16="http://schemas.microsoft.com/office/drawing/2014/main" id="{CE493831-37EF-8BA3-A038-17BA8AFE1D7E}"/>
            </a:ext>
          </a:extLst>
        </xdr:cNvPr>
        <xdr:cNvSpPr>
          <a:spLocks noChangeShapeType="1"/>
        </xdr:cNvSpPr>
      </xdr:nvSpPr>
      <xdr:spPr bwMode="auto">
        <a:xfrm rot="94222">
          <a:off x="2654300" y="2628900"/>
          <a:ext cx="977900" cy="21971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584200</xdr:colOff>
      <xdr:row>18</xdr:row>
      <xdr:rowOff>63500</xdr:rowOff>
    </xdr:from>
    <xdr:to>
      <xdr:col>5</xdr:col>
      <xdr:colOff>508000</xdr:colOff>
      <xdr:row>29</xdr:row>
      <xdr:rowOff>50800</xdr:rowOff>
    </xdr:to>
    <xdr:sp macro="" textlink="">
      <xdr:nvSpPr>
        <xdr:cNvPr id="52904" name="Arc 7">
          <a:extLst>
            <a:ext uri="{FF2B5EF4-FFF2-40B4-BE49-F238E27FC236}">
              <a16:creationId xmlns:a16="http://schemas.microsoft.com/office/drawing/2014/main" id="{79275FB8-62B0-3383-0ADB-AC90DACAEB49}"/>
            </a:ext>
          </a:extLst>
        </xdr:cNvPr>
        <xdr:cNvSpPr>
          <a:spLocks/>
        </xdr:cNvSpPr>
      </xdr:nvSpPr>
      <xdr:spPr bwMode="auto">
        <a:xfrm rot="7848458">
          <a:off x="2533650" y="3981450"/>
          <a:ext cx="2032000" cy="596900"/>
        </a:xfrm>
        <a:custGeom>
          <a:avLst/>
          <a:gdLst>
            <a:gd name="T0" fmla="*/ 0 w 33005"/>
            <a:gd name="T1" fmla="*/ 2147483646 h 21600"/>
            <a:gd name="T2" fmla="*/ 2147483646 w 33005"/>
            <a:gd name="T3" fmla="*/ 2147483646 h 21600"/>
            <a:gd name="T4" fmla="*/ 2147483646 w 33005"/>
            <a:gd name="T5" fmla="*/ 2147483646 h 21600"/>
            <a:gd name="T6" fmla="*/ 0 60000 65536"/>
            <a:gd name="T7" fmla="*/ 0 60000 65536"/>
            <a:gd name="T8" fmla="*/ 0 60000 65536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0" t="0" r="r" b="b"/>
          <a:pathLst>
            <a:path w="33005" h="21600" fill="none" extrusionOk="0">
              <a:moveTo>
                <a:pt x="-1" y="3390"/>
              </a:moveTo>
              <a:cubicBezTo>
                <a:pt x="3470" y="1176"/>
                <a:pt x="7501" y="-1"/>
                <a:pt x="11618" y="0"/>
              </a:cubicBezTo>
              <a:cubicBezTo>
                <a:pt x="22377" y="0"/>
                <a:pt x="31495" y="7918"/>
                <a:pt x="33004" y="18571"/>
              </a:cubicBezTo>
            </a:path>
            <a:path w="33005" h="21600" stroke="0" extrusionOk="0">
              <a:moveTo>
                <a:pt x="-1" y="3390"/>
              </a:moveTo>
              <a:cubicBezTo>
                <a:pt x="3470" y="1176"/>
                <a:pt x="7501" y="-1"/>
                <a:pt x="11618" y="0"/>
              </a:cubicBezTo>
              <a:cubicBezTo>
                <a:pt x="22377" y="0"/>
                <a:pt x="31495" y="7918"/>
                <a:pt x="33004" y="18571"/>
              </a:cubicBezTo>
              <a:lnTo>
                <a:pt x="11618" y="21600"/>
              </a:lnTo>
              <a:lnTo>
                <a:pt x="-1" y="3390"/>
              </a:lnTo>
              <a:close/>
            </a:path>
          </a:pathLst>
        </a:cu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3</xdr:col>
      <xdr:colOff>546100</xdr:colOff>
      <xdr:row>20</xdr:row>
      <xdr:rowOff>127000</xdr:rowOff>
    </xdr:from>
    <xdr:to>
      <xdr:col>3</xdr:col>
      <xdr:colOff>546100</xdr:colOff>
      <xdr:row>21</xdr:row>
      <xdr:rowOff>63500</xdr:rowOff>
    </xdr:to>
    <xdr:sp macro="" textlink="">
      <xdr:nvSpPr>
        <xdr:cNvPr id="52905" name="Line 12">
          <a:extLst>
            <a:ext uri="{FF2B5EF4-FFF2-40B4-BE49-F238E27FC236}">
              <a16:creationId xmlns:a16="http://schemas.microsoft.com/office/drawing/2014/main" id="{76DB0E15-924B-684D-589F-ACCF17E9A4D2}"/>
            </a:ext>
          </a:extLst>
        </xdr:cNvPr>
        <xdr:cNvSpPr>
          <a:spLocks noChangeShapeType="1"/>
        </xdr:cNvSpPr>
      </xdr:nvSpPr>
      <xdr:spPr bwMode="auto">
        <a:xfrm>
          <a:off x="2540000" y="3683000"/>
          <a:ext cx="0" cy="1143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177800</xdr:colOff>
      <xdr:row>20</xdr:row>
      <xdr:rowOff>127000</xdr:rowOff>
    </xdr:from>
    <xdr:to>
      <xdr:col>4</xdr:col>
      <xdr:colOff>177800</xdr:colOff>
      <xdr:row>21</xdr:row>
      <xdr:rowOff>63500</xdr:rowOff>
    </xdr:to>
    <xdr:sp macro="" textlink="">
      <xdr:nvSpPr>
        <xdr:cNvPr id="52906" name="Line 13">
          <a:extLst>
            <a:ext uri="{FF2B5EF4-FFF2-40B4-BE49-F238E27FC236}">
              <a16:creationId xmlns:a16="http://schemas.microsoft.com/office/drawing/2014/main" id="{8C6EB57D-FEC0-C30C-59AC-054AC4A8D4FD}"/>
            </a:ext>
          </a:extLst>
        </xdr:cNvPr>
        <xdr:cNvSpPr>
          <a:spLocks noChangeShapeType="1"/>
        </xdr:cNvSpPr>
      </xdr:nvSpPr>
      <xdr:spPr bwMode="auto">
        <a:xfrm>
          <a:off x="2844800" y="3683000"/>
          <a:ext cx="0" cy="1143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546100</xdr:colOff>
      <xdr:row>21</xdr:row>
      <xdr:rowOff>25400</xdr:rowOff>
    </xdr:from>
    <xdr:to>
      <xdr:col>4</xdr:col>
      <xdr:colOff>177800</xdr:colOff>
      <xdr:row>21</xdr:row>
      <xdr:rowOff>25400</xdr:rowOff>
    </xdr:to>
    <xdr:sp macro="" textlink="">
      <xdr:nvSpPr>
        <xdr:cNvPr id="52907" name="Line 14">
          <a:extLst>
            <a:ext uri="{FF2B5EF4-FFF2-40B4-BE49-F238E27FC236}">
              <a16:creationId xmlns:a16="http://schemas.microsoft.com/office/drawing/2014/main" id="{BCBB74BC-CE0D-2910-96BA-0FCBBA2D2360}"/>
            </a:ext>
          </a:extLst>
        </xdr:cNvPr>
        <xdr:cNvSpPr>
          <a:spLocks noChangeShapeType="1"/>
        </xdr:cNvSpPr>
      </xdr:nvSpPr>
      <xdr:spPr bwMode="auto">
        <a:xfrm>
          <a:off x="2540000" y="3759200"/>
          <a:ext cx="3048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654050</xdr:colOff>
      <xdr:row>24</xdr:row>
      <xdr:rowOff>22860</xdr:rowOff>
    </xdr:from>
    <xdr:to>
      <xdr:col>6</xdr:col>
      <xdr:colOff>338921</xdr:colOff>
      <xdr:row>25</xdr:row>
      <xdr:rowOff>117244</xdr:rowOff>
    </xdr:to>
    <xdr:sp macro="" textlink="">
      <xdr:nvSpPr>
        <xdr:cNvPr id="32783" name="Oval 15">
          <a:extLst>
            <a:ext uri="{FF2B5EF4-FFF2-40B4-BE49-F238E27FC236}">
              <a16:creationId xmlns:a16="http://schemas.microsoft.com/office/drawing/2014/main" id="{6B5D6A8F-2036-CF9C-69EC-4D3DA58239ED}"/>
            </a:ext>
          </a:extLst>
        </xdr:cNvPr>
        <xdr:cNvSpPr>
          <a:spLocks noChangeArrowheads="1"/>
        </xdr:cNvSpPr>
      </xdr:nvSpPr>
      <xdr:spPr bwMode="auto">
        <a:xfrm>
          <a:off x="3581400" y="4181475"/>
          <a:ext cx="323850" cy="28575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9050">
          <a:solidFill>
            <a:srgbClr xmlns:mc="http://schemas.openxmlformats.org/markup-compatibility/2006" xmlns:a14="http://schemas.microsoft.com/office/drawing/2010/main" val="339966" mc:Ignorable="a14" a14:legacySpreadsheetColorIndex="57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 1</a:t>
          </a:r>
        </a:p>
      </xdr:txBody>
    </xdr:sp>
    <xdr:clientData/>
  </xdr:twoCellAnchor>
  <xdr:twoCellAnchor>
    <xdr:from>
      <xdr:col>4</xdr:col>
      <xdr:colOff>38100</xdr:colOff>
      <xdr:row>5</xdr:row>
      <xdr:rowOff>12700</xdr:rowOff>
    </xdr:from>
    <xdr:to>
      <xdr:col>6</xdr:col>
      <xdr:colOff>38100</xdr:colOff>
      <xdr:row>15</xdr:row>
      <xdr:rowOff>0</xdr:rowOff>
    </xdr:to>
    <xdr:sp macro="" textlink="">
      <xdr:nvSpPr>
        <xdr:cNvPr id="52909" name="Line 17">
          <a:extLst>
            <a:ext uri="{FF2B5EF4-FFF2-40B4-BE49-F238E27FC236}">
              <a16:creationId xmlns:a16="http://schemas.microsoft.com/office/drawing/2014/main" id="{75C0E7A0-10F5-3EFC-D59B-0D0043A45B0F}"/>
            </a:ext>
          </a:extLst>
        </xdr:cNvPr>
        <xdr:cNvSpPr>
          <a:spLocks noChangeShapeType="1"/>
        </xdr:cNvSpPr>
      </xdr:nvSpPr>
      <xdr:spPr bwMode="auto">
        <a:xfrm flipV="1">
          <a:off x="2705100" y="901700"/>
          <a:ext cx="1346200" cy="17272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25400</xdr:colOff>
      <xdr:row>3</xdr:row>
      <xdr:rowOff>152400</xdr:rowOff>
    </xdr:from>
    <xdr:to>
      <xdr:col>5</xdr:col>
      <xdr:colOff>254000</xdr:colOff>
      <xdr:row>15</xdr:row>
      <xdr:rowOff>0</xdr:rowOff>
    </xdr:to>
    <xdr:sp macro="" textlink="">
      <xdr:nvSpPr>
        <xdr:cNvPr id="52910" name="Line 18">
          <a:extLst>
            <a:ext uri="{FF2B5EF4-FFF2-40B4-BE49-F238E27FC236}">
              <a16:creationId xmlns:a16="http://schemas.microsoft.com/office/drawing/2014/main" id="{C1422221-C26B-8B31-69D6-10CF5041EE6A}"/>
            </a:ext>
          </a:extLst>
        </xdr:cNvPr>
        <xdr:cNvSpPr>
          <a:spLocks noChangeShapeType="1"/>
        </xdr:cNvSpPr>
      </xdr:nvSpPr>
      <xdr:spPr bwMode="auto">
        <a:xfrm flipV="1">
          <a:off x="2692400" y="711200"/>
          <a:ext cx="901700" cy="19177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177800</xdr:colOff>
      <xdr:row>4</xdr:row>
      <xdr:rowOff>101600</xdr:rowOff>
    </xdr:from>
    <xdr:to>
      <xdr:col>5</xdr:col>
      <xdr:colOff>660400</xdr:colOff>
      <xdr:row>5</xdr:row>
      <xdr:rowOff>101600</xdr:rowOff>
    </xdr:to>
    <xdr:sp macro="" textlink="">
      <xdr:nvSpPr>
        <xdr:cNvPr id="52911" name="AutoShape 19">
          <a:extLst>
            <a:ext uri="{FF2B5EF4-FFF2-40B4-BE49-F238E27FC236}">
              <a16:creationId xmlns:a16="http://schemas.microsoft.com/office/drawing/2014/main" id="{BF3C7EB7-9561-177B-29B7-332A4B473591}"/>
            </a:ext>
          </a:extLst>
        </xdr:cNvPr>
        <xdr:cNvSpPr>
          <a:spLocks noChangeArrowheads="1"/>
        </xdr:cNvSpPr>
      </xdr:nvSpPr>
      <xdr:spPr bwMode="auto">
        <a:xfrm rot="1650032">
          <a:off x="3517900" y="825500"/>
          <a:ext cx="482600" cy="165100"/>
        </a:xfrm>
        <a:custGeom>
          <a:avLst/>
          <a:gdLst>
            <a:gd name="T0" fmla="*/ 2147483646 w 21600"/>
            <a:gd name="T1" fmla="*/ 0 h 21600"/>
            <a:gd name="T2" fmla="*/ 1260938911 w 21600"/>
            <a:gd name="T3" fmla="*/ 2147483646 h 21600"/>
            <a:gd name="T4" fmla="*/ 2147483646 w 21600"/>
            <a:gd name="T5" fmla="*/ 0 h 21600"/>
            <a:gd name="T6" fmla="*/ 2147483646 w 21600"/>
            <a:gd name="T7" fmla="*/ 2147483646 h 21600"/>
            <a:gd name="T8" fmla="*/ 0 60000 65536"/>
            <a:gd name="T9" fmla="*/ 0 60000 65536"/>
            <a:gd name="T10" fmla="*/ 0 60000 65536"/>
            <a:gd name="T11" fmla="*/ 0 60000 65536"/>
            <a:gd name="T12" fmla="*/ 405 w 21600"/>
            <a:gd name="T13" fmla="*/ 0 h 21600"/>
            <a:gd name="T14" fmla="*/ 21195 w 21600"/>
            <a:gd name="T15" fmla="*/ 13730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1" y="10650"/>
              </a:moveTo>
              <a:cubicBezTo>
                <a:pt x="82" y="4744"/>
                <a:pt x="4893" y="-1"/>
                <a:pt x="10800" y="0"/>
              </a:cubicBezTo>
              <a:cubicBezTo>
                <a:pt x="16706" y="0"/>
                <a:pt x="21517" y="4744"/>
                <a:pt x="21598" y="10650"/>
              </a:cubicBezTo>
              <a:cubicBezTo>
                <a:pt x="21517" y="4744"/>
                <a:pt x="16706" y="-1"/>
                <a:pt x="10799" y="0"/>
              </a:cubicBezTo>
              <a:cubicBezTo>
                <a:pt x="4893" y="0"/>
                <a:pt x="82" y="4744"/>
                <a:pt x="1" y="10650"/>
              </a:cubicBezTo>
              <a:close/>
            </a:path>
          </a:pathLst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546100</xdr:colOff>
      <xdr:row>4</xdr:row>
      <xdr:rowOff>139700</xdr:rowOff>
    </xdr:from>
    <xdr:to>
      <xdr:col>5</xdr:col>
      <xdr:colOff>635000</xdr:colOff>
      <xdr:row>5</xdr:row>
      <xdr:rowOff>114300</xdr:rowOff>
    </xdr:to>
    <xdr:sp macro="" textlink="">
      <xdr:nvSpPr>
        <xdr:cNvPr id="52912" name="Line 21">
          <a:extLst>
            <a:ext uri="{FF2B5EF4-FFF2-40B4-BE49-F238E27FC236}">
              <a16:creationId xmlns:a16="http://schemas.microsoft.com/office/drawing/2014/main" id="{DC249EEF-8AD3-05AC-CDFE-399CF4CC09CA}"/>
            </a:ext>
          </a:extLst>
        </xdr:cNvPr>
        <xdr:cNvSpPr>
          <a:spLocks noChangeShapeType="1"/>
        </xdr:cNvSpPr>
      </xdr:nvSpPr>
      <xdr:spPr bwMode="auto">
        <a:xfrm flipH="1" flipV="1">
          <a:off x="3886200" y="863600"/>
          <a:ext cx="88900" cy="1397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215900</xdr:colOff>
      <xdr:row>4</xdr:row>
      <xdr:rowOff>50800</xdr:rowOff>
    </xdr:from>
    <xdr:to>
      <xdr:col>5</xdr:col>
      <xdr:colOff>368300</xdr:colOff>
      <xdr:row>4</xdr:row>
      <xdr:rowOff>63500</xdr:rowOff>
    </xdr:to>
    <xdr:sp macro="" textlink="">
      <xdr:nvSpPr>
        <xdr:cNvPr id="52913" name="Line 22">
          <a:extLst>
            <a:ext uri="{FF2B5EF4-FFF2-40B4-BE49-F238E27FC236}">
              <a16:creationId xmlns:a16="http://schemas.microsoft.com/office/drawing/2014/main" id="{EFB5B21E-C693-A389-7D82-C7AA5C1C69B9}"/>
            </a:ext>
          </a:extLst>
        </xdr:cNvPr>
        <xdr:cNvSpPr>
          <a:spLocks noChangeShapeType="1"/>
        </xdr:cNvSpPr>
      </xdr:nvSpPr>
      <xdr:spPr bwMode="auto">
        <a:xfrm>
          <a:off x="3556000" y="774700"/>
          <a:ext cx="152400" cy="127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400050</xdr:colOff>
      <xdr:row>3</xdr:row>
      <xdr:rowOff>11430</xdr:rowOff>
    </xdr:from>
    <xdr:to>
      <xdr:col>6</xdr:col>
      <xdr:colOff>84921</xdr:colOff>
      <xdr:row>4</xdr:row>
      <xdr:rowOff>109723</xdr:rowOff>
    </xdr:to>
    <xdr:sp macro="" textlink="">
      <xdr:nvSpPr>
        <xdr:cNvPr id="32791" name="Oval 23">
          <a:extLst>
            <a:ext uri="{FF2B5EF4-FFF2-40B4-BE49-F238E27FC236}">
              <a16:creationId xmlns:a16="http://schemas.microsoft.com/office/drawing/2014/main" id="{271D954A-555E-33D4-BF94-65D368191114}"/>
            </a:ext>
          </a:extLst>
        </xdr:cNvPr>
        <xdr:cNvSpPr>
          <a:spLocks noChangeArrowheads="1"/>
        </xdr:cNvSpPr>
      </xdr:nvSpPr>
      <xdr:spPr bwMode="auto">
        <a:xfrm>
          <a:off x="3352800" y="590550"/>
          <a:ext cx="323850" cy="2667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9050">
          <a:solidFill>
            <a:srgbClr xmlns:mc="http://schemas.openxmlformats.org/markup-compatibility/2006" xmlns:a14="http://schemas.microsoft.com/office/drawing/2010/main" val="339966" mc:Ignorable="a14" a14:legacySpreadsheetColorIndex="57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 2</a:t>
          </a:r>
        </a:p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2</a:t>
          </a:r>
        </a:p>
      </xdr:txBody>
    </xdr:sp>
    <xdr:clientData/>
  </xdr:twoCellAnchor>
  <xdr:twoCellAnchor>
    <xdr:from>
      <xdr:col>7</xdr:col>
      <xdr:colOff>242570</xdr:colOff>
      <xdr:row>4</xdr:row>
      <xdr:rowOff>116205</xdr:rowOff>
    </xdr:from>
    <xdr:to>
      <xdr:col>7</xdr:col>
      <xdr:colOff>602686</xdr:colOff>
      <xdr:row>6</xdr:row>
      <xdr:rowOff>60964</xdr:rowOff>
    </xdr:to>
    <xdr:sp macro="" textlink="">
      <xdr:nvSpPr>
        <xdr:cNvPr id="32792" name="Oval 24">
          <a:extLst>
            <a:ext uri="{FF2B5EF4-FFF2-40B4-BE49-F238E27FC236}">
              <a16:creationId xmlns:a16="http://schemas.microsoft.com/office/drawing/2014/main" id="{E9D9F59C-C071-886C-9C1C-F0EDA383C868}"/>
            </a:ext>
          </a:extLst>
        </xdr:cNvPr>
        <xdr:cNvSpPr>
          <a:spLocks noChangeArrowheads="1"/>
        </xdr:cNvSpPr>
      </xdr:nvSpPr>
      <xdr:spPr bwMode="auto">
        <a:xfrm>
          <a:off x="4438650" y="838200"/>
          <a:ext cx="323850" cy="2667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9050">
          <a:solidFill>
            <a:srgbClr xmlns:mc="http://schemas.openxmlformats.org/markup-compatibility/2006" xmlns:a14="http://schemas.microsoft.com/office/drawing/2010/main" val="339966" mc:Ignorable="a14" a14:legacySpreadsheetColorIndex="57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 1</a:t>
          </a:r>
        </a:p>
      </xdr:txBody>
    </xdr:sp>
    <xdr:clientData/>
  </xdr:twoCellAnchor>
  <xdr:twoCellAnchor>
    <xdr:from>
      <xdr:col>7</xdr:col>
      <xdr:colOff>254000</xdr:colOff>
      <xdr:row>6</xdr:row>
      <xdr:rowOff>135255</xdr:rowOff>
    </xdr:from>
    <xdr:to>
      <xdr:col>7</xdr:col>
      <xdr:colOff>593554</xdr:colOff>
      <xdr:row>8</xdr:row>
      <xdr:rowOff>85360</xdr:rowOff>
    </xdr:to>
    <xdr:sp macro="" textlink="">
      <xdr:nvSpPr>
        <xdr:cNvPr id="32793" name="Oval 25">
          <a:extLst>
            <a:ext uri="{FF2B5EF4-FFF2-40B4-BE49-F238E27FC236}">
              <a16:creationId xmlns:a16="http://schemas.microsoft.com/office/drawing/2014/main" id="{77A08B43-5A18-8D34-0D3F-A7464E94DB14}"/>
            </a:ext>
          </a:extLst>
        </xdr:cNvPr>
        <xdr:cNvSpPr>
          <a:spLocks noChangeArrowheads="1"/>
        </xdr:cNvSpPr>
      </xdr:nvSpPr>
      <xdr:spPr bwMode="auto">
        <a:xfrm>
          <a:off x="4448175" y="1171575"/>
          <a:ext cx="323850" cy="276225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9050">
          <a:solidFill>
            <a:srgbClr xmlns:mc="http://schemas.openxmlformats.org/markup-compatibility/2006" xmlns:a14="http://schemas.microsoft.com/office/drawing/2010/main" val="339966" mc:Ignorable="a14" a14:legacySpreadsheetColorIndex="57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 2</a:t>
          </a:r>
        </a:p>
      </xdr:txBody>
    </xdr:sp>
    <xdr:clientData/>
  </xdr:twoCellAnchor>
  <xdr:twoCellAnchor>
    <xdr:from>
      <xdr:col>7</xdr:col>
      <xdr:colOff>257810</xdr:colOff>
      <xdr:row>8</xdr:row>
      <xdr:rowOff>118110</xdr:rowOff>
    </xdr:from>
    <xdr:to>
      <xdr:col>7</xdr:col>
      <xdr:colOff>624789</xdr:colOff>
      <xdr:row>10</xdr:row>
      <xdr:rowOff>56598</xdr:rowOff>
    </xdr:to>
    <xdr:sp macro="" textlink="">
      <xdr:nvSpPr>
        <xdr:cNvPr id="32794" name="Oval 26">
          <a:extLst>
            <a:ext uri="{FF2B5EF4-FFF2-40B4-BE49-F238E27FC236}">
              <a16:creationId xmlns:a16="http://schemas.microsoft.com/office/drawing/2014/main" id="{5D3F0DA3-D741-A53B-D87B-C2CE756D86A0}"/>
            </a:ext>
          </a:extLst>
        </xdr:cNvPr>
        <xdr:cNvSpPr>
          <a:spLocks noChangeArrowheads="1"/>
        </xdr:cNvSpPr>
      </xdr:nvSpPr>
      <xdr:spPr bwMode="auto">
        <a:xfrm>
          <a:off x="4457700" y="1504950"/>
          <a:ext cx="323850" cy="304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9050">
          <a:solidFill>
            <a:srgbClr xmlns:mc="http://schemas.openxmlformats.org/markup-compatibility/2006" xmlns:a14="http://schemas.microsoft.com/office/drawing/2010/main" val="339966" mc:Ignorable="a14" a14:legacySpreadsheetColorIndex="57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 3</a:t>
          </a:r>
        </a:p>
      </xdr:txBody>
    </xdr:sp>
    <xdr:clientData/>
  </xdr:twoCellAnchor>
  <xdr:twoCellAnchor>
    <xdr:from>
      <xdr:col>4</xdr:col>
      <xdr:colOff>38100</xdr:colOff>
      <xdr:row>15</xdr:row>
      <xdr:rowOff>25400</xdr:rowOff>
    </xdr:from>
    <xdr:to>
      <xdr:col>4</xdr:col>
      <xdr:colOff>495300</xdr:colOff>
      <xdr:row>28</xdr:row>
      <xdr:rowOff>0</xdr:rowOff>
    </xdr:to>
    <xdr:sp macro="" textlink="">
      <xdr:nvSpPr>
        <xdr:cNvPr id="52918" name="Line 27">
          <a:extLst>
            <a:ext uri="{FF2B5EF4-FFF2-40B4-BE49-F238E27FC236}">
              <a16:creationId xmlns:a16="http://schemas.microsoft.com/office/drawing/2014/main" id="{6B656F90-707A-211F-F527-8B39080E8A13}"/>
            </a:ext>
          </a:extLst>
        </xdr:cNvPr>
        <xdr:cNvSpPr>
          <a:spLocks noChangeShapeType="1"/>
        </xdr:cNvSpPr>
      </xdr:nvSpPr>
      <xdr:spPr bwMode="auto">
        <a:xfrm>
          <a:off x="2705100" y="2654300"/>
          <a:ext cx="457200" cy="24003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12700</xdr:colOff>
      <xdr:row>15</xdr:row>
      <xdr:rowOff>12700</xdr:rowOff>
    </xdr:from>
    <xdr:to>
      <xdr:col>4</xdr:col>
      <xdr:colOff>25400</xdr:colOff>
      <xdr:row>27</xdr:row>
      <xdr:rowOff>127000</xdr:rowOff>
    </xdr:to>
    <xdr:sp macro="" textlink="">
      <xdr:nvSpPr>
        <xdr:cNvPr id="52919" name="Line 28">
          <a:extLst>
            <a:ext uri="{FF2B5EF4-FFF2-40B4-BE49-F238E27FC236}">
              <a16:creationId xmlns:a16="http://schemas.microsoft.com/office/drawing/2014/main" id="{A32F3B63-BD0E-3ED4-4DFC-C654F4A5B1F6}"/>
            </a:ext>
          </a:extLst>
        </xdr:cNvPr>
        <xdr:cNvSpPr>
          <a:spLocks noChangeShapeType="1"/>
        </xdr:cNvSpPr>
      </xdr:nvSpPr>
      <xdr:spPr bwMode="auto">
        <a:xfrm flipH="1">
          <a:off x="2679700" y="2641600"/>
          <a:ext cx="12700" cy="23495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12700</xdr:colOff>
      <xdr:row>27</xdr:row>
      <xdr:rowOff>50800</xdr:rowOff>
    </xdr:from>
    <xdr:to>
      <xdr:col>4</xdr:col>
      <xdr:colOff>139700</xdr:colOff>
      <xdr:row>27</xdr:row>
      <xdr:rowOff>76200</xdr:rowOff>
    </xdr:to>
    <xdr:sp macro="" textlink="">
      <xdr:nvSpPr>
        <xdr:cNvPr id="52920" name="Line 29">
          <a:extLst>
            <a:ext uri="{FF2B5EF4-FFF2-40B4-BE49-F238E27FC236}">
              <a16:creationId xmlns:a16="http://schemas.microsoft.com/office/drawing/2014/main" id="{50959AE9-AD56-844D-7316-328F36006BE0}"/>
            </a:ext>
          </a:extLst>
        </xdr:cNvPr>
        <xdr:cNvSpPr>
          <a:spLocks noChangeShapeType="1"/>
        </xdr:cNvSpPr>
      </xdr:nvSpPr>
      <xdr:spPr bwMode="auto">
        <a:xfrm>
          <a:off x="2679700" y="4914900"/>
          <a:ext cx="127000" cy="254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317500</xdr:colOff>
      <xdr:row>27</xdr:row>
      <xdr:rowOff>12700</xdr:rowOff>
    </xdr:from>
    <xdr:to>
      <xdr:col>4</xdr:col>
      <xdr:colOff>457200</xdr:colOff>
      <xdr:row>27</xdr:row>
      <xdr:rowOff>63500</xdr:rowOff>
    </xdr:to>
    <xdr:sp macro="" textlink="">
      <xdr:nvSpPr>
        <xdr:cNvPr id="52921" name="Line 30">
          <a:extLst>
            <a:ext uri="{FF2B5EF4-FFF2-40B4-BE49-F238E27FC236}">
              <a16:creationId xmlns:a16="http://schemas.microsoft.com/office/drawing/2014/main" id="{AD055AA9-0179-C1A5-631D-4894634F70D0}"/>
            </a:ext>
          </a:extLst>
        </xdr:cNvPr>
        <xdr:cNvSpPr>
          <a:spLocks noChangeShapeType="1"/>
        </xdr:cNvSpPr>
      </xdr:nvSpPr>
      <xdr:spPr bwMode="auto">
        <a:xfrm flipH="1">
          <a:off x="2984500" y="4876800"/>
          <a:ext cx="139700" cy="508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469900</xdr:colOff>
      <xdr:row>26</xdr:row>
      <xdr:rowOff>101600</xdr:rowOff>
    </xdr:from>
    <xdr:to>
      <xdr:col>4</xdr:col>
      <xdr:colOff>660400</xdr:colOff>
      <xdr:row>27</xdr:row>
      <xdr:rowOff>12700</xdr:rowOff>
    </xdr:to>
    <xdr:sp macro="" textlink="">
      <xdr:nvSpPr>
        <xdr:cNvPr id="52922" name="Line 31">
          <a:extLst>
            <a:ext uri="{FF2B5EF4-FFF2-40B4-BE49-F238E27FC236}">
              <a16:creationId xmlns:a16="http://schemas.microsoft.com/office/drawing/2014/main" id="{7D4E8B7D-A7C1-EF41-7E68-975891650945}"/>
            </a:ext>
          </a:extLst>
        </xdr:cNvPr>
        <xdr:cNvSpPr>
          <a:spLocks noChangeShapeType="1"/>
        </xdr:cNvSpPr>
      </xdr:nvSpPr>
      <xdr:spPr bwMode="auto">
        <a:xfrm flipV="1">
          <a:off x="3136900" y="4775200"/>
          <a:ext cx="190500" cy="1016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50800</xdr:colOff>
      <xdr:row>26</xdr:row>
      <xdr:rowOff>0</xdr:rowOff>
    </xdr:from>
    <xdr:to>
      <xdr:col>5</xdr:col>
      <xdr:colOff>177800</xdr:colOff>
      <xdr:row>26</xdr:row>
      <xdr:rowOff>76200</xdr:rowOff>
    </xdr:to>
    <xdr:sp macro="" textlink="">
      <xdr:nvSpPr>
        <xdr:cNvPr id="52923" name="Line 32">
          <a:extLst>
            <a:ext uri="{FF2B5EF4-FFF2-40B4-BE49-F238E27FC236}">
              <a16:creationId xmlns:a16="http://schemas.microsoft.com/office/drawing/2014/main" id="{1596A489-0ACE-E849-A37D-9216A312516C}"/>
            </a:ext>
          </a:extLst>
        </xdr:cNvPr>
        <xdr:cNvSpPr>
          <a:spLocks noChangeShapeType="1"/>
        </xdr:cNvSpPr>
      </xdr:nvSpPr>
      <xdr:spPr bwMode="auto">
        <a:xfrm flipH="1">
          <a:off x="3390900" y="4673600"/>
          <a:ext cx="127000" cy="76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304800</xdr:colOff>
      <xdr:row>20</xdr:row>
      <xdr:rowOff>114300</xdr:rowOff>
    </xdr:from>
    <xdr:to>
      <xdr:col>6</xdr:col>
      <xdr:colOff>368300</xdr:colOff>
      <xdr:row>21</xdr:row>
      <xdr:rowOff>76200</xdr:rowOff>
    </xdr:to>
    <xdr:sp macro="" textlink="">
      <xdr:nvSpPr>
        <xdr:cNvPr id="52924" name="Line 33">
          <a:extLst>
            <a:ext uri="{FF2B5EF4-FFF2-40B4-BE49-F238E27FC236}">
              <a16:creationId xmlns:a16="http://schemas.microsoft.com/office/drawing/2014/main" id="{8EF63052-1E22-8560-0C21-BF8275A31F94}"/>
            </a:ext>
          </a:extLst>
        </xdr:cNvPr>
        <xdr:cNvSpPr>
          <a:spLocks noChangeShapeType="1"/>
        </xdr:cNvSpPr>
      </xdr:nvSpPr>
      <xdr:spPr bwMode="auto">
        <a:xfrm flipH="1">
          <a:off x="4318000" y="3670300"/>
          <a:ext cx="63500" cy="1397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215900</xdr:colOff>
      <xdr:row>25</xdr:row>
      <xdr:rowOff>76200</xdr:rowOff>
    </xdr:from>
    <xdr:to>
      <xdr:col>5</xdr:col>
      <xdr:colOff>330200</xdr:colOff>
      <xdr:row>25</xdr:row>
      <xdr:rowOff>177800</xdr:rowOff>
    </xdr:to>
    <xdr:sp macro="" textlink="">
      <xdr:nvSpPr>
        <xdr:cNvPr id="52925" name="Line 34">
          <a:extLst>
            <a:ext uri="{FF2B5EF4-FFF2-40B4-BE49-F238E27FC236}">
              <a16:creationId xmlns:a16="http://schemas.microsoft.com/office/drawing/2014/main" id="{5F5348E1-B9D5-ED7E-A4EC-9A377252EE99}"/>
            </a:ext>
          </a:extLst>
        </xdr:cNvPr>
        <xdr:cNvSpPr>
          <a:spLocks noChangeShapeType="1"/>
        </xdr:cNvSpPr>
      </xdr:nvSpPr>
      <xdr:spPr bwMode="auto">
        <a:xfrm flipV="1">
          <a:off x="3556000" y="4559300"/>
          <a:ext cx="114300" cy="1016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591820</xdr:colOff>
      <xdr:row>27</xdr:row>
      <xdr:rowOff>39370</xdr:rowOff>
    </xdr:from>
    <xdr:to>
      <xdr:col>5</xdr:col>
      <xdr:colOff>292943</xdr:colOff>
      <xdr:row>28</xdr:row>
      <xdr:rowOff>122868</xdr:rowOff>
    </xdr:to>
    <xdr:sp macro="" textlink="">
      <xdr:nvSpPr>
        <xdr:cNvPr id="32803" name="Oval 35">
          <a:extLst>
            <a:ext uri="{FF2B5EF4-FFF2-40B4-BE49-F238E27FC236}">
              <a16:creationId xmlns:a16="http://schemas.microsoft.com/office/drawing/2014/main" id="{636128F0-E4CD-FD3D-FFD5-E9A58F61446A}"/>
            </a:ext>
          </a:extLst>
        </xdr:cNvPr>
        <xdr:cNvSpPr>
          <a:spLocks noChangeArrowheads="1"/>
        </xdr:cNvSpPr>
      </xdr:nvSpPr>
      <xdr:spPr bwMode="auto">
        <a:xfrm>
          <a:off x="2943225" y="4733925"/>
          <a:ext cx="323850" cy="28575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9050">
          <a:solidFill>
            <a:srgbClr xmlns:mc="http://schemas.openxmlformats.org/markup-compatibility/2006" xmlns:a14="http://schemas.microsoft.com/office/drawing/2010/main" val="339966" mc:Ignorable="a14" a14:legacySpreadsheetColorIndex="57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 2</a:t>
          </a:r>
        </a:p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2</a:t>
          </a:r>
        </a:p>
      </xdr:txBody>
    </xdr:sp>
    <xdr:clientData/>
  </xdr:twoCellAnchor>
  <xdr:twoCellAnchor>
    <xdr:from>
      <xdr:col>4</xdr:col>
      <xdr:colOff>85090</xdr:colOff>
      <xdr:row>27</xdr:row>
      <xdr:rowOff>121920</xdr:rowOff>
    </xdr:from>
    <xdr:to>
      <xdr:col>4</xdr:col>
      <xdr:colOff>437955</xdr:colOff>
      <xdr:row>29</xdr:row>
      <xdr:rowOff>53250</xdr:rowOff>
    </xdr:to>
    <xdr:sp macro="" textlink="">
      <xdr:nvSpPr>
        <xdr:cNvPr id="32804" name="Oval 36">
          <a:extLst>
            <a:ext uri="{FF2B5EF4-FFF2-40B4-BE49-F238E27FC236}">
              <a16:creationId xmlns:a16="http://schemas.microsoft.com/office/drawing/2014/main" id="{43344E17-7407-BD45-9722-8DD6B69C01A5}"/>
            </a:ext>
          </a:extLst>
        </xdr:cNvPr>
        <xdr:cNvSpPr>
          <a:spLocks noChangeArrowheads="1"/>
        </xdr:cNvSpPr>
      </xdr:nvSpPr>
      <xdr:spPr bwMode="auto">
        <a:xfrm>
          <a:off x="2457450" y="4819650"/>
          <a:ext cx="323850" cy="304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9050">
          <a:solidFill>
            <a:srgbClr xmlns:mc="http://schemas.openxmlformats.org/markup-compatibility/2006" xmlns:a14="http://schemas.microsoft.com/office/drawing/2010/main" val="339966" mc:Ignorable="a14" a14:legacySpreadsheetColorIndex="57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lnSpc>
              <a:spcPts val="700"/>
            </a:lnSpc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 3</a:t>
          </a:r>
        </a:p>
        <a:p>
          <a:pPr algn="l" rtl="0">
            <a:lnSpc>
              <a:spcPts val="1000"/>
            </a:lnSpc>
            <a:defRPr sz="1000"/>
          </a:pP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3</xdr:col>
      <xdr:colOff>63500</xdr:colOff>
      <xdr:row>11</xdr:row>
      <xdr:rowOff>63500</xdr:rowOff>
    </xdr:from>
    <xdr:to>
      <xdr:col>4</xdr:col>
      <xdr:colOff>38100</xdr:colOff>
      <xdr:row>15</xdr:row>
      <xdr:rowOff>12700</xdr:rowOff>
    </xdr:to>
    <xdr:sp macro="" textlink="">
      <xdr:nvSpPr>
        <xdr:cNvPr id="52928" name="Line 37">
          <a:extLst>
            <a:ext uri="{FF2B5EF4-FFF2-40B4-BE49-F238E27FC236}">
              <a16:creationId xmlns:a16="http://schemas.microsoft.com/office/drawing/2014/main" id="{CE86C6E7-88E5-7867-5581-4F51C6983617}"/>
            </a:ext>
          </a:extLst>
        </xdr:cNvPr>
        <xdr:cNvSpPr>
          <a:spLocks noChangeShapeType="1"/>
        </xdr:cNvSpPr>
      </xdr:nvSpPr>
      <xdr:spPr bwMode="auto">
        <a:xfrm flipH="1" flipV="1">
          <a:off x="2057400" y="2019300"/>
          <a:ext cx="647700" cy="6223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172720</xdr:colOff>
      <xdr:row>5</xdr:row>
      <xdr:rowOff>60960</xdr:rowOff>
    </xdr:from>
    <xdr:to>
      <xdr:col>1</xdr:col>
      <xdr:colOff>505320</xdr:colOff>
      <xdr:row>7</xdr:row>
      <xdr:rowOff>0</xdr:rowOff>
    </xdr:to>
    <xdr:sp macro="" textlink="">
      <xdr:nvSpPr>
        <xdr:cNvPr id="32807" name="Oval 39">
          <a:extLst>
            <a:ext uri="{FF2B5EF4-FFF2-40B4-BE49-F238E27FC236}">
              <a16:creationId xmlns:a16="http://schemas.microsoft.com/office/drawing/2014/main" id="{C0EB79DE-A3FA-CC61-F9BE-AFFE57D24206}"/>
            </a:ext>
          </a:extLst>
        </xdr:cNvPr>
        <xdr:cNvSpPr>
          <a:spLocks noChangeArrowheads="1"/>
        </xdr:cNvSpPr>
      </xdr:nvSpPr>
      <xdr:spPr bwMode="auto">
        <a:xfrm>
          <a:off x="714375" y="942975"/>
          <a:ext cx="323850" cy="2667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9050">
          <a:solidFill>
            <a:srgbClr xmlns:mc="http://schemas.openxmlformats.org/markup-compatibility/2006" xmlns:a14="http://schemas.microsoft.com/office/drawing/2010/main" val="339966" mc:Ignorable="a14" a14:legacySpreadsheetColorIndex="57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 4</a:t>
          </a:r>
        </a:p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2</a:t>
          </a:r>
        </a:p>
      </xdr:txBody>
    </xdr:sp>
    <xdr:clientData/>
  </xdr:twoCellAnchor>
  <xdr:twoCellAnchor>
    <xdr:from>
      <xdr:col>7</xdr:col>
      <xdr:colOff>276860</xdr:colOff>
      <xdr:row>10</xdr:row>
      <xdr:rowOff>114300</xdr:rowOff>
    </xdr:from>
    <xdr:to>
      <xdr:col>7</xdr:col>
      <xdr:colOff>633046</xdr:colOff>
      <xdr:row>12</xdr:row>
      <xdr:rowOff>60960</xdr:rowOff>
    </xdr:to>
    <xdr:sp macro="" textlink="">
      <xdr:nvSpPr>
        <xdr:cNvPr id="32808" name="Oval 40">
          <a:extLst>
            <a:ext uri="{FF2B5EF4-FFF2-40B4-BE49-F238E27FC236}">
              <a16:creationId xmlns:a16="http://schemas.microsoft.com/office/drawing/2014/main" id="{64C12DAA-F8B2-FE48-DA62-1AFE00658F3D}"/>
            </a:ext>
          </a:extLst>
        </xdr:cNvPr>
        <xdr:cNvSpPr>
          <a:spLocks noChangeArrowheads="1"/>
        </xdr:cNvSpPr>
      </xdr:nvSpPr>
      <xdr:spPr bwMode="auto">
        <a:xfrm>
          <a:off x="4467225" y="1857375"/>
          <a:ext cx="323850" cy="276225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9050">
          <a:solidFill>
            <a:srgbClr xmlns:mc="http://schemas.openxmlformats.org/markup-compatibility/2006" xmlns:a14="http://schemas.microsoft.com/office/drawing/2010/main" val="339966" mc:Ignorable="a14" a14:legacySpreadsheetColorIndex="57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 4</a:t>
          </a:r>
        </a:p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2</a:t>
          </a:r>
        </a:p>
      </xdr:txBody>
    </xdr:sp>
    <xdr:clientData/>
  </xdr:twoCellAnchor>
  <xdr:twoCellAnchor>
    <xdr:from>
      <xdr:col>5</xdr:col>
      <xdr:colOff>50800</xdr:colOff>
      <xdr:row>15</xdr:row>
      <xdr:rowOff>25400</xdr:rowOff>
    </xdr:from>
    <xdr:to>
      <xdr:col>5</xdr:col>
      <xdr:colOff>266700</xdr:colOff>
      <xdr:row>15</xdr:row>
      <xdr:rowOff>25400</xdr:rowOff>
    </xdr:to>
    <xdr:sp macro="" textlink="">
      <xdr:nvSpPr>
        <xdr:cNvPr id="52931" name="Line 42">
          <a:extLst>
            <a:ext uri="{FF2B5EF4-FFF2-40B4-BE49-F238E27FC236}">
              <a16:creationId xmlns:a16="http://schemas.microsoft.com/office/drawing/2014/main" id="{0E612B73-8536-EACB-C4AF-1F93ECCABE9F}"/>
            </a:ext>
          </a:extLst>
        </xdr:cNvPr>
        <xdr:cNvSpPr>
          <a:spLocks noChangeShapeType="1"/>
        </xdr:cNvSpPr>
      </xdr:nvSpPr>
      <xdr:spPr bwMode="auto">
        <a:xfrm flipH="1">
          <a:off x="3390900" y="2654300"/>
          <a:ext cx="2159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444500</xdr:colOff>
      <xdr:row>15</xdr:row>
      <xdr:rowOff>12700</xdr:rowOff>
    </xdr:from>
    <xdr:to>
      <xdr:col>6</xdr:col>
      <xdr:colOff>342900</xdr:colOff>
      <xdr:row>15</xdr:row>
      <xdr:rowOff>12700</xdr:rowOff>
    </xdr:to>
    <xdr:sp macro="" textlink="">
      <xdr:nvSpPr>
        <xdr:cNvPr id="52932" name="Line 43">
          <a:extLst>
            <a:ext uri="{FF2B5EF4-FFF2-40B4-BE49-F238E27FC236}">
              <a16:creationId xmlns:a16="http://schemas.microsoft.com/office/drawing/2014/main" id="{CE90DC09-D8CA-7675-A9C9-9C5D770869D6}"/>
            </a:ext>
          </a:extLst>
        </xdr:cNvPr>
        <xdr:cNvSpPr>
          <a:spLocks noChangeShapeType="1"/>
        </xdr:cNvSpPr>
      </xdr:nvSpPr>
      <xdr:spPr bwMode="auto">
        <a:xfrm>
          <a:off x="3784600" y="2641600"/>
          <a:ext cx="5715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254000</xdr:colOff>
      <xdr:row>15</xdr:row>
      <xdr:rowOff>25400</xdr:rowOff>
    </xdr:from>
    <xdr:to>
      <xdr:col>5</xdr:col>
      <xdr:colOff>444500</xdr:colOff>
      <xdr:row>15</xdr:row>
      <xdr:rowOff>25400</xdr:rowOff>
    </xdr:to>
    <xdr:sp macro="" textlink="">
      <xdr:nvSpPr>
        <xdr:cNvPr id="52933" name="Line 44">
          <a:extLst>
            <a:ext uri="{FF2B5EF4-FFF2-40B4-BE49-F238E27FC236}">
              <a16:creationId xmlns:a16="http://schemas.microsoft.com/office/drawing/2014/main" id="{B8C5E3F6-FFA5-51BE-C0C8-46C04B721AFF}"/>
            </a:ext>
          </a:extLst>
        </xdr:cNvPr>
        <xdr:cNvSpPr>
          <a:spLocks noChangeShapeType="1"/>
        </xdr:cNvSpPr>
      </xdr:nvSpPr>
      <xdr:spPr bwMode="auto">
        <a:xfrm>
          <a:off x="3594100" y="2654300"/>
          <a:ext cx="1905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542290</xdr:colOff>
      <xdr:row>13</xdr:row>
      <xdr:rowOff>38100</xdr:rowOff>
    </xdr:from>
    <xdr:to>
      <xdr:col>6</xdr:col>
      <xdr:colOff>235114</xdr:colOff>
      <xdr:row>14</xdr:row>
      <xdr:rowOff>154074</xdr:rowOff>
    </xdr:to>
    <xdr:sp macro="" textlink="">
      <xdr:nvSpPr>
        <xdr:cNvPr id="32818" name="Oval 50">
          <a:extLst>
            <a:ext uri="{FF2B5EF4-FFF2-40B4-BE49-F238E27FC236}">
              <a16:creationId xmlns:a16="http://schemas.microsoft.com/office/drawing/2014/main" id="{CCE083D8-56DE-7930-E0AF-A9088017F3E7}"/>
            </a:ext>
          </a:extLst>
        </xdr:cNvPr>
        <xdr:cNvSpPr>
          <a:spLocks noChangeArrowheads="1"/>
        </xdr:cNvSpPr>
      </xdr:nvSpPr>
      <xdr:spPr bwMode="auto">
        <a:xfrm>
          <a:off x="3486150" y="2276475"/>
          <a:ext cx="323850" cy="2667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9050">
          <a:solidFill>
            <a:srgbClr xmlns:mc="http://schemas.openxmlformats.org/markup-compatibility/2006" xmlns:a14="http://schemas.microsoft.com/office/drawing/2010/main" val="339966" mc:Ignorable="a14" a14:legacySpreadsheetColorIndex="57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 5</a:t>
          </a:r>
        </a:p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2</a:t>
          </a:r>
        </a:p>
      </xdr:txBody>
    </xdr:sp>
    <xdr:clientData/>
  </xdr:twoCellAnchor>
  <xdr:twoCellAnchor>
    <xdr:from>
      <xdr:col>7</xdr:col>
      <xdr:colOff>276860</xdr:colOff>
      <xdr:row>12</xdr:row>
      <xdr:rowOff>142875</xdr:rowOff>
    </xdr:from>
    <xdr:to>
      <xdr:col>7</xdr:col>
      <xdr:colOff>633046</xdr:colOff>
      <xdr:row>14</xdr:row>
      <xdr:rowOff>56521</xdr:rowOff>
    </xdr:to>
    <xdr:sp macro="" textlink="">
      <xdr:nvSpPr>
        <xdr:cNvPr id="32819" name="Oval 51">
          <a:extLst>
            <a:ext uri="{FF2B5EF4-FFF2-40B4-BE49-F238E27FC236}">
              <a16:creationId xmlns:a16="http://schemas.microsoft.com/office/drawing/2014/main" id="{860AEAE3-38AC-E6C8-2C93-4422D9190C65}"/>
            </a:ext>
          </a:extLst>
        </xdr:cNvPr>
        <xdr:cNvSpPr>
          <a:spLocks noChangeArrowheads="1"/>
        </xdr:cNvSpPr>
      </xdr:nvSpPr>
      <xdr:spPr bwMode="auto">
        <a:xfrm>
          <a:off x="4467225" y="2200275"/>
          <a:ext cx="323850" cy="2667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9050">
          <a:solidFill>
            <a:srgbClr xmlns:mc="http://schemas.openxmlformats.org/markup-compatibility/2006" xmlns:a14="http://schemas.microsoft.com/office/drawing/2010/main" val="339966" mc:Ignorable="a14" a14:legacySpreadsheetColorIndex="57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 6</a:t>
          </a:r>
        </a:p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2</a:t>
          </a:r>
        </a:p>
      </xdr:txBody>
    </xdr:sp>
    <xdr:clientData/>
  </xdr:twoCellAnchor>
  <xdr:twoCellAnchor>
    <xdr:from>
      <xdr:col>6</xdr:col>
      <xdr:colOff>127000</xdr:colOff>
      <xdr:row>22</xdr:row>
      <xdr:rowOff>152400</xdr:rowOff>
    </xdr:from>
    <xdr:to>
      <xdr:col>6</xdr:col>
      <xdr:colOff>660400</xdr:colOff>
      <xdr:row>24</xdr:row>
      <xdr:rowOff>88900</xdr:rowOff>
    </xdr:to>
    <xdr:sp macro="" textlink="">
      <xdr:nvSpPr>
        <xdr:cNvPr id="52936" name="Line 52">
          <a:extLst>
            <a:ext uri="{FF2B5EF4-FFF2-40B4-BE49-F238E27FC236}">
              <a16:creationId xmlns:a16="http://schemas.microsoft.com/office/drawing/2014/main" id="{EEC3700D-DDAD-76FB-CE5D-BB9BE61068C9}"/>
            </a:ext>
          </a:extLst>
        </xdr:cNvPr>
        <xdr:cNvSpPr>
          <a:spLocks noChangeShapeType="1"/>
        </xdr:cNvSpPr>
      </xdr:nvSpPr>
      <xdr:spPr bwMode="auto">
        <a:xfrm>
          <a:off x="4140200" y="4064000"/>
          <a:ext cx="533400" cy="3175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oval" w="med" len="med"/>
          <a:tailEnd type="oval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38100</xdr:colOff>
      <xdr:row>14</xdr:row>
      <xdr:rowOff>152400</xdr:rowOff>
    </xdr:from>
    <xdr:to>
      <xdr:col>7</xdr:col>
      <xdr:colOff>12700</xdr:colOff>
      <xdr:row>17</xdr:row>
      <xdr:rowOff>76200</xdr:rowOff>
    </xdr:to>
    <xdr:cxnSp macro="">
      <xdr:nvCxnSpPr>
        <xdr:cNvPr id="52937" name="AutoShape 53">
          <a:extLst>
            <a:ext uri="{FF2B5EF4-FFF2-40B4-BE49-F238E27FC236}">
              <a16:creationId xmlns:a16="http://schemas.microsoft.com/office/drawing/2014/main" id="{9EAC45D0-79B3-C580-05F2-E910A5435938}"/>
            </a:ext>
          </a:extLst>
        </xdr:cNvPr>
        <xdr:cNvCxnSpPr>
          <a:cxnSpLocks noChangeShapeType="1"/>
          <a:stCxn id="32818" idx="4"/>
        </xdr:cNvCxnSpPr>
      </xdr:nvCxnSpPr>
      <xdr:spPr bwMode="auto">
        <a:xfrm rot="16200000" flipH="1">
          <a:off x="4133850" y="2520950"/>
          <a:ext cx="482600" cy="647700"/>
        </a:xfrm>
        <a:prstGeom prst="bentConnector2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8080" mc:Ignorable="a14" a14:legacySpreadsheetColorIndex="21"/>
          </a:solidFill>
          <a:prstDash val="sysDot"/>
          <a:miter lim="800000"/>
          <a:headEnd type="oval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</xdr:col>
      <xdr:colOff>215900</xdr:colOff>
      <xdr:row>9</xdr:row>
      <xdr:rowOff>0</xdr:rowOff>
    </xdr:from>
    <xdr:to>
      <xdr:col>3</xdr:col>
      <xdr:colOff>63500</xdr:colOff>
      <xdr:row>11</xdr:row>
      <xdr:rowOff>63500</xdr:rowOff>
    </xdr:to>
    <xdr:sp macro="" textlink="">
      <xdr:nvSpPr>
        <xdr:cNvPr id="52938" name="Line 54">
          <a:extLst>
            <a:ext uri="{FF2B5EF4-FFF2-40B4-BE49-F238E27FC236}">
              <a16:creationId xmlns:a16="http://schemas.microsoft.com/office/drawing/2014/main" id="{69A80D20-A199-62CB-DC96-7E5DE31DB4D8}"/>
            </a:ext>
          </a:extLst>
        </xdr:cNvPr>
        <xdr:cNvSpPr>
          <a:spLocks noChangeShapeType="1"/>
        </xdr:cNvSpPr>
      </xdr:nvSpPr>
      <xdr:spPr bwMode="auto">
        <a:xfrm flipH="1" flipV="1">
          <a:off x="1536700" y="1587500"/>
          <a:ext cx="520700" cy="4318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12700</xdr:colOff>
      <xdr:row>9</xdr:row>
      <xdr:rowOff>0</xdr:rowOff>
    </xdr:from>
    <xdr:to>
      <xdr:col>2</xdr:col>
      <xdr:colOff>228600</xdr:colOff>
      <xdr:row>9</xdr:row>
      <xdr:rowOff>0</xdr:rowOff>
    </xdr:to>
    <xdr:sp macro="" textlink="">
      <xdr:nvSpPr>
        <xdr:cNvPr id="52939" name="Line 55">
          <a:extLst>
            <a:ext uri="{FF2B5EF4-FFF2-40B4-BE49-F238E27FC236}">
              <a16:creationId xmlns:a16="http://schemas.microsoft.com/office/drawing/2014/main" id="{2265FB5F-ACE6-28AB-08A7-180693A41EBD}"/>
            </a:ext>
          </a:extLst>
        </xdr:cNvPr>
        <xdr:cNvSpPr>
          <a:spLocks noChangeShapeType="1"/>
        </xdr:cNvSpPr>
      </xdr:nvSpPr>
      <xdr:spPr bwMode="auto">
        <a:xfrm flipH="1">
          <a:off x="1333500" y="1587500"/>
          <a:ext cx="2159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457200</xdr:colOff>
      <xdr:row>20</xdr:row>
      <xdr:rowOff>25400</xdr:rowOff>
    </xdr:from>
    <xdr:to>
      <xdr:col>3</xdr:col>
      <xdr:colOff>457200</xdr:colOff>
      <xdr:row>24</xdr:row>
      <xdr:rowOff>63500</xdr:rowOff>
    </xdr:to>
    <xdr:sp macro="" textlink="">
      <xdr:nvSpPr>
        <xdr:cNvPr id="52940" name="Line 56">
          <a:extLst>
            <a:ext uri="{FF2B5EF4-FFF2-40B4-BE49-F238E27FC236}">
              <a16:creationId xmlns:a16="http://schemas.microsoft.com/office/drawing/2014/main" id="{A6338E66-EEDA-2236-2BF2-021F2D67CD16}"/>
            </a:ext>
          </a:extLst>
        </xdr:cNvPr>
        <xdr:cNvSpPr>
          <a:spLocks noChangeShapeType="1"/>
        </xdr:cNvSpPr>
      </xdr:nvSpPr>
      <xdr:spPr bwMode="auto">
        <a:xfrm flipH="1">
          <a:off x="2451100" y="3581400"/>
          <a:ext cx="0" cy="7747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666699" mc:Ignorable="a14" a14:legacySpreadsheetColorIndex="5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38100</xdr:colOff>
      <xdr:row>15</xdr:row>
      <xdr:rowOff>12700</xdr:rowOff>
    </xdr:from>
    <xdr:to>
      <xdr:col>4</xdr:col>
      <xdr:colOff>12700</xdr:colOff>
      <xdr:row>24</xdr:row>
      <xdr:rowOff>50800</xdr:rowOff>
    </xdr:to>
    <xdr:sp macro="" textlink="">
      <xdr:nvSpPr>
        <xdr:cNvPr id="52941" name="Line 57">
          <a:extLst>
            <a:ext uri="{FF2B5EF4-FFF2-40B4-BE49-F238E27FC236}">
              <a16:creationId xmlns:a16="http://schemas.microsoft.com/office/drawing/2014/main" id="{C17EC936-4B96-7BD0-8DA5-D0CD00A8D47F}"/>
            </a:ext>
          </a:extLst>
        </xdr:cNvPr>
        <xdr:cNvSpPr>
          <a:spLocks noChangeShapeType="1"/>
        </xdr:cNvSpPr>
      </xdr:nvSpPr>
      <xdr:spPr bwMode="auto">
        <a:xfrm flipH="1">
          <a:off x="2032000" y="2641600"/>
          <a:ext cx="647700" cy="17018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457200</xdr:colOff>
      <xdr:row>15</xdr:row>
      <xdr:rowOff>0</xdr:rowOff>
    </xdr:from>
    <xdr:to>
      <xdr:col>3</xdr:col>
      <xdr:colOff>660400</xdr:colOff>
      <xdr:row>19</xdr:row>
      <xdr:rowOff>63500</xdr:rowOff>
    </xdr:to>
    <xdr:sp macro="" textlink="">
      <xdr:nvSpPr>
        <xdr:cNvPr id="52942" name="Line 58">
          <a:extLst>
            <a:ext uri="{FF2B5EF4-FFF2-40B4-BE49-F238E27FC236}">
              <a16:creationId xmlns:a16="http://schemas.microsoft.com/office/drawing/2014/main" id="{C7CC0B48-5C22-AC8C-5A6A-63C7453C131C}"/>
            </a:ext>
          </a:extLst>
        </xdr:cNvPr>
        <xdr:cNvSpPr>
          <a:spLocks noChangeShapeType="1"/>
        </xdr:cNvSpPr>
      </xdr:nvSpPr>
      <xdr:spPr bwMode="auto">
        <a:xfrm flipH="1">
          <a:off x="1104900" y="2628900"/>
          <a:ext cx="1549400" cy="8128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431800</xdr:colOff>
      <xdr:row>17</xdr:row>
      <xdr:rowOff>101600</xdr:rowOff>
    </xdr:from>
    <xdr:to>
      <xdr:col>3</xdr:col>
      <xdr:colOff>330200</xdr:colOff>
      <xdr:row>20</xdr:row>
      <xdr:rowOff>38100</xdr:rowOff>
    </xdr:to>
    <xdr:sp macro="" textlink="">
      <xdr:nvSpPr>
        <xdr:cNvPr id="52943" name="Line 59">
          <a:extLst>
            <a:ext uri="{FF2B5EF4-FFF2-40B4-BE49-F238E27FC236}">
              <a16:creationId xmlns:a16="http://schemas.microsoft.com/office/drawing/2014/main" id="{85034136-E0AE-66CA-BBE1-15FF29ADACBE}"/>
            </a:ext>
          </a:extLst>
        </xdr:cNvPr>
        <xdr:cNvSpPr>
          <a:spLocks noChangeShapeType="1"/>
        </xdr:cNvSpPr>
      </xdr:nvSpPr>
      <xdr:spPr bwMode="auto">
        <a:xfrm>
          <a:off x="1752600" y="3111500"/>
          <a:ext cx="571500" cy="4826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666699" mc:Ignorable="a14" a14:legacySpreadsheetColorIndex="5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457200</xdr:colOff>
      <xdr:row>19</xdr:row>
      <xdr:rowOff>63500</xdr:rowOff>
    </xdr:from>
    <xdr:to>
      <xdr:col>3</xdr:col>
      <xdr:colOff>25400</xdr:colOff>
      <xdr:row>24</xdr:row>
      <xdr:rowOff>63500</xdr:rowOff>
    </xdr:to>
    <xdr:sp macro="" textlink="">
      <xdr:nvSpPr>
        <xdr:cNvPr id="52944" name="Line 60">
          <a:extLst>
            <a:ext uri="{FF2B5EF4-FFF2-40B4-BE49-F238E27FC236}">
              <a16:creationId xmlns:a16="http://schemas.microsoft.com/office/drawing/2014/main" id="{E9172BE4-2B0C-ACB8-937E-1AA4524931DE}"/>
            </a:ext>
          </a:extLst>
        </xdr:cNvPr>
        <xdr:cNvSpPr>
          <a:spLocks noChangeShapeType="1"/>
        </xdr:cNvSpPr>
      </xdr:nvSpPr>
      <xdr:spPr bwMode="auto">
        <a:xfrm>
          <a:off x="1104900" y="3441700"/>
          <a:ext cx="914400" cy="9144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666699" mc:Ignorable="a14" a14:legacySpreadsheetColorIndex="5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38100</xdr:colOff>
      <xdr:row>24</xdr:row>
      <xdr:rowOff>63500</xdr:rowOff>
    </xdr:from>
    <xdr:to>
      <xdr:col>3</xdr:col>
      <xdr:colOff>457200</xdr:colOff>
      <xdr:row>24</xdr:row>
      <xdr:rowOff>63500</xdr:rowOff>
    </xdr:to>
    <xdr:sp macro="" textlink="">
      <xdr:nvSpPr>
        <xdr:cNvPr id="52945" name="Line 61">
          <a:extLst>
            <a:ext uri="{FF2B5EF4-FFF2-40B4-BE49-F238E27FC236}">
              <a16:creationId xmlns:a16="http://schemas.microsoft.com/office/drawing/2014/main" id="{BBA765EF-F3A2-FA2F-51F8-A4F7E5100F84}"/>
            </a:ext>
          </a:extLst>
        </xdr:cNvPr>
        <xdr:cNvSpPr>
          <a:spLocks noChangeShapeType="1"/>
        </xdr:cNvSpPr>
      </xdr:nvSpPr>
      <xdr:spPr bwMode="auto">
        <a:xfrm>
          <a:off x="2032000" y="4356100"/>
          <a:ext cx="4191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666699" mc:Ignorable="a14" a14:legacySpreadsheetColorIndex="5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330200</xdr:colOff>
      <xdr:row>20</xdr:row>
      <xdr:rowOff>25400</xdr:rowOff>
    </xdr:from>
    <xdr:to>
      <xdr:col>3</xdr:col>
      <xdr:colOff>469900</xdr:colOff>
      <xdr:row>20</xdr:row>
      <xdr:rowOff>25400</xdr:rowOff>
    </xdr:to>
    <xdr:sp macro="" textlink="">
      <xdr:nvSpPr>
        <xdr:cNvPr id="52946" name="Line 62">
          <a:extLst>
            <a:ext uri="{FF2B5EF4-FFF2-40B4-BE49-F238E27FC236}">
              <a16:creationId xmlns:a16="http://schemas.microsoft.com/office/drawing/2014/main" id="{FC307306-BDF3-7F2B-4A05-6ED90E552810}"/>
            </a:ext>
          </a:extLst>
        </xdr:cNvPr>
        <xdr:cNvSpPr>
          <a:spLocks noChangeShapeType="1"/>
        </xdr:cNvSpPr>
      </xdr:nvSpPr>
      <xdr:spPr bwMode="auto">
        <a:xfrm>
          <a:off x="2324100" y="3581400"/>
          <a:ext cx="1397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666699" mc:Ignorable="a14" a14:legacySpreadsheetColorIndex="5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368300</xdr:colOff>
      <xdr:row>19</xdr:row>
      <xdr:rowOff>76200</xdr:rowOff>
    </xdr:from>
    <xdr:to>
      <xdr:col>5</xdr:col>
      <xdr:colOff>12700</xdr:colOff>
      <xdr:row>23</xdr:row>
      <xdr:rowOff>152400</xdr:rowOff>
    </xdr:to>
    <xdr:sp macro="" textlink="">
      <xdr:nvSpPr>
        <xdr:cNvPr id="52947" name="Line 63">
          <a:extLst>
            <a:ext uri="{FF2B5EF4-FFF2-40B4-BE49-F238E27FC236}">
              <a16:creationId xmlns:a16="http://schemas.microsoft.com/office/drawing/2014/main" id="{8B8F83D3-20CB-10D9-6326-1A689CF314E1}"/>
            </a:ext>
          </a:extLst>
        </xdr:cNvPr>
        <xdr:cNvSpPr>
          <a:spLocks noChangeShapeType="1"/>
        </xdr:cNvSpPr>
      </xdr:nvSpPr>
      <xdr:spPr bwMode="auto">
        <a:xfrm>
          <a:off x="3035300" y="3454400"/>
          <a:ext cx="317500" cy="8001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993300" mc:Ignorable="a14" a14:legacySpreadsheetColorIndex="6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177800</xdr:colOff>
      <xdr:row>17</xdr:row>
      <xdr:rowOff>139700</xdr:rowOff>
    </xdr:from>
    <xdr:to>
      <xdr:col>6</xdr:col>
      <xdr:colOff>152400</xdr:colOff>
      <xdr:row>19</xdr:row>
      <xdr:rowOff>152400</xdr:rowOff>
    </xdr:to>
    <xdr:sp macro="" textlink="">
      <xdr:nvSpPr>
        <xdr:cNvPr id="52948" name="Line 64">
          <a:extLst>
            <a:ext uri="{FF2B5EF4-FFF2-40B4-BE49-F238E27FC236}">
              <a16:creationId xmlns:a16="http://schemas.microsoft.com/office/drawing/2014/main" id="{F033E4D0-60A3-1834-A72C-47E60F0CA50A}"/>
            </a:ext>
          </a:extLst>
        </xdr:cNvPr>
        <xdr:cNvSpPr>
          <a:spLocks noChangeShapeType="1"/>
        </xdr:cNvSpPr>
      </xdr:nvSpPr>
      <xdr:spPr bwMode="auto">
        <a:xfrm>
          <a:off x="3517900" y="3149600"/>
          <a:ext cx="647700" cy="3810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993300" mc:Ignorable="a14" a14:legacySpreadsheetColorIndex="6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38100</xdr:colOff>
      <xdr:row>19</xdr:row>
      <xdr:rowOff>88900</xdr:rowOff>
    </xdr:from>
    <xdr:to>
      <xdr:col>3</xdr:col>
      <xdr:colOff>368300</xdr:colOff>
      <xdr:row>24</xdr:row>
      <xdr:rowOff>76200</xdr:rowOff>
    </xdr:to>
    <xdr:sp macro="" textlink="">
      <xdr:nvSpPr>
        <xdr:cNvPr id="52949" name="Line 65">
          <a:extLst>
            <a:ext uri="{FF2B5EF4-FFF2-40B4-BE49-F238E27FC236}">
              <a16:creationId xmlns:a16="http://schemas.microsoft.com/office/drawing/2014/main" id="{5F83CF95-B73E-DC04-A4A6-F6E6C8306D6A}"/>
            </a:ext>
          </a:extLst>
        </xdr:cNvPr>
        <xdr:cNvSpPr>
          <a:spLocks noChangeShapeType="1"/>
        </xdr:cNvSpPr>
      </xdr:nvSpPr>
      <xdr:spPr bwMode="auto">
        <a:xfrm flipH="1">
          <a:off x="2032000" y="3467100"/>
          <a:ext cx="330200" cy="9017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993300" mc:Ignorable="a14" a14:legacySpreadsheetColorIndex="6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469900</xdr:colOff>
      <xdr:row>24</xdr:row>
      <xdr:rowOff>114300</xdr:rowOff>
    </xdr:from>
    <xdr:to>
      <xdr:col>3</xdr:col>
      <xdr:colOff>469900</xdr:colOff>
      <xdr:row>28</xdr:row>
      <xdr:rowOff>12700</xdr:rowOff>
    </xdr:to>
    <xdr:sp macro="" textlink="">
      <xdr:nvSpPr>
        <xdr:cNvPr id="52950" name="Line 66">
          <a:extLst>
            <a:ext uri="{FF2B5EF4-FFF2-40B4-BE49-F238E27FC236}">
              <a16:creationId xmlns:a16="http://schemas.microsoft.com/office/drawing/2014/main" id="{18E47D09-CCF5-C065-0E91-7440E8CB4EB0}"/>
            </a:ext>
          </a:extLst>
        </xdr:cNvPr>
        <xdr:cNvSpPr>
          <a:spLocks noChangeShapeType="1"/>
        </xdr:cNvSpPr>
      </xdr:nvSpPr>
      <xdr:spPr bwMode="auto">
        <a:xfrm>
          <a:off x="2463800" y="4406900"/>
          <a:ext cx="0" cy="6604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38100</xdr:colOff>
      <xdr:row>24</xdr:row>
      <xdr:rowOff>127000</xdr:rowOff>
    </xdr:from>
    <xdr:to>
      <xdr:col>3</xdr:col>
      <xdr:colOff>38100</xdr:colOff>
      <xdr:row>28</xdr:row>
      <xdr:rowOff>25400</xdr:rowOff>
    </xdr:to>
    <xdr:sp macro="" textlink="">
      <xdr:nvSpPr>
        <xdr:cNvPr id="52951" name="Line 67">
          <a:extLst>
            <a:ext uri="{FF2B5EF4-FFF2-40B4-BE49-F238E27FC236}">
              <a16:creationId xmlns:a16="http://schemas.microsoft.com/office/drawing/2014/main" id="{7551BC31-7C6D-85A5-9BA6-E83074012703}"/>
            </a:ext>
          </a:extLst>
        </xdr:cNvPr>
        <xdr:cNvSpPr>
          <a:spLocks noChangeShapeType="1"/>
        </xdr:cNvSpPr>
      </xdr:nvSpPr>
      <xdr:spPr bwMode="auto">
        <a:xfrm>
          <a:off x="2032000" y="4419600"/>
          <a:ext cx="0" cy="6604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38100</xdr:colOff>
      <xdr:row>27</xdr:row>
      <xdr:rowOff>139700</xdr:rowOff>
    </xdr:from>
    <xdr:to>
      <xdr:col>3</xdr:col>
      <xdr:colOff>469900</xdr:colOff>
      <xdr:row>27</xdr:row>
      <xdr:rowOff>139700</xdr:rowOff>
    </xdr:to>
    <xdr:sp macro="" textlink="">
      <xdr:nvSpPr>
        <xdr:cNvPr id="52952" name="Line 68">
          <a:extLst>
            <a:ext uri="{FF2B5EF4-FFF2-40B4-BE49-F238E27FC236}">
              <a16:creationId xmlns:a16="http://schemas.microsoft.com/office/drawing/2014/main" id="{E86C202E-AEA6-C8DD-E0D7-1241DF782809}"/>
            </a:ext>
          </a:extLst>
        </xdr:cNvPr>
        <xdr:cNvSpPr>
          <a:spLocks noChangeShapeType="1"/>
        </xdr:cNvSpPr>
      </xdr:nvSpPr>
      <xdr:spPr bwMode="auto">
        <a:xfrm>
          <a:off x="2032000" y="5003800"/>
          <a:ext cx="4318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85090</xdr:colOff>
      <xdr:row>28</xdr:row>
      <xdr:rowOff>57150</xdr:rowOff>
    </xdr:from>
    <xdr:to>
      <xdr:col>3</xdr:col>
      <xdr:colOff>437955</xdr:colOff>
      <xdr:row>29</xdr:row>
      <xdr:rowOff>153102</xdr:rowOff>
    </xdr:to>
    <xdr:sp macro="" textlink="">
      <xdr:nvSpPr>
        <xdr:cNvPr id="32837" name="Oval 69">
          <a:extLst>
            <a:ext uri="{FF2B5EF4-FFF2-40B4-BE49-F238E27FC236}">
              <a16:creationId xmlns:a16="http://schemas.microsoft.com/office/drawing/2014/main" id="{AD9895EF-EEB7-F242-BF35-A797B180018B}"/>
            </a:ext>
          </a:extLst>
        </xdr:cNvPr>
        <xdr:cNvSpPr>
          <a:spLocks noChangeArrowheads="1"/>
        </xdr:cNvSpPr>
      </xdr:nvSpPr>
      <xdr:spPr bwMode="auto">
        <a:xfrm>
          <a:off x="1847850" y="4933950"/>
          <a:ext cx="323850" cy="28575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9050">
          <a:solidFill>
            <a:srgbClr xmlns:mc="http://schemas.openxmlformats.org/markup-compatibility/2006" xmlns:a14="http://schemas.microsoft.com/office/drawing/2010/main" val="339966" mc:Ignorable="a14" a14:legacySpreadsheetColorIndex="57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lnSpc>
              <a:spcPts val="700"/>
            </a:lnSpc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 2</a:t>
          </a:r>
        </a:p>
        <a:p>
          <a:pPr algn="l" rtl="0">
            <a:lnSpc>
              <a:spcPts val="1000"/>
            </a:lnSpc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2</a:t>
          </a:r>
        </a:p>
      </xdr:txBody>
    </xdr:sp>
    <xdr:clientData/>
  </xdr:twoCellAnchor>
  <xdr:twoCellAnchor>
    <xdr:from>
      <xdr:col>1</xdr:col>
      <xdr:colOff>444500</xdr:colOff>
      <xdr:row>17</xdr:row>
      <xdr:rowOff>38100</xdr:rowOff>
    </xdr:from>
    <xdr:to>
      <xdr:col>2</xdr:col>
      <xdr:colOff>558800</xdr:colOff>
      <xdr:row>19</xdr:row>
      <xdr:rowOff>76200</xdr:rowOff>
    </xdr:to>
    <xdr:sp macro="" textlink="">
      <xdr:nvSpPr>
        <xdr:cNvPr id="52954" name="Line 70">
          <a:extLst>
            <a:ext uri="{FF2B5EF4-FFF2-40B4-BE49-F238E27FC236}">
              <a16:creationId xmlns:a16="http://schemas.microsoft.com/office/drawing/2014/main" id="{FAAD6073-F73E-C45C-F778-FF8757F1DCAB}"/>
            </a:ext>
          </a:extLst>
        </xdr:cNvPr>
        <xdr:cNvSpPr>
          <a:spLocks noChangeShapeType="1"/>
        </xdr:cNvSpPr>
      </xdr:nvSpPr>
      <xdr:spPr bwMode="auto">
        <a:xfrm flipH="1">
          <a:off x="1092200" y="3048000"/>
          <a:ext cx="787400" cy="4064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993300" mc:Ignorable="a14" a14:legacySpreadsheetColorIndex="6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502920</xdr:colOff>
      <xdr:row>22</xdr:row>
      <xdr:rowOff>104140</xdr:rowOff>
    </xdr:from>
    <xdr:to>
      <xdr:col>2</xdr:col>
      <xdr:colOff>216948</xdr:colOff>
      <xdr:row>24</xdr:row>
      <xdr:rowOff>57647</xdr:rowOff>
    </xdr:to>
    <xdr:sp macro="" textlink="">
      <xdr:nvSpPr>
        <xdr:cNvPr id="32839" name="Oval 71">
          <a:extLst>
            <a:ext uri="{FF2B5EF4-FFF2-40B4-BE49-F238E27FC236}">
              <a16:creationId xmlns:a16="http://schemas.microsoft.com/office/drawing/2014/main" id="{81E7ABD4-4450-CED8-6A3C-DC7F12469B56}"/>
            </a:ext>
          </a:extLst>
        </xdr:cNvPr>
        <xdr:cNvSpPr>
          <a:spLocks noChangeArrowheads="1"/>
        </xdr:cNvSpPr>
      </xdr:nvSpPr>
      <xdr:spPr bwMode="auto">
        <a:xfrm>
          <a:off x="1038225" y="3895725"/>
          <a:ext cx="323850" cy="314325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9050">
          <a:solidFill>
            <a:srgbClr xmlns:mc="http://schemas.openxmlformats.org/markup-compatibility/2006" xmlns:a14="http://schemas.microsoft.com/office/drawing/2010/main" val="339966" mc:Ignorable="a14" a14:legacySpreadsheetColorIndex="57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 1</a:t>
          </a:r>
        </a:p>
      </xdr:txBody>
    </xdr:sp>
    <xdr:clientData/>
  </xdr:twoCellAnchor>
  <xdr:twoCellAnchor>
    <xdr:from>
      <xdr:col>4</xdr:col>
      <xdr:colOff>584200</xdr:colOff>
      <xdr:row>7</xdr:row>
      <xdr:rowOff>50800</xdr:rowOff>
    </xdr:from>
    <xdr:to>
      <xdr:col>5</xdr:col>
      <xdr:colOff>419100</xdr:colOff>
      <xdr:row>10</xdr:row>
      <xdr:rowOff>152400</xdr:rowOff>
    </xdr:to>
    <xdr:sp macro="" textlink="">
      <xdr:nvSpPr>
        <xdr:cNvPr id="52956" name="Line 72">
          <a:extLst>
            <a:ext uri="{FF2B5EF4-FFF2-40B4-BE49-F238E27FC236}">
              <a16:creationId xmlns:a16="http://schemas.microsoft.com/office/drawing/2014/main" id="{0D6D336D-9CE4-F378-BC33-35BBF82B598D}"/>
            </a:ext>
          </a:extLst>
        </xdr:cNvPr>
        <xdr:cNvSpPr>
          <a:spLocks noChangeShapeType="1"/>
        </xdr:cNvSpPr>
      </xdr:nvSpPr>
      <xdr:spPr bwMode="auto">
        <a:xfrm flipV="1">
          <a:off x="3251200" y="1270000"/>
          <a:ext cx="508000" cy="6604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993300" mc:Ignorable="a14" a14:legacySpreadsheetColorIndex="6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431800</xdr:colOff>
      <xdr:row>16</xdr:row>
      <xdr:rowOff>114300</xdr:rowOff>
    </xdr:from>
    <xdr:to>
      <xdr:col>2</xdr:col>
      <xdr:colOff>431800</xdr:colOff>
      <xdr:row>17</xdr:row>
      <xdr:rowOff>101600</xdr:rowOff>
    </xdr:to>
    <xdr:sp macro="" textlink="">
      <xdr:nvSpPr>
        <xdr:cNvPr id="52957" name="Line 73">
          <a:extLst>
            <a:ext uri="{FF2B5EF4-FFF2-40B4-BE49-F238E27FC236}">
              <a16:creationId xmlns:a16="http://schemas.microsoft.com/office/drawing/2014/main" id="{883279D2-FF3B-3B03-E04A-375537989F3F}"/>
            </a:ext>
          </a:extLst>
        </xdr:cNvPr>
        <xdr:cNvSpPr>
          <a:spLocks noChangeShapeType="1"/>
        </xdr:cNvSpPr>
      </xdr:nvSpPr>
      <xdr:spPr bwMode="auto">
        <a:xfrm flipV="1">
          <a:off x="1752600" y="2933700"/>
          <a:ext cx="0" cy="1778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666699" mc:Ignorable="a14" a14:legacySpreadsheetColorIndex="5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457200</xdr:colOff>
      <xdr:row>17</xdr:row>
      <xdr:rowOff>139700</xdr:rowOff>
    </xdr:from>
    <xdr:to>
      <xdr:col>1</xdr:col>
      <xdr:colOff>457200</xdr:colOff>
      <xdr:row>19</xdr:row>
      <xdr:rowOff>63500</xdr:rowOff>
    </xdr:to>
    <xdr:sp macro="" textlink="">
      <xdr:nvSpPr>
        <xdr:cNvPr id="52958" name="Line 75">
          <a:extLst>
            <a:ext uri="{FF2B5EF4-FFF2-40B4-BE49-F238E27FC236}">
              <a16:creationId xmlns:a16="http://schemas.microsoft.com/office/drawing/2014/main" id="{BEA6D8E4-B295-F78A-0E4D-99DD77202BD1}"/>
            </a:ext>
          </a:extLst>
        </xdr:cNvPr>
        <xdr:cNvSpPr>
          <a:spLocks noChangeShapeType="1"/>
        </xdr:cNvSpPr>
      </xdr:nvSpPr>
      <xdr:spPr bwMode="auto">
        <a:xfrm flipV="1">
          <a:off x="1104900" y="3149600"/>
          <a:ext cx="0" cy="2921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808080" mc:Ignorable="a14" a14:legacySpreadsheetColorIndex="23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177800</xdr:colOff>
      <xdr:row>18</xdr:row>
      <xdr:rowOff>127000</xdr:rowOff>
    </xdr:from>
    <xdr:to>
      <xdr:col>3</xdr:col>
      <xdr:colOff>12700</xdr:colOff>
      <xdr:row>21</xdr:row>
      <xdr:rowOff>127000</xdr:rowOff>
    </xdr:to>
    <xdr:sp macro="" textlink="">
      <xdr:nvSpPr>
        <xdr:cNvPr id="52959" name="Line 76">
          <a:extLst>
            <a:ext uri="{FF2B5EF4-FFF2-40B4-BE49-F238E27FC236}">
              <a16:creationId xmlns:a16="http://schemas.microsoft.com/office/drawing/2014/main" id="{0DFE2D85-9929-6130-B85D-5D6B9CB3D224}"/>
            </a:ext>
          </a:extLst>
        </xdr:cNvPr>
        <xdr:cNvSpPr>
          <a:spLocks noChangeShapeType="1"/>
        </xdr:cNvSpPr>
      </xdr:nvSpPr>
      <xdr:spPr bwMode="auto">
        <a:xfrm flipH="1">
          <a:off x="1498600" y="3327400"/>
          <a:ext cx="508000" cy="5334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76200</xdr:colOff>
      <xdr:row>17</xdr:row>
      <xdr:rowOff>101600</xdr:rowOff>
    </xdr:from>
    <xdr:to>
      <xdr:col>3</xdr:col>
      <xdr:colOff>241300</xdr:colOff>
      <xdr:row>18</xdr:row>
      <xdr:rowOff>63500</xdr:rowOff>
    </xdr:to>
    <xdr:sp macro="" textlink="">
      <xdr:nvSpPr>
        <xdr:cNvPr id="52960" name="Line 77">
          <a:extLst>
            <a:ext uri="{FF2B5EF4-FFF2-40B4-BE49-F238E27FC236}">
              <a16:creationId xmlns:a16="http://schemas.microsoft.com/office/drawing/2014/main" id="{A401BB44-5348-D213-FDDE-9E7DA5BD8C45}"/>
            </a:ext>
          </a:extLst>
        </xdr:cNvPr>
        <xdr:cNvSpPr>
          <a:spLocks noChangeShapeType="1"/>
        </xdr:cNvSpPr>
      </xdr:nvSpPr>
      <xdr:spPr bwMode="auto">
        <a:xfrm flipH="1">
          <a:off x="2070100" y="3111500"/>
          <a:ext cx="165100" cy="1524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12700</xdr:colOff>
      <xdr:row>18</xdr:row>
      <xdr:rowOff>63500</xdr:rowOff>
    </xdr:from>
    <xdr:to>
      <xdr:col>3</xdr:col>
      <xdr:colOff>63500</xdr:colOff>
      <xdr:row>18</xdr:row>
      <xdr:rowOff>114300</xdr:rowOff>
    </xdr:to>
    <xdr:sp macro="" textlink="">
      <xdr:nvSpPr>
        <xdr:cNvPr id="52961" name="Line 78">
          <a:extLst>
            <a:ext uri="{FF2B5EF4-FFF2-40B4-BE49-F238E27FC236}">
              <a16:creationId xmlns:a16="http://schemas.microsoft.com/office/drawing/2014/main" id="{623EF273-7BB5-0836-7F51-C92BB92CC4CE}"/>
            </a:ext>
          </a:extLst>
        </xdr:cNvPr>
        <xdr:cNvSpPr>
          <a:spLocks noChangeShapeType="1"/>
        </xdr:cNvSpPr>
      </xdr:nvSpPr>
      <xdr:spPr bwMode="auto">
        <a:xfrm flipV="1">
          <a:off x="2006600" y="3263900"/>
          <a:ext cx="50800" cy="508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242570</xdr:colOff>
      <xdr:row>2</xdr:row>
      <xdr:rowOff>116205</xdr:rowOff>
    </xdr:from>
    <xdr:to>
      <xdr:col>7</xdr:col>
      <xdr:colOff>602686</xdr:colOff>
      <xdr:row>4</xdr:row>
      <xdr:rowOff>60964</xdr:rowOff>
    </xdr:to>
    <xdr:sp macro="" textlink="">
      <xdr:nvSpPr>
        <xdr:cNvPr id="32847" name="Oval 79">
          <a:extLst>
            <a:ext uri="{FF2B5EF4-FFF2-40B4-BE49-F238E27FC236}">
              <a16:creationId xmlns:a16="http://schemas.microsoft.com/office/drawing/2014/main" id="{48FECF38-9040-4F17-B058-D8FEDB9F655D}"/>
            </a:ext>
          </a:extLst>
        </xdr:cNvPr>
        <xdr:cNvSpPr>
          <a:spLocks noChangeArrowheads="1"/>
        </xdr:cNvSpPr>
      </xdr:nvSpPr>
      <xdr:spPr bwMode="auto">
        <a:xfrm>
          <a:off x="4438650" y="514350"/>
          <a:ext cx="323850" cy="2667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9050">
          <a:solidFill>
            <a:srgbClr xmlns:mc="http://schemas.openxmlformats.org/markup-compatibility/2006" xmlns:a14="http://schemas.microsoft.com/office/drawing/2010/main" val="339966" mc:Ignorable="a14" a14:legacySpreadsheetColorIndex="57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 1</a:t>
          </a:r>
        </a:p>
      </xdr:txBody>
    </xdr:sp>
    <xdr:clientData/>
  </xdr:twoCellAnchor>
  <xdr:twoCellAnchor>
    <xdr:from>
      <xdr:col>7</xdr:col>
      <xdr:colOff>254000</xdr:colOff>
      <xdr:row>4</xdr:row>
      <xdr:rowOff>135255</xdr:rowOff>
    </xdr:from>
    <xdr:to>
      <xdr:col>7</xdr:col>
      <xdr:colOff>593554</xdr:colOff>
      <xdr:row>6</xdr:row>
      <xdr:rowOff>72037</xdr:rowOff>
    </xdr:to>
    <xdr:sp macro="" textlink="">
      <xdr:nvSpPr>
        <xdr:cNvPr id="32848" name="Oval 80">
          <a:extLst>
            <a:ext uri="{FF2B5EF4-FFF2-40B4-BE49-F238E27FC236}">
              <a16:creationId xmlns:a16="http://schemas.microsoft.com/office/drawing/2014/main" id="{AFA55F5E-F047-0DA0-C078-7500F26BDCE0}"/>
            </a:ext>
          </a:extLst>
        </xdr:cNvPr>
        <xdr:cNvSpPr>
          <a:spLocks noChangeArrowheads="1"/>
        </xdr:cNvSpPr>
      </xdr:nvSpPr>
      <xdr:spPr bwMode="auto">
        <a:xfrm>
          <a:off x="4448175" y="847725"/>
          <a:ext cx="323850" cy="2667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9050">
          <a:solidFill>
            <a:srgbClr xmlns:mc="http://schemas.openxmlformats.org/markup-compatibility/2006" xmlns:a14="http://schemas.microsoft.com/office/drawing/2010/main" val="339966" mc:Ignorable="a14" a14:legacySpreadsheetColorIndex="57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 2</a:t>
          </a:r>
        </a:p>
      </xdr:txBody>
    </xdr:sp>
    <xdr:clientData/>
  </xdr:twoCellAnchor>
  <xdr:twoCellAnchor>
    <xdr:from>
      <xdr:col>7</xdr:col>
      <xdr:colOff>257810</xdr:colOff>
      <xdr:row>6</xdr:row>
      <xdr:rowOff>135255</xdr:rowOff>
    </xdr:from>
    <xdr:to>
      <xdr:col>7</xdr:col>
      <xdr:colOff>624789</xdr:colOff>
      <xdr:row>8</xdr:row>
      <xdr:rowOff>85360</xdr:rowOff>
    </xdr:to>
    <xdr:sp macro="" textlink="">
      <xdr:nvSpPr>
        <xdr:cNvPr id="32849" name="Oval 81">
          <a:extLst>
            <a:ext uri="{FF2B5EF4-FFF2-40B4-BE49-F238E27FC236}">
              <a16:creationId xmlns:a16="http://schemas.microsoft.com/office/drawing/2014/main" id="{CE6C0B70-372F-13EC-24A2-DC055F3BF36E}"/>
            </a:ext>
          </a:extLst>
        </xdr:cNvPr>
        <xdr:cNvSpPr>
          <a:spLocks noChangeArrowheads="1"/>
        </xdr:cNvSpPr>
      </xdr:nvSpPr>
      <xdr:spPr bwMode="auto">
        <a:xfrm>
          <a:off x="4457700" y="1171575"/>
          <a:ext cx="323850" cy="276225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9050">
          <a:solidFill>
            <a:srgbClr xmlns:mc="http://schemas.openxmlformats.org/markup-compatibility/2006" xmlns:a14="http://schemas.microsoft.com/office/drawing/2010/main" val="339966" mc:Ignorable="a14" a14:legacySpreadsheetColorIndex="57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 3</a:t>
          </a:r>
        </a:p>
      </xdr:txBody>
    </xdr:sp>
    <xdr:clientData/>
  </xdr:twoCellAnchor>
  <xdr:twoCellAnchor>
    <xdr:from>
      <xdr:col>7</xdr:col>
      <xdr:colOff>276860</xdr:colOff>
      <xdr:row>8</xdr:row>
      <xdr:rowOff>121920</xdr:rowOff>
    </xdr:from>
    <xdr:to>
      <xdr:col>7</xdr:col>
      <xdr:colOff>633046</xdr:colOff>
      <xdr:row>10</xdr:row>
      <xdr:rowOff>53250</xdr:rowOff>
    </xdr:to>
    <xdr:sp macro="" textlink="">
      <xdr:nvSpPr>
        <xdr:cNvPr id="32850" name="Oval 82">
          <a:extLst>
            <a:ext uri="{FF2B5EF4-FFF2-40B4-BE49-F238E27FC236}">
              <a16:creationId xmlns:a16="http://schemas.microsoft.com/office/drawing/2014/main" id="{5098999B-E9AD-325C-0279-ADA42B3B434A}"/>
            </a:ext>
          </a:extLst>
        </xdr:cNvPr>
        <xdr:cNvSpPr>
          <a:spLocks noChangeArrowheads="1"/>
        </xdr:cNvSpPr>
      </xdr:nvSpPr>
      <xdr:spPr bwMode="auto">
        <a:xfrm>
          <a:off x="4467225" y="1495425"/>
          <a:ext cx="323850" cy="304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9050">
          <a:solidFill>
            <a:srgbClr xmlns:mc="http://schemas.openxmlformats.org/markup-compatibility/2006" xmlns:a14="http://schemas.microsoft.com/office/drawing/2010/main" val="339966" mc:Ignorable="a14" a14:legacySpreadsheetColorIndex="57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lnSpc>
              <a:spcPts val="700"/>
            </a:lnSpc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 4</a:t>
          </a:r>
        </a:p>
        <a:p>
          <a:pPr algn="l" rtl="0">
            <a:lnSpc>
              <a:spcPts val="1000"/>
            </a:lnSpc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2</a:t>
          </a:r>
        </a:p>
      </xdr:txBody>
    </xdr:sp>
    <xdr:clientData/>
  </xdr:twoCellAnchor>
  <xdr:twoCellAnchor>
    <xdr:from>
      <xdr:col>7</xdr:col>
      <xdr:colOff>276860</xdr:colOff>
      <xdr:row>10</xdr:row>
      <xdr:rowOff>155575</xdr:rowOff>
    </xdr:from>
    <xdr:to>
      <xdr:col>7</xdr:col>
      <xdr:colOff>633046</xdr:colOff>
      <xdr:row>12</xdr:row>
      <xdr:rowOff>64419</xdr:rowOff>
    </xdr:to>
    <xdr:sp macro="" textlink="">
      <xdr:nvSpPr>
        <xdr:cNvPr id="32851" name="Oval 83">
          <a:extLst>
            <a:ext uri="{FF2B5EF4-FFF2-40B4-BE49-F238E27FC236}">
              <a16:creationId xmlns:a16="http://schemas.microsoft.com/office/drawing/2014/main" id="{CE5B47A0-13A5-A0CC-7190-4712E3FC802D}"/>
            </a:ext>
          </a:extLst>
        </xdr:cNvPr>
        <xdr:cNvSpPr>
          <a:spLocks noChangeArrowheads="1"/>
        </xdr:cNvSpPr>
      </xdr:nvSpPr>
      <xdr:spPr bwMode="auto">
        <a:xfrm>
          <a:off x="4467225" y="1866900"/>
          <a:ext cx="323850" cy="276225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9050">
          <a:solidFill>
            <a:srgbClr xmlns:mc="http://schemas.openxmlformats.org/markup-compatibility/2006" xmlns:a14="http://schemas.microsoft.com/office/drawing/2010/main" val="339966" mc:Ignorable="a14" a14:legacySpreadsheetColorIndex="57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 5</a:t>
          </a:r>
        </a:p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2</a:t>
          </a:r>
        </a:p>
      </xdr:txBody>
    </xdr:sp>
    <xdr:clientData/>
  </xdr:twoCellAnchor>
  <xdr:twoCellAnchor>
    <xdr:from>
      <xdr:col>4</xdr:col>
      <xdr:colOff>375920</xdr:colOff>
      <xdr:row>14</xdr:row>
      <xdr:rowOff>49530</xdr:rowOff>
    </xdr:from>
    <xdr:to>
      <xdr:col>5</xdr:col>
      <xdr:colOff>59799</xdr:colOff>
      <xdr:row>15</xdr:row>
      <xdr:rowOff>154166</xdr:rowOff>
    </xdr:to>
    <xdr:sp macro="" textlink="">
      <xdr:nvSpPr>
        <xdr:cNvPr id="32852" name="Oval 84">
          <a:extLst>
            <a:ext uri="{FF2B5EF4-FFF2-40B4-BE49-F238E27FC236}">
              <a16:creationId xmlns:a16="http://schemas.microsoft.com/office/drawing/2014/main" id="{7E4E21D3-9E43-A69D-63BF-099185A2746F}"/>
            </a:ext>
          </a:extLst>
        </xdr:cNvPr>
        <xdr:cNvSpPr>
          <a:spLocks noChangeArrowheads="1"/>
        </xdr:cNvSpPr>
      </xdr:nvSpPr>
      <xdr:spPr bwMode="auto">
        <a:xfrm>
          <a:off x="2733675" y="2447925"/>
          <a:ext cx="323850" cy="2667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9050">
          <a:solidFill>
            <a:srgbClr xmlns:mc="http://schemas.openxmlformats.org/markup-compatibility/2006" xmlns:a14="http://schemas.microsoft.com/office/drawing/2010/main" val="339966" mc:Ignorable="a14" a14:legacySpreadsheetColorIndex="57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 6</a:t>
          </a:r>
        </a:p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2</a:t>
          </a:r>
        </a:p>
      </xdr:txBody>
    </xdr:sp>
    <xdr:clientData/>
  </xdr:twoCellAnchor>
  <xdr:twoCellAnchor>
    <xdr:from>
      <xdr:col>3</xdr:col>
      <xdr:colOff>172720</xdr:colOff>
      <xdr:row>16</xdr:row>
      <xdr:rowOff>38100</xdr:rowOff>
    </xdr:from>
    <xdr:to>
      <xdr:col>3</xdr:col>
      <xdr:colOff>505320</xdr:colOff>
      <xdr:row>17</xdr:row>
      <xdr:rowOff>118175</xdr:rowOff>
    </xdr:to>
    <xdr:sp macro="" textlink="">
      <xdr:nvSpPr>
        <xdr:cNvPr id="32853" name="Oval 85">
          <a:extLst>
            <a:ext uri="{FF2B5EF4-FFF2-40B4-BE49-F238E27FC236}">
              <a16:creationId xmlns:a16="http://schemas.microsoft.com/office/drawing/2014/main" id="{3128595D-DC41-F5CE-A7C6-96E5203BCCEA}"/>
            </a:ext>
          </a:extLst>
        </xdr:cNvPr>
        <xdr:cNvSpPr>
          <a:spLocks noChangeArrowheads="1"/>
        </xdr:cNvSpPr>
      </xdr:nvSpPr>
      <xdr:spPr bwMode="auto">
        <a:xfrm>
          <a:off x="1933575" y="2790825"/>
          <a:ext cx="323850" cy="2667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9050">
          <a:solidFill>
            <a:srgbClr xmlns:mc="http://schemas.openxmlformats.org/markup-compatibility/2006" xmlns:a14="http://schemas.microsoft.com/office/drawing/2010/main" val="339966" mc:Ignorable="a14" a14:legacySpreadsheetColorIndex="57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 6</a:t>
          </a:r>
        </a:p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2</a:t>
          </a:r>
        </a:p>
      </xdr:txBody>
    </xdr:sp>
    <xdr:clientData/>
  </xdr:twoCellAnchor>
  <xdr:twoCellAnchor>
    <xdr:from>
      <xdr:col>1</xdr:col>
      <xdr:colOff>184150</xdr:colOff>
      <xdr:row>12</xdr:row>
      <xdr:rowOff>64770</xdr:rowOff>
    </xdr:from>
    <xdr:to>
      <xdr:col>1</xdr:col>
      <xdr:colOff>542595</xdr:colOff>
      <xdr:row>14</xdr:row>
      <xdr:rowOff>19451</xdr:rowOff>
    </xdr:to>
    <xdr:sp macro="" textlink="">
      <xdr:nvSpPr>
        <xdr:cNvPr id="32854" name="Oval 86">
          <a:extLst>
            <a:ext uri="{FF2B5EF4-FFF2-40B4-BE49-F238E27FC236}">
              <a16:creationId xmlns:a16="http://schemas.microsoft.com/office/drawing/2014/main" id="{AD23FCD0-6674-D8EF-6CB9-F407A938124C}"/>
            </a:ext>
          </a:extLst>
        </xdr:cNvPr>
        <xdr:cNvSpPr>
          <a:spLocks noChangeArrowheads="1"/>
        </xdr:cNvSpPr>
      </xdr:nvSpPr>
      <xdr:spPr bwMode="auto">
        <a:xfrm>
          <a:off x="723900" y="2143125"/>
          <a:ext cx="323850" cy="2667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9050">
          <a:solidFill>
            <a:srgbClr xmlns:mc="http://schemas.openxmlformats.org/markup-compatibility/2006" xmlns:a14="http://schemas.microsoft.com/office/drawing/2010/main" val="339966" mc:Ignorable="a14" a14:legacySpreadsheetColorIndex="57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 6</a:t>
          </a:r>
        </a:p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2</a:t>
          </a:r>
        </a:p>
      </xdr:txBody>
    </xdr:sp>
    <xdr:clientData/>
  </xdr:twoCellAnchor>
  <xdr:twoCellAnchor>
    <xdr:from>
      <xdr:col>2</xdr:col>
      <xdr:colOff>342900</xdr:colOff>
      <xdr:row>24</xdr:row>
      <xdr:rowOff>114300</xdr:rowOff>
    </xdr:from>
    <xdr:to>
      <xdr:col>3</xdr:col>
      <xdr:colOff>0</xdr:colOff>
      <xdr:row>28</xdr:row>
      <xdr:rowOff>76200</xdr:rowOff>
    </xdr:to>
    <xdr:sp macro="" textlink="">
      <xdr:nvSpPr>
        <xdr:cNvPr id="52970" name="Line 87">
          <a:extLst>
            <a:ext uri="{FF2B5EF4-FFF2-40B4-BE49-F238E27FC236}">
              <a16:creationId xmlns:a16="http://schemas.microsoft.com/office/drawing/2014/main" id="{2B5728DA-0B3E-18A2-0A6E-57293E62FFD3}"/>
            </a:ext>
          </a:extLst>
        </xdr:cNvPr>
        <xdr:cNvSpPr>
          <a:spLocks noChangeShapeType="1"/>
        </xdr:cNvSpPr>
      </xdr:nvSpPr>
      <xdr:spPr bwMode="auto">
        <a:xfrm flipH="1">
          <a:off x="1663700" y="4406900"/>
          <a:ext cx="330200" cy="7239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355600</xdr:colOff>
      <xdr:row>19</xdr:row>
      <xdr:rowOff>114300</xdr:rowOff>
    </xdr:from>
    <xdr:to>
      <xdr:col>1</xdr:col>
      <xdr:colOff>381000</xdr:colOff>
      <xdr:row>21</xdr:row>
      <xdr:rowOff>88900</xdr:rowOff>
    </xdr:to>
    <xdr:sp macro="" textlink="">
      <xdr:nvSpPr>
        <xdr:cNvPr id="52971" name="Line 88">
          <a:extLst>
            <a:ext uri="{FF2B5EF4-FFF2-40B4-BE49-F238E27FC236}">
              <a16:creationId xmlns:a16="http://schemas.microsoft.com/office/drawing/2014/main" id="{0ECCBD11-6EEC-6884-E3EC-43C55B09E868}"/>
            </a:ext>
          </a:extLst>
        </xdr:cNvPr>
        <xdr:cNvSpPr>
          <a:spLocks noChangeShapeType="1"/>
        </xdr:cNvSpPr>
      </xdr:nvSpPr>
      <xdr:spPr bwMode="auto">
        <a:xfrm flipH="1">
          <a:off x="355600" y="3492500"/>
          <a:ext cx="673100" cy="330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342900</xdr:colOff>
      <xdr:row>19</xdr:row>
      <xdr:rowOff>127000</xdr:rowOff>
    </xdr:from>
    <xdr:to>
      <xdr:col>2</xdr:col>
      <xdr:colOff>25400</xdr:colOff>
      <xdr:row>28</xdr:row>
      <xdr:rowOff>76200</xdr:rowOff>
    </xdr:to>
    <xdr:sp macro="" textlink="">
      <xdr:nvSpPr>
        <xdr:cNvPr id="52972" name="Arc 89">
          <a:extLst>
            <a:ext uri="{FF2B5EF4-FFF2-40B4-BE49-F238E27FC236}">
              <a16:creationId xmlns:a16="http://schemas.microsoft.com/office/drawing/2014/main" id="{3041FC9C-FEDA-C2F7-42E6-67732ECE0003}"/>
            </a:ext>
          </a:extLst>
        </xdr:cNvPr>
        <xdr:cNvSpPr>
          <a:spLocks/>
        </xdr:cNvSpPr>
      </xdr:nvSpPr>
      <xdr:spPr bwMode="auto">
        <a:xfrm rot="8950336">
          <a:off x="990600" y="3505200"/>
          <a:ext cx="355600" cy="1625600"/>
        </a:xfrm>
        <a:custGeom>
          <a:avLst/>
          <a:gdLst>
            <a:gd name="T0" fmla="*/ 0 w 21600"/>
            <a:gd name="T1" fmla="*/ 0 h 35669"/>
            <a:gd name="T2" fmla="*/ 2147483646 w 21600"/>
            <a:gd name="T3" fmla="*/ 2147483646 h 35669"/>
            <a:gd name="T4" fmla="*/ 0 w 21600"/>
            <a:gd name="T5" fmla="*/ 2147483646 h 35669"/>
            <a:gd name="T6" fmla="*/ 0 60000 65536"/>
            <a:gd name="T7" fmla="*/ 0 60000 65536"/>
            <a:gd name="T8" fmla="*/ 0 60000 65536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0" t="0" r="r" b="b"/>
          <a:pathLst>
            <a:path w="21600" h="35669" fill="none" extrusionOk="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  <a:cubicBezTo>
                <a:pt x="21600" y="26761"/>
                <a:pt x="19751" y="31752"/>
                <a:pt x="16389" y="35668"/>
              </a:cubicBezTo>
            </a:path>
            <a:path w="21600" h="35669" stroke="0" extrusionOk="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  <a:cubicBezTo>
                <a:pt x="21600" y="26761"/>
                <a:pt x="19751" y="31752"/>
                <a:pt x="16389" y="35668"/>
              </a:cubicBezTo>
              <a:lnTo>
                <a:pt x="0" y="21600"/>
              </a:lnTo>
              <a:lnTo>
                <a:pt x="-1" y="0"/>
              </a:lnTo>
              <a:close/>
            </a:path>
          </a:pathLst>
        </a:cu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</xdr:col>
      <xdr:colOff>0</xdr:colOff>
      <xdr:row>20</xdr:row>
      <xdr:rowOff>152400</xdr:rowOff>
    </xdr:from>
    <xdr:to>
      <xdr:col>1</xdr:col>
      <xdr:colOff>114300</xdr:colOff>
      <xdr:row>22</xdr:row>
      <xdr:rowOff>38100</xdr:rowOff>
    </xdr:to>
    <xdr:sp macro="" textlink="">
      <xdr:nvSpPr>
        <xdr:cNvPr id="52973" name="Line 90">
          <a:extLst>
            <a:ext uri="{FF2B5EF4-FFF2-40B4-BE49-F238E27FC236}">
              <a16:creationId xmlns:a16="http://schemas.microsoft.com/office/drawing/2014/main" id="{8FBA5736-EA0F-7321-2826-520D446CC236}"/>
            </a:ext>
          </a:extLst>
        </xdr:cNvPr>
        <xdr:cNvSpPr>
          <a:spLocks noChangeShapeType="1"/>
        </xdr:cNvSpPr>
      </xdr:nvSpPr>
      <xdr:spPr bwMode="auto">
        <a:xfrm>
          <a:off x="647700" y="3708400"/>
          <a:ext cx="114300" cy="2413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241300</xdr:colOff>
      <xdr:row>27</xdr:row>
      <xdr:rowOff>63500</xdr:rowOff>
    </xdr:from>
    <xdr:to>
      <xdr:col>2</xdr:col>
      <xdr:colOff>444500</xdr:colOff>
      <xdr:row>27</xdr:row>
      <xdr:rowOff>139700</xdr:rowOff>
    </xdr:to>
    <xdr:sp macro="" textlink="">
      <xdr:nvSpPr>
        <xdr:cNvPr id="52974" name="Line 91">
          <a:extLst>
            <a:ext uri="{FF2B5EF4-FFF2-40B4-BE49-F238E27FC236}">
              <a16:creationId xmlns:a16="http://schemas.microsoft.com/office/drawing/2014/main" id="{8DD2189E-E090-D120-6D0D-C39726537C6C}"/>
            </a:ext>
          </a:extLst>
        </xdr:cNvPr>
        <xdr:cNvSpPr>
          <a:spLocks noChangeShapeType="1"/>
        </xdr:cNvSpPr>
      </xdr:nvSpPr>
      <xdr:spPr bwMode="auto">
        <a:xfrm>
          <a:off x="1562100" y="4927600"/>
          <a:ext cx="203200" cy="76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25400</xdr:colOff>
      <xdr:row>16</xdr:row>
      <xdr:rowOff>25400</xdr:rowOff>
    </xdr:from>
    <xdr:to>
      <xdr:col>3</xdr:col>
      <xdr:colOff>38100</xdr:colOff>
      <xdr:row>18</xdr:row>
      <xdr:rowOff>63500</xdr:rowOff>
    </xdr:to>
    <xdr:sp macro="" textlink="">
      <xdr:nvSpPr>
        <xdr:cNvPr id="52975" name="Line 92">
          <a:extLst>
            <a:ext uri="{FF2B5EF4-FFF2-40B4-BE49-F238E27FC236}">
              <a16:creationId xmlns:a16="http://schemas.microsoft.com/office/drawing/2014/main" id="{7498DD5A-2646-7E42-DA6E-0EA6DA6F6B3C}"/>
            </a:ext>
          </a:extLst>
        </xdr:cNvPr>
        <xdr:cNvSpPr>
          <a:spLocks noChangeShapeType="1"/>
        </xdr:cNvSpPr>
      </xdr:nvSpPr>
      <xdr:spPr bwMode="auto">
        <a:xfrm flipH="1" flipV="1">
          <a:off x="1346200" y="2844800"/>
          <a:ext cx="685800" cy="4191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8080" mc:Ignorable="a14" a14:legacySpreadsheetColorIndex="21"/>
          </a:solidFill>
          <a:prstDash val="sysDot"/>
          <a:round/>
          <a:headEnd type="oval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355600</xdr:colOff>
      <xdr:row>12</xdr:row>
      <xdr:rowOff>63500</xdr:rowOff>
    </xdr:from>
    <xdr:to>
      <xdr:col>5</xdr:col>
      <xdr:colOff>342900</xdr:colOff>
      <xdr:row>15</xdr:row>
      <xdr:rowOff>0</xdr:rowOff>
    </xdr:to>
    <xdr:cxnSp macro="">
      <xdr:nvCxnSpPr>
        <xdr:cNvPr id="52976" name="AutoShape 93">
          <a:extLst>
            <a:ext uri="{FF2B5EF4-FFF2-40B4-BE49-F238E27FC236}">
              <a16:creationId xmlns:a16="http://schemas.microsoft.com/office/drawing/2014/main" id="{A94DCF87-4A55-8837-4DBB-24AF03407328}"/>
            </a:ext>
          </a:extLst>
        </xdr:cNvPr>
        <xdr:cNvCxnSpPr>
          <a:cxnSpLocks noChangeShapeType="1"/>
          <a:endCxn id="32854" idx="0"/>
        </xdr:cNvCxnSpPr>
      </xdr:nvCxnSpPr>
      <xdr:spPr bwMode="auto">
        <a:xfrm rot="10800000">
          <a:off x="1003300" y="2184400"/>
          <a:ext cx="2679700" cy="444500"/>
        </a:xfrm>
        <a:prstGeom prst="bentConnector4">
          <a:avLst>
            <a:gd name="adj1" fmla="val 782"/>
            <a:gd name="adj2" fmla="val 150000"/>
          </a:avLst>
        </a:prstGeom>
        <a:noFill/>
        <a:ln w="28575">
          <a:solidFill>
            <a:srgbClr xmlns:mc="http://schemas.openxmlformats.org/markup-compatibility/2006" xmlns:a14="http://schemas.microsoft.com/office/drawing/2010/main" val="008080" mc:Ignorable="a14" a14:legacySpreadsheetColorIndex="21"/>
          </a:solidFill>
          <a:prstDash val="sysDot"/>
          <a:miter lim="800000"/>
          <a:headEnd type="oval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</xdr:col>
      <xdr:colOff>80010</xdr:colOff>
      <xdr:row>18</xdr:row>
      <xdr:rowOff>152400</xdr:rowOff>
    </xdr:from>
    <xdr:to>
      <xdr:col>2</xdr:col>
      <xdr:colOff>460096</xdr:colOff>
      <xdr:row>20</xdr:row>
      <xdr:rowOff>68580</xdr:rowOff>
    </xdr:to>
    <xdr:sp macro="" textlink="">
      <xdr:nvSpPr>
        <xdr:cNvPr id="32863" name="Oval 95">
          <a:extLst>
            <a:ext uri="{FF2B5EF4-FFF2-40B4-BE49-F238E27FC236}">
              <a16:creationId xmlns:a16="http://schemas.microsoft.com/office/drawing/2014/main" id="{C9A3DE92-7E53-12D6-21A3-6B5423E95A37}"/>
            </a:ext>
          </a:extLst>
        </xdr:cNvPr>
        <xdr:cNvSpPr>
          <a:spLocks noChangeArrowheads="1"/>
        </xdr:cNvSpPr>
      </xdr:nvSpPr>
      <xdr:spPr bwMode="auto">
        <a:xfrm>
          <a:off x="1257300" y="3267075"/>
          <a:ext cx="323850" cy="2667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9050">
          <a:solidFill>
            <a:srgbClr xmlns:mc="http://schemas.openxmlformats.org/markup-compatibility/2006" xmlns:a14="http://schemas.microsoft.com/office/drawing/2010/main" val="339966" mc:Ignorable="a14" a14:legacySpreadsheetColorIndex="57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 5</a:t>
          </a:r>
        </a:p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2</a:t>
          </a:r>
        </a:p>
      </xdr:txBody>
    </xdr:sp>
    <xdr:clientData/>
  </xdr:twoCellAnchor>
  <xdr:twoCellAnchor>
    <xdr:from>
      <xdr:col>2</xdr:col>
      <xdr:colOff>419100</xdr:colOff>
      <xdr:row>17</xdr:row>
      <xdr:rowOff>63500</xdr:rowOff>
    </xdr:from>
    <xdr:to>
      <xdr:col>6</xdr:col>
      <xdr:colOff>25400</xdr:colOff>
      <xdr:row>20</xdr:row>
      <xdr:rowOff>50800</xdr:rowOff>
    </xdr:to>
    <xdr:sp macro="" textlink="">
      <xdr:nvSpPr>
        <xdr:cNvPr id="52978" name="Line 96">
          <a:extLst>
            <a:ext uri="{FF2B5EF4-FFF2-40B4-BE49-F238E27FC236}">
              <a16:creationId xmlns:a16="http://schemas.microsoft.com/office/drawing/2014/main" id="{7ED5999B-3F0B-1280-500D-5F6922B7468B}"/>
            </a:ext>
          </a:extLst>
        </xdr:cNvPr>
        <xdr:cNvSpPr>
          <a:spLocks noChangeShapeType="1"/>
        </xdr:cNvSpPr>
      </xdr:nvSpPr>
      <xdr:spPr bwMode="auto">
        <a:xfrm flipH="1">
          <a:off x="1739900" y="3073400"/>
          <a:ext cx="2298700" cy="5334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8080" mc:Ignorable="a14" a14:legacySpreadsheetColorIndex="21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330200</xdr:colOff>
      <xdr:row>24</xdr:row>
      <xdr:rowOff>152400</xdr:rowOff>
    </xdr:from>
    <xdr:to>
      <xdr:col>1</xdr:col>
      <xdr:colOff>381000</xdr:colOff>
      <xdr:row>26</xdr:row>
      <xdr:rowOff>25400</xdr:rowOff>
    </xdr:to>
    <xdr:sp macro="" textlink="">
      <xdr:nvSpPr>
        <xdr:cNvPr id="52979" name="Line 97">
          <a:extLst>
            <a:ext uri="{FF2B5EF4-FFF2-40B4-BE49-F238E27FC236}">
              <a16:creationId xmlns:a16="http://schemas.microsoft.com/office/drawing/2014/main" id="{A0BDFDB3-6B35-A90C-BC7F-35A038C973D3}"/>
            </a:ext>
          </a:extLst>
        </xdr:cNvPr>
        <xdr:cNvSpPr>
          <a:spLocks noChangeShapeType="1"/>
        </xdr:cNvSpPr>
      </xdr:nvSpPr>
      <xdr:spPr bwMode="auto">
        <a:xfrm flipV="1">
          <a:off x="330200" y="4445000"/>
          <a:ext cx="698500" cy="2540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oval" w="med" len="med"/>
          <a:tailEnd type="oval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172720</xdr:colOff>
      <xdr:row>18</xdr:row>
      <xdr:rowOff>30480</xdr:rowOff>
    </xdr:from>
    <xdr:to>
      <xdr:col>7</xdr:col>
      <xdr:colOff>551957</xdr:colOff>
      <xdr:row>19</xdr:row>
      <xdr:rowOff>122151</xdr:rowOff>
    </xdr:to>
    <xdr:sp macro="" textlink="">
      <xdr:nvSpPr>
        <xdr:cNvPr id="32866" name="Oval 98">
          <a:extLst>
            <a:ext uri="{FF2B5EF4-FFF2-40B4-BE49-F238E27FC236}">
              <a16:creationId xmlns:a16="http://schemas.microsoft.com/office/drawing/2014/main" id="{DE5656D0-F9DC-2591-FA6F-0A8AFB15ACDF}"/>
            </a:ext>
          </a:extLst>
        </xdr:cNvPr>
        <xdr:cNvSpPr>
          <a:spLocks noChangeArrowheads="1"/>
        </xdr:cNvSpPr>
      </xdr:nvSpPr>
      <xdr:spPr bwMode="auto">
        <a:xfrm>
          <a:off x="4391025" y="3152775"/>
          <a:ext cx="323850" cy="2667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9050">
          <a:solidFill>
            <a:srgbClr xmlns:mc="http://schemas.openxmlformats.org/markup-compatibility/2006" xmlns:a14="http://schemas.microsoft.com/office/drawing/2010/main" val="339966" mc:Ignorable="a14" a14:legacySpreadsheetColorIndex="57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 5</a:t>
          </a:r>
        </a:p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2</a:t>
          </a:r>
        </a:p>
      </xdr:txBody>
    </xdr:sp>
    <xdr:clientData/>
  </xdr:twoCellAnchor>
  <xdr:twoCellAnchor>
    <xdr:from>
      <xdr:col>9</xdr:col>
      <xdr:colOff>558800</xdr:colOff>
      <xdr:row>19</xdr:row>
      <xdr:rowOff>25400</xdr:rowOff>
    </xdr:from>
    <xdr:to>
      <xdr:col>12</xdr:col>
      <xdr:colOff>190500</xdr:colOff>
      <xdr:row>20</xdr:row>
      <xdr:rowOff>152400</xdr:rowOff>
    </xdr:to>
    <xdr:sp macro="" textlink="">
      <xdr:nvSpPr>
        <xdr:cNvPr id="52981" name="Rectangle 100">
          <a:extLst>
            <a:ext uri="{FF2B5EF4-FFF2-40B4-BE49-F238E27FC236}">
              <a16:creationId xmlns:a16="http://schemas.microsoft.com/office/drawing/2014/main" id="{99A0327E-6D7C-8F17-839D-AD32B3844F76}"/>
            </a:ext>
          </a:extLst>
        </xdr:cNvPr>
        <xdr:cNvSpPr>
          <a:spLocks noChangeArrowheads="1"/>
        </xdr:cNvSpPr>
      </xdr:nvSpPr>
      <xdr:spPr bwMode="auto">
        <a:xfrm>
          <a:off x="6591300" y="3403600"/>
          <a:ext cx="1651000" cy="304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9050">
          <a:solidFill>
            <a:srgbClr xmlns:mc="http://schemas.openxmlformats.org/markup-compatibility/2006" xmlns:a14="http://schemas.microsoft.com/office/drawing/2010/main" val="993300" mc:Ignorable="a14" a14:legacySpreadsheetColorIndex="60"/>
          </a:solidFill>
          <a:miter lim="800000"/>
          <a:headEnd/>
          <a:tailEnd/>
        </a:ln>
      </xdr:spPr>
    </xdr:sp>
    <xdr:clientData/>
  </xdr:twoCellAnchor>
  <xdr:twoCellAnchor>
    <xdr:from>
      <xdr:col>12</xdr:col>
      <xdr:colOff>190500</xdr:colOff>
      <xdr:row>20</xdr:row>
      <xdr:rowOff>152400</xdr:rowOff>
    </xdr:from>
    <xdr:to>
      <xdr:col>12</xdr:col>
      <xdr:colOff>190500</xdr:colOff>
      <xdr:row>22</xdr:row>
      <xdr:rowOff>139700</xdr:rowOff>
    </xdr:to>
    <xdr:sp macro="" textlink="">
      <xdr:nvSpPr>
        <xdr:cNvPr id="52982" name="Line 101">
          <a:extLst>
            <a:ext uri="{FF2B5EF4-FFF2-40B4-BE49-F238E27FC236}">
              <a16:creationId xmlns:a16="http://schemas.microsoft.com/office/drawing/2014/main" id="{90242F1D-640D-ADC2-0D6B-BF6763D7EB40}"/>
            </a:ext>
          </a:extLst>
        </xdr:cNvPr>
        <xdr:cNvSpPr>
          <a:spLocks noChangeShapeType="1"/>
        </xdr:cNvSpPr>
      </xdr:nvSpPr>
      <xdr:spPr bwMode="auto">
        <a:xfrm>
          <a:off x="8242300" y="3708400"/>
          <a:ext cx="0" cy="3429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993300" mc:Ignorable="a14" a14:legacySpreadsheetColorIndex="6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571500</xdr:colOff>
      <xdr:row>22</xdr:row>
      <xdr:rowOff>127000</xdr:rowOff>
    </xdr:from>
    <xdr:to>
      <xdr:col>12</xdr:col>
      <xdr:colOff>190500</xdr:colOff>
      <xdr:row>22</xdr:row>
      <xdr:rowOff>127000</xdr:rowOff>
    </xdr:to>
    <xdr:sp macro="" textlink="">
      <xdr:nvSpPr>
        <xdr:cNvPr id="52983" name="Line 103">
          <a:extLst>
            <a:ext uri="{FF2B5EF4-FFF2-40B4-BE49-F238E27FC236}">
              <a16:creationId xmlns:a16="http://schemas.microsoft.com/office/drawing/2014/main" id="{27194BDD-94BA-920A-FAB6-A8F768B18C33}"/>
            </a:ext>
          </a:extLst>
        </xdr:cNvPr>
        <xdr:cNvSpPr>
          <a:spLocks noChangeShapeType="1"/>
        </xdr:cNvSpPr>
      </xdr:nvSpPr>
      <xdr:spPr bwMode="auto">
        <a:xfrm flipH="1">
          <a:off x="7950200" y="4038600"/>
          <a:ext cx="2921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993300" mc:Ignorable="a14" a14:legacySpreadsheetColorIndex="6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241300</xdr:colOff>
      <xdr:row>21</xdr:row>
      <xdr:rowOff>12700</xdr:rowOff>
    </xdr:from>
    <xdr:to>
      <xdr:col>11</xdr:col>
      <xdr:colOff>571500</xdr:colOff>
      <xdr:row>22</xdr:row>
      <xdr:rowOff>139700</xdr:rowOff>
    </xdr:to>
    <xdr:sp macro="" textlink="">
      <xdr:nvSpPr>
        <xdr:cNvPr id="52984" name="Line 104">
          <a:extLst>
            <a:ext uri="{FF2B5EF4-FFF2-40B4-BE49-F238E27FC236}">
              <a16:creationId xmlns:a16="http://schemas.microsoft.com/office/drawing/2014/main" id="{51B22315-9053-FDBC-3822-9D484521ED1F}"/>
            </a:ext>
          </a:extLst>
        </xdr:cNvPr>
        <xdr:cNvSpPr>
          <a:spLocks noChangeShapeType="1"/>
        </xdr:cNvSpPr>
      </xdr:nvSpPr>
      <xdr:spPr bwMode="auto">
        <a:xfrm flipH="1" flipV="1">
          <a:off x="7620000" y="3746500"/>
          <a:ext cx="330200" cy="3048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993300" mc:Ignorable="a14" a14:legacySpreadsheetColorIndex="6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546100</xdr:colOff>
      <xdr:row>19</xdr:row>
      <xdr:rowOff>50800</xdr:rowOff>
    </xdr:from>
    <xdr:to>
      <xdr:col>12</xdr:col>
      <xdr:colOff>177800</xdr:colOff>
      <xdr:row>19</xdr:row>
      <xdr:rowOff>50800</xdr:rowOff>
    </xdr:to>
    <xdr:sp macro="" textlink="">
      <xdr:nvSpPr>
        <xdr:cNvPr id="52985" name="Line 105">
          <a:extLst>
            <a:ext uri="{FF2B5EF4-FFF2-40B4-BE49-F238E27FC236}">
              <a16:creationId xmlns:a16="http://schemas.microsoft.com/office/drawing/2014/main" id="{ADBDA39A-8AE7-F9D9-0089-996ABB8061AB}"/>
            </a:ext>
          </a:extLst>
        </xdr:cNvPr>
        <xdr:cNvSpPr>
          <a:spLocks noChangeShapeType="1"/>
        </xdr:cNvSpPr>
      </xdr:nvSpPr>
      <xdr:spPr bwMode="auto">
        <a:xfrm>
          <a:off x="6578600" y="3429000"/>
          <a:ext cx="16510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993300" mc:Ignorable="a14" a14:legacySpreadsheetColorIndex="60"/>
          </a:solidFill>
          <a:prstDash val="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558800</xdr:colOff>
      <xdr:row>20</xdr:row>
      <xdr:rowOff>127000</xdr:rowOff>
    </xdr:from>
    <xdr:to>
      <xdr:col>12</xdr:col>
      <xdr:colOff>190500</xdr:colOff>
      <xdr:row>20</xdr:row>
      <xdr:rowOff>127000</xdr:rowOff>
    </xdr:to>
    <xdr:sp macro="" textlink="">
      <xdr:nvSpPr>
        <xdr:cNvPr id="52986" name="Line 106">
          <a:extLst>
            <a:ext uri="{FF2B5EF4-FFF2-40B4-BE49-F238E27FC236}">
              <a16:creationId xmlns:a16="http://schemas.microsoft.com/office/drawing/2014/main" id="{E11276B0-F58C-2C92-643B-A72774C429B5}"/>
            </a:ext>
          </a:extLst>
        </xdr:cNvPr>
        <xdr:cNvSpPr>
          <a:spLocks noChangeShapeType="1"/>
        </xdr:cNvSpPr>
      </xdr:nvSpPr>
      <xdr:spPr bwMode="auto">
        <a:xfrm>
          <a:off x="6591300" y="3683000"/>
          <a:ext cx="16510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993300" mc:Ignorable="a14" a14:legacySpreadsheetColorIndex="60"/>
          </a:solidFill>
          <a:prstDash val="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254000</xdr:colOff>
      <xdr:row>20</xdr:row>
      <xdr:rowOff>152400</xdr:rowOff>
    </xdr:from>
    <xdr:to>
      <xdr:col>11</xdr:col>
      <xdr:colOff>254000</xdr:colOff>
      <xdr:row>21</xdr:row>
      <xdr:rowOff>25400</xdr:rowOff>
    </xdr:to>
    <xdr:sp macro="" textlink="">
      <xdr:nvSpPr>
        <xdr:cNvPr id="52987" name="Line 108">
          <a:extLst>
            <a:ext uri="{FF2B5EF4-FFF2-40B4-BE49-F238E27FC236}">
              <a16:creationId xmlns:a16="http://schemas.microsoft.com/office/drawing/2014/main" id="{A09F25E7-BEE8-EE81-DCC5-6235D9541048}"/>
            </a:ext>
          </a:extLst>
        </xdr:cNvPr>
        <xdr:cNvSpPr>
          <a:spLocks noChangeShapeType="1"/>
        </xdr:cNvSpPr>
      </xdr:nvSpPr>
      <xdr:spPr bwMode="auto">
        <a:xfrm flipV="1">
          <a:off x="7632700" y="3708400"/>
          <a:ext cx="0" cy="508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993300" mc:Ignorable="a14" a14:legacySpreadsheetColorIndex="6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279400</xdr:colOff>
      <xdr:row>20</xdr:row>
      <xdr:rowOff>165100</xdr:rowOff>
    </xdr:from>
    <xdr:to>
      <xdr:col>12</xdr:col>
      <xdr:colOff>177800</xdr:colOff>
      <xdr:row>20</xdr:row>
      <xdr:rowOff>165100</xdr:rowOff>
    </xdr:to>
    <xdr:sp macro="" textlink="">
      <xdr:nvSpPr>
        <xdr:cNvPr id="52988" name="Line 109">
          <a:extLst>
            <a:ext uri="{FF2B5EF4-FFF2-40B4-BE49-F238E27FC236}">
              <a16:creationId xmlns:a16="http://schemas.microsoft.com/office/drawing/2014/main" id="{77969B3D-35A0-A28A-2261-4736B0A64B94}"/>
            </a:ext>
          </a:extLst>
        </xdr:cNvPr>
        <xdr:cNvSpPr>
          <a:spLocks noChangeShapeType="1"/>
        </xdr:cNvSpPr>
      </xdr:nvSpPr>
      <xdr:spPr bwMode="auto">
        <a:xfrm>
          <a:off x="7658100" y="3721100"/>
          <a:ext cx="5715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993300" mc:Ignorable="a14" a14:legacySpreadsheetColorIndex="60"/>
          </a:solidFill>
          <a:prstDash val="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546100</xdr:colOff>
      <xdr:row>22</xdr:row>
      <xdr:rowOff>101600</xdr:rowOff>
    </xdr:from>
    <xdr:to>
      <xdr:col>12</xdr:col>
      <xdr:colOff>190500</xdr:colOff>
      <xdr:row>22</xdr:row>
      <xdr:rowOff>101600</xdr:rowOff>
    </xdr:to>
    <xdr:sp macro="" textlink="">
      <xdr:nvSpPr>
        <xdr:cNvPr id="52989" name="Line 110">
          <a:extLst>
            <a:ext uri="{FF2B5EF4-FFF2-40B4-BE49-F238E27FC236}">
              <a16:creationId xmlns:a16="http://schemas.microsoft.com/office/drawing/2014/main" id="{FFF92715-CAC7-0928-4DDC-4B03AD7C0111}"/>
            </a:ext>
          </a:extLst>
        </xdr:cNvPr>
        <xdr:cNvSpPr>
          <a:spLocks noChangeShapeType="1"/>
        </xdr:cNvSpPr>
      </xdr:nvSpPr>
      <xdr:spPr bwMode="auto">
        <a:xfrm>
          <a:off x="7924800" y="4013200"/>
          <a:ext cx="3175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993300" mc:Ignorable="a14" a14:legacySpreadsheetColorIndex="60"/>
          </a:solidFill>
          <a:prstDash val="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127000</xdr:colOff>
      <xdr:row>15</xdr:row>
      <xdr:rowOff>114300</xdr:rowOff>
    </xdr:from>
    <xdr:to>
      <xdr:col>12</xdr:col>
      <xdr:colOff>127000</xdr:colOff>
      <xdr:row>22</xdr:row>
      <xdr:rowOff>165100</xdr:rowOff>
    </xdr:to>
    <xdr:sp macro="" textlink="">
      <xdr:nvSpPr>
        <xdr:cNvPr id="52990" name="Line 111">
          <a:extLst>
            <a:ext uri="{FF2B5EF4-FFF2-40B4-BE49-F238E27FC236}">
              <a16:creationId xmlns:a16="http://schemas.microsoft.com/office/drawing/2014/main" id="{8C761579-52C4-D046-57DE-06E0D7710313}"/>
            </a:ext>
          </a:extLst>
        </xdr:cNvPr>
        <xdr:cNvSpPr>
          <a:spLocks noChangeShapeType="1"/>
        </xdr:cNvSpPr>
      </xdr:nvSpPr>
      <xdr:spPr bwMode="auto">
        <a:xfrm flipV="1">
          <a:off x="8178800" y="2743200"/>
          <a:ext cx="0" cy="13335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38100</xdr:colOff>
      <xdr:row>18</xdr:row>
      <xdr:rowOff>25400</xdr:rowOff>
    </xdr:from>
    <xdr:to>
      <xdr:col>12</xdr:col>
      <xdr:colOff>38100</xdr:colOff>
      <xdr:row>19</xdr:row>
      <xdr:rowOff>12700</xdr:rowOff>
    </xdr:to>
    <xdr:sp macro="" textlink="">
      <xdr:nvSpPr>
        <xdr:cNvPr id="52991" name="Line 112">
          <a:extLst>
            <a:ext uri="{FF2B5EF4-FFF2-40B4-BE49-F238E27FC236}">
              <a16:creationId xmlns:a16="http://schemas.microsoft.com/office/drawing/2014/main" id="{AE2BAF88-DE8A-24E3-FAD2-0911487B7B29}"/>
            </a:ext>
          </a:extLst>
        </xdr:cNvPr>
        <xdr:cNvSpPr>
          <a:spLocks noChangeShapeType="1"/>
        </xdr:cNvSpPr>
      </xdr:nvSpPr>
      <xdr:spPr bwMode="auto">
        <a:xfrm>
          <a:off x="8089900" y="3225800"/>
          <a:ext cx="0" cy="1651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609600</xdr:colOff>
      <xdr:row>19</xdr:row>
      <xdr:rowOff>12700</xdr:rowOff>
    </xdr:from>
    <xdr:to>
      <xdr:col>12</xdr:col>
      <xdr:colOff>38100</xdr:colOff>
      <xdr:row>19</xdr:row>
      <xdr:rowOff>12700</xdr:rowOff>
    </xdr:to>
    <xdr:sp macro="" textlink="">
      <xdr:nvSpPr>
        <xdr:cNvPr id="52992" name="Line 113">
          <a:extLst>
            <a:ext uri="{FF2B5EF4-FFF2-40B4-BE49-F238E27FC236}">
              <a16:creationId xmlns:a16="http://schemas.microsoft.com/office/drawing/2014/main" id="{AA4BE644-6B2F-015F-738A-DB7D6A3C09C6}"/>
            </a:ext>
          </a:extLst>
        </xdr:cNvPr>
        <xdr:cNvSpPr>
          <a:spLocks noChangeShapeType="1"/>
        </xdr:cNvSpPr>
      </xdr:nvSpPr>
      <xdr:spPr bwMode="auto">
        <a:xfrm flipH="1">
          <a:off x="7988300" y="3390900"/>
          <a:ext cx="1016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317500</xdr:colOff>
      <xdr:row>18</xdr:row>
      <xdr:rowOff>127000</xdr:rowOff>
    </xdr:from>
    <xdr:to>
      <xdr:col>12</xdr:col>
      <xdr:colOff>0</xdr:colOff>
      <xdr:row>18</xdr:row>
      <xdr:rowOff>127000</xdr:rowOff>
    </xdr:to>
    <xdr:sp macro="" textlink="">
      <xdr:nvSpPr>
        <xdr:cNvPr id="52993" name="Line 114">
          <a:extLst>
            <a:ext uri="{FF2B5EF4-FFF2-40B4-BE49-F238E27FC236}">
              <a16:creationId xmlns:a16="http://schemas.microsoft.com/office/drawing/2014/main" id="{D1827E4C-B5F5-5995-E85B-8E84379BC9A2}"/>
            </a:ext>
          </a:extLst>
        </xdr:cNvPr>
        <xdr:cNvSpPr>
          <a:spLocks noChangeShapeType="1"/>
        </xdr:cNvSpPr>
      </xdr:nvSpPr>
      <xdr:spPr bwMode="auto">
        <a:xfrm flipH="1">
          <a:off x="7023100" y="3327400"/>
          <a:ext cx="10287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317500</xdr:colOff>
      <xdr:row>18</xdr:row>
      <xdr:rowOff>165100</xdr:rowOff>
    </xdr:from>
    <xdr:to>
      <xdr:col>11</xdr:col>
      <xdr:colOff>660400</xdr:colOff>
      <xdr:row>18</xdr:row>
      <xdr:rowOff>165100</xdr:rowOff>
    </xdr:to>
    <xdr:sp macro="" textlink="">
      <xdr:nvSpPr>
        <xdr:cNvPr id="52994" name="Line 115">
          <a:extLst>
            <a:ext uri="{FF2B5EF4-FFF2-40B4-BE49-F238E27FC236}">
              <a16:creationId xmlns:a16="http://schemas.microsoft.com/office/drawing/2014/main" id="{B5CA4419-137D-B132-C95C-9A3C93AA875F}"/>
            </a:ext>
          </a:extLst>
        </xdr:cNvPr>
        <xdr:cNvSpPr>
          <a:spLocks noChangeShapeType="1"/>
        </xdr:cNvSpPr>
      </xdr:nvSpPr>
      <xdr:spPr bwMode="auto">
        <a:xfrm flipH="1">
          <a:off x="7023100" y="3365500"/>
          <a:ext cx="10160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660400</xdr:colOff>
      <xdr:row>18</xdr:row>
      <xdr:rowOff>114300</xdr:rowOff>
    </xdr:from>
    <xdr:to>
      <xdr:col>11</xdr:col>
      <xdr:colOff>660400</xdr:colOff>
      <xdr:row>18</xdr:row>
      <xdr:rowOff>165100</xdr:rowOff>
    </xdr:to>
    <xdr:sp macro="" textlink="">
      <xdr:nvSpPr>
        <xdr:cNvPr id="52995" name="Line 116">
          <a:extLst>
            <a:ext uri="{FF2B5EF4-FFF2-40B4-BE49-F238E27FC236}">
              <a16:creationId xmlns:a16="http://schemas.microsoft.com/office/drawing/2014/main" id="{FADA8089-D13C-CD7F-A50C-0FB0D9117A38}"/>
            </a:ext>
          </a:extLst>
        </xdr:cNvPr>
        <xdr:cNvSpPr>
          <a:spLocks noChangeShapeType="1"/>
        </xdr:cNvSpPr>
      </xdr:nvSpPr>
      <xdr:spPr bwMode="auto">
        <a:xfrm>
          <a:off x="8039100" y="3314700"/>
          <a:ext cx="0" cy="508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10</xdr:col>
      <xdr:colOff>238760</xdr:colOff>
      <xdr:row>19</xdr:row>
      <xdr:rowOff>89535</xdr:rowOff>
    </xdr:from>
    <xdr:ext cx="400622" cy="141001"/>
    <xdr:sp macro="" textlink="">
      <xdr:nvSpPr>
        <xdr:cNvPr id="32885" name="Text Box 117">
          <a:extLst>
            <a:ext uri="{FF2B5EF4-FFF2-40B4-BE49-F238E27FC236}">
              <a16:creationId xmlns:a16="http://schemas.microsoft.com/office/drawing/2014/main" id="{24F9CE7B-7A66-9A34-5610-E2E8D318BE2F}"/>
            </a:ext>
          </a:extLst>
        </xdr:cNvPr>
        <xdr:cNvSpPr txBox="1">
          <a:spLocks noChangeArrowheads="1"/>
        </xdr:cNvSpPr>
      </xdr:nvSpPr>
      <xdr:spPr bwMode="auto">
        <a:xfrm>
          <a:off x="6944360" y="3467735"/>
          <a:ext cx="400622" cy="141001"/>
        </a:xfrm>
        <a:prstGeom prst="rect">
          <a:avLst/>
        </a:prstGeom>
        <a:noFill/>
        <a:ln>
          <a:noFill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C8x11.5</a:t>
          </a:r>
        </a:p>
      </xdr:txBody>
    </xdr:sp>
    <xdr:clientData/>
  </xdr:oneCellAnchor>
  <xdr:oneCellAnchor>
    <xdr:from>
      <xdr:col>10</xdr:col>
      <xdr:colOff>369570</xdr:colOff>
      <xdr:row>22</xdr:row>
      <xdr:rowOff>39370</xdr:rowOff>
    </xdr:from>
    <xdr:ext cx="400622" cy="141001"/>
    <xdr:sp macro="" textlink="">
      <xdr:nvSpPr>
        <xdr:cNvPr id="32886" name="Text Box 118">
          <a:extLst>
            <a:ext uri="{FF2B5EF4-FFF2-40B4-BE49-F238E27FC236}">
              <a16:creationId xmlns:a16="http://schemas.microsoft.com/office/drawing/2014/main" id="{4A1896E2-78D1-6E91-DDD8-0F734887691F}"/>
            </a:ext>
          </a:extLst>
        </xdr:cNvPr>
        <xdr:cNvSpPr txBox="1">
          <a:spLocks noChangeArrowheads="1"/>
        </xdr:cNvSpPr>
      </xdr:nvSpPr>
      <xdr:spPr bwMode="auto">
        <a:xfrm>
          <a:off x="7075170" y="3950970"/>
          <a:ext cx="400622" cy="141001"/>
        </a:xfrm>
        <a:prstGeom prst="rect">
          <a:avLst/>
        </a:prstGeom>
        <a:noFill/>
        <a:ln>
          <a:noFill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C8x11.5</a:t>
          </a:r>
        </a:p>
      </xdr:txBody>
    </xdr:sp>
    <xdr:clientData/>
  </xdr:oneCellAnchor>
  <xdr:twoCellAnchor>
    <xdr:from>
      <xdr:col>11</xdr:col>
      <xdr:colOff>165100</xdr:colOff>
      <xdr:row>22</xdr:row>
      <xdr:rowOff>12700</xdr:rowOff>
    </xdr:from>
    <xdr:to>
      <xdr:col>11</xdr:col>
      <xdr:colOff>431800</xdr:colOff>
      <xdr:row>22</xdr:row>
      <xdr:rowOff>101600</xdr:rowOff>
    </xdr:to>
    <xdr:sp macro="" textlink="">
      <xdr:nvSpPr>
        <xdr:cNvPr id="52998" name="Line 119">
          <a:extLst>
            <a:ext uri="{FF2B5EF4-FFF2-40B4-BE49-F238E27FC236}">
              <a16:creationId xmlns:a16="http://schemas.microsoft.com/office/drawing/2014/main" id="{C6E3729A-8BD6-3697-6FAE-B541422A1225}"/>
            </a:ext>
          </a:extLst>
        </xdr:cNvPr>
        <xdr:cNvSpPr>
          <a:spLocks noChangeShapeType="1"/>
        </xdr:cNvSpPr>
      </xdr:nvSpPr>
      <xdr:spPr bwMode="auto">
        <a:xfrm flipH="1">
          <a:off x="7543800" y="3924300"/>
          <a:ext cx="266700" cy="889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76200</xdr:colOff>
      <xdr:row>19</xdr:row>
      <xdr:rowOff>114300</xdr:rowOff>
    </xdr:from>
    <xdr:to>
      <xdr:col>21</xdr:col>
      <xdr:colOff>508000</xdr:colOff>
      <xdr:row>19</xdr:row>
      <xdr:rowOff>114300</xdr:rowOff>
    </xdr:to>
    <xdr:sp macro="" textlink="">
      <xdr:nvSpPr>
        <xdr:cNvPr id="52999" name="Line 120">
          <a:extLst>
            <a:ext uri="{FF2B5EF4-FFF2-40B4-BE49-F238E27FC236}">
              <a16:creationId xmlns:a16="http://schemas.microsoft.com/office/drawing/2014/main" id="{152166A7-4CB9-A40F-2300-AAB30C75FCBC}"/>
            </a:ext>
          </a:extLst>
        </xdr:cNvPr>
        <xdr:cNvSpPr>
          <a:spLocks noChangeShapeType="1"/>
        </xdr:cNvSpPr>
      </xdr:nvSpPr>
      <xdr:spPr bwMode="auto">
        <a:xfrm>
          <a:off x="8128000" y="3492500"/>
          <a:ext cx="17780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76200</xdr:colOff>
      <xdr:row>20</xdr:row>
      <xdr:rowOff>63500</xdr:rowOff>
    </xdr:from>
    <xdr:to>
      <xdr:col>13</xdr:col>
      <xdr:colOff>38100</xdr:colOff>
      <xdr:row>20</xdr:row>
      <xdr:rowOff>63500</xdr:rowOff>
    </xdr:to>
    <xdr:sp macro="" textlink="">
      <xdr:nvSpPr>
        <xdr:cNvPr id="53000" name="Line 121">
          <a:extLst>
            <a:ext uri="{FF2B5EF4-FFF2-40B4-BE49-F238E27FC236}">
              <a16:creationId xmlns:a16="http://schemas.microsoft.com/office/drawing/2014/main" id="{6C7C43AA-4760-998D-8718-56A4228271F6}"/>
            </a:ext>
          </a:extLst>
        </xdr:cNvPr>
        <xdr:cNvSpPr>
          <a:spLocks noChangeShapeType="1"/>
        </xdr:cNvSpPr>
      </xdr:nvSpPr>
      <xdr:spPr bwMode="auto">
        <a:xfrm>
          <a:off x="8128000" y="3619500"/>
          <a:ext cx="6350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368300</xdr:colOff>
      <xdr:row>19</xdr:row>
      <xdr:rowOff>25400</xdr:rowOff>
    </xdr:from>
    <xdr:to>
      <xdr:col>13</xdr:col>
      <xdr:colOff>215900</xdr:colOff>
      <xdr:row>19</xdr:row>
      <xdr:rowOff>25400</xdr:rowOff>
    </xdr:to>
    <xdr:sp macro="" textlink="">
      <xdr:nvSpPr>
        <xdr:cNvPr id="53001" name="Line 122">
          <a:extLst>
            <a:ext uri="{FF2B5EF4-FFF2-40B4-BE49-F238E27FC236}">
              <a16:creationId xmlns:a16="http://schemas.microsoft.com/office/drawing/2014/main" id="{A2D59741-9631-6E8C-5DC8-48B5E2373423}"/>
            </a:ext>
          </a:extLst>
        </xdr:cNvPr>
        <xdr:cNvSpPr>
          <a:spLocks noChangeShapeType="1"/>
        </xdr:cNvSpPr>
      </xdr:nvSpPr>
      <xdr:spPr bwMode="auto">
        <a:xfrm>
          <a:off x="8420100" y="3403600"/>
          <a:ext cx="5207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571500</xdr:colOff>
      <xdr:row>22</xdr:row>
      <xdr:rowOff>177800</xdr:rowOff>
    </xdr:from>
    <xdr:to>
      <xdr:col>11</xdr:col>
      <xdr:colOff>571500</xdr:colOff>
      <xdr:row>25</xdr:row>
      <xdr:rowOff>50800</xdr:rowOff>
    </xdr:to>
    <xdr:sp macro="" textlink="">
      <xdr:nvSpPr>
        <xdr:cNvPr id="53002" name="Line 123">
          <a:extLst>
            <a:ext uri="{FF2B5EF4-FFF2-40B4-BE49-F238E27FC236}">
              <a16:creationId xmlns:a16="http://schemas.microsoft.com/office/drawing/2014/main" id="{6548D40F-E4D0-AAF6-9B9D-1CE5F91E7D69}"/>
            </a:ext>
          </a:extLst>
        </xdr:cNvPr>
        <xdr:cNvSpPr>
          <a:spLocks noChangeShapeType="1"/>
        </xdr:cNvSpPr>
      </xdr:nvSpPr>
      <xdr:spPr bwMode="auto">
        <a:xfrm>
          <a:off x="7950200" y="4089400"/>
          <a:ext cx="0" cy="4445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203200</xdr:colOff>
      <xdr:row>22</xdr:row>
      <xdr:rowOff>177800</xdr:rowOff>
    </xdr:from>
    <xdr:to>
      <xdr:col>12</xdr:col>
      <xdr:colOff>203200</xdr:colOff>
      <xdr:row>25</xdr:row>
      <xdr:rowOff>50800</xdr:rowOff>
    </xdr:to>
    <xdr:sp macro="" textlink="">
      <xdr:nvSpPr>
        <xdr:cNvPr id="53003" name="Line 124">
          <a:extLst>
            <a:ext uri="{FF2B5EF4-FFF2-40B4-BE49-F238E27FC236}">
              <a16:creationId xmlns:a16="http://schemas.microsoft.com/office/drawing/2014/main" id="{0A3A15D7-1528-9813-E956-0B58F4534EE1}"/>
            </a:ext>
          </a:extLst>
        </xdr:cNvPr>
        <xdr:cNvSpPr>
          <a:spLocks noChangeShapeType="1"/>
        </xdr:cNvSpPr>
      </xdr:nvSpPr>
      <xdr:spPr bwMode="auto">
        <a:xfrm>
          <a:off x="8255000" y="4089400"/>
          <a:ext cx="0" cy="4445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254000</xdr:colOff>
      <xdr:row>21</xdr:row>
      <xdr:rowOff>63500</xdr:rowOff>
    </xdr:from>
    <xdr:to>
      <xdr:col>11</xdr:col>
      <xdr:colOff>254000</xdr:colOff>
      <xdr:row>25</xdr:row>
      <xdr:rowOff>38100</xdr:rowOff>
    </xdr:to>
    <xdr:sp macro="" textlink="">
      <xdr:nvSpPr>
        <xdr:cNvPr id="53004" name="Line 125">
          <a:extLst>
            <a:ext uri="{FF2B5EF4-FFF2-40B4-BE49-F238E27FC236}">
              <a16:creationId xmlns:a16="http://schemas.microsoft.com/office/drawing/2014/main" id="{83813FCA-FC8E-660C-098A-900440990F77}"/>
            </a:ext>
          </a:extLst>
        </xdr:cNvPr>
        <xdr:cNvSpPr>
          <a:spLocks noChangeShapeType="1"/>
        </xdr:cNvSpPr>
      </xdr:nvSpPr>
      <xdr:spPr bwMode="auto">
        <a:xfrm>
          <a:off x="7632700" y="3797300"/>
          <a:ext cx="0" cy="7239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241300</xdr:colOff>
      <xdr:row>25</xdr:row>
      <xdr:rowOff>0</xdr:rowOff>
    </xdr:from>
    <xdr:to>
      <xdr:col>11</xdr:col>
      <xdr:colOff>558800</xdr:colOff>
      <xdr:row>25</xdr:row>
      <xdr:rowOff>12700</xdr:rowOff>
    </xdr:to>
    <xdr:sp macro="" textlink="">
      <xdr:nvSpPr>
        <xdr:cNvPr id="53005" name="Line 126">
          <a:extLst>
            <a:ext uri="{FF2B5EF4-FFF2-40B4-BE49-F238E27FC236}">
              <a16:creationId xmlns:a16="http://schemas.microsoft.com/office/drawing/2014/main" id="{9FE47D3D-335C-3386-7B0E-E1D620E06BA0}"/>
            </a:ext>
          </a:extLst>
        </xdr:cNvPr>
        <xdr:cNvSpPr>
          <a:spLocks noChangeShapeType="1"/>
        </xdr:cNvSpPr>
      </xdr:nvSpPr>
      <xdr:spPr bwMode="auto">
        <a:xfrm flipV="1">
          <a:off x="7620000" y="4483100"/>
          <a:ext cx="317500" cy="127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10</xdr:col>
      <xdr:colOff>370531</xdr:colOff>
      <xdr:row>26</xdr:row>
      <xdr:rowOff>0</xdr:rowOff>
    </xdr:from>
    <xdr:ext cx="379079" cy="258917"/>
    <xdr:sp macro="" textlink="">
      <xdr:nvSpPr>
        <xdr:cNvPr id="32895" name="Text Box 127">
          <a:extLst>
            <a:ext uri="{FF2B5EF4-FFF2-40B4-BE49-F238E27FC236}">
              <a16:creationId xmlns:a16="http://schemas.microsoft.com/office/drawing/2014/main" id="{EBBE9229-05E6-41C8-6771-46C69D0D7304}"/>
            </a:ext>
          </a:extLst>
        </xdr:cNvPr>
        <xdr:cNvSpPr txBox="1">
          <a:spLocks noChangeArrowheads="1"/>
        </xdr:cNvSpPr>
      </xdr:nvSpPr>
      <xdr:spPr bwMode="auto">
        <a:xfrm>
          <a:off x="7076131" y="4673600"/>
          <a:ext cx="379079" cy="258917"/>
        </a:xfrm>
        <a:prstGeom prst="rect">
          <a:avLst/>
        </a:prstGeom>
        <a:noFill/>
        <a:ln>
          <a:noFill/>
        </a:ln>
      </xdr:spPr>
      <xdr:txBody>
        <a:bodyPr wrap="none" lIns="18288" tIns="22860" rIns="18288" bIns="0" anchor="t" upright="1">
          <a:spAutoFit/>
        </a:bodyPr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FF"/>
              </a:solidFill>
              <a:latin typeface="Arial"/>
              <a:cs typeface="Arial"/>
            </a:rPr>
            <a:t>8"</a:t>
          </a: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800" b="0" i="0" u="none" strike="noStrike" baseline="0">
              <a:solidFill>
                <a:srgbClr val="FF0000"/>
              </a:solidFill>
              <a:latin typeface="Arial"/>
              <a:cs typeface="Arial"/>
            </a:rPr>
            <a:t>200mm</a:t>
          </a:r>
        </a:p>
      </xdr:txBody>
    </xdr:sp>
    <xdr:clientData/>
  </xdr:oneCellAnchor>
  <xdr:twoCellAnchor>
    <xdr:from>
      <xdr:col>11</xdr:col>
      <xdr:colOff>584200</xdr:colOff>
      <xdr:row>24</xdr:row>
      <xdr:rowOff>177800</xdr:rowOff>
    </xdr:from>
    <xdr:to>
      <xdr:col>12</xdr:col>
      <xdr:colOff>215900</xdr:colOff>
      <xdr:row>25</xdr:row>
      <xdr:rowOff>0</xdr:rowOff>
    </xdr:to>
    <xdr:sp macro="" textlink="">
      <xdr:nvSpPr>
        <xdr:cNvPr id="53007" name="Line 128">
          <a:extLst>
            <a:ext uri="{FF2B5EF4-FFF2-40B4-BE49-F238E27FC236}">
              <a16:creationId xmlns:a16="http://schemas.microsoft.com/office/drawing/2014/main" id="{9FF6C875-B764-D67B-802E-866C40EC621F}"/>
            </a:ext>
          </a:extLst>
        </xdr:cNvPr>
        <xdr:cNvSpPr>
          <a:spLocks noChangeShapeType="1"/>
        </xdr:cNvSpPr>
      </xdr:nvSpPr>
      <xdr:spPr bwMode="auto">
        <a:xfrm flipV="1">
          <a:off x="7962900" y="4470400"/>
          <a:ext cx="304800" cy="127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266700</xdr:colOff>
      <xdr:row>25</xdr:row>
      <xdr:rowOff>0</xdr:rowOff>
    </xdr:from>
    <xdr:to>
      <xdr:col>11</xdr:col>
      <xdr:colOff>406400</xdr:colOff>
      <xdr:row>26</xdr:row>
      <xdr:rowOff>101600</xdr:rowOff>
    </xdr:to>
    <xdr:sp macro="" textlink="">
      <xdr:nvSpPr>
        <xdr:cNvPr id="53008" name="Line 129">
          <a:extLst>
            <a:ext uri="{FF2B5EF4-FFF2-40B4-BE49-F238E27FC236}">
              <a16:creationId xmlns:a16="http://schemas.microsoft.com/office/drawing/2014/main" id="{4CDD4703-19BA-C73D-CBBE-3084EAEE981B}"/>
            </a:ext>
          </a:extLst>
        </xdr:cNvPr>
        <xdr:cNvSpPr>
          <a:spLocks noChangeShapeType="1"/>
        </xdr:cNvSpPr>
      </xdr:nvSpPr>
      <xdr:spPr bwMode="auto">
        <a:xfrm flipH="1">
          <a:off x="7645400" y="4483100"/>
          <a:ext cx="139700" cy="2921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25400</xdr:colOff>
      <xdr:row>26</xdr:row>
      <xdr:rowOff>101600</xdr:rowOff>
    </xdr:from>
    <xdr:to>
      <xdr:col>11</xdr:col>
      <xdr:colOff>266700</xdr:colOff>
      <xdr:row>26</xdr:row>
      <xdr:rowOff>101600</xdr:rowOff>
    </xdr:to>
    <xdr:sp macro="" textlink="">
      <xdr:nvSpPr>
        <xdr:cNvPr id="53009" name="Line 130">
          <a:extLst>
            <a:ext uri="{FF2B5EF4-FFF2-40B4-BE49-F238E27FC236}">
              <a16:creationId xmlns:a16="http://schemas.microsoft.com/office/drawing/2014/main" id="{6757FA6D-58F6-4422-B9CE-4EAF2A582DAA}"/>
            </a:ext>
          </a:extLst>
        </xdr:cNvPr>
        <xdr:cNvSpPr>
          <a:spLocks noChangeShapeType="1"/>
        </xdr:cNvSpPr>
      </xdr:nvSpPr>
      <xdr:spPr bwMode="auto">
        <a:xfrm flipH="1">
          <a:off x="7404100" y="4775200"/>
          <a:ext cx="2413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9</xdr:col>
      <xdr:colOff>635000</xdr:colOff>
      <xdr:row>28</xdr:row>
      <xdr:rowOff>39370</xdr:rowOff>
    </xdr:from>
    <xdr:ext cx="2042610" cy="170560"/>
    <xdr:sp macro="" textlink="">
      <xdr:nvSpPr>
        <xdr:cNvPr id="32899" name="Text Box 131">
          <a:extLst>
            <a:ext uri="{FF2B5EF4-FFF2-40B4-BE49-F238E27FC236}">
              <a16:creationId xmlns:a16="http://schemas.microsoft.com/office/drawing/2014/main" id="{00EC6D32-A033-7539-E967-9C2578979164}"/>
            </a:ext>
          </a:extLst>
        </xdr:cNvPr>
        <xdr:cNvSpPr txBox="1">
          <a:spLocks noChangeArrowheads="1"/>
        </xdr:cNvSpPr>
      </xdr:nvSpPr>
      <xdr:spPr bwMode="auto">
        <a:xfrm>
          <a:off x="6667500" y="5093970"/>
          <a:ext cx="2042610" cy="170560"/>
        </a:xfrm>
        <a:prstGeom prst="rect">
          <a:avLst/>
        </a:prstGeom>
        <a:noFill/>
        <a:ln>
          <a:noFill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Typical Hot Vessel Bracket Detail</a:t>
          </a:r>
        </a:p>
      </xdr:txBody>
    </xdr:sp>
    <xdr:clientData/>
  </xdr:oneCellAnchor>
  <xdr:twoCellAnchor>
    <xdr:from>
      <xdr:col>12</xdr:col>
      <xdr:colOff>88900</xdr:colOff>
      <xdr:row>21</xdr:row>
      <xdr:rowOff>50800</xdr:rowOff>
    </xdr:from>
    <xdr:to>
      <xdr:col>13</xdr:col>
      <xdr:colOff>50800</xdr:colOff>
      <xdr:row>21</xdr:row>
      <xdr:rowOff>50800</xdr:rowOff>
    </xdr:to>
    <xdr:sp macro="" textlink="">
      <xdr:nvSpPr>
        <xdr:cNvPr id="53011" name="Line 132">
          <a:extLst>
            <a:ext uri="{FF2B5EF4-FFF2-40B4-BE49-F238E27FC236}">
              <a16:creationId xmlns:a16="http://schemas.microsoft.com/office/drawing/2014/main" id="{E152A27B-6AC9-20A4-0B4B-5B485E1F8F78}"/>
            </a:ext>
          </a:extLst>
        </xdr:cNvPr>
        <xdr:cNvSpPr>
          <a:spLocks noChangeShapeType="1"/>
        </xdr:cNvSpPr>
      </xdr:nvSpPr>
      <xdr:spPr bwMode="auto">
        <a:xfrm>
          <a:off x="8140700" y="3784600"/>
          <a:ext cx="6350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76200</xdr:colOff>
      <xdr:row>22</xdr:row>
      <xdr:rowOff>63500</xdr:rowOff>
    </xdr:from>
    <xdr:to>
      <xdr:col>13</xdr:col>
      <xdr:colOff>38100</xdr:colOff>
      <xdr:row>22</xdr:row>
      <xdr:rowOff>63500</xdr:rowOff>
    </xdr:to>
    <xdr:sp macro="" textlink="">
      <xdr:nvSpPr>
        <xdr:cNvPr id="53012" name="Line 133">
          <a:extLst>
            <a:ext uri="{FF2B5EF4-FFF2-40B4-BE49-F238E27FC236}">
              <a16:creationId xmlns:a16="http://schemas.microsoft.com/office/drawing/2014/main" id="{F42F1B5F-7256-73A2-F1A1-B14B9DFBE09D}"/>
            </a:ext>
          </a:extLst>
        </xdr:cNvPr>
        <xdr:cNvSpPr>
          <a:spLocks noChangeShapeType="1"/>
        </xdr:cNvSpPr>
      </xdr:nvSpPr>
      <xdr:spPr bwMode="auto">
        <a:xfrm>
          <a:off x="8128000" y="3975100"/>
          <a:ext cx="6350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38100</xdr:colOff>
      <xdr:row>19</xdr:row>
      <xdr:rowOff>25400</xdr:rowOff>
    </xdr:from>
    <xdr:to>
      <xdr:col>12</xdr:col>
      <xdr:colOff>38100</xdr:colOff>
      <xdr:row>22</xdr:row>
      <xdr:rowOff>127000</xdr:rowOff>
    </xdr:to>
    <xdr:sp macro="" textlink="">
      <xdr:nvSpPr>
        <xdr:cNvPr id="53013" name="Line 134">
          <a:extLst>
            <a:ext uri="{FF2B5EF4-FFF2-40B4-BE49-F238E27FC236}">
              <a16:creationId xmlns:a16="http://schemas.microsoft.com/office/drawing/2014/main" id="{A932348F-0396-85E9-4EF3-89F680D9474A}"/>
            </a:ext>
          </a:extLst>
        </xdr:cNvPr>
        <xdr:cNvSpPr>
          <a:spLocks noChangeShapeType="1"/>
        </xdr:cNvSpPr>
      </xdr:nvSpPr>
      <xdr:spPr bwMode="auto">
        <a:xfrm>
          <a:off x="8089900" y="3403600"/>
          <a:ext cx="0" cy="6350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215900</xdr:colOff>
      <xdr:row>19</xdr:row>
      <xdr:rowOff>25400</xdr:rowOff>
    </xdr:from>
    <xdr:to>
      <xdr:col>12</xdr:col>
      <xdr:colOff>330200</xdr:colOff>
      <xdr:row>19</xdr:row>
      <xdr:rowOff>25400</xdr:rowOff>
    </xdr:to>
    <xdr:sp macro="" textlink="">
      <xdr:nvSpPr>
        <xdr:cNvPr id="53014" name="Line 136">
          <a:extLst>
            <a:ext uri="{FF2B5EF4-FFF2-40B4-BE49-F238E27FC236}">
              <a16:creationId xmlns:a16="http://schemas.microsoft.com/office/drawing/2014/main" id="{885A1547-CED2-69A9-DA93-8CEED7E1FB21}"/>
            </a:ext>
          </a:extLst>
        </xdr:cNvPr>
        <xdr:cNvSpPr>
          <a:spLocks noChangeShapeType="1"/>
        </xdr:cNvSpPr>
      </xdr:nvSpPr>
      <xdr:spPr bwMode="auto">
        <a:xfrm>
          <a:off x="8267700" y="3403600"/>
          <a:ext cx="1143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342900</xdr:colOff>
      <xdr:row>17</xdr:row>
      <xdr:rowOff>165100</xdr:rowOff>
    </xdr:from>
    <xdr:to>
      <xdr:col>12</xdr:col>
      <xdr:colOff>342900</xdr:colOff>
      <xdr:row>24</xdr:row>
      <xdr:rowOff>25400</xdr:rowOff>
    </xdr:to>
    <xdr:sp macro="" textlink="">
      <xdr:nvSpPr>
        <xdr:cNvPr id="53015" name="Line 137">
          <a:extLst>
            <a:ext uri="{FF2B5EF4-FFF2-40B4-BE49-F238E27FC236}">
              <a16:creationId xmlns:a16="http://schemas.microsoft.com/office/drawing/2014/main" id="{0211B613-1A16-5264-6033-3F18C15B66E1}"/>
            </a:ext>
          </a:extLst>
        </xdr:cNvPr>
        <xdr:cNvSpPr>
          <a:spLocks noChangeShapeType="1"/>
        </xdr:cNvSpPr>
      </xdr:nvSpPr>
      <xdr:spPr bwMode="auto">
        <a:xfrm>
          <a:off x="8394700" y="3175000"/>
          <a:ext cx="0" cy="11430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lgDash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215900</xdr:colOff>
      <xdr:row>22</xdr:row>
      <xdr:rowOff>127000</xdr:rowOff>
    </xdr:from>
    <xdr:to>
      <xdr:col>12</xdr:col>
      <xdr:colOff>330200</xdr:colOff>
      <xdr:row>22</xdr:row>
      <xdr:rowOff>127000</xdr:rowOff>
    </xdr:to>
    <xdr:sp macro="" textlink="">
      <xdr:nvSpPr>
        <xdr:cNvPr id="53016" name="Line 138">
          <a:extLst>
            <a:ext uri="{FF2B5EF4-FFF2-40B4-BE49-F238E27FC236}">
              <a16:creationId xmlns:a16="http://schemas.microsoft.com/office/drawing/2014/main" id="{D1F3FA53-0433-6B83-82D1-83863B0B21B7}"/>
            </a:ext>
          </a:extLst>
        </xdr:cNvPr>
        <xdr:cNvSpPr>
          <a:spLocks noChangeShapeType="1"/>
        </xdr:cNvSpPr>
      </xdr:nvSpPr>
      <xdr:spPr bwMode="auto">
        <a:xfrm>
          <a:off x="8267700" y="4038600"/>
          <a:ext cx="1143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317500</xdr:colOff>
      <xdr:row>19</xdr:row>
      <xdr:rowOff>25400</xdr:rowOff>
    </xdr:from>
    <xdr:to>
      <xdr:col>12</xdr:col>
      <xdr:colOff>317500</xdr:colOff>
      <xdr:row>22</xdr:row>
      <xdr:rowOff>127000</xdr:rowOff>
    </xdr:to>
    <xdr:sp macro="" textlink="">
      <xdr:nvSpPr>
        <xdr:cNvPr id="53017" name="Line 139">
          <a:extLst>
            <a:ext uri="{FF2B5EF4-FFF2-40B4-BE49-F238E27FC236}">
              <a16:creationId xmlns:a16="http://schemas.microsoft.com/office/drawing/2014/main" id="{9B13751C-EFFD-B28D-3F77-B9076071AD14}"/>
            </a:ext>
          </a:extLst>
        </xdr:cNvPr>
        <xdr:cNvSpPr>
          <a:spLocks noChangeShapeType="1"/>
        </xdr:cNvSpPr>
      </xdr:nvSpPr>
      <xdr:spPr bwMode="auto">
        <a:xfrm>
          <a:off x="8369300" y="3403600"/>
          <a:ext cx="0" cy="6350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88900</xdr:colOff>
      <xdr:row>19</xdr:row>
      <xdr:rowOff>88900</xdr:rowOff>
    </xdr:from>
    <xdr:to>
      <xdr:col>12</xdr:col>
      <xdr:colOff>139700</xdr:colOff>
      <xdr:row>19</xdr:row>
      <xdr:rowOff>127000</xdr:rowOff>
    </xdr:to>
    <xdr:sp macro="" textlink="">
      <xdr:nvSpPr>
        <xdr:cNvPr id="53018" name="Oval 140">
          <a:extLst>
            <a:ext uri="{FF2B5EF4-FFF2-40B4-BE49-F238E27FC236}">
              <a16:creationId xmlns:a16="http://schemas.microsoft.com/office/drawing/2014/main" id="{D9F98557-FC32-2855-46CF-0B2A03A02EDF}"/>
            </a:ext>
          </a:extLst>
        </xdr:cNvPr>
        <xdr:cNvSpPr>
          <a:spLocks noChangeArrowheads="1"/>
        </xdr:cNvSpPr>
      </xdr:nvSpPr>
      <xdr:spPr bwMode="auto">
        <a:xfrm>
          <a:off x="8140700" y="3467100"/>
          <a:ext cx="50800" cy="381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28575">
          <a:solidFill>
            <a:srgbClr xmlns:mc="http://schemas.openxmlformats.org/markup-compatibility/2006" xmlns:a14="http://schemas.microsoft.com/office/drawing/2010/main" val="993300" mc:Ignorable="a14" a14:legacySpreadsheetColorIndex="60"/>
          </a:solidFill>
          <a:round/>
          <a:headEnd/>
          <a:tailEnd/>
        </a:ln>
      </xdr:spPr>
    </xdr:sp>
    <xdr:clientData/>
  </xdr:twoCellAnchor>
  <xdr:twoCellAnchor>
    <xdr:from>
      <xdr:col>12</xdr:col>
      <xdr:colOff>88900</xdr:colOff>
      <xdr:row>20</xdr:row>
      <xdr:rowOff>50800</xdr:rowOff>
    </xdr:from>
    <xdr:to>
      <xdr:col>12</xdr:col>
      <xdr:colOff>139700</xdr:colOff>
      <xdr:row>20</xdr:row>
      <xdr:rowOff>88900</xdr:rowOff>
    </xdr:to>
    <xdr:sp macro="" textlink="">
      <xdr:nvSpPr>
        <xdr:cNvPr id="53019" name="Oval 141">
          <a:extLst>
            <a:ext uri="{FF2B5EF4-FFF2-40B4-BE49-F238E27FC236}">
              <a16:creationId xmlns:a16="http://schemas.microsoft.com/office/drawing/2014/main" id="{E71B8555-7A01-AA79-EAB4-B6497CEE8180}"/>
            </a:ext>
          </a:extLst>
        </xdr:cNvPr>
        <xdr:cNvSpPr>
          <a:spLocks noChangeArrowheads="1"/>
        </xdr:cNvSpPr>
      </xdr:nvSpPr>
      <xdr:spPr bwMode="auto">
        <a:xfrm>
          <a:off x="8140700" y="3606800"/>
          <a:ext cx="50800" cy="381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28575">
          <a:solidFill>
            <a:srgbClr xmlns:mc="http://schemas.openxmlformats.org/markup-compatibility/2006" xmlns:a14="http://schemas.microsoft.com/office/drawing/2010/main" val="993300" mc:Ignorable="a14" a14:legacySpreadsheetColorIndex="60"/>
          </a:solidFill>
          <a:round/>
          <a:headEnd/>
          <a:tailEnd/>
        </a:ln>
      </xdr:spPr>
    </xdr:sp>
    <xdr:clientData/>
  </xdr:twoCellAnchor>
  <xdr:twoCellAnchor>
    <xdr:from>
      <xdr:col>12</xdr:col>
      <xdr:colOff>88900</xdr:colOff>
      <xdr:row>21</xdr:row>
      <xdr:rowOff>25400</xdr:rowOff>
    </xdr:from>
    <xdr:to>
      <xdr:col>12</xdr:col>
      <xdr:colOff>139700</xdr:colOff>
      <xdr:row>21</xdr:row>
      <xdr:rowOff>63500</xdr:rowOff>
    </xdr:to>
    <xdr:sp macro="" textlink="">
      <xdr:nvSpPr>
        <xdr:cNvPr id="53020" name="Oval 142">
          <a:extLst>
            <a:ext uri="{FF2B5EF4-FFF2-40B4-BE49-F238E27FC236}">
              <a16:creationId xmlns:a16="http://schemas.microsoft.com/office/drawing/2014/main" id="{13278AFA-3B83-61B0-E9A3-498D7C1085C8}"/>
            </a:ext>
          </a:extLst>
        </xdr:cNvPr>
        <xdr:cNvSpPr>
          <a:spLocks noChangeArrowheads="1"/>
        </xdr:cNvSpPr>
      </xdr:nvSpPr>
      <xdr:spPr bwMode="auto">
        <a:xfrm>
          <a:off x="8140700" y="3759200"/>
          <a:ext cx="50800" cy="381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28575">
          <a:solidFill>
            <a:srgbClr xmlns:mc="http://schemas.openxmlformats.org/markup-compatibility/2006" xmlns:a14="http://schemas.microsoft.com/office/drawing/2010/main" val="993300" mc:Ignorable="a14" a14:legacySpreadsheetColorIndex="60"/>
          </a:solidFill>
          <a:round/>
          <a:headEnd/>
          <a:tailEnd/>
        </a:ln>
      </xdr:spPr>
    </xdr:sp>
    <xdr:clientData/>
  </xdr:twoCellAnchor>
  <xdr:twoCellAnchor>
    <xdr:from>
      <xdr:col>12</xdr:col>
      <xdr:colOff>88900</xdr:colOff>
      <xdr:row>22</xdr:row>
      <xdr:rowOff>38100</xdr:rowOff>
    </xdr:from>
    <xdr:to>
      <xdr:col>12</xdr:col>
      <xdr:colOff>139700</xdr:colOff>
      <xdr:row>22</xdr:row>
      <xdr:rowOff>76200</xdr:rowOff>
    </xdr:to>
    <xdr:sp macro="" textlink="">
      <xdr:nvSpPr>
        <xdr:cNvPr id="53021" name="Oval 143">
          <a:extLst>
            <a:ext uri="{FF2B5EF4-FFF2-40B4-BE49-F238E27FC236}">
              <a16:creationId xmlns:a16="http://schemas.microsoft.com/office/drawing/2014/main" id="{FFD054D3-B3F2-0C38-AF3B-436FB420B430}"/>
            </a:ext>
          </a:extLst>
        </xdr:cNvPr>
        <xdr:cNvSpPr>
          <a:spLocks noChangeArrowheads="1"/>
        </xdr:cNvSpPr>
      </xdr:nvSpPr>
      <xdr:spPr bwMode="auto">
        <a:xfrm>
          <a:off x="8140700" y="3949700"/>
          <a:ext cx="50800" cy="381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28575">
          <a:solidFill>
            <a:srgbClr xmlns:mc="http://schemas.openxmlformats.org/markup-compatibility/2006" xmlns:a14="http://schemas.microsoft.com/office/drawing/2010/main" val="993300" mc:Ignorable="a14" a14:legacySpreadsheetColorIndex="60"/>
          </a:solidFill>
          <a:round/>
          <a:headEnd/>
          <a:tailEnd/>
        </a:ln>
      </xdr:spPr>
    </xdr:sp>
    <xdr:clientData/>
  </xdr:twoCellAnchor>
  <xdr:oneCellAnchor>
    <xdr:from>
      <xdr:col>12</xdr:col>
      <xdr:colOff>173681</xdr:colOff>
      <xdr:row>25</xdr:row>
      <xdr:rowOff>100330</xdr:rowOff>
    </xdr:from>
    <xdr:ext cx="379078" cy="258917"/>
    <xdr:sp macro="" textlink="">
      <xdr:nvSpPr>
        <xdr:cNvPr id="32912" name="Text Box 144">
          <a:extLst>
            <a:ext uri="{FF2B5EF4-FFF2-40B4-BE49-F238E27FC236}">
              <a16:creationId xmlns:a16="http://schemas.microsoft.com/office/drawing/2014/main" id="{32CEC47D-63CB-4A76-8294-DDD23EA91D2E}"/>
            </a:ext>
          </a:extLst>
        </xdr:cNvPr>
        <xdr:cNvSpPr txBox="1">
          <a:spLocks noChangeArrowheads="1"/>
        </xdr:cNvSpPr>
      </xdr:nvSpPr>
      <xdr:spPr bwMode="auto">
        <a:xfrm>
          <a:off x="8225481" y="4583430"/>
          <a:ext cx="379078" cy="258917"/>
        </a:xfrm>
        <a:prstGeom prst="rect">
          <a:avLst/>
        </a:prstGeom>
        <a:noFill/>
        <a:ln>
          <a:noFill/>
        </a:ln>
      </xdr:spPr>
      <xdr:txBody>
        <a:bodyPr wrap="none" lIns="18288" tIns="22860" rIns="18288" bIns="0" anchor="t" upright="1">
          <a:spAutoFit/>
        </a:bodyPr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FF"/>
              </a:solidFill>
              <a:latin typeface="Arial"/>
              <a:cs typeface="Arial"/>
            </a:rPr>
            <a:t>4"</a:t>
          </a: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800" b="0" i="0" u="none" strike="noStrike" baseline="0">
              <a:solidFill>
                <a:srgbClr val="FF0000"/>
              </a:solidFill>
              <a:latin typeface="Arial"/>
              <a:cs typeface="Arial"/>
            </a:rPr>
            <a:t>100mm</a:t>
          </a:r>
        </a:p>
      </xdr:txBody>
    </xdr:sp>
    <xdr:clientData/>
  </xdr:oneCellAnchor>
  <xdr:twoCellAnchor>
    <xdr:from>
      <xdr:col>12</xdr:col>
      <xdr:colOff>50800</xdr:colOff>
      <xdr:row>25</xdr:row>
      <xdr:rowOff>0</xdr:rowOff>
    </xdr:from>
    <xdr:to>
      <xdr:col>12</xdr:col>
      <xdr:colOff>215900</xdr:colOff>
      <xdr:row>25</xdr:row>
      <xdr:rowOff>177800</xdr:rowOff>
    </xdr:to>
    <xdr:sp macro="" textlink="">
      <xdr:nvSpPr>
        <xdr:cNvPr id="53023" name="Line 146">
          <a:extLst>
            <a:ext uri="{FF2B5EF4-FFF2-40B4-BE49-F238E27FC236}">
              <a16:creationId xmlns:a16="http://schemas.microsoft.com/office/drawing/2014/main" id="{33C4BA96-BD02-9F76-6D71-6EE7CB1DF0F5}"/>
            </a:ext>
          </a:extLst>
        </xdr:cNvPr>
        <xdr:cNvSpPr>
          <a:spLocks noChangeShapeType="1"/>
        </xdr:cNvSpPr>
      </xdr:nvSpPr>
      <xdr:spPr bwMode="auto">
        <a:xfrm>
          <a:off x="8102600" y="4483100"/>
          <a:ext cx="165100" cy="1778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215900</xdr:colOff>
      <xdr:row>25</xdr:row>
      <xdr:rowOff>177800</xdr:rowOff>
    </xdr:from>
    <xdr:to>
      <xdr:col>12</xdr:col>
      <xdr:colOff>330200</xdr:colOff>
      <xdr:row>25</xdr:row>
      <xdr:rowOff>177800</xdr:rowOff>
    </xdr:to>
    <xdr:sp macro="" textlink="">
      <xdr:nvSpPr>
        <xdr:cNvPr id="53024" name="Line 147">
          <a:extLst>
            <a:ext uri="{FF2B5EF4-FFF2-40B4-BE49-F238E27FC236}">
              <a16:creationId xmlns:a16="http://schemas.microsoft.com/office/drawing/2014/main" id="{3CECB7F3-308B-F2B2-8109-87A41A8F0AA8}"/>
            </a:ext>
          </a:extLst>
        </xdr:cNvPr>
        <xdr:cNvSpPr>
          <a:spLocks noChangeShapeType="1"/>
        </xdr:cNvSpPr>
      </xdr:nvSpPr>
      <xdr:spPr bwMode="auto">
        <a:xfrm>
          <a:off x="8267700" y="4660900"/>
          <a:ext cx="1143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13</xdr:col>
      <xdr:colOff>80010</xdr:colOff>
      <xdr:row>19</xdr:row>
      <xdr:rowOff>115570</xdr:rowOff>
    </xdr:from>
    <xdr:ext cx="602409" cy="141001"/>
    <xdr:sp macro="" textlink="">
      <xdr:nvSpPr>
        <xdr:cNvPr id="32916" name="Text Box 148">
          <a:extLst>
            <a:ext uri="{FF2B5EF4-FFF2-40B4-BE49-F238E27FC236}">
              <a16:creationId xmlns:a16="http://schemas.microsoft.com/office/drawing/2014/main" id="{98063668-5FB5-4425-E0C4-69E8E0D0CD17}"/>
            </a:ext>
          </a:extLst>
        </xdr:cNvPr>
        <xdr:cNvSpPr txBox="1">
          <a:spLocks noChangeArrowheads="1"/>
        </xdr:cNvSpPr>
      </xdr:nvSpPr>
      <xdr:spPr bwMode="auto">
        <a:xfrm>
          <a:off x="8804910" y="3493770"/>
          <a:ext cx="602409" cy="141001"/>
        </a:xfrm>
        <a:prstGeom prst="rect">
          <a:avLst/>
        </a:prstGeom>
        <a:noFill/>
        <a:ln>
          <a:noFill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FF"/>
              </a:solidFill>
              <a:latin typeface="Arial"/>
              <a:cs typeface="Arial"/>
            </a:rPr>
            <a:t>3-1/2"</a:t>
          </a: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US" sz="800" b="0" i="0" u="none" strike="noStrike" baseline="0">
              <a:solidFill>
                <a:srgbClr val="FF0000"/>
              </a:solidFill>
              <a:latin typeface="Arial"/>
              <a:cs typeface="Arial"/>
            </a:rPr>
            <a:t>89mm</a:t>
          </a:r>
        </a:p>
      </xdr:txBody>
    </xdr:sp>
    <xdr:clientData/>
  </xdr:oneCellAnchor>
  <xdr:twoCellAnchor>
    <xdr:from>
      <xdr:col>12</xdr:col>
      <xdr:colOff>660400</xdr:colOff>
      <xdr:row>19</xdr:row>
      <xdr:rowOff>25400</xdr:rowOff>
    </xdr:from>
    <xdr:to>
      <xdr:col>12</xdr:col>
      <xdr:colOff>660400</xdr:colOff>
      <xdr:row>22</xdr:row>
      <xdr:rowOff>76200</xdr:rowOff>
    </xdr:to>
    <xdr:sp macro="" textlink="">
      <xdr:nvSpPr>
        <xdr:cNvPr id="53026" name="Line 149">
          <a:extLst>
            <a:ext uri="{FF2B5EF4-FFF2-40B4-BE49-F238E27FC236}">
              <a16:creationId xmlns:a16="http://schemas.microsoft.com/office/drawing/2014/main" id="{ECA5ED88-AB39-DE28-70A8-545575DA9FD7}"/>
            </a:ext>
          </a:extLst>
        </xdr:cNvPr>
        <xdr:cNvSpPr>
          <a:spLocks noChangeShapeType="1"/>
        </xdr:cNvSpPr>
      </xdr:nvSpPr>
      <xdr:spPr bwMode="auto">
        <a:xfrm>
          <a:off x="8712200" y="3403600"/>
          <a:ext cx="0" cy="584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635000</xdr:colOff>
      <xdr:row>19</xdr:row>
      <xdr:rowOff>88900</xdr:rowOff>
    </xdr:from>
    <xdr:to>
      <xdr:col>13</xdr:col>
      <xdr:colOff>0</xdr:colOff>
      <xdr:row>19</xdr:row>
      <xdr:rowOff>114300</xdr:rowOff>
    </xdr:to>
    <xdr:sp macro="" textlink="">
      <xdr:nvSpPr>
        <xdr:cNvPr id="53027" name="Oval 150">
          <a:extLst>
            <a:ext uri="{FF2B5EF4-FFF2-40B4-BE49-F238E27FC236}">
              <a16:creationId xmlns:a16="http://schemas.microsoft.com/office/drawing/2014/main" id="{046A970C-6C69-DAAA-AFAE-0C607EC434DF}"/>
            </a:ext>
          </a:extLst>
        </xdr:cNvPr>
        <xdr:cNvSpPr>
          <a:spLocks noChangeArrowheads="1"/>
        </xdr:cNvSpPr>
      </xdr:nvSpPr>
      <xdr:spPr bwMode="auto">
        <a:xfrm>
          <a:off x="8686800" y="3467100"/>
          <a:ext cx="38100" cy="254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12</xdr:col>
      <xdr:colOff>342900</xdr:colOff>
      <xdr:row>19</xdr:row>
      <xdr:rowOff>25400</xdr:rowOff>
    </xdr:from>
    <xdr:to>
      <xdr:col>12</xdr:col>
      <xdr:colOff>342900</xdr:colOff>
      <xdr:row>22</xdr:row>
      <xdr:rowOff>127000</xdr:rowOff>
    </xdr:to>
    <xdr:sp macro="" textlink="">
      <xdr:nvSpPr>
        <xdr:cNvPr id="53028" name="Line 151">
          <a:extLst>
            <a:ext uri="{FF2B5EF4-FFF2-40B4-BE49-F238E27FC236}">
              <a16:creationId xmlns:a16="http://schemas.microsoft.com/office/drawing/2014/main" id="{D18201CF-A9DF-7A98-4CAF-A61B80924B07}"/>
            </a:ext>
          </a:extLst>
        </xdr:cNvPr>
        <xdr:cNvSpPr>
          <a:spLocks noChangeShapeType="1"/>
        </xdr:cNvSpPr>
      </xdr:nvSpPr>
      <xdr:spPr bwMode="auto">
        <a:xfrm flipV="1">
          <a:off x="8394700" y="3403600"/>
          <a:ext cx="0" cy="6350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635000</xdr:colOff>
      <xdr:row>20</xdr:row>
      <xdr:rowOff>50800</xdr:rowOff>
    </xdr:from>
    <xdr:to>
      <xdr:col>13</xdr:col>
      <xdr:colOff>0</xdr:colOff>
      <xdr:row>20</xdr:row>
      <xdr:rowOff>88900</xdr:rowOff>
    </xdr:to>
    <xdr:sp macro="" textlink="">
      <xdr:nvSpPr>
        <xdr:cNvPr id="53029" name="Oval 152">
          <a:extLst>
            <a:ext uri="{FF2B5EF4-FFF2-40B4-BE49-F238E27FC236}">
              <a16:creationId xmlns:a16="http://schemas.microsoft.com/office/drawing/2014/main" id="{2943C291-6895-F0E4-DECC-8A52C092248B}"/>
            </a:ext>
          </a:extLst>
        </xdr:cNvPr>
        <xdr:cNvSpPr>
          <a:spLocks noChangeArrowheads="1"/>
        </xdr:cNvSpPr>
      </xdr:nvSpPr>
      <xdr:spPr bwMode="auto">
        <a:xfrm>
          <a:off x="8686800" y="3606800"/>
          <a:ext cx="38100" cy="381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12</xdr:col>
      <xdr:colOff>635000</xdr:colOff>
      <xdr:row>21</xdr:row>
      <xdr:rowOff>25400</xdr:rowOff>
    </xdr:from>
    <xdr:to>
      <xdr:col>13</xdr:col>
      <xdr:colOff>0</xdr:colOff>
      <xdr:row>21</xdr:row>
      <xdr:rowOff>50800</xdr:rowOff>
    </xdr:to>
    <xdr:sp macro="" textlink="">
      <xdr:nvSpPr>
        <xdr:cNvPr id="53030" name="Oval 153">
          <a:extLst>
            <a:ext uri="{FF2B5EF4-FFF2-40B4-BE49-F238E27FC236}">
              <a16:creationId xmlns:a16="http://schemas.microsoft.com/office/drawing/2014/main" id="{919E6793-D085-B7B9-5842-FD6E3A3384E0}"/>
            </a:ext>
          </a:extLst>
        </xdr:cNvPr>
        <xdr:cNvSpPr>
          <a:spLocks noChangeArrowheads="1"/>
        </xdr:cNvSpPr>
      </xdr:nvSpPr>
      <xdr:spPr bwMode="auto">
        <a:xfrm>
          <a:off x="8686800" y="3759200"/>
          <a:ext cx="38100" cy="254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12</xdr:col>
      <xdr:colOff>635000</xdr:colOff>
      <xdr:row>22</xdr:row>
      <xdr:rowOff>50800</xdr:rowOff>
    </xdr:from>
    <xdr:to>
      <xdr:col>13</xdr:col>
      <xdr:colOff>0</xdr:colOff>
      <xdr:row>22</xdr:row>
      <xdr:rowOff>76200</xdr:rowOff>
    </xdr:to>
    <xdr:sp macro="" textlink="">
      <xdr:nvSpPr>
        <xdr:cNvPr id="53031" name="Oval 154">
          <a:extLst>
            <a:ext uri="{FF2B5EF4-FFF2-40B4-BE49-F238E27FC236}">
              <a16:creationId xmlns:a16="http://schemas.microsoft.com/office/drawing/2014/main" id="{7D212731-39D7-7F40-B70B-D3CA51E9B858}"/>
            </a:ext>
          </a:extLst>
        </xdr:cNvPr>
        <xdr:cNvSpPr>
          <a:spLocks noChangeArrowheads="1"/>
        </xdr:cNvSpPr>
      </xdr:nvSpPr>
      <xdr:spPr bwMode="auto">
        <a:xfrm>
          <a:off x="8686800" y="3962400"/>
          <a:ext cx="38100" cy="254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oneCellAnchor>
    <xdr:from>
      <xdr:col>13</xdr:col>
      <xdr:colOff>62865</xdr:colOff>
      <xdr:row>20</xdr:row>
      <xdr:rowOff>72390</xdr:rowOff>
    </xdr:from>
    <xdr:ext cx="546137" cy="141001"/>
    <xdr:sp macro="" textlink="">
      <xdr:nvSpPr>
        <xdr:cNvPr id="32923" name="Text Box 155">
          <a:extLst>
            <a:ext uri="{FF2B5EF4-FFF2-40B4-BE49-F238E27FC236}">
              <a16:creationId xmlns:a16="http://schemas.microsoft.com/office/drawing/2014/main" id="{C4475176-5A9D-8F8B-B1E9-FE776E3E40D3}"/>
            </a:ext>
          </a:extLst>
        </xdr:cNvPr>
        <xdr:cNvSpPr txBox="1">
          <a:spLocks noChangeArrowheads="1"/>
        </xdr:cNvSpPr>
      </xdr:nvSpPr>
      <xdr:spPr bwMode="auto">
        <a:xfrm>
          <a:off x="7957185" y="3592830"/>
          <a:ext cx="482633" cy="141001"/>
        </a:xfrm>
        <a:prstGeom prst="rect">
          <a:avLst/>
        </a:prstGeom>
        <a:noFill/>
        <a:ln>
          <a:noFill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FF"/>
              </a:solidFill>
              <a:latin typeface="Arial"/>
              <a:cs typeface="Arial"/>
            </a:rPr>
            <a:t>5"</a:t>
          </a: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US" sz="800" b="0" i="0" u="none" strike="noStrike" baseline="0">
              <a:solidFill>
                <a:srgbClr val="FF0000"/>
              </a:solidFill>
              <a:latin typeface="Arial"/>
              <a:cs typeface="Arial"/>
            </a:rPr>
            <a:t>127mm</a:t>
          </a:r>
        </a:p>
      </xdr:txBody>
    </xdr:sp>
    <xdr:clientData/>
  </xdr:oneCellAnchor>
  <xdr:oneCellAnchor>
    <xdr:from>
      <xdr:col>13</xdr:col>
      <xdr:colOff>81280</xdr:colOff>
      <xdr:row>21</xdr:row>
      <xdr:rowOff>68580</xdr:rowOff>
    </xdr:from>
    <xdr:ext cx="602409" cy="141001"/>
    <xdr:sp macro="" textlink="">
      <xdr:nvSpPr>
        <xdr:cNvPr id="32924" name="Text Box 156">
          <a:extLst>
            <a:ext uri="{FF2B5EF4-FFF2-40B4-BE49-F238E27FC236}">
              <a16:creationId xmlns:a16="http://schemas.microsoft.com/office/drawing/2014/main" id="{A3389E8E-A27E-F802-B24A-4B8BA7A54936}"/>
            </a:ext>
          </a:extLst>
        </xdr:cNvPr>
        <xdr:cNvSpPr txBox="1">
          <a:spLocks noChangeArrowheads="1"/>
        </xdr:cNvSpPr>
      </xdr:nvSpPr>
      <xdr:spPr bwMode="auto">
        <a:xfrm>
          <a:off x="8806180" y="3802380"/>
          <a:ext cx="602409" cy="141001"/>
        </a:xfrm>
        <a:prstGeom prst="rect">
          <a:avLst/>
        </a:prstGeom>
        <a:noFill/>
        <a:ln>
          <a:noFill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FF"/>
              </a:solidFill>
              <a:latin typeface="Arial"/>
              <a:cs typeface="Arial"/>
            </a:rPr>
            <a:t>3-1/2"</a:t>
          </a: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US" sz="800" b="0" i="0" u="none" strike="noStrike" baseline="0">
              <a:solidFill>
                <a:srgbClr val="FF0000"/>
              </a:solidFill>
              <a:latin typeface="Arial"/>
              <a:cs typeface="Arial"/>
            </a:rPr>
            <a:t>89mm</a:t>
          </a:r>
        </a:p>
      </xdr:txBody>
    </xdr:sp>
    <xdr:clientData/>
  </xdr:oneCellAnchor>
  <xdr:twoCellAnchor>
    <xdr:from>
      <xdr:col>12</xdr:col>
      <xdr:colOff>660400</xdr:colOff>
      <xdr:row>17</xdr:row>
      <xdr:rowOff>165100</xdr:rowOff>
    </xdr:from>
    <xdr:to>
      <xdr:col>12</xdr:col>
      <xdr:colOff>660400</xdr:colOff>
      <xdr:row>19</xdr:row>
      <xdr:rowOff>25400</xdr:rowOff>
    </xdr:to>
    <xdr:sp macro="" textlink="">
      <xdr:nvSpPr>
        <xdr:cNvPr id="53034" name="Line 157">
          <a:extLst>
            <a:ext uri="{FF2B5EF4-FFF2-40B4-BE49-F238E27FC236}">
              <a16:creationId xmlns:a16="http://schemas.microsoft.com/office/drawing/2014/main" id="{AFAC74DC-FE6C-9021-1C72-AC9BD048C1EA}"/>
            </a:ext>
          </a:extLst>
        </xdr:cNvPr>
        <xdr:cNvSpPr>
          <a:spLocks noChangeShapeType="1"/>
        </xdr:cNvSpPr>
      </xdr:nvSpPr>
      <xdr:spPr bwMode="auto">
        <a:xfrm flipV="1">
          <a:off x="8712200" y="3175000"/>
          <a:ext cx="0" cy="2286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13</xdr:col>
      <xdr:colOff>41910</xdr:colOff>
      <xdr:row>17</xdr:row>
      <xdr:rowOff>104140</xdr:rowOff>
    </xdr:from>
    <xdr:ext cx="425566" cy="141001"/>
    <xdr:sp macro="" textlink="">
      <xdr:nvSpPr>
        <xdr:cNvPr id="32926" name="Text Box 158">
          <a:extLst>
            <a:ext uri="{FF2B5EF4-FFF2-40B4-BE49-F238E27FC236}">
              <a16:creationId xmlns:a16="http://schemas.microsoft.com/office/drawing/2014/main" id="{F168F20B-66E1-CE64-9413-7DC5EB0320BB}"/>
            </a:ext>
          </a:extLst>
        </xdr:cNvPr>
        <xdr:cNvSpPr txBox="1">
          <a:spLocks noChangeArrowheads="1"/>
        </xdr:cNvSpPr>
      </xdr:nvSpPr>
      <xdr:spPr bwMode="auto">
        <a:xfrm>
          <a:off x="8766810" y="3114040"/>
          <a:ext cx="425566" cy="141001"/>
        </a:xfrm>
        <a:prstGeom prst="rect">
          <a:avLst/>
        </a:prstGeom>
        <a:noFill/>
        <a:ln>
          <a:noFill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FF"/>
              </a:solidFill>
              <a:latin typeface="Arial"/>
              <a:cs typeface="Arial"/>
            </a:rPr>
            <a:t>2"</a:t>
          </a: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US" sz="800" b="0" i="0" u="none" strike="noStrike" baseline="0">
              <a:solidFill>
                <a:srgbClr val="FF0000"/>
              </a:solidFill>
              <a:latin typeface="Arial"/>
              <a:cs typeface="Arial"/>
            </a:rPr>
            <a:t>51mm</a:t>
          </a:r>
        </a:p>
      </xdr:txBody>
    </xdr:sp>
    <xdr:clientData/>
  </xdr:oneCellAnchor>
  <xdr:twoCellAnchor>
    <xdr:from>
      <xdr:col>12</xdr:col>
      <xdr:colOff>660400</xdr:colOff>
      <xdr:row>17</xdr:row>
      <xdr:rowOff>165100</xdr:rowOff>
    </xdr:from>
    <xdr:to>
      <xdr:col>13</xdr:col>
      <xdr:colOff>63500</xdr:colOff>
      <xdr:row>17</xdr:row>
      <xdr:rowOff>165100</xdr:rowOff>
    </xdr:to>
    <xdr:sp macro="" textlink="">
      <xdr:nvSpPr>
        <xdr:cNvPr id="53036" name="Line 159">
          <a:extLst>
            <a:ext uri="{FF2B5EF4-FFF2-40B4-BE49-F238E27FC236}">
              <a16:creationId xmlns:a16="http://schemas.microsoft.com/office/drawing/2014/main" id="{9779A5F0-DDA7-2B0D-F668-A419F9F4937E}"/>
            </a:ext>
          </a:extLst>
        </xdr:cNvPr>
        <xdr:cNvSpPr>
          <a:spLocks noChangeShapeType="1"/>
        </xdr:cNvSpPr>
      </xdr:nvSpPr>
      <xdr:spPr bwMode="auto">
        <a:xfrm>
          <a:off x="8712200" y="3175000"/>
          <a:ext cx="762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241300</xdr:colOff>
      <xdr:row>22</xdr:row>
      <xdr:rowOff>127000</xdr:rowOff>
    </xdr:from>
    <xdr:to>
      <xdr:col>13</xdr:col>
      <xdr:colOff>12700</xdr:colOff>
      <xdr:row>24</xdr:row>
      <xdr:rowOff>127000</xdr:rowOff>
    </xdr:to>
    <xdr:sp macro="" textlink="">
      <xdr:nvSpPr>
        <xdr:cNvPr id="53037" name="Line 160">
          <a:extLst>
            <a:ext uri="{FF2B5EF4-FFF2-40B4-BE49-F238E27FC236}">
              <a16:creationId xmlns:a16="http://schemas.microsoft.com/office/drawing/2014/main" id="{F67921F6-A648-3246-1C59-E39FFC30FACE}"/>
            </a:ext>
          </a:extLst>
        </xdr:cNvPr>
        <xdr:cNvSpPr>
          <a:spLocks noChangeShapeType="1"/>
        </xdr:cNvSpPr>
      </xdr:nvSpPr>
      <xdr:spPr bwMode="auto">
        <a:xfrm>
          <a:off x="8293100" y="4038600"/>
          <a:ext cx="444500" cy="3810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342900</xdr:colOff>
      <xdr:row>21</xdr:row>
      <xdr:rowOff>152400</xdr:rowOff>
    </xdr:from>
    <xdr:to>
      <xdr:col>13</xdr:col>
      <xdr:colOff>25400</xdr:colOff>
      <xdr:row>24</xdr:row>
      <xdr:rowOff>139700</xdr:rowOff>
    </xdr:to>
    <xdr:sp macro="" textlink="">
      <xdr:nvSpPr>
        <xdr:cNvPr id="53038" name="Line 161">
          <a:extLst>
            <a:ext uri="{FF2B5EF4-FFF2-40B4-BE49-F238E27FC236}">
              <a16:creationId xmlns:a16="http://schemas.microsoft.com/office/drawing/2014/main" id="{8FA6DFEC-ED72-8B28-4219-36ACC0909337}"/>
            </a:ext>
          </a:extLst>
        </xdr:cNvPr>
        <xdr:cNvSpPr>
          <a:spLocks noChangeShapeType="1"/>
        </xdr:cNvSpPr>
      </xdr:nvSpPr>
      <xdr:spPr bwMode="auto">
        <a:xfrm>
          <a:off x="8394700" y="3886200"/>
          <a:ext cx="355600" cy="5461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13</xdr:col>
      <xdr:colOff>41910</xdr:colOff>
      <xdr:row>24</xdr:row>
      <xdr:rowOff>39370</xdr:rowOff>
    </xdr:from>
    <xdr:ext cx="1240853" cy="376834"/>
    <xdr:sp macro="" textlink="">
      <xdr:nvSpPr>
        <xdr:cNvPr id="32930" name="Text Box 162">
          <a:extLst>
            <a:ext uri="{FF2B5EF4-FFF2-40B4-BE49-F238E27FC236}">
              <a16:creationId xmlns:a16="http://schemas.microsoft.com/office/drawing/2014/main" id="{82D59E64-E702-E918-0046-BBEFF761C4D2}"/>
            </a:ext>
          </a:extLst>
        </xdr:cNvPr>
        <xdr:cNvSpPr txBox="1">
          <a:spLocks noChangeArrowheads="1"/>
        </xdr:cNvSpPr>
      </xdr:nvSpPr>
      <xdr:spPr bwMode="auto">
        <a:xfrm>
          <a:off x="8766810" y="4331970"/>
          <a:ext cx="1240853" cy="376834"/>
        </a:xfrm>
        <a:prstGeom prst="rect">
          <a:avLst/>
        </a:prstGeom>
        <a:noFill/>
        <a:ln>
          <a:noFill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Vessel Clip Pl </a:t>
          </a:r>
          <a:r>
            <a:rPr lang="en-US" sz="800" b="0" i="0" u="none" strike="noStrike" baseline="0">
              <a:solidFill>
                <a:srgbClr val="0000FF"/>
              </a:solidFill>
              <a:latin typeface="Arial"/>
              <a:cs typeface="Arial"/>
            </a:rPr>
            <a:t>1/2"</a:t>
          </a: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US" sz="800" b="0" i="0" u="none" strike="noStrike" baseline="0">
              <a:solidFill>
                <a:srgbClr val="FF0000"/>
              </a:solidFill>
              <a:latin typeface="Arial"/>
              <a:cs typeface="Arial"/>
            </a:rPr>
            <a:t>(13mm)</a:t>
          </a: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&amp; Dblr. Pl </a:t>
          </a:r>
          <a:r>
            <a:rPr lang="en-US" sz="800" b="0" i="0" u="none" strike="noStrike" baseline="0">
              <a:solidFill>
                <a:srgbClr val="0000FF"/>
              </a:solidFill>
              <a:latin typeface="Arial"/>
              <a:cs typeface="Arial"/>
            </a:rPr>
            <a:t>1/2"x 6"X1'-4"</a:t>
          </a: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</a:t>
          </a:r>
          <a:r>
            <a:rPr lang="en-US" sz="800" b="0" i="0" u="none" strike="noStrike" baseline="0">
              <a:solidFill>
                <a:srgbClr val="FF0000"/>
              </a:solidFill>
              <a:latin typeface="Arial"/>
              <a:cs typeface="Arial"/>
            </a:rPr>
            <a:t>(13x150x406mm)</a:t>
          </a:r>
        </a:p>
      </xdr:txBody>
    </xdr:sp>
    <xdr:clientData/>
  </xdr:oneCellAnchor>
  <xdr:twoCellAnchor>
    <xdr:from>
      <xdr:col>12</xdr:col>
      <xdr:colOff>431800</xdr:colOff>
      <xdr:row>16</xdr:row>
      <xdr:rowOff>88900</xdr:rowOff>
    </xdr:from>
    <xdr:to>
      <xdr:col>12</xdr:col>
      <xdr:colOff>495300</xdr:colOff>
      <xdr:row>19</xdr:row>
      <xdr:rowOff>25400</xdr:rowOff>
    </xdr:to>
    <xdr:sp macro="" textlink="">
      <xdr:nvSpPr>
        <xdr:cNvPr id="53040" name="Line 163">
          <a:extLst>
            <a:ext uri="{FF2B5EF4-FFF2-40B4-BE49-F238E27FC236}">
              <a16:creationId xmlns:a16="http://schemas.microsoft.com/office/drawing/2014/main" id="{B4B8B07A-EBAE-8F24-3C91-EFB0BC8A0C02}"/>
            </a:ext>
          </a:extLst>
        </xdr:cNvPr>
        <xdr:cNvSpPr>
          <a:spLocks noChangeShapeType="1"/>
        </xdr:cNvSpPr>
      </xdr:nvSpPr>
      <xdr:spPr bwMode="auto">
        <a:xfrm flipV="1">
          <a:off x="8483600" y="2908300"/>
          <a:ext cx="63500" cy="4953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495300</xdr:colOff>
      <xdr:row>16</xdr:row>
      <xdr:rowOff>76200</xdr:rowOff>
    </xdr:from>
    <xdr:to>
      <xdr:col>12</xdr:col>
      <xdr:colOff>635000</xdr:colOff>
      <xdr:row>16</xdr:row>
      <xdr:rowOff>76200</xdr:rowOff>
    </xdr:to>
    <xdr:sp macro="" textlink="">
      <xdr:nvSpPr>
        <xdr:cNvPr id="53041" name="Line 164">
          <a:extLst>
            <a:ext uri="{FF2B5EF4-FFF2-40B4-BE49-F238E27FC236}">
              <a16:creationId xmlns:a16="http://schemas.microsoft.com/office/drawing/2014/main" id="{3F77B663-453D-472E-4F1D-1D6974D6E01B}"/>
            </a:ext>
          </a:extLst>
        </xdr:cNvPr>
        <xdr:cNvSpPr>
          <a:spLocks noChangeShapeType="1"/>
        </xdr:cNvSpPr>
      </xdr:nvSpPr>
      <xdr:spPr bwMode="auto">
        <a:xfrm>
          <a:off x="8547100" y="2895600"/>
          <a:ext cx="1397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13</xdr:col>
      <xdr:colOff>0</xdr:colOff>
      <xdr:row>15</xdr:row>
      <xdr:rowOff>176530</xdr:rowOff>
    </xdr:from>
    <xdr:ext cx="851002" cy="141001"/>
    <xdr:sp macro="" textlink="">
      <xdr:nvSpPr>
        <xdr:cNvPr id="32933" name="Text Box 165">
          <a:extLst>
            <a:ext uri="{FF2B5EF4-FFF2-40B4-BE49-F238E27FC236}">
              <a16:creationId xmlns:a16="http://schemas.microsoft.com/office/drawing/2014/main" id="{9C951E9B-CA18-FB33-099D-195DF923C755}"/>
            </a:ext>
          </a:extLst>
        </xdr:cNvPr>
        <xdr:cNvSpPr txBox="1">
          <a:spLocks noChangeArrowheads="1"/>
        </xdr:cNvSpPr>
      </xdr:nvSpPr>
      <xdr:spPr bwMode="auto">
        <a:xfrm>
          <a:off x="8724900" y="2805430"/>
          <a:ext cx="851002" cy="141001"/>
        </a:xfrm>
        <a:prstGeom prst="rect">
          <a:avLst/>
        </a:prstGeom>
        <a:noFill/>
        <a:ln>
          <a:noFill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Top of Brkt. &amp; Clip</a:t>
          </a:r>
        </a:p>
      </xdr:txBody>
    </xdr:sp>
    <xdr:clientData/>
  </xdr:oneCellAnchor>
  <xdr:oneCellAnchor>
    <xdr:from>
      <xdr:col>13</xdr:col>
      <xdr:colOff>288290</xdr:colOff>
      <xdr:row>18</xdr:row>
      <xdr:rowOff>118110</xdr:rowOff>
    </xdr:from>
    <xdr:ext cx="854607" cy="170560"/>
    <xdr:sp macro="" textlink="">
      <xdr:nvSpPr>
        <xdr:cNvPr id="32934" name="Text Box 166">
          <a:extLst>
            <a:ext uri="{FF2B5EF4-FFF2-40B4-BE49-F238E27FC236}">
              <a16:creationId xmlns:a16="http://schemas.microsoft.com/office/drawing/2014/main" id="{55BF9336-8C63-E4F4-67FD-A7937538E466}"/>
            </a:ext>
          </a:extLst>
        </xdr:cNvPr>
        <xdr:cNvSpPr txBox="1">
          <a:spLocks noChangeArrowheads="1"/>
        </xdr:cNvSpPr>
      </xdr:nvSpPr>
      <xdr:spPr bwMode="auto">
        <a:xfrm>
          <a:off x="8157210" y="3288030"/>
          <a:ext cx="830868" cy="170560"/>
        </a:xfrm>
        <a:prstGeom prst="rect">
          <a:avLst/>
        </a:prstGeom>
        <a:noFill/>
        <a:ln>
          <a:noFill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Clip Ref. Elev.</a:t>
          </a:r>
        </a:p>
      </xdr:txBody>
    </xdr:sp>
    <xdr:clientData/>
  </xdr:oneCellAnchor>
  <xdr:oneCellAnchor>
    <xdr:from>
      <xdr:col>8</xdr:col>
      <xdr:colOff>657860</xdr:colOff>
      <xdr:row>15</xdr:row>
      <xdr:rowOff>81915</xdr:rowOff>
    </xdr:from>
    <xdr:ext cx="1763267" cy="389395"/>
    <xdr:sp macro="" textlink="">
      <xdr:nvSpPr>
        <xdr:cNvPr id="32935" name="Text Box 167">
          <a:extLst>
            <a:ext uri="{FF2B5EF4-FFF2-40B4-BE49-F238E27FC236}">
              <a16:creationId xmlns:a16="http://schemas.microsoft.com/office/drawing/2014/main" id="{C130301F-8F26-01BD-3CDC-7042313F3F2D}"/>
            </a:ext>
          </a:extLst>
        </xdr:cNvPr>
        <xdr:cNvSpPr txBox="1">
          <a:spLocks noChangeArrowheads="1"/>
        </xdr:cNvSpPr>
      </xdr:nvSpPr>
      <xdr:spPr bwMode="auto">
        <a:xfrm>
          <a:off x="5440680" y="2703195"/>
          <a:ext cx="1774717" cy="376834"/>
        </a:xfrm>
        <a:prstGeom prst="rect">
          <a:avLst/>
        </a:prstGeom>
        <a:noFill/>
        <a:ln>
          <a:noFill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4-</a:t>
          </a:r>
          <a:r>
            <a:rPr lang="en-US" sz="800" b="0" i="0" u="none" strike="noStrike" baseline="0">
              <a:solidFill>
                <a:srgbClr val="0000FF"/>
              </a:solidFill>
              <a:latin typeface="Arial"/>
              <a:cs typeface="Arial"/>
            </a:rPr>
            <a:t>13/16"</a:t>
          </a: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Dia. Holes for </a:t>
          </a:r>
          <a:r>
            <a:rPr lang="en-US" sz="800" b="0" i="0" u="none" strike="noStrike" baseline="0">
              <a:solidFill>
                <a:srgbClr val="0000FF"/>
              </a:solidFill>
              <a:latin typeface="Arial"/>
              <a:cs typeface="Arial"/>
            </a:rPr>
            <a:t>3/4</a:t>
          </a: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"Dia. Bolt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4-</a:t>
          </a:r>
          <a:r>
            <a:rPr lang="en-US" sz="800" b="0" i="0" u="none" strike="noStrike" baseline="0">
              <a:solidFill>
                <a:srgbClr val="FF0000"/>
              </a:solidFill>
              <a:latin typeface="Arial"/>
              <a:cs typeface="Arial"/>
            </a:rPr>
            <a:t>21mm</a:t>
          </a: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Dia. Holes for</a:t>
          </a:r>
          <a:r>
            <a:rPr lang="en-US" sz="800" b="0" i="0" u="none" strike="noStrike" baseline="0">
              <a:solidFill>
                <a:srgbClr val="FF0000"/>
              </a:solidFill>
              <a:latin typeface="Arial"/>
              <a:cs typeface="Arial"/>
            </a:rPr>
            <a:t> 19mm</a:t>
          </a: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Dia. Bolt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ASTM A325N Bolts w/ L.I.W.</a:t>
          </a:r>
        </a:p>
      </xdr:txBody>
    </xdr:sp>
    <xdr:clientData/>
  </xdr:oneCellAnchor>
  <xdr:twoCellAnchor>
    <xdr:from>
      <xdr:col>11</xdr:col>
      <xdr:colOff>457200</xdr:colOff>
      <xdr:row>15</xdr:row>
      <xdr:rowOff>177800</xdr:rowOff>
    </xdr:from>
    <xdr:to>
      <xdr:col>12</xdr:col>
      <xdr:colOff>127000</xdr:colOff>
      <xdr:row>15</xdr:row>
      <xdr:rowOff>177800</xdr:rowOff>
    </xdr:to>
    <xdr:sp macro="" textlink="">
      <xdr:nvSpPr>
        <xdr:cNvPr id="53045" name="Line 168">
          <a:extLst>
            <a:ext uri="{FF2B5EF4-FFF2-40B4-BE49-F238E27FC236}">
              <a16:creationId xmlns:a16="http://schemas.microsoft.com/office/drawing/2014/main" id="{B1C960B3-2CAD-FFE0-7D8D-75E1E3C249BD}"/>
            </a:ext>
          </a:extLst>
        </xdr:cNvPr>
        <xdr:cNvSpPr>
          <a:spLocks noChangeShapeType="1"/>
        </xdr:cNvSpPr>
      </xdr:nvSpPr>
      <xdr:spPr bwMode="auto">
        <a:xfrm flipH="1">
          <a:off x="7835900" y="2806700"/>
          <a:ext cx="3429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190500</xdr:colOff>
      <xdr:row>15</xdr:row>
      <xdr:rowOff>114300</xdr:rowOff>
    </xdr:from>
    <xdr:to>
      <xdr:col>12</xdr:col>
      <xdr:colOff>190500</xdr:colOff>
      <xdr:row>19</xdr:row>
      <xdr:rowOff>12700</xdr:rowOff>
    </xdr:to>
    <xdr:sp macro="" textlink="">
      <xdr:nvSpPr>
        <xdr:cNvPr id="53046" name="Line 169">
          <a:extLst>
            <a:ext uri="{FF2B5EF4-FFF2-40B4-BE49-F238E27FC236}">
              <a16:creationId xmlns:a16="http://schemas.microsoft.com/office/drawing/2014/main" id="{2A0825CC-B0A9-7E6F-F0FB-A85F2ECB1E35}"/>
            </a:ext>
          </a:extLst>
        </xdr:cNvPr>
        <xdr:cNvSpPr>
          <a:spLocks noChangeShapeType="1"/>
        </xdr:cNvSpPr>
      </xdr:nvSpPr>
      <xdr:spPr bwMode="auto">
        <a:xfrm flipV="1">
          <a:off x="8242300" y="2743200"/>
          <a:ext cx="0" cy="6477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127000</xdr:colOff>
      <xdr:row>15</xdr:row>
      <xdr:rowOff>177800</xdr:rowOff>
    </xdr:from>
    <xdr:to>
      <xdr:col>12</xdr:col>
      <xdr:colOff>190500</xdr:colOff>
      <xdr:row>15</xdr:row>
      <xdr:rowOff>177800</xdr:rowOff>
    </xdr:to>
    <xdr:sp macro="" textlink="">
      <xdr:nvSpPr>
        <xdr:cNvPr id="53047" name="Line 170">
          <a:extLst>
            <a:ext uri="{FF2B5EF4-FFF2-40B4-BE49-F238E27FC236}">
              <a16:creationId xmlns:a16="http://schemas.microsoft.com/office/drawing/2014/main" id="{CAD8F921-4988-11C4-CC5E-072CFC0DB2D6}"/>
            </a:ext>
          </a:extLst>
        </xdr:cNvPr>
        <xdr:cNvSpPr>
          <a:spLocks noChangeShapeType="1"/>
        </xdr:cNvSpPr>
      </xdr:nvSpPr>
      <xdr:spPr bwMode="auto">
        <a:xfrm>
          <a:off x="8178800" y="2806700"/>
          <a:ext cx="635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190500</xdr:colOff>
      <xdr:row>15</xdr:row>
      <xdr:rowOff>177800</xdr:rowOff>
    </xdr:from>
    <xdr:to>
      <xdr:col>12</xdr:col>
      <xdr:colOff>469900</xdr:colOff>
      <xdr:row>15</xdr:row>
      <xdr:rowOff>177800</xdr:rowOff>
    </xdr:to>
    <xdr:sp macro="" textlink="">
      <xdr:nvSpPr>
        <xdr:cNvPr id="53048" name="Line 171">
          <a:extLst>
            <a:ext uri="{FF2B5EF4-FFF2-40B4-BE49-F238E27FC236}">
              <a16:creationId xmlns:a16="http://schemas.microsoft.com/office/drawing/2014/main" id="{E0C9D87B-A9A5-92FC-A72C-062AFBF5223B}"/>
            </a:ext>
          </a:extLst>
        </xdr:cNvPr>
        <xdr:cNvSpPr>
          <a:spLocks noChangeShapeType="1"/>
        </xdr:cNvSpPr>
      </xdr:nvSpPr>
      <xdr:spPr bwMode="auto">
        <a:xfrm>
          <a:off x="8242300" y="2806700"/>
          <a:ext cx="2794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12</xdr:col>
      <xdr:colOff>295910</xdr:colOff>
      <xdr:row>15</xdr:row>
      <xdr:rowOff>38100</xdr:rowOff>
    </xdr:from>
    <xdr:ext cx="602409" cy="153819"/>
    <xdr:sp macro="" textlink="">
      <xdr:nvSpPr>
        <xdr:cNvPr id="32941" name="Text Box 173">
          <a:extLst>
            <a:ext uri="{FF2B5EF4-FFF2-40B4-BE49-F238E27FC236}">
              <a16:creationId xmlns:a16="http://schemas.microsoft.com/office/drawing/2014/main" id="{F6B40356-EF79-0284-7BEF-ADC43657F699}"/>
            </a:ext>
          </a:extLst>
        </xdr:cNvPr>
        <xdr:cNvSpPr txBox="1">
          <a:spLocks noChangeArrowheads="1"/>
        </xdr:cNvSpPr>
      </xdr:nvSpPr>
      <xdr:spPr bwMode="auto">
        <a:xfrm>
          <a:off x="7555230" y="2659380"/>
          <a:ext cx="602409" cy="141001"/>
        </a:xfrm>
        <a:prstGeom prst="rect">
          <a:avLst/>
        </a:prstGeom>
        <a:noFill/>
        <a:ln>
          <a:noFill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FF"/>
              </a:solidFill>
              <a:latin typeface="Arial"/>
              <a:cs typeface="Arial"/>
            </a:rPr>
            <a:t>1-1/2"</a:t>
          </a: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US" sz="800" b="0" i="0" u="none" strike="noStrike" baseline="0">
              <a:solidFill>
                <a:srgbClr val="FF0000"/>
              </a:solidFill>
              <a:latin typeface="Arial"/>
              <a:cs typeface="Arial"/>
            </a:rPr>
            <a:t>38mm</a:t>
          </a:r>
        </a:p>
      </xdr:txBody>
    </xdr:sp>
    <xdr:clientData/>
  </xdr:oneCellAnchor>
</xdr:wsDr>
</file>

<file path=xl/drawings/drawing22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79935</xdr:colOff>
      <xdr:row>1</xdr:row>
      <xdr:rowOff>19050</xdr:rowOff>
    </xdr:from>
    <xdr:ext cx="178414" cy="718675"/>
    <xdr:sp macro="" textlink="">
      <xdr:nvSpPr>
        <xdr:cNvPr id="15369" name="Text Box 9">
          <a:extLst>
            <a:ext uri="{FF2B5EF4-FFF2-40B4-BE49-F238E27FC236}">
              <a16:creationId xmlns:a16="http://schemas.microsoft.com/office/drawing/2014/main" id="{82D68150-5DF8-B5F3-6DBB-5AC8114B7B19}"/>
            </a:ext>
          </a:extLst>
        </xdr:cNvPr>
        <xdr:cNvSpPr txBox="1">
          <a:spLocks noChangeArrowheads="1"/>
        </xdr:cNvSpPr>
      </xdr:nvSpPr>
      <xdr:spPr bwMode="auto">
        <a:xfrm>
          <a:off x="8098715" y="224790"/>
          <a:ext cx="166520" cy="706284"/>
        </a:xfrm>
        <a:prstGeom prst="rect">
          <a:avLst/>
        </a:prstGeom>
        <a:noFill/>
        <a:ln>
          <a:noFill/>
        </a:ln>
      </xdr:spPr>
      <xdr:txBody>
        <a:bodyPr wrap="none" lIns="27432" tIns="27432" rIns="27432" bIns="0" anchor="t" upright="1">
          <a:spAutoFit/>
        </a:bodyPr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Z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I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R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</xdr:txBody>
    </xdr:sp>
    <xdr:clientData/>
  </xdr:one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254000</xdr:colOff>
      <xdr:row>5</xdr:row>
      <xdr:rowOff>12700</xdr:rowOff>
    </xdr:from>
    <xdr:to>
      <xdr:col>10</xdr:col>
      <xdr:colOff>279400</xdr:colOff>
      <xdr:row>19</xdr:row>
      <xdr:rowOff>152400</xdr:rowOff>
    </xdr:to>
    <xdr:sp macro="" textlink="">
      <xdr:nvSpPr>
        <xdr:cNvPr id="58559" name="AutoShape 1">
          <a:extLst>
            <a:ext uri="{FF2B5EF4-FFF2-40B4-BE49-F238E27FC236}">
              <a16:creationId xmlns:a16="http://schemas.microsoft.com/office/drawing/2014/main" id="{2AE442B3-CE9B-BF3B-F480-0035842AD393}"/>
            </a:ext>
          </a:extLst>
        </xdr:cNvPr>
        <xdr:cNvSpPr>
          <a:spLocks noChangeArrowheads="1"/>
        </xdr:cNvSpPr>
      </xdr:nvSpPr>
      <xdr:spPr bwMode="auto">
        <a:xfrm>
          <a:off x="2273300" y="863600"/>
          <a:ext cx="4737100" cy="2578100"/>
        </a:xfrm>
        <a:custGeom>
          <a:avLst/>
          <a:gdLst>
            <a:gd name="T0" fmla="*/ 2147483646 w 21600"/>
            <a:gd name="T1" fmla="*/ 0 h 21600"/>
            <a:gd name="T2" fmla="*/ 2147483646 w 21600"/>
            <a:gd name="T3" fmla="*/ 2147483646 h 21600"/>
            <a:gd name="T4" fmla="*/ 2147483646 w 21600"/>
            <a:gd name="T5" fmla="*/ 2147483646 h 21600"/>
            <a:gd name="T6" fmla="*/ 2147483646 w 21600"/>
            <a:gd name="T7" fmla="*/ 2147483646 h 21600"/>
            <a:gd name="T8" fmla="*/ 0 60000 65536"/>
            <a:gd name="T9" fmla="*/ 0 60000 65536"/>
            <a:gd name="T10" fmla="*/ 0 60000 65536"/>
            <a:gd name="T11" fmla="*/ 0 60000 65536"/>
            <a:gd name="T12" fmla="*/ 0 w 21600"/>
            <a:gd name="T13" fmla="*/ 0 h 21600"/>
            <a:gd name="T14" fmla="*/ 21600 w 21600"/>
            <a:gd name="T15" fmla="*/ 7713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432" y="10800"/>
              </a:moveTo>
              <a:cubicBezTo>
                <a:pt x="432" y="5073"/>
                <a:pt x="5073" y="432"/>
                <a:pt x="10800" y="432"/>
              </a:cubicBezTo>
              <a:cubicBezTo>
                <a:pt x="16526" y="431"/>
                <a:pt x="21167" y="5073"/>
                <a:pt x="21168" y="10799"/>
              </a:cubicBezTo>
              <a:lnTo>
                <a:pt x="21600" y="10800"/>
              </a:lnTo>
              <a:cubicBezTo>
                <a:pt x="21600" y="4835"/>
                <a:pt x="16764" y="0"/>
                <a:pt x="10800" y="0"/>
              </a:cubicBezTo>
              <a:cubicBezTo>
                <a:pt x="4835" y="0"/>
                <a:pt x="0" y="4835"/>
                <a:pt x="0" y="10800"/>
              </a:cubicBezTo>
              <a:lnTo>
                <a:pt x="432" y="10800"/>
              </a:lnTo>
              <a:close/>
            </a:path>
          </a:pathLst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254000</xdr:colOff>
      <xdr:row>12</xdr:row>
      <xdr:rowOff>101600</xdr:rowOff>
    </xdr:from>
    <xdr:to>
      <xdr:col>3</xdr:col>
      <xdr:colOff>342900</xdr:colOff>
      <xdr:row>14</xdr:row>
      <xdr:rowOff>12700</xdr:rowOff>
    </xdr:to>
    <xdr:sp macro="" textlink="">
      <xdr:nvSpPr>
        <xdr:cNvPr id="58560" name="Rectangle 3">
          <a:extLst>
            <a:ext uri="{FF2B5EF4-FFF2-40B4-BE49-F238E27FC236}">
              <a16:creationId xmlns:a16="http://schemas.microsoft.com/office/drawing/2014/main" id="{7D30FB9F-652C-F5C3-60ED-340B301F632E}"/>
            </a:ext>
          </a:extLst>
        </xdr:cNvPr>
        <xdr:cNvSpPr>
          <a:spLocks noChangeArrowheads="1"/>
        </xdr:cNvSpPr>
      </xdr:nvSpPr>
      <xdr:spPr bwMode="auto">
        <a:xfrm>
          <a:off x="2273300" y="2171700"/>
          <a:ext cx="88900" cy="241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203200</xdr:colOff>
      <xdr:row>12</xdr:row>
      <xdr:rowOff>101600</xdr:rowOff>
    </xdr:from>
    <xdr:to>
      <xdr:col>10</xdr:col>
      <xdr:colOff>292100</xdr:colOff>
      <xdr:row>14</xdr:row>
      <xdr:rowOff>0</xdr:rowOff>
    </xdr:to>
    <xdr:sp macro="" textlink="">
      <xdr:nvSpPr>
        <xdr:cNvPr id="58561" name="Rectangle 4">
          <a:extLst>
            <a:ext uri="{FF2B5EF4-FFF2-40B4-BE49-F238E27FC236}">
              <a16:creationId xmlns:a16="http://schemas.microsoft.com/office/drawing/2014/main" id="{AF7CB3AF-15DC-D5EA-D5D4-57E13B298297}"/>
            </a:ext>
          </a:extLst>
        </xdr:cNvPr>
        <xdr:cNvSpPr>
          <a:spLocks noChangeArrowheads="1"/>
        </xdr:cNvSpPr>
      </xdr:nvSpPr>
      <xdr:spPr bwMode="auto">
        <a:xfrm>
          <a:off x="6934200" y="2171700"/>
          <a:ext cx="889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533400</xdr:colOff>
      <xdr:row>4</xdr:row>
      <xdr:rowOff>50800</xdr:rowOff>
    </xdr:from>
    <xdr:to>
      <xdr:col>6</xdr:col>
      <xdr:colOff>546100</xdr:colOff>
      <xdr:row>21</xdr:row>
      <xdr:rowOff>0</xdr:rowOff>
    </xdr:to>
    <xdr:sp macro="" textlink="">
      <xdr:nvSpPr>
        <xdr:cNvPr id="58562" name="Line 5">
          <a:extLst>
            <a:ext uri="{FF2B5EF4-FFF2-40B4-BE49-F238E27FC236}">
              <a16:creationId xmlns:a16="http://schemas.microsoft.com/office/drawing/2014/main" id="{9E18008C-A640-E8DD-87BE-E56D56FBF496}"/>
            </a:ext>
          </a:extLst>
        </xdr:cNvPr>
        <xdr:cNvSpPr>
          <a:spLocks noChangeShapeType="1"/>
        </xdr:cNvSpPr>
      </xdr:nvSpPr>
      <xdr:spPr bwMode="auto">
        <a:xfrm flipH="1" flipV="1">
          <a:off x="4572000" y="723900"/>
          <a:ext cx="12700" cy="29083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292100</xdr:colOff>
      <xdr:row>14</xdr:row>
      <xdr:rowOff>12700</xdr:rowOff>
    </xdr:from>
    <xdr:to>
      <xdr:col>10</xdr:col>
      <xdr:colOff>304800</xdr:colOff>
      <xdr:row>14</xdr:row>
      <xdr:rowOff>12700</xdr:rowOff>
    </xdr:to>
    <xdr:sp macro="" textlink="">
      <xdr:nvSpPr>
        <xdr:cNvPr id="58563" name="Line 6">
          <a:extLst>
            <a:ext uri="{FF2B5EF4-FFF2-40B4-BE49-F238E27FC236}">
              <a16:creationId xmlns:a16="http://schemas.microsoft.com/office/drawing/2014/main" id="{EA99558A-CDD6-E655-D982-6841905E2287}"/>
            </a:ext>
          </a:extLst>
        </xdr:cNvPr>
        <xdr:cNvSpPr>
          <a:spLocks noChangeShapeType="1"/>
        </xdr:cNvSpPr>
      </xdr:nvSpPr>
      <xdr:spPr bwMode="auto">
        <a:xfrm>
          <a:off x="2311400" y="2413000"/>
          <a:ext cx="47244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622300</xdr:colOff>
      <xdr:row>12</xdr:row>
      <xdr:rowOff>101600</xdr:rowOff>
    </xdr:from>
    <xdr:to>
      <xdr:col>12</xdr:col>
      <xdr:colOff>469900</xdr:colOff>
      <xdr:row>12</xdr:row>
      <xdr:rowOff>101600</xdr:rowOff>
    </xdr:to>
    <xdr:sp macro="" textlink="">
      <xdr:nvSpPr>
        <xdr:cNvPr id="58564" name="Line 7">
          <a:extLst>
            <a:ext uri="{FF2B5EF4-FFF2-40B4-BE49-F238E27FC236}">
              <a16:creationId xmlns:a16="http://schemas.microsoft.com/office/drawing/2014/main" id="{C8B88FFB-8AD4-8761-8B34-D834079374EC}"/>
            </a:ext>
          </a:extLst>
        </xdr:cNvPr>
        <xdr:cNvSpPr>
          <a:spLocks noChangeShapeType="1"/>
        </xdr:cNvSpPr>
      </xdr:nvSpPr>
      <xdr:spPr bwMode="auto">
        <a:xfrm flipV="1">
          <a:off x="622300" y="2171700"/>
          <a:ext cx="79248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381000</xdr:colOff>
      <xdr:row>12</xdr:row>
      <xdr:rowOff>76200</xdr:rowOff>
    </xdr:from>
    <xdr:to>
      <xdr:col>4</xdr:col>
      <xdr:colOff>381000</xdr:colOff>
      <xdr:row>17</xdr:row>
      <xdr:rowOff>127000</xdr:rowOff>
    </xdr:to>
    <xdr:sp macro="" textlink="">
      <xdr:nvSpPr>
        <xdr:cNvPr id="58565" name="Line 8">
          <a:extLst>
            <a:ext uri="{FF2B5EF4-FFF2-40B4-BE49-F238E27FC236}">
              <a16:creationId xmlns:a16="http://schemas.microsoft.com/office/drawing/2014/main" id="{3E76E1DB-4DB9-C340-1EA4-EEB445D17E60}"/>
            </a:ext>
          </a:extLst>
        </xdr:cNvPr>
        <xdr:cNvSpPr>
          <a:spLocks noChangeShapeType="1"/>
        </xdr:cNvSpPr>
      </xdr:nvSpPr>
      <xdr:spPr bwMode="auto">
        <a:xfrm>
          <a:off x="3073400" y="2146300"/>
          <a:ext cx="0" cy="9017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368300</xdr:colOff>
      <xdr:row>17</xdr:row>
      <xdr:rowOff>76200</xdr:rowOff>
    </xdr:from>
    <xdr:to>
      <xdr:col>6</xdr:col>
      <xdr:colOff>533400</xdr:colOff>
      <xdr:row>17</xdr:row>
      <xdr:rowOff>76200</xdr:rowOff>
    </xdr:to>
    <xdr:sp macro="" textlink="">
      <xdr:nvSpPr>
        <xdr:cNvPr id="58566" name="Line 9">
          <a:extLst>
            <a:ext uri="{FF2B5EF4-FFF2-40B4-BE49-F238E27FC236}">
              <a16:creationId xmlns:a16="http://schemas.microsoft.com/office/drawing/2014/main" id="{4305E29A-4BBC-CBE7-CC18-9872AEFE88AF}"/>
            </a:ext>
          </a:extLst>
        </xdr:cNvPr>
        <xdr:cNvSpPr>
          <a:spLocks noChangeShapeType="1"/>
        </xdr:cNvSpPr>
      </xdr:nvSpPr>
      <xdr:spPr bwMode="auto">
        <a:xfrm flipV="1">
          <a:off x="3060700" y="2997200"/>
          <a:ext cx="15113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533400</xdr:colOff>
      <xdr:row>6</xdr:row>
      <xdr:rowOff>38100</xdr:rowOff>
    </xdr:from>
    <xdr:to>
      <xdr:col>8</xdr:col>
      <xdr:colOff>292100</xdr:colOff>
      <xdr:row>20</xdr:row>
      <xdr:rowOff>139700</xdr:rowOff>
    </xdr:to>
    <xdr:sp macro="" textlink="">
      <xdr:nvSpPr>
        <xdr:cNvPr id="58567" name="Line 10">
          <a:extLst>
            <a:ext uri="{FF2B5EF4-FFF2-40B4-BE49-F238E27FC236}">
              <a16:creationId xmlns:a16="http://schemas.microsoft.com/office/drawing/2014/main" id="{B1594687-DD67-3E18-70D5-A48A700540B3}"/>
            </a:ext>
          </a:extLst>
        </xdr:cNvPr>
        <xdr:cNvSpPr>
          <a:spLocks noChangeShapeType="1"/>
        </xdr:cNvSpPr>
      </xdr:nvSpPr>
      <xdr:spPr bwMode="auto">
        <a:xfrm flipH="1">
          <a:off x="4572000" y="1054100"/>
          <a:ext cx="1104900" cy="25527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546100</xdr:colOff>
      <xdr:row>5</xdr:row>
      <xdr:rowOff>63500</xdr:rowOff>
    </xdr:from>
    <xdr:to>
      <xdr:col>11</xdr:col>
      <xdr:colOff>508000</xdr:colOff>
      <xdr:row>5</xdr:row>
      <xdr:rowOff>63500</xdr:rowOff>
    </xdr:to>
    <xdr:sp macro="" textlink="">
      <xdr:nvSpPr>
        <xdr:cNvPr id="58568" name="Line 12">
          <a:extLst>
            <a:ext uri="{FF2B5EF4-FFF2-40B4-BE49-F238E27FC236}">
              <a16:creationId xmlns:a16="http://schemas.microsoft.com/office/drawing/2014/main" id="{3D2971A1-81D4-58F0-BC06-7DF465FB89D5}"/>
            </a:ext>
          </a:extLst>
        </xdr:cNvPr>
        <xdr:cNvSpPr>
          <a:spLocks noChangeShapeType="1"/>
        </xdr:cNvSpPr>
      </xdr:nvSpPr>
      <xdr:spPr bwMode="auto">
        <a:xfrm flipV="1">
          <a:off x="4584700" y="914400"/>
          <a:ext cx="33274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342900</xdr:colOff>
      <xdr:row>14</xdr:row>
      <xdr:rowOff>25400</xdr:rowOff>
    </xdr:from>
    <xdr:to>
      <xdr:col>3</xdr:col>
      <xdr:colOff>342900</xdr:colOff>
      <xdr:row>24</xdr:row>
      <xdr:rowOff>152400</xdr:rowOff>
    </xdr:to>
    <xdr:sp macro="" textlink="">
      <xdr:nvSpPr>
        <xdr:cNvPr id="58569" name="Line 13">
          <a:extLst>
            <a:ext uri="{FF2B5EF4-FFF2-40B4-BE49-F238E27FC236}">
              <a16:creationId xmlns:a16="http://schemas.microsoft.com/office/drawing/2014/main" id="{AE3D075E-0085-C719-DCFB-2643596F01E9}"/>
            </a:ext>
          </a:extLst>
        </xdr:cNvPr>
        <xdr:cNvSpPr>
          <a:spLocks noChangeShapeType="1"/>
        </xdr:cNvSpPr>
      </xdr:nvSpPr>
      <xdr:spPr bwMode="auto">
        <a:xfrm>
          <a:off x="2362200" y="2425700"/>
          <a:ext cx="0" cy="18923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203200</xdr:colOff>
      <xdr:row>14</xdr:row>
      <xdr:rowOff>50800</xdr:rowOff>
    </xdr:from>
    <xdr:to>
      <xdr:col>10</xdr:col>
      <xdr:colOff>203200</xdr:colOff>
      <xdr:row>25</xdr:row>
      <xdr:rowOff>12700</xdr:rowOff>
    </xdr:to>
    <xdr:sp macro="" textlink="">
      <xdr:nvSpPr>
        <xdr:cNvPr id="58570" name="Line 15">
          <a:extLst>
            <a:ext uri="{FF2B5EF4-FFF2-40B4-BE49-F238E27FC236}">
              <a16:creationId xmlns:a16="http://schemas.microsoft.com/office/drawing/2014/main" id="{B73F93A3-B1E8-1484-27D0-4AADA5FE4980}"/>
            </a:ext>
          </a:extLst>
        </xdr:cNvPr>
        <xdr:cNvSpPr>
          <a:spLocks noChangeShapeType="1"/>
        </xdr:cNvSpPr>
      </xdr:nvSpPr>
      <xdr:spPr bwMode="auto">
        <a:xfrm>
          <a:off x="6934200" y="2451100"/>
          <a:ext cx="0" cy="19177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342900</xdr:colOff>
      <xdr:row>24</xdr:row>
      <xdr:rowOff>114300</xdr:rowOff>
    </xdr:from>
    <xdr:to>
      <xdr:col>10</xdr:col>
      <xdr:colOff>190500</xdr:colOff>
      <xdr:row>24</xdr:row>
      <xdr:rowOff>114300</xdr:rowOff>
    </xdr:to>
    <xdr:sp macro="" textlink="">
      <xdr:nvSpPr>
        <xdr:cNvPr id="58571" name="Line 16">
          <a:extLst>
            <a:ext uri="{FF2B5EF4-FFF2-40B4-BE49-F238E27FC236}">
              <a16:creationId xmlns:a16="http://schemas.microsoft.com/office/drawing/2014/main" id="{EB1F7BC1-2FDF-92BB-776B-A8678E6F516F}"/>
            </a:ext>
          </a:extLst>
        </xdr:cNvPr>
        <xdr:cNvSpPr>
          <a:spLocks noChangeShapeType="1"/>
        </xdr:cNvSpPr>
      </xdr:nvSpPr>
      <xdr:spPr bwMode="auto">
        <a:xfrm>
          <a:off x="2362200" y="4279900"/>
          <a:ext cx="45593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5</xdr:col>
      <xdr:colOff>419100</xdr:colOff>
      <xdr:row>21</xdr:row>
      <xdr:rowOff>140970</xdr:rowOff>
    </xdr:from>
    <xdr:ext cx="1080424" cy="170560"/>
    <xdr:sp macro="" textlink="">
      <xdr:nvSpPr>
        <xdr:cNvPr id="31761" name="Text Box 17">
          <a:extLst>
            <a:ext uri="{FF2B5EF4-FFF2-40B4-BE49-F238E27FC236}">
              <a16:creationId xmlns:a16="http://schemas.microsoft.com/office/drawing/2014/main" id="{F817C951-6DE5-A57E-5706-2F8C16C04B68}"/>
            </a:ext>
          </a:extLst>
        </xdr:cNvPr>
        <xdr:cNvSpPr txBox="1">
          <a:spLocks noChangeArrowheads="1"/>
        </xdr:cNvSpPr>
      </xdr:nvSpPr>
      <xdr:spPr bwMode="auto">
        <a:xfrm>
          <a:off x="3784600" y="3773170"/>
          <a:ext cx="1080424" cy="170560"/>
        </a:xfrm>
        <a:prstGeom prst="rect">
          <a:avLst/>
        </a:prstGeom>
        <a:noFill/>
        <a:ln>
          <a:noFill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Key In I.D. Inches</a:t>
          </a:r>
        </a:p>
      </xdr:txBody>
    </xdr:sp>
    <xdr:clientData/>
  </xdr:oneCellAnchor>
  <xdr:twoCellAnchor>
    <xdr:from>
      <xdr:col>7</xdr:col>
      <xdr:colOff>266700</xdr:colOff>
      <xdr:row>15</xdr:row>
      <xdr:rowOff>88900</xdr:rowOff>
    </xdr:from>
    <xdr:to>
      <xdr:col>8</xdr:col>
      <xdr:colOff>0</xdr:colOff>
      <xdr:row>17</xdr:row>
      <xdr:rowOff>114300</xdr:rowOff>
    </xdr:to>
    <xdr:sp macro="" textlink="">
      <xdr:nvSpPr>
        <xdr:cNvPr id="58573" name="Line 18">
          <a:extLst>
            <a:ext uri="{FF2B5EF4-FFF2-40B4-BE49-F238E27FC236}">
              <a16:creationId xmlns:a16="http://schemas.microsoft.com/office/drawing/2014/main" id="{5FD55799-A2D2-D9B5-FFD4-1E049774029D}"/>
            </a:ext>
          </a:extLst>
        </xdr:cNvPr>
        <xdr:cNvSpPr>
          <a:spLocks noChangeShapeType="1"/>
        </xdr:cNvSpPr>
      </xdr:nvSpPr>
      <xdr:spPr bwMode="auto">
        <a:xfrm>
          <a:off x="4978400" y="2654300"/>
          <a:ext cx="406400" cy="3810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oval" w="med" len="med"/>
          <a:tailEnd type="oval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342900</xdr:colOff>
      <xdr:row>5</xdr:row>
      <xdr:rowOff>63500</xdr:rowOff>
    </xdr:from>
    <xdr:to>
      <xdr:col>11</xdr:col>
      <xdr:colOff>342900</xdr:colOff>
      <xdr:row>12</xdr:row>
      <xdr:rowOff>101600</xdr:rowOff>
    </xdr:to>
    <xdr:sp macro="" textlink="">
      <xdr:nvSpPr>
        <xdr:cNvPr id="58574" name="Line 19">
          <a:extLst>
            <a:ext uri="{FF2B5EF4-FFF2-40B4-BE49-F238E27FC236}">
              <a16:creationId xmlns:a16="http://schemas.microsoft.com/office/drawing/2014/main" id="{315C5D37-DE7E-CFA0-8BAB-AFCF66588F4A}"/>
            </a:ext>
          </a:extLst>
        </xdr:cNvPr>
        <xdr:cNvSpPr>
          <a:spLocks noChangeShapeType="1"/>
        </xdr:cNvSpPr>
      </xdr:nvSpPr>
      <xdr:spPr bwMode="auto">
        <a:xfrm flipV="1">
          <a:off x="7747000" y="914400"/>
          <a:ext cx="0" cy="12573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342900</xdr:colOff>
      <xdr:row>8</xdr:row>
      <xdr:rowOff>76200</xdr:rowOff>
    </xdr:from>
    <xdr:to>
      <xdr:col>12</xdr:col>
      <xdr:colOff>0</xdr:colOff>
      <xdr:row>8</xdr:row>
      <xdr:rowOff>76200</xdr:rowOff>
    </xdr:to>
    <xdr:sp macro="" textlink="">
      <xdr:nvSpPr>
        <xdr:cNvPr id="58575" name="Line 20">
          <a:extLst>
            <a:ext uri="{FF2B5EF4-FFF2-40B4-BE49-F238E27FC236}">
              <a16:creationId xmlns:a16="http://schemas.microsoft.com/office/drawing/2014/main" id="{21CFFB99-14E2-9CC7-6A91-50FFD7CFB24C}"/>
            </a:ext>
          </a:extLst>
        </xdr:cNvPr>
        <xdr:cNvSpPr>
          <a:spLocks noChangeShapeType="1"/>
        </xdr:cNvSpPr>
      </xdr:nvSpPr>
      <xdr:spPr bwMode="auto">
        <a:xfrm>
          <a:off x="7747000" y="1435100"/>
          <a:ext cx="330200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oval" w="med" len="med"/>
          <a:tailEnd type="oval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533400</xdr:colOff>
      <xdr:row>9</xdr:row>
      <xdr:rowOff>114300</xdr:rowOff>
    </xdr:from>
    <xdr:to>
      <xdr:col>4</xdr:col>
      <xdr:colOff>381000</xdr:colOff>
      <xdr:row>12</xdr:row>
      <xdr:rowOff>101600</xdr:rowOff>
    </xdr:to>
    <xdr:sp macro="" textlink="">
      <xdr:nvSpPr>
        <xdr:cNvPr id="58576" name="Line 21">
          <a:extLst>
            <a:ext uri="{FF2B5EF4-FFF2-40B4-BE49-F238E27FC236}">
              <a16:creationId xmlns:a16="http://schemas.microsoft.com/office/drawing/2014/main" id="{F413DC11-8A15-BE1F-33E3-89C1414F8284}"/>
            </a:ext>
          </a:extLst>
        </xdr:cNvPr>
        <xdr:cNvSpPr>
          <a:spLocks noChangeShapeType="1"/>
        </xdr:cNvSpPr>
      </xdr:nvSpPr>
      <xdr:spPr bwMode="auto">
        <a:xfrm>
          <a:off x="2552700" y="1651000"/>
          <a:ext cx="520700" cy="5207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241300</xdr:colOff>
      <xdr:row>8</xdr:row>
      <xdr:rowOff>50800</xdr:rowOff>
    </xdr:from>
    <xdr:to>
      <xdr:col>3</xdr:col>
      <xdr:colOff>546100</xdr:colOff>
      <xdr:row>9</xdr:row>
      <xdr:rowOff>127000</xdr:rowOff>
    </xdr:to>
    <xdr:sp macro="" textlink="">
      <xdr:nvSpPr>
        <xdr:cNvPr id="58577" name="Line 22">
          <a:extLst>
            <a:ext uri="{FF2B5EF4-FFF2-40B4-BE49-F238E27FC236}">
              <a16:creationId xmlns:a16="http://schemas.microsoft.com/office/drawing/2014/main" id="{CA3E7C25-CB88-B3F3-0A19-206DE0CB44FF}"/>
            </a:ext>
          </a:extLst>
        </xdr:cNvPr>
        <xdr:cNvSpPr>
          <a:spLocks noChangeShapeType="1"/>
        </xdr:cNvSpPr>
      </xdr:nvSpPr>
      <xdr:spPr bwMode="auto">
        <a:xfrm flipH="1" flipV="1">
          <a:off x="2260600" y="1409700"/>
          <a:ext cx="304800" cy="2540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8</xdr:row>
      <xdr:rowOff>63500</xdr:rowOff>
    </xdr:from>
    <xdr:to>
      <xdr:col>3</xdr:col>
      <xdr:colOff>241300</xdr:colOff>
      <xdr:row>8</xdr:row>
      <xdr:rowOff>63500</xdr:rowOff>
    </xdr:to>
    <xdr:sp macro="" textlink="">
      <xdr:nvSpPr>
        <xdr:cNvPr id="58578" name="Line 23">
          <a:extLst>
            <a:ext uri="{FF2B5EF4-FFF2-40B4-BE49-F238E27FC236}">
              <a16:creationId xmlns:a16="http://schemas.microsoft.com/office/drawing/2014/main" id="{F05CB432-0657-ECFE-C432-3FF64BB66B0E}"/>
            </a:ext>
          </a:extLst>
        </xdr:cNvPr>
        <xdr:cNvSpPr>
          <a:spLocks noChangeShapeType="1"/>
        </xdr:cNvSpPr>
      </xdr:nvSpPr>
      <xdr:spPr bwMode="auto">
        <a:xfrm flipH="1">
          <a:off x="2019300" y="1422400"/>
          <a:ext cx="2413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oval" w="med" len="med"/>
          <a:tailEnd type="oval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661670</xdr:colOff>
      <xdr:row>11</xdr:row>
      <xdr:rowOff>72390</xdr:rowOff>
    </xdr:from>
    <xdr:ext cx="816506" cy="170560"/>
    <xdr:sp macro="" textlink="">
      <xdr:nvSpPr>
        <xdr:cNvPr id="31768" name="Text Box 24">
          <a:extLst>
            <a:ext uri="{FF2B5EF4-FFF2-40B4-BE49-F238E27FC236}">
              <a16:creationId xmlns:a16="http://schemas.microsoft.com/office/drawing/2014/main" id="{87D9E853-77EF-BBE1-D482-8DAA0E403ED1}"/>
            </a:ext>
          </a:extLst>
        </xdr:cNvPr>
        <xdr:cNvSpPr txBox="1">
          <a:spLocks noChangeArrowheads="1"/>
        </xdr:cNvSpPr>
      </xdr:nvSpPr>
      <xdr:spPr bwMode="auto">
        <a:xfrm>
          <a:off x="661670" y="1977390"/>
          <a:ext cx="816506" cy="170560"/>
        </a:xfrm>
        <a:prstGeom prst="rect">
          <a:avLst/>
        </a:prstGeom>
        <a:noFill/>
        <a:ln>
          <a:noFill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Tangent Line</a:t>
          </a:r>
        </a:p>
      </xdr:txBody>
    </xdr:sp>
    <xdr:clientData/>
  </xdr:oneCellAnchor>
  <xdr:twoCellAnchor>
    <xdr:from>
      <xdr:col>10</xdr:col>
      <xdr:colOff>381000</xdr:colOff>
      <xdr:row>14</xdr:row>
      <xdr:rowOff>12700</xdr:rowOff>
    </xdr:from>
    <xdr:to>
      <xdr:col>11</xdr:col>
      <xdr:colOff>457200</xdr:colOff>
      <xdr:row>14</xdr:row>
      <xdr:rowOff>12700</xdr:rowOff>
    </xdr:to>
    <xdr:sp macro="" textlink="">
      <xdr:nvSpPr>
        <xdr:cNvPr id="58580" name="Line 25">
          <a:extLst>
            <a:ext uri="{FF2B5EF4-FFF2-40B4-BE49-F238E27FC236}">
              <a16:creationId xmlns:a16="http://schemas.microsoft.com/office/drawing/2014/main" id="{6A3BF6CF-6512-5E32-EDFD-69DC1432AD44}"/>
            </a:ext>
          </a:extLst>
        </xdr:cNvPr>
        <xdr:cNvSpPr>
          <a:spLocks noChangeShapeType="1"/>
        </xdr:cNvSpPr>
      </xdr:nvSpPr>
      <xdr:spPr bwMode="auto">
        <a:xfrm>
          <a:off x="7112000" y="2413000"/>
          <a:ext cx="7493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342900</xdr:colOff>
      <xdr:row>12</xdr:row>
      <xdr:rowOff>101600</xdr:rowOff>
    </xdr:from>
    <xdr:to>
      <xdr:col>11</xdr:col>
      <xdr:colOff>342900</xdr:colOff>
      <xdr:row>14</xdr:row>
      <xdr:rowOff>12700</xdr:rowOff>
    </xdr:to>
    <xdr:sp macro="" textlink="">
      <xdr:nvSpPr>
        <xdr:cNvPr id="58581" name="Line 26">
          <a:extLst>
            <a:ext uri="{FF2B5EF4-FFF2-40B4-BE49-F238E27FC236}">
              <a16:creationId xmlns:a16="http://schemas.microsoft.com/office/drawing/2014/main" id="{1BE9C7A2-DD3E-06B6-E4D3-4AB8909CF727}"/>
            </a:ext>
          </a:extLst>
        </xdr:cNvPr>
        <xdr:cNvSpPr>
          <a:spLocks noChangeShapeType="1"/>
        </xdr:cNvSpPr>
      </xdr:nvSpPr>
      <xdr:spPr bwMode="auto">
        <a:xfrm>
          <a:off x="7747000" y="2171700"/>
          <a:ext cx="0" cy="2413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342900</xdr:colOff>
      <xdr:row>14</xdr:row>
      <xdr:rowOff>0</xdr:rowOff>
    </xdr:from>
    <xdr:to>
      <xdr:col>11</xdr:col>
      <xdr:colOff>342900</xdr:colOff>
      <xdr:row>16</xdr:row>
      <xdr:rowOff>50800</xdr:rowOff>
    </xdr:to>
    <xdr:sp macro="" textlink="">
      <xdr:nvSpPr>
        <xdr:cNvPr id="58582" name="Line 27">
          <a:extLst>
            <a:ext uri="{FF2B5EF4-FFF2-40B4-BE49-F238E27FC236}">
              <a16:creationId xmlns:a16="http://schemas.microsoft.com/office/drawing/2014/main" id="{CCD0D2FE-C68A-73B8-FB9B-C4F304BBCFA0}"/>
            </a:ext>
          </a:extLst>
        </xdr:cNvPr>
        <xdr:cNvSpPr>
          <a:spLocks noChangeShapeType="1"/>
        </xdr:cNvSpPr>
      </xdr:nvSpPr>
      <xdr:spPr bwMode="auto">
        <a:xfrm>
          <a:off x="7747000" y="2400300"/>
          <a:ext cx="0" cy="3937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381000</xdr:colOff>
      <xdr:row>13</xdr:row>
      <xdr:rowOff>101600</xdr:rowOff>
    </xdr:from>
    <xdr:to>
      <xdr:col>13</xdr:col>
      <xdr:colOff>584200</xdr:colOff>
      <xdr:row>19</xdr:row>
      <xdr:rowOff>63500</xdr:rowOff>
    </xdr:to>
    <xdr:sp macro="" textlink="">
      <xdr:nvSpPr>
        <xdr:cNvPr id="58583" name="Rectangle 29">
          <a:extLst>
            <a:ext uri="{FF2B5EF4-FFF2-40B4-BE49-F238E27FC236}">
              <a16:creationId xmlns:a16="http://schemas.microsoft.com/office/drawing/2014/main" id="{5CF4B5DE-50EF-ECE4-1F43-29E37A57C078}"/>
            </a:ext>
          </a:extLst>
        </xdr:cNvPr>
        <xdr:cNvSpPr>
          <a:spLocks noChangeArrowheads="1"/>
        </xdr:cNvSpPr>
      </xdr:nvSpPr>
      <xdr:spPr bwMode="auto">
        <a:xfrm>
          <a:off x="8458200" y="2336800"/>
          <a:ext cx="876300" cy="10160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 editAs="oneCell">
    <xdr:from>
      <xdr:col>12</xdr:col>
      <xdr:colOff>458470</xdr:colOff>
      <xdr:row>13</xdr:row>
      <xdr:rowOff>109220</xdr:rowOff>
    </xdr:from>
    <xdr:to>
      <xdr:col>13</xdr:col>
      <xdr:colOff>553762</xdr:colOff>
      <xdr:row>19</xdr:row>
      <xdr:rowOff>22957</xdr:rowOff>
    </xdr:to>
    <xdr:sp macro="" textlink="">
      <xdr:nvSpPr>
        <xdr:cNvPr id="31774" name="Text Box 30">
          <a:extLst>
            <a:ext uri="{FF2B5EF4-FFF2-40B4-BE49-F238E27FC236}">
              <a16:creationId xmlns:a16="http://schemas.microsoft.com/office/drawing/2014/main" id="{6666D0E6-0066-B08B-D238-ED65B72F982C}"/>
            </a:ext>
          </a:extLst>
        </xdr:cNvPr>
        <xdr:cNvSpPr txBox="1">
          <a:spLocks noChangeArrowheads="1"/>
        </xdr:cNvSpPr>
      </xdr:nvSpPr>
      <xdr:spPr bwMode="auto">
        <a:xfrm>
          <a:off x="7724775" y="2305050"/>
          <a:ext cx="695325" cy="904875"/>
        </a:xfrm>
        <a:prstGeom prst="rect">
          <a:avLst/>
        </a:prstGeom>
        <a:noFill/>
        <a:ln>
          <a:noFill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Straight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Flange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Varies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2" Nom.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51mm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11</xdr:col>
      <xdr:colOff>355600</xdr:colOff>
      <xdr:row>13</xdr:row>
      <xdr:rowOff>63500</xdr:rowOff>
    </xdr:from>
    <xdr:to>
      <xdr:col>12</xdr:col>
      <xdr:colOff>406400</xdr:colOff>
      <xdr:row>15</xdr:row>
      <xdr:rowOff>38100</xdr:rowOff>
    </xdr:to>
    <xdr:sp macro="" textlink="">
      <xdr:nvSpPr>
        <xdr:cNvPr id="58585" name="Line 31">
          <a:extLst>
            <a:ext uri="{FF2B5EF4-FFF2-40B4-BE49-F238E27FC236}">
              <a16:creationId xmlns:a16="http://schemas.microsoft.com/office/drawing/2014/main" id="{A332A90B-FE25-055A-F6C5-810786C4B28A}"/>
            </a:ext>
          </a:extLst>
        </xdr:cNvPr>
        <xdr:cNvSpPr>
          <a:spLocks noChangeShapeType="1"/>
        </xdr:cNvSpPr>
      </xdr:nvSpPr>
      <xdr:spPr bwMode="auto">
        <a:xfrm>
          <a:off x="7759700" y="2298700"/>
          <a:ext cx="723900" cy="3048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oval" w="med" len="med"/>
          <a:tailEnd type="oval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5</xdr:col>
      <xdr:colOff>457200</xdr:colOff>
      <xdr:row>26</xdr:row>
      <xdr:rowOff>49530</xdr:rowOff>
    </xdr:from>
    <xdr:ext cx="1564146" cy="234167"/>
    <xdr:sp macro="" textlink="">
      <xdr:nvSpPr>
        <xdr:cNvPr id="31776" name="Text Box 32">
          <a:extLst>
            <a:ext uri="{FF2B5EF4-FFF2-40B4-BE49-F238E27FC236}">
              <a16:creationId xmlns:a16="http://schemas.microsoft.com/office/drawing/2014/main" id="{C14B70C3-3D15-1C2A-5DE8-00DA9878329E}"/>
            </a:ext>
          </a:extLst>
        </xdr:cNvPr>
        <xdr:cNvSpPr txBox="1">
          <a:spLocks noChangeArrowheads="1"/>
        </xdr:cNvSpPr>
      </xdr:nvSpPr>
      <xdr:spPr bwMode="auto">
        <a:xfrm>
          <a:off x="3822700" y="4596130"/>
          <a:ext cx="1564146" cy="234167"/>
        </a:xfrm>
        <a:prstGeom prst="rect">
          <a:avLst/>
        </a:prstGeom>
        <a:noFill/>
        <a:ln>
          <a:noFill/>
        </a:ln>
      </xdr:spPr>
      <xdr:txBody>
        <a:bodyPr wrap="none" lIns="27432" tIns="27432" rIns="0" bIns="0" anchor="t" upright="1">
          <a:spAutoFit/>
        </a:bodyPr>
        <a:lstStyle/>
        <a:p>
          <a:pPr algn="l" rtl="0">
            <a:defRPr sz="1000"/>
          </a:pPr>
          <a:r>
            <a:rPr lang="en-US" sz="1400" b="1" i="0" u="sng" strike="noStrike" baseline="0">
              <a:solidFill>
                <a:srgbClr val="0000FF"/>
              </a:solidFill>
              <a:latin typeface="Arial"/>
              <a:cs typeface="Arial"/>
            </a:rPr>
            <a:t>2:1 Elliptical Head</a:t>
          </a:r>
        </a:p>
      </xdr:txBody>
    </xdr:sp>
    <xdr:clientData/>
  </xdr:oneCellAnchor>
  <xdr:twoCellAnchor>
    <xdr:from>
      <xdr:col>4</xdr:col>
      <xdr:colOff>177800</xdr:colOff>
      <xdr:row>8</xdr:row>
      <xdr:rowOff>12700</xdr:rowOff>
    </xdr:from>
    <xdr:to>
      <xdr:col>4</xdr:col>
      <xdr:colOff>381000</xdr:colOff>
      <xdr:row>12</xdr:row>
      <xdr:rowOff>76200</xdr:rowOff>
    </xdr:to>
    <xdr:sp macro="" textlink="">
      <xdr:nvSpPr>
        <xdr:cNvPr id="58587" name="Line 33">
          <a:extLst>
            <a:ext uri="{FF2B5EF4-FFF2-40B4-BE49-F238E27FC236}">
              <a16:creationId xmlns:a16="http://schemas.microsoft.com/office/drawing/2014/main" id="{2756C62F-109B-F8BA-7564-2CA63E951286}"/>
            </a:ext>
          </a:extLst>
        </xdr:cNvPr>
        <xdr:cNvSpPr>
          <a:spLocks noChangeShapeType="1"/>
        </xdr:cNvSpPr>
      </xdr:nvSpPr>
      <xdr:spPr bwMode="auto">
        <a:xfrm flipH="1" flipV="1">
          <a:off x="2870200" y="1371600"/>
          <a:ext cx="203200" cy="7747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190500</xdr:colOff>
      <xdr:row>2</xdr:row>
      <xdr:rowOff>50800</xdr:rowOff>
    </xdr:from>
    <xdr:to>
      <xdr:col>4</xdr:col>
      <xdr:colOff>190500</xdr:colOff>
      <xdr:row>8</xdr:row>
      <xdr:rowOff>12700</xdr:rowOff>
    </xdr:to>
    <xdr:sp macro="" textlink="">
      <xdr:nvSpPr>
        <xdr:cNvPr id="58588" name="Line 34">
          <a:extLst>
            <a:ext uri="{FF2B5EF4-FFF2-40B4-BE49-F238E27FC236}">
              <a16:creationId xmlns:a16="http://schemas.microsoft.com/office/drawing/2014/main" id="{28C00B20-8668-199E-D350-7007FEE7CC5D}"/>
            </a:ext>
          </a:extLst>
        </xdr:cNvPr>
        <xdr:cNvSpPr>
          <a:spLocks noChangeShapeType="1"/>
        </xdr:cNvSpPr>
      </xdr:nvSpPr>
      <xdr:spPr bwMode="auto">
        <a:xfrm flipV="1">
          <a:off x="2882900" y="355600"/>
          <a:ext cx="0" cy="10160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330200</xdr:colOff>
      <xdr:row>2</xdr:row>
      <xdr:rowOff>50800</xdr:rowOff>
    </xdr:from>
    <xdr:to>
      <xdr:col>9</xdr:col>
      <xdr:colOff>330200</xdr:colOff>
      <xdr:row>8</xdr:row>
      <xdr:rowOff>12700</xdr:rowOff>
    </xdr:to>
    <xdr:sp macro="" textlink="">
      <xdr:nvSpPr>
        <xdr:cNvPr id="58589" name="Line 35">
          <a:extLst>
            <a:ext uri="{FF2B5EF4-FFF2-40B4-BE49-F238E27FC236}">
              <a16:creationId xmlns:a16="http://schemas.microsoft.com/office/drawing/2014/main" id="{DAD49B37-F6A9-E7E6-C739-A13542002C1F}"/>
            </a:ext>
          </a:extLst>
        </xdr:cNvPr>
        <xdr:cNvSpPr>
          <a:spLocks noChangeShapeType="1"/>
        </xdr:cNvSpPr>
      </xdr:nvSpPr>
      <xdr:spPr bwMode="auto">
        <a:xfrm flipV="1">
          <a:off x="6388100" y="355600"/>
          <a:ext cx="0" cy="10160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25400</xdr:colOff>
      <xdr:row>8</xdr:row>
      <xdr:rowOff>0</xdr:rowOff>
    </xdr:from>
    <xdr:to>
      <xdr:col>9</xdr:col>
      <xdr:colOff>292100</xdr:colOff>
      <xdr:row>12</xdr:row>
      <xdr:rowOff>101600</xdr:rowOff>
    </xdr:to>
    <xdr:sp macro="" textlink="">
      <xdr:nvSpPr>
        <xdr:cNvPr id="58590" name="Line 36">
          <a:extLst>
            <a:ext uri="{FF2B5EF4-FFF2-40B4-BE49-F238E27FC236}">
              <a16:creationId xmlns:a16="http://schemas.microsoft.com/office/drawing/2014/main" id="{04DAC6E4-9F7C-A57D-2719-FFB93501A19D}"/>
            </a:ext>
          </a:extLst>
        </xdr:cNvPr>
        <xdr:cNvSpPr>
          <a:spLocks noChangeShapeType="1"/>
        </xdr:cNvSpPr>
      </xdr:nvSpPr>
      <xdr:spPr bwMode="auto">
        <a:xfrm flipH="1">
          <a:off x="6083300" y="1358900"/>
          <a:ext cx="266700" cy="8128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203200</xdr:colOff>
      <xdr:row>2</xdr:row>
      <xdr:rowOff>76200</xdr:rowOff>
    </xdr:from>
    <xdr:to>
      <xdr:col>9</xdr:col>
      <xdr:colOff>304800</xdr:colOff>
      <xdr:row>2</xdr:row>
      <xdr:rowOff>76200</xdr:rowOff>
    </xdr:to>
    <xdr:sp macro="" textlink="">
      <xdr:nvSpPr>
        <xdr:cNvPr id="58591" name="Line 37">
          <a:extLst>
            <a:ext uri="{FF2B5EF4-FFF2-40B4-BE49-F238E27FC236}">
              <a16:creationId xmlns:a16="http://schemas.microsoft.com/office/drawing/2014/main" id="{ED26B34B-BE71-BB8F-F335-A6148BDA37BC}"/>
            </a:ext>
          </a:extLst>
        </xdr:cNvPr>
        <xdr:cNvSpPr>
          <a:spLocks noChangeShapeType="1"/>
        </xdr:cNvSpPr>
      </xdr:nvSpPr>
      <xdr:spPr bwMode="auto">
        <a:xfrm>
          <a:off x="2895600" y="381000"/>
          <a:ext cx="34671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317500</xdr:colOff>
      <xdr:row>3</xdr:row>
      <xdr:rowOff>88900</xdr:rowOff>
    </xdr:from>
    <xdr:to>
      <xdr:col>4</xdr:col>
      <xdr:colOff>190500</xdr:colOff>
      <xdr:row>3</xdr:row>
      <xdr:rowOff>88900</xdr:rowOff>
    </xdr:to>
    <xdr:sp macro="" textlink="">
      <xdr:nvSpPr>
        <xdr:cNvPr id="58592" name="Line 38">
          <a:extLst>
            <a:ext uri="{FF2B5EF4-FFF2-40B4-BE49-F238E27FC236}">
              <a16:creationId xmlns:a16="http://schemas.microsoft.com/office/drawing/2014/main" id="{D72EAECA-0A51-DEF9-78F9-1AC8ACF3B133}"/>
            </a:ext>
          </a:extLst>
        </xdr:cNvPr>
        <xdr:cNvSpPr>
          <a:spLocks noChangeShapeType="1"/>
        </xdr:cNvSpPr>
      </xdr:nvSpPr>
      <xdr:spPr bwMode="auto">
        <a:xfrm flipH="1">
          <a:off x="2336800" y="571500"/>
          <a:ext cx="5461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292100</xdr:colOff>
      <xdr:row>33</xdr:row>
      <xdr:rowOff>114300</xdr:rowOff>
    </xdr:from>
    <xdr:to>
      <xdr:col>10</xdr:col>
      <xdr:colOff>406400</xdr:colOff>
      <xdr:row>39</xdr:row>
      <xdr:rowOff>101600</xdr:rowOff>
    </xdr:to>
    <xdr:sp macro="" textlink="">
      <xdr:nvSpPr>
        <xdr:cNvPr id="58593" name="AutoShape 39">
          <a:extLst>
            <a:ext uri="{FF2B5EF4-FFF2-40B4-BE49-F238E27FC236}">
              <a16:creationId xmlns:a16="http://schemas.microsoft.com/office/drawing/2014/main" id="{DA03C916-22F4-5F50-3C0E-EA6A7AE36502}"/>
            </a:ext>
          </a:extLst>
        </xdr:cNvPr>
        <xdr:cNvSpPr>
          <a:spLocks noChangeArrowheads="1"/>
        </xdr:cNvSpPr>
      </xdr:nvSpPr>
      <xdr:spPr bwMode="auto">
        <a:xfrm>
          <a:off x="2311400" y="5829300"/>
          <a:ext cx="4826000" cy="977900"/>
        </a:xfrm>
        <a:custGeom>
          <a:avLst/>
          <a:gdLst>
            <a:gd name="T0" fmla="*/ 2147483646 w 21600"/>
            <a:gd name="T1" fmla="*/ 0 h 21600"/>
            <a:gd name="T2" fmla="*/ 2147483646 w 21600"/>
            <a:gd name="T3" fmla="*/ 2147483646 h 21600"/>
            <a:gd name="T4" fmla="*/ 2147483646 w 21600"/>
            <a:gd name="T5" fmla="*/ 2147483646 h 21600"/>
            <a:gd name="T6" fmla="*/ 2147483646 w 21600"/>
            <a:gd name="T7" fmla="*/ 2147483646 h 21600"/>
            <a:gd name="T8" fmla="*/ 0 60000 65536"/>
            <a:gd name="T9" fmla="*/ 0 60000 65536"/>
            <a:gd name="T10" fmla="*/ 0 60000 65536"/>
            <a:gd name="T11" fmla="*/ 0 60000 65536"/>
            <a:gd name="T12" fmla="*/ 0 w 21600"/>
            <a:gd name="T13" fmla="*/ 0 h 21600"/>
            <a:gd name="T14" fmla="*/ 21600 w 21600"/>
            <a:gd name="T15" fmla="*/ 7946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283" y="11015"/>
              </a:moveTo>
              <a:cubicBezTo>
                <a:pt x="281" y="10944"/>
                <a:pt x="281" y="10872"/>
                <a:pt x="281" y="10800"/>
              </a:cubicBezTo>
              <a:cubicBezTo>
                <a:pt x="281" y="4990"/>
                <a:pt x="4990" y="281"/>
                <a:pt x="10800" y="281"/>
              </a:cubicBezTo>
              <a:cubicBezTo>
                <a:pt x="16609" y="281"/>
                <a:pt x="21319" y="4990"/>
                <a:pt x="21319" y="10800"/>
              </a:cubicBezTo>
              <a:cubicBezTo>
                <a:pt x="21319" y="10872"/>
                <a:pt x="21318" y="10944"/>
                <a:pt x="21316" y="11015"/>
              </a:cubicBezTo>
              <a:lnTo>
                <a:pt x="21597" y="11021"/>
              </a:lnTo>
              <a:cubicBezTo>
                <a:pt x="21599" y="10947"/>
                <a:pt x="21600" y="10873"/>
                <a:pt x="21600" y="10800"/>
              </a:cubicBezTo>
              <a:cubicBezTo>
                <a:pt x="21600" y="4835"/>
                <a:pt x="16764" y="0"/>
                <a:pt x="10800" y="0"/>
              </a:cubicBezTo>
              <a:cubicBezTo>
                <a:pt x="4835" y="0"/>
                <a:pt x="0" y="4835"/>
                <a:pt x="0" y="10800"/>
              </a:cubicBezTo>
              <a:cubicBezTo>
                <a:pt x="-1" y="10873"/>
                <a:pt x="0" y="10947"/>
                <a:pt x="2" y="11021"/>
              </a:cubicBezTo>
              <a:lnTo>
                <a:pt x="283" y="11015"/>
              </a:lnTo>
              <a:close/>
            </a:path>
          </a:pathLst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905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304800</xdr:colOff>
      <xdr:row>36</xdr:row>
      <xdr:rowOff>101600</xdr:rowOff>
    </xdr:from>
    <xdr:to>
      <xdr:col>3</xdr:col>
      <xdr:colOff>355600</xdr:colOff>
      <xdr:row>38</xdr:row>
      <xdr:rowOff>0</xdr:rowOff>
    </xdr:to>
    <xdr:sp macro="" textlink="">
      <xdr:nvSpPr>
        <xdr:cNvPr id="58594" name="Rectangle 40">
          <a:extLst>
            <a:ext uri="{FF2B5EF4-FFF2-40B4-BE49-F238E27FC236}">
              <a16:creationId xmlns:a16="http://schemas.microsoft.com/office/drawing/2014/main" id="{38F3D499-1200-D553-473C-9BE786D1BC69}"/>
            </a:ext>
          </a:extLst>
        </xdr:cNvPr>
        <xdr:cNvSpPr>
          <a:spLocks noChangeArrowheads="1"/>
        </xdr:cNvSpPr>
      </xdr:nvSpPr>
      <xdr:spPr bwMode="auto">
        <a:xfrm>
          <a:off x="2324100" y="6311900"/>
          <a:ext cx="508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905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342900</xdr:colOff>
      <xdr:row>36</xdr:row>
      <xdr:rowOff>139700</xdr:rowOff>
    </xdr:from>
    <xdr:to>
      <xdr:col>10</xdr:col>
      <xdr:colOff>406400</xdr:colOff>
      <xdr:row>38</xdr:row>
      <xdr:rowOff>12700</xdr:rowOff>
    </xdr:to>
    <xdr:sp macro="" textlink="">
      <xdr:nvSpPr>
        <xdr:cNvPr id="58595" name="Rectangle 41">
          <a:extLst>
            <a:ext uri="{FF2B5EF4-FFF2-40B4-BE49-F238E27FC236}">
              <a16:creationId xmlns:a16="http://schemas.microsoft.com/office/drawing/2014/main" id="{D3527C88-F0F1-3090-59AC-2D204B8C0DD5}"/>
            </a:ext>
          </a:extLst>
        </xdr:cNvPr>
        <xdr:cNvSpPr>
          <a:spLocks noChangeArrowheads="1"/>
        </xdr:cNvSpPr>
      </xdr:nvSpPr>
      <xdr:spPr bwMode="auto">
        <a:xfrm>
          <a:off x="7073900" y="6350000"/>
          <a:ext cx="63500" cy="203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905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25400</xdr:colOff>
      <xdr:row>31</xdr:row>
      <xdr:rowOff>50800</xdr:rowOff>
    </xdr:from>
    <xdr:to>
      <xdr:col>7</xdr:col>
      <xdr:colOff>25400</xdr:colOff>
      <xdr:row>45</xdr:row>
      <xdr:rowOff>114300</xdr:rowOff>
    </xdr:to>
    <xdr:sp macro="" textlink="">
      <xdr:nvSpPr>
        <xdr:cNvPr id="58596" name="Line 42">
          <a:extLst>
            <a:ext uri="{FF2B5EF4-FFF2-40B4-BE49-F238E27FC236}">
              <a16:creationId xmlns:a16="http://schemas.microsoft.com/office/drawing/2014/main" id="{87736D80-6D2C-C89D-EB24-6A7361FD0619}"/>
            </a:ext>
          </a:extLst>
        </xdr:cNvPr>
        <xdr:cNvSpPr>
          <a:spLocks noChangeShapeType="1"/>
        </xdr:cNvSpPr>
      </xdr:nvSpPr>
      <xdr:spPr bwMode="auto">
        <a:xfrm flipH="1" flipV="1">
          <a:off x="4737100" y="5435600"/>
          <a:ext cx="0" cy="23749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177800</xdr:colOff>
      <xdr:row>36</xdr:row>
      <xdr:rowOff>101600</xdr:rowOff>
    </xdr:from>
    <xdr:to>
      <xdr:col>13</xdr:col>
      <xdr:colOff>38100</xdr:colOff>
      <xdr:row>36</xdr:row>
      <xdr:rowOff>101600</xdr:rowOff>
    </xdr:to>
    <xdr:sp macro="" textlink="">
      <xdr:nvSpPr>
        <xdr:cNvPr id="58597" name="Line 43">
          <a:extLst>
            <a:ext uri="{FF2B5EF4-FFF2-40B4-BE49-F238E27FC236}">
              <a16:creationId xmlns:a16="http://schemas.microsoft.com/office/drawing/2014/main" id="{4AC97211-3789-88C8-0AFA-38AAD57BF420}"/>
            </a:ext>
          </a:extLst>
        </xdr:cNvPr>
        <xdr:cNvSpPr>
          <a:spLocks noChangeShapeType="1"/>
        </xdr:cNvSpPr>
      </xdr:nvSpPr>
      <xdr:spPr bwMode="auto">
        <a:xfrm flipV="1">
          <a:off x="850900" y="6311900"/>
          <a:ext cx="79375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317500</xdr:colOff>
      <xdr:row>38</xdr:row>
      <xdr:rowOff>0</xdr:rowOff>
    </xdr:from>
    <xdr:to>
      <xdr:col>10</xdr:col>
      <xdr:colOff>330200</xdr:colOff>
      <xdr:row>38</xdr:row>
      <xdr:rowOff>0</xdr:rowOff>
    </xdr:to>
    <xdr:sp macro="" textlink="">
      <xdr:nvSpPr>
        <xdr:cNvPr id="58598" name="Line 44">
          <a:extLst>
            <a:ext uri="{FF2B5EF4-FFF2-40B4-BE49-F238E27FC236}">
              <a16:creationId xmlns:a16="http://schemas.microsoft.com/office/drawing/2014/main" id="{302010E0-75D5-CAD9-690B-334306A1F0FA}"/>
            </a:ext>
          </a:extLst>
        </xdr:cNvPr>
        <xdr:cNvSpPr>
          <a:spLocks noChangeShapeType="1"/>
        </xdr:cNvSpPr>
      </xdr:nvSpPr>
      <xdr:spPr bwMode="auto">
        <a:xfrm>
          <a:off x="2336800" y="6540500"/>
          <a:ext cx="47244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261620</xdr:colOff>
      <xdr:row>35</xdr:row>
      <xdr:rowOff>72390</xdr:rowOff>
    </xdr:from>
    <xdr:ext cx="828339" cy="170560"/>
    <xdr:sp macro="" textlink="">
      <xdr:nvSpPr>
        <xdr:cNvPr id="31789" name="Text Box 45">
          <a:extLst>
            <a:ext uri="{FF2B5EF4-FFF2-40B4-BE49-F238E27FC236}">
              <a16:creationId xmlns:a16="http://schemas.microsoft.com/office/drawing/2014/main" id="{B4D5F908-B2A2-0F3D-BAC8-46383AE20F75}"/>
            </a:ext>
          </a:extLst>
        </xdr:cNvPr>
        <xdr:cNvSpPr txBox="1">
          <a:spLocks noChangeArrowheads="1"/>
        </xdr:cNvSpPr>
      </xdr:nvSpPr>
      <xdr:spPr bwMode="auto">
        <a:xfrm>
          <a:off x="845820" y="6084570"/>
          <a:ext cx="816506" cy="170560"/>
        </a:xfrm>
        <a:prstGeom prst="rect">
          <a:avLst/>
        </a:prstGeom>
        <a:noFill/>
        <a:ln>
          <a:noFill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Tangent Line</a:t>
          </a:r>
        </a:p>
      </xdr:txBody>
    </xdr:sp>
    <xdr:clientData/>
  </xdr:oneCellAnchor>
  <xdr:twoCellAnchor>
    <xdr:from>
      <xdr:col>10</xdr:col>
      <xdr:colOff>431800</xdr:colOff>
      <xdr:row>37</xdr:row>
      <xdr:rowOff>152400</xdr:rowOff>
    </xdr:from>
    <xdr:to>
      <xdr:col>11</xdr:col>
      <xdr:colOff>508000</xdr:colOff>
      <xdr:row>37</xdr:row>
      <xdr:rowOff>152400</xdr:rowOff>
    </xdr:to>
    <xdr:sp macro="" textlink="">
      <xdr:nvSpPr>
        <xdr:cNvPr id="58600" name="Line 46">
          <a:extLst>
            <a:ext uri="{FF2B5EF4-FFF2-40B4-BE49-F238E27FC236}">
              <a16:creationId xmlns:a16="http://schemas.microsoft.com/office/drawing/2014/main" id="{DE569431-BEAD-7C92-0B62-9E9B3F2543C7}"/>
            </a:ext>
          </a:extLst>
        </xdr:cNvPr>
        <xdr:cNvSpPr>
          <a:spLocks noChangeShapeType="1"/>
        </xdr:cNvSpPr>
      </xdr:nvSpPr>
      <xdr:spPr bwMode="auto">
        <a:xfrm>
          <a:off x="7162800" y="6527800"/>
          <a:ext cx="7493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444500</xdr:colOff>
      <xdr:row>37</xdr:row>
      <xdr:rowOff>139700</xdr:rowOff>
    </xdr:from>
    <xdr:to>
      <xdr:col>11</xdr:col>
      <xdr:colOff>444500</xdr:colOff>
      <xdr:row>40</xdr:row>
      <xdr:rowOff>25400</xdr:rowOff>
    </xdr:to>
    <xdr:sp macro="" textlink="">
      <xdr:nvSpPr>
        <xdr:cNvPr id="58601" name="Line 47">
          <a:extLst>
            <a:ext uri="{FF2B5EF4-FFF2-40B4-BE49-F238E27FC236}">
              <a16:creationId xmlns:a16="http://schemas.microsoft.com/office/drawing/2014/main" id="{70B6FE10-7971-E51A-3EC1-1DCC75F4C8DB}"/>
            </a:ext>
          </a:extLst>
        </xdr:cNvPr>
        <xdr:cNvSpPr>
          <a:spLocks noChangeShapeType="1"/>
        </xdr:cNvSpPr>
      </xdr:nvSpPr>
      <xdr:spPr bwMode="auto">
        <a:xfrm>
          <a:off x="7848600" y="6515100"/>
          <a:ext cx="0" cy="3810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558800</xdr:colOff>
      <xdr:row>35</xdr:row>
      <xdr:rowOff>101600</xdr:rowOff>
    </xdr:from>
    <xdr:to>
      <xdr:col>4</xdr:col>
      <xdr:colOff>114300</xdr:colOff>
      <xdr:row>36</xdr:row>
      <xdr:rowOff>101600</xdr:rowOff>
    </xdr:to>
    <xdr:sp macro="" textlink="">
      <xdr:nvSpPr>
        <xdr:cNvPr id="58602" name="Line 48">
          <a:extLst>
            <a:ext uri="{FF2B5EF4-FFF2-40B4-BE49-F238E27FC236}">
              <a16:creationId xmlns:a16="http://schemas.microsoft.com/office/drawing/2014/main" id="{647AAD07-6C48-4C4E-4F48-894F6AE05A5F}"/>
            </a:ext>
          </a:extLst>
        </xdr:cNvPr>
        <xdr:cNvSpPr>
          <a:spLocks noChangeShapeType="1"/>
        </xdr:cNvSpPr>
      </xdr:nvSpPr>
      <xdr:spPr bwMode="auto">
        <a:xfrm>
          <a:off x="2578100" y="6146800"/>
          <a:ext cx="228600" cy="1651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444500</xdr:colOff>
      <xdr:row>36</xdr:row>
      <xdr:rowOff>101600</xdr:rowOff>
    </xdr:from>
    <xdr:to>
      <xdr:col>11</xdr:col>
      <xdr:colOff>444500</xdr:colOff>
      <xdr:row>38</xdr:row>
      <xdr:rowOff>0</xdr:rowOff>
    </xdr:to>
    <xdr:sp macro="" textlink="">
      <xdr:nvSpPr>
        <xdr:cNvPr id="58603" name="Line 49">
          <a:extLst>
            <a:ext uri="{FF2B5EF4-FFF2-40B4-BE49-F238E27FC236}">
              <a16:creationId xmlns:a16="http://schemas.microsoft.com/office/drawing/2014/main" id="{DBE72E09-CF50-39C3-8D86-E8093F8107FB}"/>
            </a:ext>
          </a:extLst>
        </xdr:cNvPr>
        <xdr:cNvSpPr>
          <a:spLocks noChangeShapeType="1"/>
        </xdr:cNvSpPr>
      </xdr:nvSpPr>
      <xdr:spPr bwMode="auto">
        <a:xfrm>
          <a:off x="7848600" y="6311900"/>
          <a:ext cx="0" cy="2286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419100</xdr:colOff>
      <xdr:row>33</xdr:row>
      <xdr:rowOff>139700</xdr:rowOff>
    </xdr:from>
    <xdr:to>
      <xdr:col>11</xdr:col>
      <xdr:colOff>444500</xdr:colOff>
      <xdr:row>36</xdr:row>
      <xdr:rowOff>101600</xdr:rowOff>
    </xdr:to>
    <xdr:sp macro="" textlink="">
      <xdr:nvSpPr>
        <xdr:cNvPr id="58604" name="Line 50">
          <a:extLst>
            <a:ext uri="{FF2B5EF4-FFF2-40B4-BE49-F238E27FC236}">
              <a16:creationId xmlns:a16="http://schemas.microsoft.com/office/drawing/2014/main" id="{52E258F5-45D4-42EB-184E-4DA82A7D0BEB}"/>
            </a:ext>
          </a:extLst>
        </xdr:cNvPr>
        <xdr:cNvSpPr>
          <a:spLocks noChangeShapeType="1"/>
        </xdr:cNvSpPr>
      </xdr:nvSpPr>
      <xdr:spPr bwMode="auto">
        <a:xfrm>
          <a:off x="7823200" y="5854700"/>
          <a:ext cx="25400" cy="4572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444500</xdr:colOff>
      <xdr:row>37</xdr:row>
      <xdr:rowOff>50800</xdr:rowOff>
    </xdr:from>
    <xdr:to>
      <xdr:col>12</xdr:col>
      <xdr:colOff>482600</xdr:colOff>
      <xdr:row>39</xdr:row>
      <xdr:rowOff>25400</xdr:rowOff>
    </xdr:to>
    <xdr:sp macro="" textlink="">
      <xdr:nvSpPr>
        <xdr:cNvPr id="58605" name="Line 51">
          <a:extLst>
            <a:ext uri="{FF2B5EF4-FFF2-40B4-BE49-F238E27FC236}">
              <a16:creationId xmlns:a16="http://schemas.microsoft.com/office/drawing/2014/main" id="{951C1D53-ADB4-5E4A-134D-146020AF5876}"/>
            </a:ext>
          </a:extLst>
        </xdr:cNvPr>
        <xdr:cNvSpPr>
          <a:spLocks noChangeShapeType="1"/>
        </xdr:cNvSpPr>
      </xdr:nvSpPr>
      <xdr:spPr bwMode="auto">
        <a:xfrm>
          <a:off x="7848600" y="6426200"/>
          <a:ext cx="711200" cy="3048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oval" w="med" len="med"/>
          <a:tailEnd type="oval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469900</xdr:colOff>
      <xdr:row>37</xdr:row>
      <xdr:rowOff>0</xdr:rowOff>
    </xdr:from>
    <xdr:to>
      <xdr:col>13</xdr:col>
      <xdr:colOff>609600</xdr:colOff>
      <xdr:row>43</xdr:row>
      <xdr:rowOff>12700</xdr:rowOff>
    </xdr:to>
    <xdr:sp macro="" textlink="">
      <xdr:nvSpPr>
        <xdr:cNvPr id="58606" name="Rectangle 52">
          <a:extLst>
            <a:ext uri="{FF2B5EF4-FFF2-40B4-BE49-F238E27FC236}">
              <a16:creationId xmlns:a16="http://schemas.microsoft.com/office/drawing/2014/main" id="{118F98BA-2D3E-E9B1-8D68-4054F6B0BC07}"/>
            </a:ext>
          </a:extLst>
        </xdr:cNvPr>
        <xdr:cNvSpPr>
          <a:spLocks noChangeArrowheads="1"/>
        </xdr:cNvSpPr>
      </xdr:nvSpPr>
      <xdr:spPr bwMode="auto">
        <a:xfrm>
          <a:off x="8547100" y="6375400"/>
          <a:ext cx="812800" cy="1003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 editAs="oneCell">
    <xdr:from>
      <xdr:col>12</xdr:col>
      <xdr:colOff>508000</xdr:colOff>
      <xdr:row>37</xdr:row>
      <xdr:rowOff>11430</xdr:rowOff>
    </xdr:from>
    <xdr:to>
      <xdr:col>13</xdr:col>
      <xdr:colOff>534670</xdr:colOff>
      <xdr:row>42</xdr:row>
      <xdr:rowOff>135378</xdr:rowOff>
    </xdr:to>
    <xdr:sp macro="" textlink="">
      <xdr:nvSpPr>
        <xdr:cNvPr id="31797" name="Text Box 53">
          <a:extLst>
            <a:ext uri="{FF2B5EF4-FFF2-40B4-BE49-F238E27FC236}">
              <a16:creationId xmlns:a16="http://schemas.microsoft.com/office/drawing/2014/main" id="{4021FD27-6C84-E0CF-EDF1-0C30F4A3CA12}"/>
            </a:ext>
          </a:extLst>
        </xdr:cNvPr>
        <xdr:cNvSpPr txBox="1">
          <a:spLocks noChangeArrowheads="1"/>
        </xdr:cNvSpPr>
      </xdr:nvSpPr>
      <xdr:spPr bwMode="auto">
        <a:xfrm>
          <a:off x="7772400" y="6200775"/>
          <a:ext cx="638175" cy="923925"/>
        </a:xfrm>
        <a:prstGeom prst="rect">
          <a:avLst/>
        </a:prstGeom>
        <a:noFill/>
        <a:ln>
          <a:noFill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Straight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Flange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Varies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2" Nom.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51mm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3</xdr:col>
      <xdr:colOff>190500</xdr:colOff>
      <xdr:row>33</xdr:row>
      <xdr:rowOff>101600</xdr:rowOff>
    </xdr:from>
    <xdr:to>
      <xdr:col>3</xdr:col>
      <xdr:colOff>546100</xdr:colOff>
      <xdr:row>35</xdr:row>
      <xdr:rowOff>76200</xdr:rowOff>
    </xdr:to>
    <xdr:sp macro="" textlink="">
      <xdr:nvSpPr>
        <xdr:cNvPr id="58608" name="Line 54">
          <a:extLst>
            <a:ext uri="{FF2B5EF4-FFF2-40B4-BE49-F238E27FC236}">
              <a16:creationId xmlns:a16="http://schemas.microsoft.com/office/drawing/2014/main" id="{FC18AD97-C69B-0BAD-D44C-AF42A24DCB01}"/>
            </a:ext>
          </a:extLst>
        </xdr:cNvPr>
        <xdr:cNvSpPr>
          <a:spLocks noChangeShapeType="1"/>
        </xdr:cNvSpPr>
      </xdr:nvSpPr>
      <xdr:spPr bwMode="auto">
        <a:xfrm flipH="1" flipV="1">
          <a:off x="2209800" y="5816600"/>
          <a:ext cx="355600" cy="3048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63500</xdr:colOff>
      <xdr:row>33</xdr:row>
      <xdr:rowOff>101600</xdr:rowOff>
    </xdr:from>
    <xdr:to>
      <xdr:col>3</xdr:col>
      <xdr:colOff>190500</xdr:colOff>
      <xdr:row>33</xdr:row>
      <xdr:rowOff>101600</xdr:rowOff>
    </xdr:to>
    <xdr:sp macro="" textlink="">
      <xdr:nvSpPr>
        <xdr:cNvPr id="58609" name="Line 55">
          <a:extLst>
            <a:ext uri="{FF2B5EF4-FFF2-40B4-BE49-F238E27FC236}">
              <a16:creationId xmlns:a16="http://schemas.microsoft.com/office/drawing/2014/main" id="{FCAD6073-EE86-E476-A19D-C0E6CCF772BD}"/>
            </a:ext>
          </a:extLst>
        </xdr:cNvPr>
        <xdr:cNvSpPr>
          <a:spLocks noChangeShapeType="1"/>
        </xdr:cNvSpPr>
      </xdr:nvSpPr>
      <xdr:spPr bwMode="auto">
        <a:xfrm flipH="1">
          <a:off x="2082800" y="5816600"/>
          <a:ext cx="1270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38100</xdr:colOff>
      <xdr:row>34</xdr:row>
      <xdr:rowOff>12700</xdr:rowOff>
    </xdr:from>
    <xdr:to>
      <xdr:col>8</xdr:col>
      <xdr:colOff>469900</xdr:colOff>
      <xdr:row>43</xdr:row>
      <xdr:rowOff>139700</xdr:rowOff>
    </xdr:to>
    <xdr:sp macro="" textlink="">
      <xdr:nvSpPr>
        <xdr:cNvPr id="58610" name="Line 56">
          <a:extLst>
            <a:ext uri="{FF2B5EF4-FFF2-40B4-BE49-F238E27FC236}">
              <a16:creationId xmlns:a16="http://schemas.microsoft.com/office/drawing/2014/main" id="{C5F007C6-BB0A-8CE3-54AE-607C13DA7007}"/>
            </a:ext>
          </a:extLst>
        </xdr:cNvPr>
        <xdr:cNvSpPr>
          <a:spLocks noChangeShapeType="1"/>
        </xdr:cNvSpPr>
      </xdr:nvSpPr>
      <xdr:spPr bwMode="auto">
        <a:xfrm flipV="1">
          <a:off x="4749800" y="5892800"/>
          <a:ext cx="1104900" cy="16129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508000</xdr:colOff>
      <xdr:row>31</xdr:row>
      <xdr:rowOff>101600</xdr:rowOff>
    </xdr:from>
    <xdr:to>
      <xdr:col>9</xdr:col>
      <xdr:colOff>114300</xdr:colOff>
      <xdr:row>34</xdr:row>
      <xdr:rowOff>0</xdr:rowOff>
    </xdr:to>
    <xdr:sp macro="" textlink="">
      <xdr:nvSpPr>
        <xdr:cNvPr id="58611" name="Line 57">
          <a:extLst>
            <a:ext uri="{FF2B5EF4-FFF2-40B4-BE49-F238E27FC236}">
              <a16:creationId xmlns:a16="http://schemas.microsoft.com/office/drawing/2014/main" id="{89C2D490-ED1E-A41A-30D2-1CCC7DDA05E8}"/>
            </a:ext>
          </a:extLst>
        </xdr:cNvPr>
        <xdr:cNvSpPr>
          <a:spLocks noChangeShapeType="1"/>
        </xdr:cNvSpPr>
      </xdr:nvSpPr>
      <xdr:spPr bwMode="auto">
        <a:xfrm flipV="1">
          <a:off x="5892800" y="5486400"/>
          <a:ext cx="279400" cy="3937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114300</xdr:colOff>
      <xdr:row>31</xdr:row>
      <xdr:rowOff>101600</xdr:rowOff>
    </xdr:from>
    <xdr:to>
      <xdr:col>9</xdr:col>
      <xdr:colOff>317500</xdr:colOff>
      <xdr:row>31</xdr:row>
      <xdr:rowOff>101600</xdr:rowOff>
    </xdr:to>
    <xdr:sp macro="" textlink="">
      <xdr:nvSpPr>
        <xdr:cNvPr id="58612" name="Line 58">
          <a:extLst>
            <a:ext uri="{FF2B5EF4-FFF2-40B4-BE49-F238E27FC236}">
              <a16:creationId xmlns:a16="http://schemas.microsoft.com/office/drawing/2014/main" id="{365E101E-5993-A6E6-6320-2F685BFC07EC}"/>
            </a:ext>
          </a:extLst>
        </xdr:cNvPr>
        <xdr:cNvSpPr>
          <a:spLocks noChangeShapeType="1"/>
        </xdr:cNvSpPr>
      </xdr:nvSpPr>
      <xdr:spPr bwMode="auto">
        <a:xfrm>
          <a:off x="6172200" y="5486400"/>
          <a:ext cx="2032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558800</xdr:colOff>
      <xdr:row>39</xdr:row>
      <xdr:rowOff>38100</xdr:rowOff>
    </xdr:from>
    <xdr:to>
      <xdr:col>8</xdr:col>
      <xdr:colOff>215900</xdr:colOff>
      <xdr:row>40</xdr:row>
      <xdr:rowOff>63500</xdr:rowOff>
    </xdr:to>
    <xdr:sp macro="" textlink="">
      <xdr:nvSpPr>
        <xdr:cNvPr id="58613" name="Line 61">
          <a:extLst>
            <a:ext uri="{FF2B5EF4-FFF2-40B4-BE49-F238E27FC236}">
              <a16:creationId xmlns:a16="http://schemas.microsoft.com/office/drawing/2014/main" id="{DA75F645-C12E-88BF-F848-08540E4F41D9}"/>
            </a:ext>
          </a:extLst>
        </xdr:cNvPr>
        <xdr:cNvSpPr>
          <a:spLocks noChangeShapeType="1"/>
        </xdr:cNvSpPr>
      </xdr:nvSpPr>
      <xdr:spPr bwMode="auto">
        <a:xfrm>
          <a:off x="5270500" y="6743700"/>
          <a:ext cx="330200" cy="19050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oval" w="med" len="med"/>
          <a:tailEnd type="oval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9</xdr:col>
      <xdr:colOff>337820</xdr:colOff>
      <xdr:row>30</xdr:row>
      <xdr:rowOff>148590</xdr:rowOff>
    </xdr:from>
    <xdr:ext cx="1220591" cy="200119"/>
    <xdr:sp macro="" textlink="">
      <xdr:nvSpPr>
        <xdr:cNvPr id="31806" name="Text Box 62">
          <a:extLst>
            <a:ext uri="{FF2B5EF4-FFF2-40B4-BE49-F238E27FC236}">
              <a16:creationId xmlns:a16="http://schemas.microsoft.com/office/drawing/2014/main" id="{A197A411-9532-1505-4CC0-26344ED8BDEB}"/>
            </a:ext>
          </a:extLst>
        </xdr:cNvPr>
        <xdr:cNvSpPr txBox="1">
          <a:spLocks noChangeArrowheads="1"/>
        </xdr:cNvSpPr>
      </xdr:nvSpPr>
      <xdr:spPr bwMode="auto">
        <a:xfrm>
          <a:off x="5798820" y="5322570"/>
          <a:ext cx="1220591" cy="200119"/>
        </a:xfrm>
        <a:prstGeom prst="rect">
          <a:avLst/>
        </a:prstGeom>
        <a:noFill/>
        <a:ln>
          <a:noFill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Wall Thickness </a:t>
          </a: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"T"</a:t>
          </a:r>
        </a:p>
      </xdr:txBody>
    </xdr:sp>
    <xdr:clientData/>
  </xdr:oneCellAnchor>
  <xdr:oneCellAnchor>
    <xdr:from>
      <xdr:col>1</xdr:col>
      <xdr:colOff>665095</xdr:colOff>
      <xdr:row>32</xdr:row>
      <xdr:rowOff>15240</xdr:rowOff>
    </xdr:from>
    <xdr:ext cx="998991" cy="347596"/>
    <xdr:sp macro="" textlink="">
      <xdr:nvSpPr>
        <xdr:cNvPr id="31807" name="Text Box 63">
          <a:extLst>
            <a:ext uri="{FF2B5EF4-FFF2-40B4-BE49-F238E27FC236}">
              <a16:creationId xmlns:a16="http://schemas.microsoft.com/office/drawing/2014/main" id="{59ECB8F2-61ED-31C9-B75E-3498F7542BB4}"/>
            </a:ext>
          </a:extLst>
        </xdr:cNvPr>
        <xdr:cNvSpPr txBox="1">
          <a:spLocks noChangeArrowheads="1"/>
        </xdr:cNvSpPr>
      </xdr:nvSpPr>
      <xdr:spPr bwMode="auto">
        <a:xfrm>
          <a:off x="1338195" y="5565140"/>
          <a:ext cx="998991" cy="347596"/>
        </a:xfrm>
        <a:prstGeom prst="rect">
          <a:avLst/>
        </a:prstGeom>
        <a:noFill/>
        <a:ln>
          <a:noFill/>
        </a:ln>
      </xdr:spPr>
      <xdr:txBody>
        <a:bodyPr wrap="none" lIns="18288" tIns="22860" rIns="18288" bIns="0" anchor="t" upright="1">
          <a:spAutoFit/>
        </a:bodyPr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Knuckle Radius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"</a:t>
          </a: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R2"</a:t>
          </a:r>
        </a:p>
      </xdr:txBody>
    </xdr:sp>
    <xdr:clientData/>
  </xdr:oneCellAnchor>
  <xdr:oneCellAnchor>
    <xdr:from>
      <xdr:col>8</xdr:col>
      <xdr:colOff>263128</xdr:colOff>
      <xdr:row>39</xdr:row>
      <xdr:rowOff>140970</xdr:rowOff>
    </xdr:from>
    <xdr:ext cx="789823" cy="347596"/>
    <xdr:sp macro="" textlink="">
      <xdr:nvSpPr>
        <xdr:cNvPr id="31808" name="Text Box 64">
          <a:extLst>
            <a:ext uri="{FF2B5EF4-FFF2-40B4-BE49-F238E27FC236}">
              <a16:creationId xmlns:a16="http://schemas.microsoft.com/office/drawing/2014/main" id="{7AA57285-E149-8248-B805-77B615494E51}"/>
            </a:ext>
          </a:extLst>
        </xdr:cNvPr>
        <xdr:cNvSpPr txBox="1">
          <a:spLocks noChangeArrowheads="1"/>
        </xdr:cNvSpPr>
      </xdr:nvSpPr>
      <xdr:spPr bwMode="auto">
        <a:xfrm>
          <a:off x="5114528" y="6823710"/>
          <a:ext cx="778035" cy="347596"/>
        </a:xfrm>
        <a:prstGeom prst="rect">
          <a:avLst/>
        </a:prstGeom>
        <a:noFill/>
        <a:ln>
          <a:noFill/>
        </a:ln>
      </xdr:spPr>
      <xdr:txBody>
        <a:bodyPr wrap="none" lIns="18288" tIns="22860" rIns="18288" bIns="0" anchor="t" upright="1">
          <a:spAutoFit/>
        </a:bodyPr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Dish Radius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"</a:t>
          </a: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R1"</a:t>
          </a:r>
        </a:p>
      </xdr:txBody>
    </xdr:sp>
    <xdr:clientData/>
  </xdr:oneCellAnchor>
  <xdr:twoCellAnchor>
    <xdr:from>
      <xdr:col>9</xdr:col>
      <xdr:colOff>635000</xdr:colOff>
      <xdr:row>35</xdr:row>
      <xdr:rowOff>101600</xdr:rowOff>
    </xdr:from>
    <xdr:to>
      <xdr:col>10</xdr:col>
      <xdr:colOff>165100</xdr:colOff>
      <xdr:row>36</xdr:row>
      <xdr:rowOff>101600</xdr:rowOff>
    </xdr:to>
    <xdr:sp macro="" textlink="">
      <xdr:nvSpPr>
        <xdr:cNvPr id="58617" name="Line 65">
          <a:extLst>
            <a:ext uri="{FF2B5EF4-FFF2-40B4-BE49-F238E27FC236}">
              <a16:creationId xmlns:a16="http://schemas.microsoft.com/office/drawing/2014/main" id="{44EF959A-7C82-D40B-AF46-8C9C9CEA4114}"/>
            </a:ext>
          </a:extLst>
        </xdr:cNvPr>
        <xdr:cNvSpPr>
          <a:spLocks noChangeShapeType="1"/>
        </xdr:cNvSpPr>
      </xdr:nvSpPr>
      <xdr:spPr bwMode="auto">
        <a:xfrm flipH="1">
          <a:off x="6692900" y="6146800"/>
          <a:ext cx="203200" cy="1651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29</xdr:row>
      <xdr:rowOff>101600</xdr:rowOff>
    </xdr:from>
    <xdr:to>
      <xdr:col>4</xdr:col>
      <xdr:colOff>114300</xdr:colOff>
      <xdr:row>36</xdr:row>
      <xdr:rowOff>114300</xdr:rowOff>
    </xdr:to>
    <xdr:sp macro="" textlink="">
      <xdr:nvSpPr>
        <xdr:cNvPr id="58618" name="Line 66">
          <a:extLst>
            <a:ext uri="{FF2B5EF4-FFF2-40B4-BE49-F238E27FC236}">
              <a16:creationId xmlns:a16="http://schemas.microsoft.com/office/drawing/2014/main" id="{5E226582-805C-BEF7-9DDD-C31B1B8126B4}"/>
            </a:ext>
          </a:extLst>
        </xdr:cNvPr>
        <xdr:cNvSpPr>
          <a:spLocks noChangeShapeType="1"/>
        </xdr:cNvSpPr>
      </xdr:nvSpPr>
      <xdr:spPr bwMode="auto">
        <a:xfrm flipV="1">
          <a:off x="2806700" y="5156200"/>
          <a:ext cx="0" cy="11684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609600</xdr:colOff>
      <xdr:row>32</xdr:row>
      <xdr:rowOff>101600</xdr:rowOff>
    </xdr:from>
    <xdr:to>
      <xdr:col>9</xdr:col>
      <xdr:colOff>622300</xdr:colOff>
      <xdr:row>36</xdr:row>
      <xdr:rowOff>139700</xdr:rowOff>
    </xdr:to>
    <xdr:sp macro="" textlink="">
      <xdr:nvSpPr>
        <xdr:cNvPr id="58619" name="Line 67">
          <a:extLst>
            <a:ext uri="{FF2B5EF4-FFF2-40B4-BE49-F238E27FC236}">
              <a16:creationId xmlns:a16="http://schemas.microsoft.com/office/drawing/2014/main" id="{27F2F557-E0BB-F30E-F21E-F8231276A867}"/>
            </a:ext>
          </a:extLst>
        </xdr:cNvPr>
        <xdr:cNvSpPr>
          <a:spLocks noChangeShapeType="1"/>
        </xdr:cNvSpPr>
      </xdr:nvSpPr>
      <xdr:spPr bwMode="auto">
        <a:xfrm flipH="1" flipV="1">
          <a:off x="6667500" y="5651500"/>
          <a:ext cx="12700" cy="6985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596900</xdr:colOff>
      <xdr:row>29</xdr:row>
      <xdr:rowOff>139700</xdr:rowOff>
    </xdr:from>
    <xdr:to>
      <xdr:col>9</xdr:col>
      <xdr:colOff>596900</xdr:colOff>
      <xdr:row>30</xdr:row>
      <xdr:rowOff>139700</xdr:rowOff>
    </xdr:to>
    <xdr:sp macro="" textlink="">
      <xdr:nvSpPr>
        <xdr:cNvPr id="58620" name="Line 68">
          <a:extLst>
            <a:ext uri="{FF2B5EF4-FFF2-40B4-BE49-F238E27FC236}">
              <a16:creationId xmlns:a16="http://schemas.microsoft.com/office/drawing/2014/main" id="{AD75259F-322D-7F6F-FF5A-9AEF43643AEA}"/>
            </a:ext>
          </a:extLst>
        </xdr:cNvPr>
        <xdr:cNvSpPr>
          <a:spLocks noChangeShapeType="1"/>
        </xdr:cNvSpPr>
      </xdr:nvSpPr>
      <xdr:spPr bwMode="auto">
        <a:xfrm flipH="1" flipV="1">
          <a:off x="6654800" y="5194300"/>
          <a:ext cx="0" cy="1651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127000</xdr:colOff>
      <xdr:row>30</xdr:row>
      <xdr:rowOff>12700</xdr:rowOff>
    </xdr:from>
    <xdr:to>
      <xdr:col>9</xdr:col>
      <xdr:colOff>584200</xdr:colOff>
      <xdr:row>30</xdr:row>
      <xdr:rowOff>12700</xdr:rowOff>
    </xdr:to>
    <xdr:sp macro="" textlink="">
      <xdr:nvSpPr>
        <xdr:cNvPr id="58621" name="Line 69">
          <a:extLst>
            <a:ext uri="{FF2B5EF4-FFF2-40B4-BE49-F238E27FC236}">
              <a16:creationId xmlns:a16="http://schemas.microsoft.com/office/drawing/2014/main" id="{9BDF88D4-F3F7-97EF-2619-99B7FF8138DE}"/>
            </a:ext>
          </a:extLst>
        </xdr:cNvPr>
        <xdr:cNvSpPr>
          <a:spLocks noChangeShapeType="1"/>
        </xdr:cNvSpPr>
      </xdr:nvSpPr>
      <xdr:spPr bwMode="auto">
        <a:xfrm>
          <a:off x="2819400" y="5232400"/>
          <a:ext cx="38227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5</xdr:col>
      <xdr:colOff>504190</xdr:colOff>
      <xdr:row>29</xdr:row>
      <xdr:rowOff>0</xdr:rowOff>
    </xdr:from>
    <xdr:ext cx="1645947" cy="170560"/>
    <xdr:sp macro="" textlink="">
      <xdr:nvSpPr>
        <xdr:cNvPr id="31814" name="Text Box 70">
          <a:extLst>
            <a:ext uri="{FF2B5EF4-FFF2-40B4-BE49-F238E27FC236}">
              <a16:creationId xmlns:a16="http://schemas.microsoft.com/office/drawing/2014/main" id="{6084F882-0520-7B39-E5C2-157EA19901AE}"/>
            </a:ext>
          </a:extLst>
        </xdr:cNvPr>
        <xdr:cNvSpPr txBox="1">
          <a:spLocks noChangeArrowheads="1"/>
        </xdr:cNvSpPr>
      </xdr:nvSpPr>
      <xdr:spPr bwMode="auto">
        <a:xfrm>
          <a:off x="3501390" y="5006340"/>
          <a:ext cx="1657377" cy="170560"/>
        </a:xfrm>
        <a:prstGeom prst="rect">
          <a:avLst/>
        </a:prstGeom>
        <a:noFill/>
        <a:ln>
          <a:noFill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Area for nozzle attachment</a:t>
          </a:r>
        </a:p>
      </xdr:txBody>
    </xdr:sp>
    <xdr:clientData/>
  </xdr:oneCellAnchor>
  <xdr:oneCellAnchor>
    <xdr:from>
      <xdr:col>6</xdr:col>
      <xdr:colOff>81280</xdr:colOff>
      <xdr:row>30</xdr:row>
      <xdr:rowOff>26670</xdr:rowOff>
    </xdr:from>
    <xdr:ext cx="964815" cy="203048"/>
    <xdr:sp macro="" textlink="">
      <xdr:nvSpPr>
        <xdr:cNvPr id="31815" name="Text Box 71">
          <a:extLst>
            <a:ext uri="{FF2B5EF4-FFF2-40B4-BE49-F238E27FC236}">
              <a16:creationId xmlns:a16="http://schemas.microsoft.com/office/drawing/2014/main" id="{9A7F93E0-40D3-15B8-E914-40FF447143BA}"/>
            </a:ext>
          </a:extLst>
        </xdr:cNvPr>
        <xdr:cNvSpPr txBox="1">
          <a:spLocks noChangeArrowheads="1"/>
        </xdr:cNvSpPr>
      </xdr:nvSpPr>
      <xdr:spPr bwMode="auto">
        <a:xfrm>
          <a:off x="3710940" y="5181600"/>
          <a:ext cx="941283" cy="170560"/>
        </a:xfrm>
        <a:prstGeom prst="rect">
          <a:avLst/>
        </a:prstGeom>
        <a:noFill/>
        <a:ln>
          <a:noFill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O.D. - (R2+T)x2</a:t>
          </a:r>
        </a:p>
      </xdr:txBody>
    </xdr:sp>
    <xdr:clientData/>
  </xdr:oneCellAnchor>
  <xdr:twoCellAnchor>
    <xdr:from>
      <xdr:col>3</xdr:col>
      <xdr:colOff>292100</xdr:colOff>
      <xdr:row>38</xdr:row>
      <xdr:rowOff>50800</xdr:rowOff>
    </xdr:from>
    <xdr:to>
      <xdr:col>3</xdr:col>
      <xdr:colOff>292100</xdr:colOff>
      <xdr:row>48</xdr:row>
      <xdr:rowOff>0</xdr:rowOff>
    </xdr:to>
    <xdr:sp macro="" textlink="">
      <xdr:nvSpPr>
        <xdr:cNvPr id="58624" name="Line 72">
          <a:extLst>
            <a:ext uri="{FF2B5EF4-FFF2-40B4-BE49-F238E27FC236}">
              <a16:creationId xmlns:a16="http://schemas.microsoft.com/office/drawing/2014/main" id="{E37A5504-13D4-5451-FAA1-450B41E61DDA}"/>
            </a:ext>
          </a:extLst>
        </xdr:cNvPr>
        <xdr:cNvSpPr>
          <a:spLocks noChangeShapeType="1"/>
        </xdr:cNvSpPr>
      </xdr:nvSpPr>
      <xdr:spPr bwMode="auto">
        <a:xfrm>
          <a:off x="2311400" y="6591300"/>
          <a:ext cx="0" cy="16002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381000</xdr:colOff>
      <xdr:row>38</xdr:row>
      <xdr:rowOff>63500</xdr:rowOff>
    </xdr:from>
    <xdr:to>
      <xdr:col>10</xdr:col>
      <xdr:colOff>381000</xdr:colOff>
      <xdr:row>48</xdr:row>
      <xdr:rowOff>25400</xdr:rowOff>
    </xdr:to>
    <xdr:sp macro="" textlink="">
      <xdr:nvSpPr>
        <xdr:cNvPr id="58625" name="Line 73">
          <a:extLst>
            <a:ext uri="{FF2B5EF4-FFF2-40B4-BE49-F238E27FC236}">
              <a16:creationId xmlns:a16="http://schemas.microsoft.com/office/drawing/2014/main" id="{A05A995E-ACA8-C325-22D4-CE10D55138C4}"/>
            </a:ext>
          </a:extLst>
        </xdr:cNvPr>
        <xdr:cNvSpPr>
          <a:spLocks noChangeShapeType="1"/>
        </xdr:cNvSpPr>
      </xdr:nvSpPr>
      <xdr:spPr bwMode="auto">
        <a:xfrm>
          <a:off x="7112000" y="6604000"/>
          <a:ext cx="0" cy="16129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279400</xdr:colOff>
      <xdr:row>47</xdr:row>
      <xdr:rowOff>101600</xdr:rowOff>
    </xdr:from>
    <xdr:to>
      <xdr:col>10</xdr:col>
      <xdr:colOff>381000</xdr:colOff>
      <xdr:row>47</xdr:row>
      <xdr:rowOff>101600</xdr:rowOff>
    </xdr:to>
    <xdr:sp macro="" textlink="">
      <xdr:nvSpPr>
        <xdr:cNvPr id="58626" name="Line 74">
          <a:extLst>
            <a:ext uri="{FF2B5EF4-FFF2-40B4-BE49-F238E27FC236}">
              <a16:creationId xmlns:a16="http://schemas.microsoft.com/office/drawing/2014/main" id="{1AFEE69F-4444-2277-0D3D-84538537E1B7}"/>
            </a:ext>
          </a:extLst>
        </xdr:cNvPr>
        <xdr:cNvSpPr>
          <a:spLocks noChangeShapeType="1"/>
        </xdr:cNvSpPr>
      </xdr:nvSpPr>
      <xdr:spPr bwMode="auto">
        <a:xfrm>
          <a:off x="2298700" y="8128000"/>
          <a:ext cx="48133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5</xdr:col>
      <xdr:colOff>405765</xdr:colOff>
      <xdr:row>46</xdr:row>
      <xdr:rowOff>59055</xdr:rowOff>
    </xdr:from>
    <xdr:ext cx="1465016" cy="170560"/>
    <xdr:sp macro="" textlink="">
      <xdr:nvSpPr>
        <xdr:cNvPr id="31819" name="Text Box 75">
          <a:extLst>
            <a:ext uri="{FF2B5EF4-FFF2-40B4-BE49-F238E27FC236}">
              <a16:creationId xmlns:a16="http://schemas.microsoft.com/office/drawing/2014/main" id="{289E1CEB-670B-C14F-C2C3-B255F4AD1C30}"/>
            </a:ext>
          </a:extLst>
        </xdr:cNvPr>
        <xdr:cNvSpPr txBox="1">
          <a:spLocks noChangeArrowheads="1"/>
        </xdr:cNvSpPr>
      </xdr:nvSpPr>
      <xdr:spPr bwMode="auto">
        <a:xfrm>
          <a:off x="3771265" y="7920355"/>
          <a:ext cx="1465016" cy="170560"/>
        </a:xfrm>
        <a:prstGeom prst="rect">
          <a:avLst/>
        </a:prstGeom>
        <a:noFill/>
        <a:ln>
          <a:noFill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Outside Diameter (O.D.)</a:t>
          </a:r>
        </a:p>
      </xdr:txBody>
    </xdr:sp>
    <xdr:clientData/>
  </xdr:oneCellAnchor>
  <xdr:oneCellAnchor>
    <xdr:from>
      <xdr:col>5</xdr:col>
      <xdr:colOff>166370</xdr:colOff>
      <xdr:row>48</xdr:row>
      <xdr:rowOff>30480</xdr:rowOff>
    </xdr:from>
    <xdr:ext cx="2245473" cy="234167"/>
    <xdr:sp macro="" textlink="">
      <xdr:nvSpPr>
        <xdr:cNvPr id="31820" name="Text Box 76">
          <a:extLst>
            <a:ext uri="{FF2B5EF4-FFF2-40B4-BE49-F238E27FC236}">
              <a16:creationId xmlns:a16="http://schemas.microsoft.com/office/drawing/2014/main" id="{0B710602-692E-4E39-C9A8-233752F00130}"/>
            </a:ext>
          </a:extLst>
        </xdr:cNvPr>
        <xdr:cNvSpPr txBox="1">
          <a:spLocks noChangeArrowheads="1"/>
        </xdr:cNvSpPr>
      </xdr:nvSpPr>
      <xdr:spPr bwMode="auto">
        <a:xfrm>
          <a:off x="3188970" y="8221980"/>
          <a:ext cx="2222083" cy="234167"/>
        </a:xfrm>
        <a:prstGeom prst="rect">
          <a:avLst/>
        </a:prstGeom>
        <a:noFill/>
        <a:ln>
          <a:noFill/>
        </a:ln>
      </xdr:spPr>
      <xdr:txBody>
        <a:bodyPr wrap="none" lIns="27432" tIns="27432" rIns="0" bIns="0" anchor="t" upright="1">
          <a:spAutoFit/>
        </a:bodyPr>
        <a:lstStyle/>
        <a:p>
          <a:pPr algn="l" rtl="0">
            <a:defRPr sz="1000"/>
          </a:pPr>
          <a:r>
            <a:rPr lang="en-US" sz="1400" b="1" i="0" u="sng" strike="noStrike" baseline="0">
              <a:solidFill>
                <a:srgbClr val="0000FF"/>
              </a:solidFill>
              <a:latin typeface="Arial"/>
              <a:cs typeface="Arial"/>
            </a:rPr>
            <a:t>Flanged and Dished Head</a:t>
          </a:r>
        </a:p>
      </xdr:txBody>
    </xdr:sp>
    <xdr:clientData/>
  </xdr:oneCellAnchor>
  <xdr:twoCellAnchor>
    <xdr:from>
      <xdr:col>7</xdr:col>
      <xdr:colOff>25400</xdr:colOff>
      <xdr:row>33</xdr:row>
      <xdr:rowOff>139700</xdr:rowOff>
    </xdr:from>
    <xdr:to>
      <xdr:col>11</xdr:col>
      <xdr:colOff>609600</xdr:colOff>
      <xdr:row>33</xdr:row>
      <xdr:rowOff>139700</xdr:rowOff>
    </xdr:to>
    <xdr:sp macro="" textlink="">
      <xdr:nvSpPr>
        <xdr:cNvPr id="58629" name="Line 77">
          <a:extLst>
            <a:ext uri="{FF2B5EF4-FFF2-40B4-BE49-F238E27FC236}">
              <a16:creationId xmlns:a16="http://schemas.microsoft.com/office/drawing/2014/main" id="{C672EC11-DFAB-DA2A-541D-7A102E028638}"/>
            </a:ext>
          </a:extLst>
        </xdr:cNvPr>
        <xdr:cNvSpPr>
          <a:spLocks noChangeShapeType="1"/>
        </xdr:cNvSpPr>
      </xdr:nvSpPr>
      <xdr:spPr bwMode="auto">
        <a:xfrm>
          <a:off x="4737100" y="5854700"/>
          <a:ext cx="32766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369570</xdr:colOff>
      <xdr:row>32</xdr:row>
      <xdr:rowOff>15240</xdr:rowOff>
    </xdr:from>
    <xdr:to>
      <xdr:col>13</xdr:col>
      <xdr:colOff>646360</xdr:colOff>
      <xdr:row>35</xdr:row>
      <xdr:rowOff>102718</xdr:rowOff>
    </xdr:to>
    <xdr:sp macro="" textlink="">
      <xdr:nvSpPr>
        <xdr:cNvPr id="31822" name="Rectangle 78">
          <a:extLst>
            <a:ext uri="{FF2B5EF4-FFF2-40B4-BE49-F238E27FC236}">
              <a16:creationId xmlns:a16="http://schemas.microsoft.com/office/drawing/2014/main" id="{2D2757C7-03D6-D165-D18F-3E752835ECC3}"/>
            </a:ext>
          </a:extLst>
        </xdr:cNvPr>
        <xdr:cNvSpPr>
          <a:spLocks noChangeArrowheads="1"/>
        </xdr:cNvSpPr>
      </xdr:nvSpPr>
      <xdr:spPr bwMode="auto">
        <a:xfrm>
          <a:off x="7648575" y="5400675"/>
          <a:ext cx="857250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Inside Depth</a:t>
          </a:r>
        </a:p>
        <a:p>
          <a:pPr algn="l" rtl="0">
            <a:defRPr sz="1000"/>
          </a:pP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of Dish</a:t>
          </a:r>
        </a:p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"</a:t>
          </a: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IDD"</a:t>
          </a:r>
        </a:p>
      </xdr:txBody>
    </xdr:sp>
    <xdr:clientData/>
  </xdr:twoCellAnchor>
  <xdr:twoCellAnchor>
    <xdr:from>
      <xdr:col>11</xdr:col>
      <xdr:colOff>431800</xdr:colOff>
      <xdr:row>33</xdr:row>
      <xdr:rowOff>139700</xdr:rowOff>
    </xdr:from>
    <xdr:to>
      <xdr:col>12</xdr:col>
      <xdr:colOff>342900</xdr:colOff>
      <xdr:row>35</xdr:row>
      <xdr:rowOff>50800</xdr:rowOff>
    </xdr:to>
    <xdr:sp macro="" textlink="">
      <xdr:nvSpPr>
        <xdr:cNvPr id="58631" name="Line 80">
          <a:extLst>
            <a:ext uri="{FF2B5EF4-FFF2-40B4-BE49-F238E27FC236}">
              <a16:creationId xmlns:a16="http://schemas.microsoft.com/office/drawing/2014/main" id="{873B720B-110C-3489-EA4D-A6AE4F6E45C4}"/>
            </a:ext>
          </a:extLst>
        </xdr:cNvPr>
        <xdr:cNvSpPr>
          <a:spLocks noChangeShapeType="1"/>
        </xdr:cNvSpPr>
      </xdr:nvSpPr>
      <xdr:spPr bwMode="auto">
        <a:xfrm flipV="1">
          <a:off x="7835900" y="5854700"/>
          <a:ext cx="584200" cy="2413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oval" w="med" len="med"/>
          <a:tailEnd type="oval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189865</xdr:colOff>
      <xdr:row>53</xdr:row>
      <xdr:rowOff>68580</xdr:rowOff>
    </xdr:from>
    <xdr:ext cx="310707" cy="227484"/>
    <xdr:sp macro="" textlink="">
      <xdr:nvSpPr>
        <xdr:cNvPr id="31825" name="Text Box 81">
          <a:extLst>
            <a:ext uri="{FF2B5EF4-FFF2-40B4-BE49-F238E27FC236}">
              <a16:creationId xmlns:a16="http://schemas.microsoft.com/office/drawing/2014/main" id="{B49CC72B-9C04-6355-F1F3-5FA10744FB15}"/>
            </a:ext>
          </a:extLst>
        </xdr:cNvPr>
        <xdr:cNvSpPr txBox="1">
          <a:spLocks noChangeArrowheads="1"/>
        </xdr:cNvSpPr>
      </xdr:nvSpPr>
      <xdr:spPr bwMode="auto">
        <a:xfrm>
          <a:off x="748665" y="9168765"/>
          <a:ext cx="271869" cy="204736"/>
        </a:xfrm>
        <a:prstGeom prst="rect">
          <a:avLst/>
        </a:prstGeom>
        <a:noFill/>
        <a:ln>
          <a:noFill/>
        </a:ln>
      </xdr:spPr>
      <xdr:txBody>
        <a:bodyPr wrap="none" lIns="27432" tIns="27432" rIns="0" bIns="0" anchor="t" upright="1">
          <a:spAutoFit/>
        </a:bodyPr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26"</a:t>
          </a:r>
        </a:p>
      </xdr:txBody>
    </xdr:sp>
    <xdr:clientData/>
  </xdr:oneCellAnchor>
  <xdr:oneCellAnchor>
    <xdr:from>
      <xdr:col>1</xdr:col>
      <xdr:colOff>165100</xdr:colOff>
      <xdr:row>57</xdr:row>
      <xdr:rowOff>60960</xdr:rowOff>
    </xdr:from>
    <xdr:ext cx="296584" cy="204736"/>
    <xdr:sp macro="" textlink="">
      <xdr:nvSpPr>
        <xdr:cNvPr id="31826" name="Text Box 82">
          <a:extLst>
            <a:ext uri="{FF2B5EF4-FFF2-40B4-BE49-F238E27FC236}">
              <a16:creationId xmlns:a16="http://schemas.microsoft.com/office/drawing/2014/main" id="{761F5D23-E3DF-6E81-303F-A7BE120798DF}"/>
            </a:ext>
          </a:extLst>
        </xdr:cNvPr>
        <xdr:cNvSpPr txBox="1">
          <a:spLocks noChangeArrowheads="1"/>
        </xdr:cNvSpPr>
      </xdr:nvSpPr>
      <xdr:spPr bwMode="auto">
        <a:xfrm>
          <a:off x="762000" y="9806940"/>
          <a:ext cx="271869" cy="204736"/>
        </a:xfrm>
        <a:prstGeom prst="rect">
          <a:avLst/>
        </a:prstGeom>
        <a:noFill/>
        <a:ln>
          <a:noFill/>
        </a:ln>
      </xdr:spPr>
      <xdr:txBody>
        <a:bodyPr wrap="none" lIns="27432" tIns="27432" rIns="0" bIns="0" anchor="t" upright="1">
          <a:spAutoFit/>
        </a:bodyPr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28"</a:t>
          </a:r>
        </a:p>
      </xdr:txBody>
    </xdr:sp>
    <xdr:clientData/>
  </xdr:oneCellAnchor>
  <xdr:oneCellAnchor>
    <xdr:from>
      <xdr:col>1</xdr:col>
      <xdr:colOff>134620</xdr:colOff>
      <xdr:row>61</xdr:row>
      <xdr:rowOff>15240</xdr:rowOff>
    </xdr:from>
    <xdr:ext cx="297761" cy="227484"/>
    <xdr:sp macro="" textlink="">
      <xdr:nvSpPr>
        <xdr:cNvPr id="31827" name="Text Box 83">
          <a:extLst>
            <a:ext uri="{FF2B5EF4-FFF2-40B4-BE49-F238E27FC236}">
              <a16:creationId xmlns:a16="http://schemas.microsoft.com/office/drawing/2014/main" id="{6D191150-9624-F23D-67C5-D42C0F4BA0F7}"/>
            </a:ext>
          </a:extLst>
        </xdr:cNvPr>
        <xdr:cNvSpPr txBox="1">
          <a:spLocks noChangeArrowheads="1"/>
        </xdr:cNvSpPr>
      </xdr:nvSpPr>
      <xdr:spPr bwMode="auto">
        <a:xfrm>
          <a:off x="742950" y="10450830"/>
          <a:ext cx="271869" cy="204736"/>
        </a:xfrm>
        <a:prstGeom prst="rect">
          <a:avLst/>
        </a:prstGeom>
        <a:noFill/>
        <a:ln>
          <a:noFill/>
        </a:ln>
      </xdr:spPr>
      <xdr:txBody>
        <a:bodyPr wrap="none" lIns="27432" tIns="27432" rIns="0" bIns="0" anchor="t" upright="1">
          <a:spAutoFit/>
        </a:bodyPr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30"</a:t>
          </a:r>
        </a:p>
      </xdr:txBody>
    </xdr:sp>
    <xdr:clientData/>
  </xdr:oneCellAnchor>
  <xdr:oneCellAnchor>
    <xdr:from>
      <xdr:col>1</xdr:col>
      <xdr:colOff>134620</xdr:colOff>
      <xdr:row>65</xdr:row>
      <xdr:rowOff>60960</xdr:rowOff>
    </xdr:from>
    <xdr:ext cx="297761" cy="214846"/>
    <xdr:sp macro="" textlink="">
      <xdr:nvSpPr>
        <xdr:cNvPr id="31828" name="Text Box 84">
          <a:extLst>
            <a:ext uri="{FF2B5EF4-FFF2-40B4-BE49-F238E27FC236}">
              <a16:creationId xmlns:a16="http://schemas.microsoft.com/office/drawing/2014/main" id="{7E3EF75E-055A-365F-93FC-408FABC7CDD1}"/>
            </a:ext>
          </a:extLst>
        </xdr:cNvPr>
        <xdr:cNvSpPr txBox="1">
          <a:spLocks noChangeArrowheads="1"/>
        </xdr:cNvSpPr>
      </xdr:nvSpPr>
      <xdr:spPr bwMode="auto">
        <a:xfrm>
          <a:off x="742950" y="11174730"/>
          <a:ext cx="271869" cy="204736"/>
        </a:xfrm>
        <a:prstGeom prst="rect">
          <a:avLst/>
        </a:prstGeom>
        <a:noFill/>
        <a:ln>
          <a:noFill/>
        </a:ln>
      </xdr:spPr>
      <xdr:txBody>
        <a:bodyPr wrap="none" lIns="27432" tIns="27432" rIns="0" bIns="0" anchor="t" upright="1">
          <a:spAutoFit/>
        </a:bodyPr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32"</a:t>
          </a:r>
        </a:p>
      </xdr:txBody>
    </xdr:sp>
    <xdr:clientData/>
  </xdr:oneCellAnchor>
  <xdr:oneCellAnchor>
    <xdr:from>
      <xdr:col>1</xdr:col>
      <xdr:colOff>134620</xdr:colOff>
      <xdr:row>69</xdr:row>
      <xdr:rowOff>41910</xdr:rowOff>
    </xdr:from>
    <xdr:ext cx="297761" cy="235328"/>
    <xdr:sp macro="" textlink="">
      <xdr:nvSpPr>
        <xdr:cNvPr id="31829" name="Text Box 85">
          <a:extLst>
            <a:ext uri="{FF2B5EF4-FFF2-40B4-BE49-F238E27FC236}">
              <a16:creationId xmlns:a16="http://schemas.microsoft.com/office/drawing/2014/main" id="{40529019-BD40-73CD-C983-658DDEF1FCD7}"/>
            </a:ext>
          </a:extLst>
        </xdr:cNvPr>
        <xdr:cNvSpPr txBox="1">
          <a:spLocks noChangeArrowheads="1"/>
        </xdr:cNvSpPr>
      </xdr:nvSpPr>
      <xdr:spPr bwMode="auto">
        <a:xfrm>
          <a:off x="742950" y="11851005"/>
          <a:ext cx="271869" cy="204736"/>
        </a:xfrm>
        <a:prstGeom prst="rect">
          <a:avLst/>
        </a:prstGeom>
        <a:noFill/>
        <a:ln>
          <a:noFill/>
        </a:ln>
      </xdr:spPr>
      <xdr:txBody>
        <a:bodyPr wrap="none" lIns="27432" tIns="27432" rIns="0" bIns="0" anchor="t" upright="1">
          <a:spAutoFit/>
        </a:bodyPr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34"</a:t>
          </a:r>
        </a:p>
      </xdr:txBody>
    </xdr:sp>
    <xdr:clientData/>
  </xdr:oneCellAnchor>
  <xdr:oneCellAnchor>
    <xdr:from>
      <xdr:col>1</xdr:col>
      <xdr:colOff>134620</xdr:colOff>
      <xdr:row>73</xdr:row>
      <xdr:rowOff>60960</xdr:rowOff>
    </xdr:from>
    <xdr:ext cx="297761" cy="214846"/>
    <xdr:sp macro="" textlink="">
      <xdr:nvSpPr>
        <xdr:cNvPr id="31830" name="Text Box 86">
          <a:extLst>
            <a:ext uri="{FF2B5EF4-FFF2-40B4-BE49-F238E27FC236}">
              <a16:creationId xmlns:a16="http://schemas.microsoft.com/office/drawing/2014/main" id="{B5972724-64B6-D937-792D-63B2E3F35192}"/>
            </a:ext>
          </a:extLst>
        </xdr:cNvPr>
        <xdr:cNvSpPr txBox="1">
          <a:spLocks noChangeArrowheads="1"/>
        </xdr:cNvSpPr>
      </xdr:nvSpPr>
      <xdr:spPr bwMode="auto">
        <a:xfrm>
          <a:off x="742950" y="12546330"/>
          <a:ext cx="271869" cy="204736"/>
        </a:xfrm>
        <a:prstGeom prst="rect">
          <a:avLst/>
        </a:prstGeom>
        <a:noFill/>
        <a:ln>
          <a:noFill/>
        </a:ln>
      </xdr:spPr>
      <xdr:txBody>
        <a:bodyPr wrap="none" lIns="27432" tIns="27432" rIns="0" bIns="0" anchor="t" upright="1">
          <a:spAutoFit/>
        </a:bodyPr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36"</a:t>
          </a:r>
        </a:p>
      </xdr:txBody>
    </xdr:sp>
    <xdr:clientData/>
  </xdr:oneCellAnchor>
  <xdr:oneCellAnchor>
    <xdr:from>
      <xdr:col>1</xdr:col>
      <xdr:colOff>189865</xdr:colOff>
      <xdr:row>78</xdr:row>
      <xdr:rowOff>68580</xdr:rowOff>
    </xdr:from>
    <xdr:ext cx="310707" cy="227484"/>
    <xdr:sp macro="" textlink="">
      <xdr:nvSpPr>
        <xdr:cNvPr id="31831" name="Text Box 87">
          <a:extLst>
            <a:ext uri="{FF2B5EF4-FFF2-40B4-BE49-F238E27FC236}">
              <a16:creationId xmlns:a16="http://schemas.microsoft.com/office/drawing/2014/main" id="{FAD168EA-D9A2-5FDF-8ECA-14605AB5FCB5}"/>
            </a:ext>
          </a:extLst>
        </xdr:cNvPr>
        <xdr:cNvSpPr txBox="1">
          <a:spLocks noChangeArrowheads="1"/>
        </xdr:cNvSpPr>
      </xdr:nvSpPr>
      <xdr:spPr bwMode="auto">
        <a:xfrm>
          <a:off x="748665" y="13464540"/>
          <a:ext cx="271869" cy="204736"/>
        </a:xfrm>
        <a:prstGeom prst="rect">
          <a:avLst/>
        </a:prstGeom>
        <a:noFill/>
        <a:ln>
          <a:noFill/>
        </a:ln>
      </xdr:spPr>
      <xdr:txBody>
        <a:bodyPr wrap="none" lIns="27432" tIns="27432" rIns="0" bIns="0" anchor="t" upright="1">
          <a:spAutoFit/>
        </a:bodyPr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38"</a:t>
          </a:r>
        </a:p>
      </xdr:txBody>
    </xdr:sp>
    <xdr:clientData/>
  </xdr:oneCellAnchor>
  <xdr:oneCellAnchor>
    <xdr:from>
      <xdr:col>1</xdr:col>
      <xdr:colOff>165100</xdr:colOff>
      <xdr:row>82</xdr:row>
      <xdr:rowOff>45720</xdr:rowOff>
    </xdr:from>
    <xdr:ext cx="296584" cy="204736"/>
    <xdr:sp macro="" textlink="">
      <xdr:nvSpPr>
        <xdr:cNvPr id="31832" name="Text Box 88">
          <a:extLst>
            <a:ext uri="{FF2B5EF4-FFF2-40B4-BE49-F238E27FC236}">
              <a16:creationId xmlns:a16="http://schemas.microsoft.com/office/drawing/2014/main" id="{7E9EF9A6-F344-4FD9-1D79-1270AA1AC901}"/>
            </a:ext>
          </a:extLst>
        </xdr:cNvPr>
        <xdr:cNvSpPr txBox="1">
          <a:spLocks noChangeArrowheads="1"/>
        </xdr:cNvSpPr>
      </xdr:nvSpPr>
      <xdr:spPr bwMode="auto">
        <a:xfrm>
          <a:off x="762000" y="14089380"/>
          <a:ext cx="271869" cy="204736"/>
        </a:xfrm>
        <a:prstGeom prst="rect">
          <a:avLst/>
        </a:prstGeom>
        <a:noFill/>
        <a:ln>
          <a:noFill/>
        </a:ln>
      </xdr:spPr>
      <xdr:txBody>
        <a:bodyPr wrap="none" lIns="27432" tIns="27432" rIns="0" bIns="0" anchor="t" upright="1">
          <a:spAutoFit/>
        </a:bodyPr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40"</a:t>
          </a:r>
        </a:p>
      </xdr:txBody>
    </xdr:sp>
    <xdr:clientData/>
  </xdr:oneCellAnchor>
  <xdr:oneCellAnchor>
    <xdr:from>
      <xdr:col>1</xdr:col>
      <xdr:colOff>134620</xdr:colOff>
      <xdr:row>86</xdr:row>
      <xdr:rowOff>15240</xdr:rowOff>
    </xdr:from>
    <xdr:ext cx="297761" cy="227484"/>
    <xdr:sp macro="" textlink="">
      <xdr:nvSpPr>
        <xdr:cNvPr id="31833" name="Text Box 89">
          <a:extLst>
            <a:ext uri="{FF2B5EF4-FFF2-40B4-BE49-F238E27FC236}">
              <a16:creationId xmlns:a16="http://schemas.microsoft.com/office/drawing/2014/main" id="{8AE205FF-B95B-DB4B-19B0-7C752FF46C43}"/>
            </a:ext>
          </a:extLst>
        </xdr:cNvPr>
        <xdr:cNvSpPr txBox="1">
          <a:spLocks noChangeArrowheads="1"/>
        </xdr:cNvSpPr>
      </xdr:nvSpPr>
      <xdr:spPr bwMode="auto">
        <a:xfrm>
          <a:off x="742950" y="14748510"/>
          <a:ext cx="271869" cy="204736"/>
        </a:xfrm>
        <a:prstGeom prst="rect">
          <a:avLst/>
        </a:prstGeom>
        <a:noFill/>
        <a:ln>
          <a:noFill/>
        </a:ln>
      </xdr:spPr>
      <xdr:txBody>
        <a:bodyPr wrap="none" lIns="27432" tIns="27432" rIns="0" bIns="0" anchor="t" upright="1">
          <a:spAutoFit/>
        </a:bodyPr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42"</a:t>
          </a:r>
        </a:p>
      </xdr:txBody>
    </xdr:sp>
    <xdr:clientData/>
  </xdr:oneCellAnchor>
  <xdr:oneCellAnchor>
    <xdr:from>
      <xdr:col>1</xdr:col>
      <xdr:colOff>134620</xdr:colOff>
      <xdr:row>90</xdr:row>
      <xdr:rowOff>45720</xdr:rowOff>
    </xdr:from>
    <xdr:ext cx="297761" cy="235328"/>
    <xdr:sp macro="" textlink="">
      <xdr:nvSpPr>
        <xdr:cNvPr id="31834" name="Text Box 90">
          <a:extLst>
            <a:ext uri="{FF2B5EF4-FFF2-40B4-BE49-F238E27FC236}">
              <a16:creationId xmlns:a16="http://schemas.microsoft.com/office/drawing/2014/main" id="{3D513CFE-9E93-5AF2-E6B5-9E2A701CAEE1}"/>
            </a:ext>
          </a:extLst>
        </xdr:cNvPr>
        <xdr:cNvSpPr txBox="1">
          <a:spLocks noChangeArrowheads="1"/>
        </xdr:cNvSpPr>
      </xdr:nvSpPr>
      <xdr:spPr bwMode="auto">
        <a:xfrm>
          <a:off x="742950" y="15472410"/>
          <a:ext cx="271869" cy="204736"/>
        </a:xfrm>
        <a:prstGeom prst="rect">
          <a:avLst/>
        </a:prstGeom>
        <a:noFill/>
        <a:ln>
          <a:noFill/>
        </a:ln>
      </xdr:spPr>
      <xdr:txBody>
        <a:bodyPr wrap="none" lIns="27432" tIns="27432" rIns="0" bIns="0" anchor="t" upright="1">
          <a:spAutoFit/>
        </a:bodyPr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48"</a:t>
          </a:r>
        </a:p>
      </xdr:txBody>
    </xdr:sp>
    <xdr:clientData/>
  </xdr:oneCellAnchor>
  <xdr:oneCellAnchor>
    <xdr:from>
      <xdr:col>1</xdr:col>
      <xdr:colOff>134620</xdr:colOff>
      <xdr:row>94</xdr:row>
      <xdr:rowOff>57150</xdr:rowOff>
    </xdr:from>
    <xdr:ext cx="297761" cy="221972"/>
    <xdr:sp macro="" textlink="">
      <xdr:nvSpPr>
        <xdr:cNvPr id="31835" name="Text Box 91">
          <a:extLst>
            <a:ext uri="{FF2B5EF4-FFF2-40B4-BE49-F238E27FC236}">
              <a16:creationId xmlns:a16="http://schemas.microsoft.com/office/drawing/2014/main" id="{89A1B023-9F62-C4EE-60EB-B0FE8CAE49C9}"/>
            </a:ext>
          </a:extLst>
        </xdr:cNvPr>
        <xdr:cNvSpPr txBox="1">
          <a:spLocks noChangeArrowheads="1"/>
        </xdr:cNvSpPr>
      </xdr:nvSpPr>
      <xdr:spPr bwMode="auto">
        <a:xfrm>
          <a:off x="742950" y="16148685"/>
          <a:ext cx="271869" cy="204736"/>
        </a:xfrm>
        <a:prstGeom prst="rect">
          <a:avLst/>
        </a:prstGeom>
        <a:noFill/>
        <a:ln>
          <a:noFill/>
        </a:ln>
      </xdr:spPr>
      <xdr:txBody>
        <a:bodyPr wrap="none" lIns="27432" tIns="27432" rIns="0" bIns="0" anchor="t" upright="1">
          <a:spAutoFit/>
        </a:bodyPr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54"</a:t>
          </a:r>
        </a:p>
      </xdr:txBody>
    </xdr:sp>
    <xdr:clientData/>
  </xdr:oneCellAnchor>
  <xdr:oneCellAnchor>
    <xdr:from>
      <xdr:col>1</xdr:col>
      <xdr:colOff>134620</xdr:colOff>
      <xdr:row>98</xdr:row>
      <xdr:rowOff>45720</xdr:rowOff>
    </xdr:from>
    <xdr:ext cx="297761" cy="235328"/>
    <xdr:sp macro="" textlink="">
      <xdr:nvSpPr>
        <xdr:cNvPr id="31836" name="Text Box 92">
          <a:extLst>
            <a:ext uri="{FF2B5EF4-FFF2-40B4-BE49-F238E27FC236}">
              <a16:creationId xmlns:a16="http://schemas.microsoft.com/office/drawing/2014/main" id="{FC014E86-FEC6-8A53-08CA-EEAC8C19E98A}"/>
            </a:ext>
          </a:extLst>
        </xdr:cNvPr>
        <xdr:cNvSpPr txBox="1">
          <a:spLocks noChangeArrowheads="1"/>
        </xdr:cNvSpPr>
      </xdr:nvSpPr>
      <xdr:spPr bwMode="auto">
        <a:xfrm>
          <a:off x="742950" y="16844010"/>
          <a:ext cx="271869" cy="204736"/>
        </a:xfrm>
        <a:prstGeom prst="rect">
          <a:avLst/>
        </a:prstGeom>
        <a:noFill/>
        <a:ln>
          <a:noFill/>
        </a:ln>
      </xdr:spPr>
      <xdr:txBody>
        <a:bodyPr wrap="none" lIns="27432" tIns="27432" rIns="0" bIns="0" anchor="t" upright="1">
          <a:spAutoFit/>
        </a:bodyPr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60"</a:t>
          </a:r>
        </a:p>
      </xdr:txBody>
    </xdr:sp>
    <xdr:clientData/>
  </xdr:oneCellAnchor>
  <xdr:oneCellAnchor>
    <xdr:from>
      <xdr:col>1</xdr:col>
      <xdr:colOff>189865</xdr:colOff>
      <xdr:row>103</xdr:row>
      <xdr:rowOff>68580</xdr:rowOff>
    </xdr:from>
    <xdr:ext cx="310707" cy="227484"/>
    <xdr:sp macro="" textlink="">
      <xdr:nvSpPr>
        <xdr:cNvPr id="31850" name="Text Box 106">
          <a:extLst>
            <a:ext uri="{FF2B5EF4-FFF2-40B4-BE49-F238E27FC236}">
              <a16:creationId xmlns:a16="http://schemas.microsoft.com/office/drawing/2014/main" id="{A87D29E0-5380-C011-5A26-D42EEF0A5C45}"/>
            </a:ext>
          </a:extLst>
        </xdr:cNvPr>
        <xdr:cNvSpPr txBox="1">
          <a:spLocks noChangeArrowheads="1"/>
        </xdr:cNvSpPr>
      </xdr:nvSpPr>
      <xdr:spPr bwMode="auto">
        <a:xfrm>
          <a:off x="748665" y="17760315"/>
          <a:ext cx="271869" cy="204736"/>
        </a:xfrm>
        <a:prstGeom prst="rect">
          <a:avLst/>
        </a:prstGeom>
        <a:noFill/>
        <a:ln>
          <a:noFill/>
        </a:ln>
      </xdr:spPr>
      <xdr:txBody>
        <a:bodyPr wrap="none" lIns="27432" tIns="27432" rIns="0" bIns="0" anchor="t" upright="1">
          <a:spAutoFit/>
        </a:bodyPr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66"</a:t>
          </a:r>
        </a:p>
      </xdr:txBody>
    </xdr:sp>
    <xdr:clientData/>
  </xdr:oneCellAnchor>
  <xdr:oneCellAnchor>
    <xdr:from>
      <xdr:col>1</xdr:col>
      <xdr:colOff>165100</xdr:colOff>
      <xdr:row>107</xdr:row>
      <xdr:rowOff>60960</xdr:rowOff>
    </xdr:from>
    <xdr:ext cx="296584" cy="204736"/>
    <xdr:sp macro="" textlink="">
      <xdr:nvSpPr>
        <xdr:cNvPr id="31851" name="Text Box 107">
          <a:extLst>
            <a:ext uri="{FF2B5EF4-FFF2-40B4-BE49-F238E27FC236}">
              <a16:creationId xmlns:a16="http://schemas.microsoft.com/office/drawing/2014/main" id="{75B48B1F-DFDC-A561-2F66-628CE54E6951}"/>
            </a:ext>
          </a:extLst>
        </xdr:cNvPr>
        <xdr:cNvSpPr txBox="1">
          <a:spLocks noChangeArrowheads="1"/>
        </xdr:cNvSpPr>
      </xdr:nvSpPr>
      <xdr:spPr bwMode="auto">
        <a:xfrm>
          <a:off x="762000" y="18402300"/>
          <a:ext cx="271869" cy="204736"/>
        </a:xfrm>
        <a:prstGeom prst="rect">
          <a:avLst/>
        </a:prstGeom>
        <a:noFill/>
        <a:ln>
          <a:noFill/>
        </a:ln>
      </xdr:spPr>
      <xdr:txBody>
        <a:bodyPr wrap="none" lIns="27432" tIns="27432" rIns="0" bIns="0" anchor="t" upright="1">
          <a:spAutoFit/>
        </a:bodyPr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72"</a:t>
          </a:r>
        </a:p>
      </xdr:txBody>
    </xdr:sp>
    <xdr:clientData/>
  </xdr:oneCellAnchor>
  <xdr:oneCellAnchor>
    <xdr:from>
      <xdr:col>1</xdr:col>
      <xdr:colOff>134620</xdr:colOff>
      <xdr:row>111</xdr:row>
      <xdr:rowOff>15240</xdr:rowOff>
    </xdr:from>
    <xdr:ext cx="297761" cy="226924"/>
    <xdr:sp macro="" textlink="">
      <xdr:nvSpPr>
        <xdr:cNvPr id="31852" name="Text Box 108">
          <a:extLst>
            <a:ext uri="{FF2B5EF4-FFF2-40B4-BE49-F238E27FC236}">
              <a16:creationId xmlns:a16="http://schemas.microsoft.com/office/drawing/2014/main" id="{27E11A18-8565-9ADB-4211-32DBD0972172}"/>
            </a:ext>
          </a:extLst>
        </xdr:cNvPr>
        <xdr:cNvSpPr txBox="1">
          <a:spLocks noChangeArrowheads="1"/>
        </xdr:cNvSpPr>
      </xdr:nvSpPr>
      <xdr:spPr bwMode="auto">
        <a:xfrm>
          <a:off x="742950" y="19046190"/>
          <a:ext cx="271869" cy="204736"/>
        </a:xfrm>
        <a:prstGeom prst="rect">
          <a:avLst/>
        </a:prstGeom>
        <a:noFill/>
        <a:ln>
          <a:noFill/>
        </a:ln>
      </xdr:spPr>
      <xdr:txBody>
        <a:bodyPr wrap="none" lIns="27432" tIns="27432" rIns="0" bIns="0" anchor="t" upright="1">
          <a:spAutoFit/>
        </a:bodyPr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78"</a:t>
          </a:r>
        </a:p>
      </xdr:txBody>
    </xdr:sp>
    <xdr:clientData/>
  </xdr:oneCellAnchor>
  <xdr:oneCellAnchor>
    <xdr:from>
      <xdr:col>1</xdr:col>
      <xdr:colOff>134620</xdr:colOff>
      <xdr:row>115</xdr:row>
      <xdr:rowOff>60960</xdr:rowOff>
    </xdr:from>
    <xdr:ext cx="297761" cy="214317"/>
    <xdr:sp macro="" textlink="">
      <xdr:nvSpPr>
        <xdr:cNvPr id="31853" name="Text Box 109">
          <a:extLst>
            <a:ext uri="{FF2B5EF4-FFF2-40B4-BE49-F238E27FC236}">
              <a16:creationId xmlns:a16="http://schemas.microsoft.com/office/drawing/2014/main" id="{174716F9-CE5E-E8DB-F35F-EA6407366760}"/>
            </a:ext>
          </a:extLst>
        </xdr:cNvPr>
        <xdr:cNvSpPr txBox="1">
          <a:spLocks noChangeArrowheads="1"/>
        </xdr:cNvSpPr>
      </xdr:nvSpPr>
      <xdr:spPr bwMode="auto">
        <a:xfrm>
          <a:off x="742950" y="19770090"/>
          <a:ext cx="271869" cy="204736"/>
        </a:xfrm>
        <a:prstGeom prst="rect">
          <a:avLst/>
        </a:prstGeom>
        <a:noFill/>
        <a:ln>
          <a:noFill/>
        </a:ln>
      </xdr:spPr>
      <xdr:txBody>
        <a:bodyPr wrap="none" lIns="27432" tIns="27432" rIns="0" bIns="0" anchor="t" upright="1">
          <a:spAutoFit/>
        </a:bodyPr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84"</a:t>
          </a:r>
        </a:p>
      </xdr:txBody>
    </xdr:sp>
    <xdr:clientData/>
  </xdr:oneCellAnchor>
  <xdr:oneCellAnchor>
    <xdr:from>
      <xdr:col>1</xdr:col>
      <xdr:colOff>134620</xdr:colOff>
      <xdr:row>119</xdr:row>
      <xdr:rowOff>57150</xdr:rowOff>
    </xdr:from>
    <xdr:ext cx="297761" cy="221972"/>
    <xdr:sp macro="" textlink="">
      <xdr:nvSpPr>
        <xdr:cNvPr id="31854" name="Text Box 110">
          <a:extLst>
            <a:ext uri="{FF2B5EF4-FFF2-40B4-BE49-F238E27FC236}">
              <a16:creationId xmlns:a16="http://schemas.microsoft.com/office/drawing/2014/main" id="{84CB6390-6D03-9C3E-0E9D-E149A8E3D507}"/>
            </a:ext>
          </a:extLst>
        </xdr:cNvPr>
        <xdr:cNvSpPr txBox="1">
          <a:spLocks noChangeArrowheads="1"/>
        </xdr:cNvSpPr>
      </xdr:nvSpPr>
      <xdr:spPr bwMode="auto">
        <a:xfrm>
          <a:off x="742950" y="20446365"/>
          <a:ext cx="271869" cy="204736"/>
        </a:xfrm>
        <a:prstGeom prst="rect">
          <a:avLst/>
        </a:prstGeom>
        <a:noFill/>
        <a:ln>
          <a:noFill/>
        </a:ln>
      </xdr:spPr>
      <xdr:txBody>
        <a:bodyPr wrap="none" lIns="27432" tIns="27432" rIns="0" bIns="0" anchor="t" upright="1">
          <a:spAutoFit/>
        </a:bodyPr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90"</a:t>
          </a:r>
        </a:p>
      </xdr:txBody>
    </xdr:sp>
    <xdr:clientData/>
  </xdr:oneCellAnchor>
  <xdr:oneCellAnchor>
    <xdr:from>
      <xdr:col>1</xdr:col>
      <xdr:colOff>134620</xdr:colOff>
      <xdr:row>123</xdr:row>
      <xdr:rowOff>60960</xdr:rowOff>
    </xdr:from>
    <xdr:ext cx="297761" cy="214317"/>
    <xdr:sp macro="" textlink="">
      <xdr:nvSpPr>
        <xdr:cNvPr id="31855" name="Text Box 111">
          <a:extLst>
            <a:ext uri="{FF2B5EF4-FFF2-40B4-BE49-F238E27FC236}">
              <a16:creationId xmlns:a16="http://schemas.microsoft.com/office/drawing/2014/main" id="{C5461E05-0D31-FFFC-0F1B-33F019CB377F}"/>
            </a:ext>
          </a:extLst>
        </xdr:cNvPr>
        <xdr:cNvSpPr txBox="1">
          <a:spLocks noChangeArrowheads="1"/>
        </xdr:cNvSpPr>
      </xdr:nvSpPr>
      <xdr:spPr bwMode="auto">
        <a:xfrm>
          <a:off x="742950" y="21141690"/>
          <a:ext cx="271869" cy="204736"/>
        </a:xfrm>
        <a:prstGeom prst="rect">
          <a:avLst/>
        </a:prstGeom>
        <a:noFill/>
        <a:ln>
          <a:noFill/>
        </a:ln>
      </xdr:spPr>
      <xdr:txBody>
        <a:bodyPr wrap="none" lIns="27432" tIns="27432" rIns="0" bIns="0" anchor="t" upright="1">
          <a:spAutoFit/>
        </a:bodyPr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96"</a:t>
          </a:r>
        </a:p>
      </xdr:txBody>
    </xdr:sp>
    <xdr:clientData/>
  </xdr:oneCellAnchor>
  <xdr:oneCellAnchor>
    <xdr:from>
      <xdr:col>1</xdr:col>
      <xdr:colOff>85090</xdr:colOff>
      <xdr:row>128</xdr:row>
      <xdr:rowOff>68580</xdr:rowOff>
    </xdr:from>
    <xdr:ext cx="383004" cy="227484"/>
    <xdr:sp macro="" textlink="">
      <xdr:nvSpPr>
        <xdr:cNvPr id="31856" name="Text Box 112">
          <a:extLst>
            <a:ext uri="{FF2B5EF4-FFF2-40B4-BE49-F238E27FC236}">
              <a16:creationId xmlns:a16="http://schemas.microsoft.com/office/drawing/2014/main" id="{7F76AF23-8E1F-798D-3892-56D72B007BB9}"/>
            </a:ext>
          </a:extLst>
        </xdr:cNvPr>
        <xdr:cNvSpPr txBox="1">
          <a:spLocks noChangeArrowheads="1"/>
        </xdr:cNvSpPr>
      </xdr:nvSpPr>
      <xdr:spPr bwMode="auto">
        <a:xfrm>
          <a:off x="666750" y="22056090"/>
          <a:ext cx="357470" cy="204736"/>
        </a:xfrm>
        <a:prstGeom prst="rect">
          <a:avLst/>
        </a:prstGeom>
        <a:noFill/>
        <a:ln>
          <a:noFill/>
        </a:ln>
      </xdr:spPr>
      <xdr:txBody>
        <a:bodyPr wrap="none" lIns="27432" tIns="27432" rIns="0" bIns="0" anchor="t" upright="1">
          <a:spAutoFit/>
        </a:bodyPr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102"</a:t>
          </a:r>
        </a:p>
      </xdr:txBody>
    </xdr:sp>
    <xdr:clientData/>
  </xdr:oneCellAnchor>
  <xdr:oneCellAnchor>
    <xdr:from>
      <xdr:col>1</xdr:col>
      <xdr:colOff>115570</xdr:colOff>
      <xdr:row>132</xdr:row>
      <xdr:rowOff>60960</xdr:rowOff>
    </xdr:from>
    <xdr:ext cx="395770" cy="204736"/>
    <xdr:sp macro="" textlink="">
      <xdr:nvSpPr>
        <xdr:cNvPr id="31857" name="Text Box 113">
          <a:extLst>
            <a:ext uri="{FF2B5EF4-FFF2-40B4-BE49-F238E27FC236}">
              <a16:creationId xmlns:a16="http://schemas.microsoft.com/office/drawing/2014/main" id="{6C15788A-77B3-3802-CD51-794E45984D14}"/>
            </a:ext>
          </a:extLst>
        </xdr:cNvPr>
        <xdr:cNvSpPr txBox="1">
          <a:spLocks noChangeArrowheads="1"/>
        </xdr:cNvSpPr>
      </xdr:nvSpPr>
      <xdr:spPr bwMode="auto">
        <a:xfrm>
          <a:off x="712470" y="22699980"/>
          <a:ext cx="357470" cy="204736"/>
        </a:xfrm>
        <a:prstGeom prst="rect">
          <a:avLst/>
        </a:prstGeom>
        <a:noFill/>
        <a:ln>
          <a:noFill/>
        </a:ln>
      </xdr:spPr>
      <xdr:txBody>
        <a:bodyPr wrap="none" lIns="27432" tIns="27432" rIns="0" bIns="0" anchor="t" upright="1">
          <a:spAutoFit/>
        </a:bodyPr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108"</a:t>
          </a:r>
        </a:p>
      </xdr:txBody>
    </xdr:sp>
    <xdr:clientData/>
  </xdr:oneCellAnchor>
  <xdr:oneCellAnchor>
    <xdr:from>
      <xdr:col>1</xdr:col>
      <xdr:colOff>83820</xdr:colOff>
      <xdr:row>136</xdr:row>
      <xdr:rowOff>15240</xdr:rowOff>
    </xdr:from>
    <xdr:ext cx="395770" cy="204736"/>
    <xdr:sp macro="" textlink="">
      <xdr:nvSpPr>
        <xdr:cNvPr id="31858" name="Text Box 114">
          <a:extLst>
            <a:ext uri="{FF2B5EF4-FFF2-40B4-BE49-F238E27FC236}">
              <a16:creationId xmlns:a16="http://schemas.microsoft.com/office/drawing/2014/main" id="{4BBA634F-43EA-E660-5FD2-62EDCC372422}"/>
            </a:ext>
          </a:extLst>
        </xdr:cNvPr>
        <xdr:cNvSpPr txBox="1">
          <a:spLocks noChangeArrowheads="1"/>
        </xdr:cNvSpPr>
      </xdr:nvSpPr>
      <xdr:spPr bwMode="auto">
        <a:xfrm>
          <a:off x="693420" y="23340060"/>
          <a:ext cx="357470" cy="204736"/>
        </a:xfrm>
        <a:prstGeom prst="rect">
          <a:avLst/>
        </a:prstGeom>
        <a:noFill/>
        <a:ln>
          <a:noFill/>
        </a:ln>
      </xdr:spPr>
      <xdr:txBody>
        <a:bodyPr wrap="none" lIns="27432" tIns="27432" rIns="0" bIns="0" anchor="t" upright="1">
          <a:spAutoFit/>
        </a:bodyPr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114"</a:t>
          </a:r>
        </a:p>
      </xdr:txBody>
    </xdr:sp>
    <xdr:clientData/>
  </xdr:oneCellAnchor>
  <xdr:oneCellAnchor>
    <xdr:from>
      <xdr:col>1</xdr:col>
      <xdr:colOff>130810</xdr:colOff>
      <xdr:row>140</xdr:row>
      <xdr:rowOff>72390</xdr:rowOff>
    </xdr:from>
    <xdr:ext cx="397189" cy="245683"/>
    <xdr:sp macro="" textlink="">
      <xdr:nvSpPr>
        <xdr:cNvPr id="31859" name="Text Box 115">
          <a:extLst>
            <a:ext uri="{FF2B5EF4-FFF2-40B4-BE49-F238E27FC236}">
              <a16:creationId xmlns:a16="http://schemas.microsoft.com/office/drawing/2014/main" id="{3D64C22A-5D6E-DE08-EA6D-AF8C022BABE9}"/>
            </a:ext>
          </a:extLst>
        </xdr:cNvPr>
        <xdr:cNvSpPr txBox="1">
          <a:spLocks noChangeArrowheads="1"/>
        </xdr:cNvSpPr>
      </xdr:nvSpPr>
      <xdr:spPr bwMode="auto">
        <a:xfrm>
          <a:off x="704850" y="24117300"/>
          <a:ext cx="357470" cy="204736"/>
        </a:xfrm>
        <a:prstGeom prst="rect">
          <a:avLst/>
        </a:prstGeom>
        <a:noFill/>
        <a:ln>
          <a:noFill/>
        </a:ln>
      </xdr:spPr>
      <xdr:txBody>
        <a:bodyPr wrap="none" lIns="27432" tIns="27432" rIns="0" bIns="0" anchor="t" upright="1">
          <a:spAutoFit/>
        </a:bodyPr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120"</a:t>
          </a:r>
        </a:p>
      </xdr:txBody>
    </xdr:sp>
    <xdr:clientData/>
  </xdr:oneCellAnchor>
  <xdr:oneCellAnchor>
    <xdr:from>
      <xdr:col>1</xdr:col>
      <xdr:colOff>134620</xdr:colOff>
      <xdr:row>144</xdr:row>
      <xdr:rowOff>57150</xdr:rowOff>
    </xdr:from>
    <xdr:ext cx="395770" cy="222254"/>
    <xdr:sp macro="" textlink="">
      <xdr:nvSpPr>
        <xdr:cNvPr id="31860" name="Text Box 116">
          <a:extLst>
            <a:ext uri="{FF2B5EF4-FFF2-40B4-BE49-F238E27FC236}">
              <a16:creationId xmlns:a16="http://schemas.microsoft.com/office/drawing/2014/main" id="{F4F718DA-4EBD-FE68-3FE6-026EBB66BEBB}"/>
            </a:ext>
          </a:extLst>
        </xdr:cNvPr>
        <xdr:cNvSpPr txBox="1">
          <a:spLocks noChangeArrowheads="1"/>
        </xdr:cNvSpPr>
      </xdr:nvSpPr>
      <xdr:spPr bwMode="auto">
        <a:xfrm>
          <a:off x="742950" y="24744045"/>
          <a:ext cx="357470" cy="204736"/>
        </a:xfrm>
        <a:prstGeom prst="rect">
          <a:avLst/>
        </a:prstGeom>
        <a:noFill/>
        <a:ln>
          <a:noFill/>
        </a:ln>
      </xdr:spPr>
      <xdr:txBody>
        <a:bodyPr wrap="none" lIns="27432" tIns="27432" rIns="0" bIns="0" anchor="t" upright="1">
          <a:spAutoFit/>
        </a:bodyPr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126"</a:t>
          </a:r>
        </a:p>
      </xdr:txBody>
    </xdr:sp>
    <xdr:clientData/>
  </xdr:oneCellAnchor>
  <xdr:oneCellAnchor>
    <xdr:from>
      <xdr:col>1</xdr:col>
      <xdr:colOff>134620</xdr:colOff>
      <xdr:row>148</xdr:row>
      <xdr:rowOff>60960</xdr:rowOff>
    </xdr:from>
    <xdr:ext cx="395770" cy="214317"/>
    <xdr:sp macro="" textlink="">
      <xdr:nvSpPr>
        <xdr:cNvPr id="31861" name="Text Box 117">
          <a:extLst>
            <a:ext uri="{FF2B5EF4-FFF2-40B4-BE49-F238E27FC236}">
              <a16:creationId xmlns:a16="http://schemas.microsoft.com/office/drawing/2014/main" id="{53A47B54-D461-8B7E-4416-C63614B9231C}"/>
            </a:ext>
          </a:extLst>
        </xdr:cNvPr>
        <xdr:cNvSpPr txBox="1">
          <a:spLocks noChangeArrowheads="1"/>
        </xdr:cNvSpPr>
      </xdr:nvSpPr>
      <xdr:spPr bwMode="auto">
        <a:xfrm>
          <a:off x="742950" y="25439370"/>
          <a:ext cx="357470" cy="204736"/>
        </a:xfrm>
        <a:prstGeom prst="rect">
          <a:avLst/>
        </a:prstGeom>
        <a:noFill/>
        <a:ln>
          <a:noFill/>
        </a:ln>
      </xdr:spPr>
      <xdr:txBody>
        <a:bodyPr wrap="none" lIns="27432" tIns="27432" rIns="0" bIns="0" anchor="t" upright="1">
          <a:spAutoFit/>
        </a:bodyPr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132"</a:t>
          </a:r>
        </a:p>
      </xdr:txBody>
    </xdr:sp>
    <xdr:clientData/>
  </xdr:oneCellAnchor>
  <xdr:oneCellAnchor>
    <xdr:from>
      <xdr:col>1</xdr:col>
      <xdr:colOff>85090</xdr:colOff>
      <xdr:row>153</xdr:row>
      <xdr:rowOff>68580</xdr:rowOff>
    </xdr:from>
    <xdr:ext cx="383004" cy="227484"/>
    <xdr:sp macro="" textlink="">
      <xdr:nvSpPr>
        <xdr:cNvPr id="31862" name="Text Box 118">
          <a:extLst>
            <a:ext uri="{FF2B5EF4-FFF2-40B4-BE49-F238E27FC236}">
              <a16:creationId xmlns:a16="http://schemas.microsoft.com/office/drawing/2014/main" id="{FBAFAF5D-6EF7-28B1-41C1-6753C3324084}"/>
            </a:ext>
          </a:extLst>
        </xdr:cNvPr>
        <xdr:cNvSpPr txBox="1">
          <a:spLocks noChangeArrowheads="1"/>
        </xdr:cNvSpPr>
      </xdr:nvSpPr>
      <xdr:spPr bwMode="auto">
        <a:xfrm>
          <a:off x="666750" y="26351865"/>
          <a:ext cx="357470" cy="204736"/>
        </a:xfrm>
        <a:prstGeom prst="rect">
          <a:avLst/>
        </a:prstGeom>
        <a:noFill/>
        <a:ln>
          <a:noFill/>
        </a:ln>
      </xdr:spPr>
      <xdr:txBody>
        <a:bodyPr wrap="none" lIns="27432" tIns="27432" rIns="0" bIns="0" anchor="t" upright="1">
          <a:spAutoFit/>
        </a:bodyPr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138"</a:t>
          </a:r>
        </a:p>
      </xdr:txBody>
    </xdr:sp>
    <xdr:clientData/>
  </xdr:oneCellAnchor>
  <xdr:oneCellAnchor>
    <xdr:from>
      <xdr:col>1</xdr:col>
      <xdr:colOff>115570</xdr:colOff>
      <xdr:row>157</xdr:row>
      <xdr:rowOff>60960</xdr:rowOff>
    </xdr:from>
    <xdr:ext cx="395770" cy="204736"/>
    <xdr:sp macro="" textlink="">
      <xdr:nvSpPr>
        <xdr:cNvPr id="31863" name="Text Box 119">
          <a:extLst>
            <a:ext uri="{FF2B5EF4-FFF2-40B4-BE49-F238E27FC236}">
              <a16:creationId xmlns:a16="http://schemas.microsoft.com/office/drawing/2014/main" id="{0157ADF7-EBF4-0B76-2581-98BF3B7CE9B1}"/>
            </a:ext>
          </a:extLst>
        </xdr:cNvPr>
        <xdr:cNvSpPr txBox="1">
          <a:spLocks noChangeArrowheads="1"/>
        </xdr:cNvSpPr>
      </xdr:nvSpPr>
      <xdr:spPr bwMode="auto">
        <a:xfrm>
          <a:off x="712470" y="26997660"/>
          <a:ext cx="357470" cy="204736"/>
        </a:xfrm>
        <a:prstGeom prst="rect">
          <a:avLst/>
        </a:prstGeom>
        <a:noFill/>
        <a:ln>
          <a:noFill/>
        </a:ln>
      </xdr:spPr>
      <xdr:txBody>
        <a:bodyPr wrap="none" lIns="27432" tIns="27432" rIns="0" bIns="0" anchor="t" upright="1">
          <a:spAutoFit/>
        </a:bodyPr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144"</a:t>
          </a:r>
        </a:p>
      </xdr:txBody>
    </xdr:sp>
    <xdr:clientData/>
  </xdr:oneCellAnchor>
  <xdr:oneCellAnchor>
    <xdr:from>
      <xdr:col>1</xdr:col>
      <xdr:colOff>83820</xdr:colOff>
      <xdr:row>161</xdr:row>
      <xdr:rowOff>15240</xdr:rowOff>
    </xdr:from>
    <xdr:ext cx="395770" cy="204736"/>
    <xdr:sp macro="" textlink="">
      <xdr:nvSpPr>
        <xdr:cNvPr id="31864" name="Text Box 120">
          <a:extLst>
            <a:ext uri="{FF2B5EF4-FFF2-40B4-BE49-F238E27FC236}">
              <a16:creationId xmlns:a16="http://schemas.microsoft.com/office/drawing/2014/main" id="{E253D9FF-7AD3-5B5E-0CBC-31753F183278}"/>
            </a:ext>
          </a:extLst>
        </xdr:cNvPr>
        <xdr:cNvSpPr txBox="1">
          <a:spLocks noChangeArrowheads="1"/>
        </xdr:cNvSpPr>
      </xdr:nvSpPr>
      <xdr:spPr bwMode="auto">
        <a:xfrm>
          <a:off x="693420" y="27637740"/>
          <a:ext cx="357470" cy="204736"/>
        </a:xfrm>
        <a:prstGeom prst="rect">
          <a:avLst/>
        </a:prstGeom>
        <a:noFill/>
        <a:ln>
          <a:noFill/>
        </a:ln>
      </xdr:spPr>
      <xdr:txBody>
        <a:bodyPr wrap="none" lIns="27432" tIns="27432" rIns="0" bIns="0" anchor="t" upright="1">
          <a:spAutoFit/>
        </a:bodyPr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156"</a:t>
          </a:r>
        </a:p>
      </xdr:txBody>
    </xdr:sp>
    <xdr:clientData/>
  </xdr:oneCellAnchor>
  <xdr:oneCellAnchor>
    <xdr:from>
      <xdr:col>1</xdr:col>
      <xdr:colOff>130810</xdr:colOff>
      <xdr:row>165</xdr:row>
      <xdr:rowOff>72390</xdr:rowOff>
    </xdr:from>
    <xdr:ext cx="397189" cy="245683"/>
    <xdr:sp macro="" textlink="">
      <xdr:nvSpPr>
        <xdr:cNvPr id="31865" name="Text Box 121">
          <a:extLst>
            <a:ext uri="{FF2B5EF4-FFF2-40B4-BE49-F238E27FC236}">
              <a16:creationId xmlns:a16="http://schemas.microsoft.com/office/drawing/2014/main" id="{619E1817-778C-D2BD-9D95-10500612A6BA}"/>
            </a:ext>
          </a:extLst>
        </xdr:cNvPr>
        <xdr:cNvSpPr txBox="1">
          <a:spLocks noChangeArrowheads="1"/>
        </xdr:cNvSpPr>
      </xdr:nvSpPr>
      <xdr:spPr bwMode="auto">
        <a:xfrm>
          <a:off x="704850" y="28413075"/>
          <a:ext cx="357470" cy="204736"/>
        </a:xfrm>
        <a:prstGeom prst="rect">
          <a:avLst/>
        </a:prstGeom>
        <a:noFill/>
        <a:ln>
          <a:noFill/>
        </a:ln>
      </xdr:spPr>
      <xdr:txBody>
        <a:bodyPr wrap="none" lIns="27432" tIns="27432" rIns="0" bIns="0" anchor="t" upright="1">
          <a:spAutoFit/>
        </a:bodyPr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168"</a:t>
          </a:r>
        </a:p>
      </xdr:txBody>
    </xdr:sp>
    <xdr:clientData/>
  </xdr:oneCellAnchor>
  <xdr:oneCellAnchor>
    <xdr:from>
      <xdr:col>1</xdr:col>
      <xdr:colOff>134620</xdr:colOff>
      <xdr:row>169</xdr:row>
      <xdr:rowOff>41910</xdr:rowOff>
    </xdr:from>
    <xdr:ext cx="395770" cy="235328"/>
    <xdr:sp macro="" textlink="">
      <xdr:nvSpPr>
        <xdr:cNvPr id="31866" name="Text Box 122">
          <a:extLst>
            <a:ext uri="{FF2B5EF4-FFF2-40B4-BE49-F238E27FC236}">
              <a16:creationId xmlns:a16="http://schemas.microsoft.com/office/drawing/2014/main" id="{AC2E26F8-138A-273E-ECEF-835D4115E784}"/>
            </a:ext>
          </a:extLst>
        </xdr:cNvPr>
        <xdr:cNvSpPr txBox="1">
          <a:spLocks noChangeArrowheads="1"/>
        </xdr:cNvSpPr>
      </xdr:nvSpPr>
      <xdr:spPr bwMode="auto">
        <a:xfrm>
          <a:off x="742950" y="29041725"/>
          <a:ext cx="357470" cy="204736"/>
        </a:xfrm>
        <a:prstGeom prst="rect">
          <a:avLst/>
        </a:prstGeom>
        <a:noFill/>
        <a:ln>
          <a:noFill/>
        </a:ln>
      </xdr:spPr>
      <xdr:txBody>
        <a:bodyPr wrap="none" lIns="27432" tIns="27432" rIns="0" bIns="0" anchor="t" upright="1">
          <a:spAutoFit/>
        </a:bodyPr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180"</a:t>
          </a:r>
        </a:p>
      </xdr:txBody>
    </xdr:sp>
    <xdr:clientData/>
  </xdr:oneCellAnchor>
  <xdr:oneCellAnchor>
    <xdr:from>
      <xdr:col>1</xdr:col>
      <xdr:colOff>134620</xdr:colOff>
      <xdr:row>173</xdr:row>
      <xdr:rowOff>60960</xdr:rowOff>
    </xdr:from>
    <xdr:ext cx="395770" cy="214846"/>
    <xdr:sp macro="" textlink="">
      <xdr:nvSpPr>
        <xdr:cNvPr id="31867" name="Text Box 123">
          <a:extLst>
            <a:ext uri="{FF2B5EF4-FFF2-40B4-BE49-F238E27FC236}">
              <a16:creationId xmlns:a16="http://schemas.microsoft.com/office/drawing/2014/main" id="{15DE3D59-2091-90C3-B0E3-5F6C67313A01}"/>
            </a:ext>
          </a:extLst>
        </xdr:cNvPr>
        <xdr:cNvSpPr txBox="1">
          <a:spLocks noChangeArrowheads="1"/>
        </xdr:cNvSpPr>
      </xdr:nvSpPr>
      <xdr:spPr bwMode="auto">
        <a:xfrm>
          <a:off x="742950" y="29737050"/>
          <a:ext cx="357470" cy="204736"/>
        </a:xfrm>
        <a:prstGeom prst="rect">
          <a:avLst/>
        </a:prstGeom>
        <a:noFill/>
        <a:ln>
          <a:noFill/>
        </a:ln>
      </xdr:spPr>
      <xdr:txBody>
        <a:bodyPr wrap="none" lIns="27432" tIns="27432" rIns="0" bIns="0" anchor="t" upright="1">
          <a:spAutoFit/>
        </a:bodyPr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192"</a:t>
          </a:r>
        </a:p>
      </xdr:txBody>
    </xdr:sp>
    <xdr:clientData/>
  </xdr:oneCellAnchor>
  <xdr:oneCellAnchor>
    <xdr:from>
      <xdr:col>1</xdr:col>
      <xdr:colOff>85090</xdr:colOff>
      <xdr:row>178</xdr:row>
      <xdr:rowOff>68580</xdr:rowOff>
    </xdr:from>
    <xdr:ext cx="383004" cy="227484"/>
    <xdr:sp macro="" textlink="">
      <xdr:nvSpPr>
        <xdr:cNvPr id="31868" name="Text Box 124">
          <a:extLst>
            <a:ext uri="{FF2B5EF4-FFF2-40B4-BE49-F238E27FC236}">
              <a16:creationId xmlns:a16="http://schemas.microsoft.com/office/drawing/2014/main" id="{A1AE02BE-CEC4-72A5-A919-523D0ADBF2C2}"/>
            </a:ext>
          </a:extLst>
        </xdr:cNvPr>
        <xdr:cNvSpPr txBox="1">
          <a:spLocks noChangeArrowheads="1"/>
        </xdr:cNvSpPr>
      </xdr:nvSpPr>
      <xdr:spPr bwMode="auto">
        <a:xfrm>
          <a:off x="666750" y="30647640"/>
          <a:ext cx="357470" cy="204736"/>
        </a:xfrm>
        <a:prstGeom prst="rect">
          <a:avLst/>
        </a:prstGeom>
        <a:noFill/>
        <a:ln>
          <a:noFill/>
        </a:ln>
      </xdr:spPr>
      <xdr:txBody>
        <a:bodyPr wrap="none" lIns="27432" tIns="27432" rIns="0" bIns="0" anchor="t" upright="1">
          <a:spAutoFit/>
        </a:bodyPr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204"</a:t>
          </a:r>
        </a:p>
      </xdr:txBody>
    </xdr:sp>
    <xdr:clientData/>
  </xdr:oneCellAnchor>
  <xdr:oneCellAnchor>
    <xdr:from>
      <xdr:col>1</xdr:col>
      <xdr:colOff>115570</xdr:colOff>
      <xdr:row>182</xdr:row>
      <xdr:rowOff>45720</xdr:rowOff>
    </xdr:from>
    <xdr:ext cx="395770" cy="204736"/>
    <xdr:sp macro="" textlink="">
      <xdr:nvSpPr>
        <xdr:cNvPr id="31869" name="Text Box 125">
          <a:extLst>
            <a:ext uri="{FF2B5EF4-FFF2-40B4-BE49-F238E27FC236}">
              <a16:creationId xmlns:a16="http://schemas.microsoft.com/office/drawing/2014/main" id="{53B1AA10-72B5-AD5C-09A1-D8D3C0A53644}"/>
            </a:ext>
          </a:extLst>
        </xdr:cNvPr>
        <xdr:cNvSpPr txBox="1">
          <a:spLocks noChangeArrowheads="1"/>
        </xdr:cNvSpPr>
      </xdr:nvSpPr>
      <xdr:spPr bwMode="auto">
        <a:xfrm>
          <a:off x="712470" y="31280100"/>
          <a:ext cx="357470" cy="204736"/>
        </a:xfrm>
        <a:prstGeom prst="rect">
          <a:avLst/>
        </a:prstGeom>
        <a:noFill/>
        <a:ln>
          <a:noFill/>
        </a:ln>
      </xdr:spPr>
      <xdr:txBody>
        <a:bodyPr wrap="none" lIns="27432" tIns="27432" rIns="0" bIns="0" anchor="t" upright="1">
          <a:spAutoFit/>
        </a:bodyPr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216"</a:t>
          </a:r>
        </a:p>
      </xdr:txBody>
    </xdr:sp>
    <xdr:clientData/>
  </xdr:oneCellAnchor>
  <xdr:oneCellAnchor>
    <xdr:from>
      <xdr:col>1</xdr:col>
      <xdr:colOff>83820</xdr:colOff>
      <xdr:row>186</xdr:row>
      <xdr:rowOff>15240</xdr:rowOff>
    </xdr:from>
    <xdr:ext cx="395770" cy="204736"/>
    <xdr:sp macro="" textlink="">
      <xdr:nvSpPr>
        <xdr:cNvPr id="31870" name="Text Box 126">
          <a:extLst>
            <a:ext uri="{FF2B5EF4-FFF2-40B4-BE49-F238E27FC236}">
              <a16:creationId xmlns:a16="http://schemas.microsoft.com/office/drawing/2014/main" id="{97E90B25-1820-04E5-19B0-F2FF1278D6E6}"/>
            </a:ext>
          </a:extLst>
        </xdr:cNvPr>
        <xdr:cNvSpPr txBox="1">
          <a:spLocks noChangeArrowheads="1"/>
        </xdr:cNvSpPr>
      </xdr:nvSpPr>
      <xdr:spPr bwMode="auto">
        <a:xfrm>
          <a:off x="693420" y="31935420"/>
          <a:ext cx="357470" cy="204736"/>
        </a:xfrm>
        <a:prstGeom prst="rect">
          <a:avLst/>
        </a:prstGeom>
        <a:noFill/>
        <a:ln>
          <a:noFill/>
        </a:ln>
      </xdr:spPr>
      <xdr:txBody>
        <a:bodyPr wrap="none" lIns="27432" tIns="27432" rIns="0" bIns="0" anchor="t" upright="1">
          <a:spAutoFit/>
        </a:bodyPr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228"</a:t>
          </a:r>
        </a:p>
      </xdr:txBody>
    </xdr:sp>
    <xdr:clientData/>
  </xdr:oneCellAnchor>
  <xdr:oneCellAnchor>
    <xdr:from>
      <xdr:col>1</xdr:col>
      <xdr:colOff>130810</xdr:colOff>
      <xdr:row>190</xdr:row>
      <xdr:rowOff>72390</xdr:rowOff>
    </xdr:from>
    <xdr:ext cx="397189" cy="245683"/>
    <xdr:sp macro="" textlink="">
      <xdr:nvSpPr>
        <xdr:cNvPr id="31871" name="Text Box 127">
          <a:extLst>
            <a:ext uri="{FF2B5EF4-FFF2-40B4-BE49-F238E27FC236}">
              <a16:creationId xmlns:a16="http://schemas.microsoft.com/office/drawing/2014/main" id="{A7B41139-B2C1-38B9-41F6-A30AA82E5277}"/>
            </a:ext>
          </a:extLst>
        </xdr:cNvPr>
        <xdr:cNvSpPr txBox="1">
          <a:spLocks noChangeArrowheads="1"/>
        </xdr:cNvSpPr>
      </xdr:nvSpPr>
      <xdr:spPr bwMode="auto">
        <a:xfrm>
          <a:off x="704850" y="32708850"/>
          <a:ext cx="357470" cy="204736"/>
        </a:xfrm>
        <a:prstGeom prst="rect">
          <a:avLst/>
        </a:prstGeom>
        <a:noFill/>
        <a:ln>
          <a:noFill/>
        </a:ln>
      </xdr:spPr>
      <xdr:txBody>
        <a:bodyPr wrap="none" lIns="27432" tIns="27432" rIns="0" bIns="0" anchor="t" upright="1">
          <a:spAutoFit/>
        </a:bodyPr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240"</a:t>
          </a:r>
        </a:p>
      </xdr:txBody>
    </xdr:sp>
    <xdr:clientData/>
  </xdr:oneCellAnchor>
  <xdr:twoCellAnchor>
    <xdr:from>
      <xdr:col>3</xdr:col>
      <xdr:colOff>292100</xdr:colOff>
      <xdr:row>200</xdr:row>
      <xdr:rowOff>114300</xdr:rowOff>
    </xdr:from>
    <xdr:to>
      <xdr:col>10</xdr:col>
      <xdr:colOff>406400</xdr:colOff>
      <xdr:row>206</xdr:row>
      <xdr:rowOff>101600</xdr:rowOff>
    </xdr:to>
    <xdr:sp macro="" textlink="">
      <xdr:nvSpPr>
        <xdr:cNvPr id="58666" name="AutoShape 130">
          <a:extLst>
            <a:ext uri="{FF2B5EF4-FFF2-40B4-BE49-F238E27FC236}">
              <a16:creationId xmlns:a16="http://schemas.microsoft.com/office/drawing/2014/main" id="{9E1EBE70-14DF-0A85-24A4-F493BBB5B625}"/>
            </a:ext>
          </a:extLst>
        </xdr:cNvPr>
        <xdr:cNvSpPr>
          <a:spLocks noChangeArrowheads="1"/>
        </xdr:cNvSpPr>
      </xdr:nvSpPr>
      <xdr:spPr bwMode="auto">
        <a:xfrm>
          <a:off x="2311400" y="34442400"/>
          <a:ext cx="4826000" cy="977900"/>
        </a:xfrm>
        <a:custGeom>
          <a:avLst/>
          <a:gdLst>
            <a:gd name="T0" fmla="*/ 2147483646 w 21600"/>
            <a:gd name="T1" fmla="*/ 0 h 21600"/>
            <a:gd name="T2" fmla="*/ 2147483646 w 21600"/>
            <a:gd name="T3" fmla="*/ 2147483646 h 21600"/>
            <a:gd name="T4" fmla="*/ 2147483646 w 21600"/>
            <a:gd name="T5" fmla="*/ 2147483646 h 21600"/>
            <a:gd name="T6" fmla="*/ 2147483646 w 21600"/>
            <a:gd name="T7" fmla="*/ 2147483646 h 21600"/>
            <a:gd name="T8" fmla="*/ 0 60000 65536"/>
            <a:gd name="T9" fmla="*/ 0 60000 65536"/>
            <a:gd name="T10" fmla="*/ 0 60000 65536"/>
            <a:gd name="T11" fmla="*/ 0 60000 65536"/>
            <a:gd name="T12" fmla="*/ 0 w 21600"/>
            <a:gd name="T13" fmla="*/ 0 h 21600"/>
            <a:gd name="T14" fmla="*/ 21600 w 21600"/>
            <a:gd name="T15" fmla="*/ 7946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283" y="11015"/>
              </a:moveTo>
              <a:cubicBezTo>
                <a:pt x="281" y="10944"/>
                <a:pt x="281" y="10872"/>
                <a:pt x="281" y="10800"/>
              </a:cubicBezTo>
              <a:cubicBezTo>
                <a:pt x="281" y="4990"/>
                <a:pt x="4990" y="281"/>
                <a:pt x="10800" y="281"/>
              </a:cubicBezTo>
              <a:cubicBezTo>
                <a:pt x="16609" y="281"/>
                <a:pt x="21319" y="4990"/>
                <a:pt x="21319" y="10800"/>
              </a:cubicBezTo>
              <a:cubicBezTo>
                <a:pt x="21319" y="10872"/>
                <a:pt x="21318" y="10944"/>
                <a:pt x="21316" y="11015"/>
              </a:cubicBezTo>
              <a:lnTo>
                <a:pt x="21597" y="11021"/>
              </a:lnTo>
              <a:cubicBezTo>
                <a:pt x="21599" y="10947"/>
                <a:pt x="21600" y="10873"/>
                <a:pt x="21600" y="10800"/>
              </a:cubicBezTo>
              <a:cubicBezTo>
                <a:pt x="21600" y="4835"/>
                <a:pt x="16764" y="0"/>
                <a:pt x="10800" y="0"/>
              </a:cubicBezTo>
              <a:cubicBezTo>
                <a:pt x="4835" y="0"/>
                <a:pt x="0" y="4835"/>
                <a:pt x="0" y="10800"/>
              </a:cubicBezTo>
              <a:cubicBezTo>
                <a:pt x="-1" y="10873"/>
                <a:pt x="0" y="10947"/>
                <a:pt x="2" y="11021"/>
              </a:cubicBezTo>
              <a:lnTo>
                <a:pt x="283" y="11015"/>
              </a:lnTo>
              <a:close/>
            </a:path>
          </a:pathLst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905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304800</xdr:colOff>
      <xdr:row>203</xdr:row>
      <xdr:rowOff>101600</xdr:rowOff>
    </xdr:from>
    <xdr:to>
      <xdr:col>3</xdr:col>
      <xdr:colOff>355600</xdr:colOff>
      <xdr:row>205</xdr:row>
      <xdr:rowOff>0</xdr:rowOff>
    </xdr:to>
    <xdr:sp macro="" textlink="">
      <xdr:nvSpPr>
        <xdr:cNvPr id="58667" name="Rectangle 131">
          <a:extLst>
            <a:ext uri="{FF2B5EF4-FFF2-40B4-BE49-F238E27FC236}">
              <a16:creationId xmlns:a16="http://schemas.microsoft.com/office/drawing/2014/main" id="{C3926FE0-5BAB-9083-1FD2-DA7B5C599A98}"/>
            </a:ext>
          </a:extLst>
        </xdr:cNvPr>
        <xdr:cNvSpPr>
          <a:spLocks noChangeArrowheads="1"/>
        </xdr:cNvSpPr>
      </xdr:nvSpPr>
      <xdr:spPr bwMode="auto">
        <a:xfrm>
          <a:off x="2324100" y="34925000"/>
          <a:ext cx="508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905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342900</xdr:colOff>
      <xdr:row>203</xdr:row>
      <xdr:rowOff>139700</xdr:rowOff>
    </xdr:from>
    <xdr:to>
      <xdr:col>10</xdr:col>
      <xdr:colOff>406400</xdr:colOff>
      <xdr:row>205</xdr:row>
      <xdr:rowOff>12700</xdr:rowOff>
    </xdr:to>
    <xdr:sp macro="" textlink="">
      <xdr:nvSpPr>
        <xdr:cNvPr id="58668" name="Rectangle 132">
          <a:extLst>
            <a:ext uri="{FF2B5EF4-FFF2-40B4-BE49-F238E27FC236}">
              <a16:creationId xmlns:a16="http://schemas.microsoft.com/office/drawing/2014/main" id="{FE770A55-9807-51A0-0161-FD29F48AEDBF}"/>
            </a:ext>
          </a:extLst>
        </xdr:cNvPr>
        <xdr:cNvSpPr>
          <a:spLocks noChangeArrowheads="1"/>
        </xdr:cNvSpPr>
      </xdr:nvSpPr>
      <xdr:spPr bwMode="auto">
        <a:xfrm>
          <a:off x="7073900" y="34963100"/>
          <a:ext cx="63500" cy="203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905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25400</xdr:colOff>
      <xdr:row>198</xdr:row>
      <xdr:rowOff>50800</xdr:rowOff>
    </xdr:from>
    <xdr:to>
      <xdr:col>7</xdr:col>
      <xdr:colOff>25400</xdr:colOff>
      <xdr:row>212</xdr:row>
      <xdr:rowOff>114300</xdr:rowOff>
    </xdr:to>
    <xdr:sp macro="" textlink="">
      <xdr:nvSpPr>
        <xdr:cNvPr id="58669" name="Line 133">
          <a:extLst>
            <a:ext uri="{FF2B5EF4-FFF2-40B4-BE49-F238E27FC236}">
              <a16:creationId xmlns:a16="http://schemas.microsoft.com/office/drawing/2014/main" id="{F5C4318A-853A-7AEC-C450-B27BB3CFE114}"/>
            </a:ext>
          </a:extLst>
        </xdr:cNvPr>
        <xdr:cNvSpPr>
          <a:spLocks noChangeShapeType="1"/>
        </xdr:cNvSpPr>
      </xdr:nvSpPr>
      <xdr:spPr bwMode="auto">
        <a:xfrm flipH="1" flipV="1">
          <a:off x="4737100" y="34048700"/>
          <a:ext cx="0" cy="23749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177800</xdr:colOff>
      <xdr:row>203</xdr:row>
      <xdr:rowOff>101600</xdr:rowOff>
    </xdr:from>
    <xdr:to>
      <xdr:col>12</xdr:col>
      <xdr:colOff>38100</xdr:colOff>
      <xdr:row>203</xdr:row>
      <xdr:rowOff>101600</xdr:rowOff>
    </xdr:to>
    <xdr:sp macro="" textlink="">
      <xdr:nvSpPr>
        <xdr:cNvPr id="58670" name="Line 134">
          <a:extLst>
            <a:ext uri="{FF2B5EF4-FFF2-40B4-BE49-F238E27FC236}">
              <a16:creationId xmlns:a16="http://schemas.microsoft.com/office/drawing/2014/main" id="{AC5248E7-2B52-9624-EBC8-12763946A643}"/>
            </a:ext>
          </a:extLst>
        </xdr:cNvPr>
        <xdr:cNvSpPr>
          <a:spLocks noChangeShapeType="1"/>
        </xdr:cNvSpPr>
      </xdr:nvSpPr>
      <xdr:spPr bwMode="auto">
        <a:xfrm flipV="1">
          <a:off x="850900" y="34925000"/>
          <a:ext cx="72644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317500</xdr:colOff>
      <xdr:row>205</xdr:row>
      <xdr:rowOff>0</xdr:rowOff>
    </xdr:from>
    <xdr:to>
      <xdr:col>10</xdr:col>
      <xdr:colOff>330200</xdr:colOff>
      <xdr:row>205</xdr:row>
      <xdr:rowOff>0</xdr:rowOff>
    </xdr:to>
    <xdr:sp macro="" textlink="">
      <xdr:nvSpPr>
        <xdr:cNvPr id="58671" name="Line 135">
          <a:extLst>
            <a:ext uri="{FF2B5EF4-FFF2-40B4-BE49-F238E27FC236}">
              <a16:creationId xmlns:a16="http://schemas.microsoft.com/office/drawing/2014/main" id="{23C4EDD0-F141-101C-AB77-623A5B9853A3}"/>
            </a:ext>
          </a:extLst>
        </xdr:cNvPr>
        <xdr:cNvSpPr>
          <a:spLocks noChangeShapeType="1"/>
        </xdr:cNvSpPr>
      </xdr:nvSpPr>
      <xdr:spPr bwMode="auto">
        <a:xfrm>
          <a:off x="2336800" y="35153600"/>
          <a:ext cx="47244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261620</xdr:colOff>
      <xdr:row>202</xdr:row>
      <xdr:rowOff>72390</xdr:rowOff>
    </xdr:from>
    <xdr:ext cx="828339" cy="170560"/>
    <xdr:sp macro="" textlink="">
      <xdr:nvSpPr>
        <xdr:cNvPr id="31880" name="Text Box 136">
          <a:extLst>
            <a:ext uri="{FF2B5EF4-FFF2-40B4-BE49-F238E27FC236}">
              <a16:creationId xmlns:a16="http://schemas.microsoft.com/office/drawing/2014/main" id="{C592920A-B3C6-EDE2-1660-59A541AAFAC6}"/>
            </a:ext>
          </a:extLst>
        </xdr:cNvPr>
        <xdr:cNvSpPr txBox="1">
          <a:spLocks noChangeArrowheads="1"/>
        </xdr:cNvSpPr>
      </xdr:nvSpPr>
      <xdr:spPr bwMode="auto">
        <a:xfrm>
          <a:off x="845820" y="34705290"/>
          <a:ext cx="816506" cy="170560"/>
        </a:xfrm>
        <a:prstGeom prst="rect">
          <a:avLst/>
        </a:prstGeom>
        <a:noFill/>
        <a:ln>
          <a:noFill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Tangent Line</a:t>
          </a:r>
        </a:p>
      </xdr:txBody>
    </xdr:sp>
    <xdr:clientData/>
  </xdr:oneCellAnchor>
  <xdr:twoCellAnchor>
    <xdr:from>
      <xdr:col>10</xdr:col>
      <xdr:colOff>431800</xdr:colOff>
      <xdr:row>204</xdr:row>
      <xdr:rowOff>152400</xdr:rowOff>
    </xdr:from>
    <xdr:to>
      <xdr:col>11</xdr:col>
      <xdr:colOff>508000</xdr:colOff>
      <xdr:row>204</xdr:row>
      <xdr:rowOff>152400</xdr:rowOff>
    </xdr:to>
    <xdr:sp macro="" textlink="">
      <xdr:nvSpPr>
        <xdr:cNvPr id="58673" name="Line 137">
          <a:extLst>
            <a:ext uri="{FF2B5EF4-FFF2-40B4-BE49-F238E27FC236}">
              <a16:creationId xmlns:a16="http://schemas.microsoft.com/office/drawing/2014/main" id="{68C94B29-1E4B-3FDB-A8CF-4B4B100D7991}"/>
            </a:ext>
          </a:extLst>
        </xdr:cNvPr>
        <xdr:cNvSpPr>
          <a:spLocks noChangeShapeType="1"/>
        </xdr:cNvSpPr>
      </xdr:nvSpPr>
      <xdr:spPr bwMode="auto">
        <a:xfrm>
          <a:off x="7162800" y="35140900"/>
          <a:ext cx="7493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444500</xdr:colOff>
      <xdr:row>204</xdr:row>
      <xdr:rowOff>139700</xdr:rowOff>
    </xdr:from>
    <xdr:to>
      <xdr:col>11</xdr:col>
      <xdr:colOff>444500</xdr:colOff>
      <xdr:row>207</xdr:row>
      <xdr:rowOff>25400</xdr:rowOff>
    </xdr:to>
    <xdr:sp macro="" textlink="">
      <xdr:nvSpPr>
        <xdr:cNvPr id="58674" name="Line 138">
          <a:extLst>
            <a:ext uri="{FF2B5EF4-FFF2-40B4-BE49-F238E27FC236}">
              <a16:creationId xmlns:a16="http://schemas.microsoft.com/office/drawing/2014/main" id="{B914EB5A-2314-1016-165B-4569921CD6EC}"/>
            </a:ext>
          </a:extLst>
        </xdr:cNvPr>
        <xdr:cNvSpPr>
          <a:spLocks noChangeShapeType="1"/>
        </xdr:cNvSpPr>
      </xdr:nvSpPr>
      <xdr:spPr bwMode="auto">
        <a:xfrm>
          <a:off x="7848600" y="35128200"/>
          <a:ext cx="0" cy="3810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558800</xdr:colOff>
      <xdr:row>202</xdr:row>
      <xdr:rowOff>101600</xdr:rowOff>
    </xdr:from>
    <xdr:to>
      <xdr:col>4</xdr:col>
      <xdr:colOff>114300</xdr:colOff>
      <xdr:row>203</xdr:row>
      <xdr:rowOff>101600</xdr:rowOff>
    </xdr:to>
    <xdr:sp macro="" textlink="">
      <xdr:nvSpPr>
        <xdr:cNvPr id="58675" name="Line 139">
          <a:extLst>
            <a:ext uri="{FF2B5EF4-FFF2-40B4-BE49-F238E27FC236}">
              <a16:creationId xmlns:a16="http://schemas.microsoft.com/office/drawing/2014/main" id="{4FFBD985-6533-58A9-E448-EBBED3870C3C}"/>
            </a:ext>
          </a:extLst>
        </xdr:cNvPr>
        <xdr:cNvSpPr>
          <a:spLocks noChangeShapeType="1"/>
        </xdr:cNvSpPr>
      </xdr:nvSpPr>
      <xdr:spPr bwMode="auto">
        <a:xfrm>
          <a:off x="2578100" y="34759900"/>
          <a:ext cx="228600" cy="1651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444500</xdr:colOff>
      <xdr:row>203</xdr:row>
      <xdr:rowOff>101600</xdr:rowOff>
    </xdr:from>
    <xdr:to>
      <xdr:col>11</xdr:col>
      <xdr:colOff>444500</xdr:colOff>
      <xdr:row>205</xdr:row>
      <xdr:rowOff>0</xdr:rowOff>
    </xdr:to>
    <xdr:sp macro="" textlink="">
      <xdr:nvSpPr>
        <xdr:cNvPr id="58676" name="Line 140">
          <a:extLst>
            <a:ext uri="{FF2B5EF4-FFF2-40B4-BE49-F238E27FC236}">
              <a16:creationId xmlns:a16="http://schemas.microsoft.com/office/drawing/2014/main" id="{1BCE6E42-9F32-FAFA-0A67-8D2F03EDD7CB}"/>
            </a:ext>
          </a:extLst>
        </xdr:cNvPr>
        <xdr:cNvSpPr>
          <a:spLocks noChangeShapeType="1"/>
        </xdr:cNvSpPr>
      </xdr:nvSpPr>
      <xdr:spPr bwMode="auto">
        <a:xfrm>
          <a:off x="7848600" y="34925000"/>
          <a:ext cx="0" cy="2286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419100</xdr:colOff>
      <xdr:row>200</xdr:row>
      <xdr:rowOff>139700</xdr:rowOff>
    </xdr:from>
    <xdr:to>
      <xdr:col>11</xdr:col>
      <xdr:colOff>444500</xdr:colOff>
      <xdr:row>203</xdr:row>
      <xdr:rowOff>101600</xdr:rowOff>
    </xdr:to>
    <xdr:sp macro="" textlink="">
      <xdr:nvSpPr>
        <xdr:cNvPr id="58677" name="Line 141">
          <a:extLst>
            <a:ext uri="{FF2B5EF4-FFF2-40B4-BE49-F238E27FC236}">
              <a16:creationId xmlns:a16="http://schemas.microsoft.com/office/drawing/2014/main" id="{24334EC6-E5B2-D806-E1A8-63A696162BE0}"/>
            </a:ext>
          </a:extLst>
        </xdr:cNvPr>
        <xdr:cNvSpPr>
          <a:spLocks noChangeShapeType="1"/>
        </xdr:cNvSpPr>
      </xdr:nvSpPr>
      <xdr:spPr bwMode="auto">
        <a:xfrm>
          <a:off x="7823200" y="34467800"/>
          <a:ext cx="25400" cy="4572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444500</xdr:colOff>
      <xdr:row>204</xdr:row>
      <xdr:rowOff>50800</xdr:rowOff>
    </xdr:from>
    <xdr:to>
      <xdr:col>12</xdr:col>
      <xdr:colOff>482600</xdr:colOff>
      <xdr:row>206</xdr:row>
      <xdr:rowOff>25400</xdr:rowOff>
    </xdr:to>
    <xdr:sp macro="" textlink="">
      <xdr:nvSpPr>
        <xdr:cNvPr id="58678" name="Line 142">
          <a:extLst>
            <a:ext uri="{FF2B5EF4-FFF2-40B4-BE49-F238E27FC236}">
              <a16:creationId xmlns:a16="http://schemas.microsoft.com/office/drawing/2014/main" id="{8CE9A7E8-E7C1-50D3-7D1C-CCBEBD30C77E}"/>
            </a:ext>
          </a:extLst>
        </xdr:cNvPr>
        <xdr:cNvSpPr>
          <a:spLocks noChangeShapeType="1"/>
        </xdr:cNvSpPr>
      </xdr:nvSpPr>
      <xdr:spPr bwMode="auto">
        <a:xfrm>
          <a:off x="7848600" y="35039300"/>
          <a:ext cx="711200" cy="3048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oval" w="med" len="med"/>
          <a:tailEnd type="oval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469900</xdr:colOff>
      <xdr:row>204</xdr:row>
      <xdr:rowOff>0</xdr:rowOff>
    </xdr:from>
    <xdr:to>
      <xdr:col>13</xdr:col>
      <xdr:colOff>609600</xdr:colOff>
      <xdr:row>210</xdr:row>
      <xdr:rowOff>12700</xdr:rowOff>
    </xdr:to>
    <xdr:sp macro="" textlink="">
      <xdr:nvSpPr>
        <xdr:cNvPr id="58679" name="Rectangle 143">
          <a:extLst>
            <a:ext uri="{FF2B5EF4-FFF2-40B4-BE49-F238E27FC236}">
              <a16:creationId xmlns:a16="http://schemas.microsoft.com/office/drawing/2014/main" id="{19C0E2D6-598D-7135-63D4-8179436CDCF7}"/>
            </a:ext>
          </a:extLst>
        </xdr:cNvPr>
        <xdr:cNvSpPr>
          <a:spLocks noChangeArrowheads="1"/>
        </xdr:cNvSpPr>
      </xdr:nvSpPr>
      <xdr:spPr bwMode="auto">
        <a:xfrm>
          <a:off x="8547100" y="34988500"/>
          <a:ext cx="812800" cy="1003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 editAs="oneCell">
    <xdr:from>
      <xdr:col>12</xdr:col>
      <xdr:colOff>508000</xdr:colOff>
      <xdr:row>204</xdr:row>
      <xdr:rowOff>11430</xdr:rowOff>
    </xdr:from>
    <xdr:to>
      <xdr:col>13</xdr:col>
      <xdr:colOff>534670</xdr:colOff>
      <xdr:row>209</xdr:row>
      <xdr:rowOff>135378</xdr:rowOff>
    </xdr:to>
    <xdr:sp macro="" textlink="">
      <xdr:nvSpPr>
        <xdr:cNvPr id="31888" name="Text Box 144">
          <a:extLst>
            <a:ext uri="{FF2B5EF4-FFF2-40B4-BE49-F238E27FC236}">
              <a16:creationId xmlns:a16="http://schemas.microsoft.com/office/drawing/2014/main" id="{77EB80AD-772C-1593-C652-C4F2FFD2AFDC}"/>
            </a:ext>
          </a:extLst>
        </xdr:cNvPr>
        <xdr:cNvSpPr txBox="1">
          <a:spLocks noChangeArrowheads="1"/>
        </xdr:cNvSpPr>
      </xdr:nvSpPr>
      <xdr:spPr bwMode="auto">
        <a:xfrm>
          <a:off x="7772400" y="34023300"/>
          <a:ext cx="638175" cy="923925"/>
        </a:xfrm>
        <a:prstGeom prst="rect">
          <a:avLst/>
        </a:prstGeom>
        <a:noFill/>
        <a:ln>
          <a:noFill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Straight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Flange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Varies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2" Nom.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51mm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3</xdr:col>
      <xdr:colOff>190500</xdr:colOff>
      <xdr:row>200</xdr:row>
      <xdr:rowOff>101600</xdr:rowOff>
    </xdr:from>
    <xdr:to>
      <xdr:col>3</xdr:col>
      <xdr:colOff>546100</xdr:colOff>
      <xdr:row>202</xdr:row>
      <xdr:rowOff>76200</xdr:rowOff>
    </xdr:to>
    <xdr:sp macro="" textlink="">
      <xdr:nvSpPr>
        <xdr:cNvPr id="58681" name="Line 145">
          <a:extLst>
            <a:ext uri="{FF2B5EF4-FFF2-40B4-BE49-F238E27FC236}">
              <a16:creationId xmlns:a16="http://schemas.microsoft.com/office/drawing/2014/main" id="{9142A51A-EEB8-9CC5-EF63-17CEC80066B1}"/>
            </a:ext>
          </a:extLst>
        </xdr:cNvPr>
        <xdr:cNvSpPr>
          <a:spLocks noChangeShapeType="1"/>
        </xdr:cNvSpPr>
      </xdr:nvSpPr>
      <xdr:spPr bwMode="auto">
        <a:xfrm flipH="1" flipV="1">
          <a:off x="2209800" y="34429700"/>
          <a:ext cx="355600" cy="3048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63500</xdr:colOff>
      <xdr:row>200</xdr:row>
      <xdr:rowOff>101600</xdr:rowOff>
    </xdr:from>
    <xdr:to>
      <xdr:col>3</xdr:col>
      <xdr:colOff>190500</xdr:colOff>
      <xdr:row>200</xdr:row>
      <xdr:rowOff>101600</xdr:rowOff>
    </xdr:to>
    <xdr:sp macro="" textlink="">
      <xdr:nvSpPr>
        <xdr:cNvPr id="58682" name="Line 146">
          <a:extLst>
            <a:ext uri="{FF2B5EF4-FFF2-40B4-BE49-F238E27FC236}">
              <a16:creationId xmlns:a16="http://schemas.microsoft.com/office/drawing/2014/main" id="{792C2076-35FD-06E1-97F4-0DCE16DD6340}"/>
            </a:ext>
          </a:extLst>
        </xdr:cNvPr>
        <xdr:cNvSpPr>
          <a:spLocks noChangeShapeType="1"/>
        </xdr:cNvSpPr>
      </xdr:nvSpPr>
      <xdr:spPr bwMode="auto">
        <a:xfrm flipH="1">
          <a:off x="2082800" y="34429700"/>
          <a:ext cx="1270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38100</xdr:colOff>
      <xdr:row>201</xdr:row>
      <xdr:rowOff>12700</xdr:rowOff>
    </xdr:from>
    <xdr:to>
      <xdr:col>8</xdr:col>
      <xdr:colOff>469900</xdr:colOff>
      <xdr:row>210</xdr:row>
      <xdr:rowOff>139700</xdr:rowOff>
    </xdr:to>
    <xdr:sp macro="" textlink="">
      <xdr:nvSpPr>
        <xdr:cNvPr id="58683" name="Line 147">
          <a:extLst>
            <a:ext uri="{FF2B5EF4-FFF2-40B4-BE49-F238E27FC236}">
              <a16:creationId xmlns:a16="http://schemas.microsoft.com/office/drawing/2014/main" id="{829D1C46-36E4-B8B1-17A4-662EA2B3BAB3}"/>
            </a:ext>
          </a:extLst>
        </xdr:cNvPr>
        <xdr:cNvSpPr>
          <a:spLocks noChangeShapeType="1"/>
        </xdr:cNvSpPr>
      </xdr:nvSpPr>
      <xdr:spPr bwMode="auto">
        <a:xfrm flipV="1">
          <a:off x="4749800" y="34505900"/>
          <a:ext cx="1104900" cy="16129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508000</xdr:colOff>
      <xdr:row>198</xdr:row>
      <xdr:rowOff>101600</xdr:rowOff>
    </xdr:from>
    <xdr:to>
      <xdr:col>9</xdr:col>
      <xdr:colOff>114300</xdr:colOff>
      <xdr:row>201</xdr:row>
      <xdr:rowOff>0</xdr:rowOff>
    </xdr:to>
    <xdr:sp macro="" textlink="">
      <xdr:nvSpPr>
        <xdr:cNvPr id="58684" name="Line 148">
          <a:extLst>
            <a:ext uri="{FF2B5EF4-FFF2-40B4-BE49-F238E27FC236}">
              <a16:creationId xmlns:a16="http://schemas.microsoft.com/office/drawing/2014/main" id="{53AE276C-2804-5087-5B17-2AFB8956FCD7}"/>
            </a:ext>
          </a:extLst>
        </xdr:cNvPr>
        <xdr:cNvSpPr>
          <a:spLocks noChangeShapeType="1"/>
        </xdr:cNvSpPr>
      </xdr:nvSpPr>
      <xdr:spPr bwMode="auto">
        <a:xfrm flipV="1">
          <a:off x="5892800" y="34099500"/>
          <a:ext cx="279400" cy="3937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114300</xdr:colOff>
      <xdr:row>198</xdr:row>
      <xdr:rowOff>101600</xdr:rowOff>
    </xdr:from>
    <xdr:to>
      <xdr:col>9</xdr:col>
      <xdr:colOff>317500</xdr:colOff>
      <xdr:row>198</xdr:row>
      <xdr:rowOff>101600</xdr:rowOff>
    </xdr:to>
    <xdr:sp macro="" textlink="">
      <xdr:nvSpPr>
        <xdr:cNvPr id="58685" name="Line 149">
          <a:extLst>
            <a:ext uri="{FF2B5EF4-FFF2-40B4-BE49-F238E27FC236}">
              <a16:creationId xmlns:a16="http://schemas.microsoft.com/office/drawing/2014/main" id="{39470370-CC30-7C88-C567-7F28DFB33303}"/>
            </a:ext>
          </a:extLst>
        </xdr:cNvPr>
        <xdr:cNvSpPr>
          <a:spLocks noChangeShapeType="1"/>
        </xdr:cNvSpPr>
      </xdr:nvSpPr>
      <xdr:spPr bwMode="auto">
        <a:xfrm>
          <a:off x="6172200" y="34099500"/>
          <a:ext cx="2032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558800</xdr:colOff>
      <xdr:row>206</xdr:row>
      <xdr:rowOff>38100</xdr:rowOff>
    </xdr:from>
    <xdr:to>
      <xdr:col>8</xdr:col>
      <xdr:colOff>215900</xdr:colOff>
      <xdr:row>207</xdr:row>
      <xdr:rowOff>63500</xdr:rowOff>
    </xdr:to>
    <xdr:sp macro="" textlink="">
      <xdr:nvSpPr>
        <xdr:cNvPr id="58686" name="Line 150">
          <a:extLst>
            <a:ext uri="{FF2B5EF4-FFF2-40B4-BE49-F238E27FC236}">
              <a16:creationId xmlns:a16="http://schemas.microsoft.com/office/drawing/2014/main" id="{93979C69-3222-C604-C3C4-83C604901807}"/>
            </a:ext>
          </a:extLst>
        </xdr:cNvPr>
        <xdr:cNvSpPr>
          <a:spLocks noChangeShapeType="1"/>
        </xdr:cNvSpPr>
      </xdr:nvSpPr>
      <xdr:spPr bwMode="auto">
        <a:xfrm>
          <a:off x="5270500" y="35356800"/>
          <a:ext cx="330200" cy="19050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oval" w="med" len="med"/>
          <a:tailEnd type="oval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9</xdr:col>
      <xdr:colOff>337820</xdr:colOff>
      <xdr:row>197</xdr:row>
      <xdr:rowOff>148590</xdr:rowOff>
    </xdr:from>
    <xdr:ext cx="1220591" cy="200119"/>
    <xdr:sp macro="" textlink="">
      <xdr:nvSpPr>
        <xdr:cNvPr id="31895" name="Text Box 151">
          <a:extLst>
            <a:ext uri="{FF2B5EF4-FFF2-40B4-BE49-F238E27FC236}">
              <a16:creationId xmlns:a16="http://schemas.microsoft.com/office/drawing/2014/main" id="{95C0A993-5059-1AAE-7564-858E8BDD416D}"/>
            </a:ext>
          </a:extLst>
        </xdr:cNvPr>
        <xdr:cNvSpPr txBox="1">
          <a:spLocks noChangeArrowheads="1"/>
        </xdr:cNvSpPr>
      </xdr:nvSpPr>
      <xdr:spPr bwMode="auto">
        <a:xfrm>
          <a:off x="5798820" y="33943290"/>
          <a:ext cx="1220591" cy="200119"/>
        </a:xfrm>
        <a:prstGeom prst="rect">
          <a:avLst/>
        </a:prstGeom>
        <a:noFill/>
        <a:ln>
          <a:noFill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Wall Thickness </a:t>
          </a: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"T"</a:t>
          </a:r>
        </a:p>
      </xdr:txBody>
    </xdr:sp>
    <xdr:clientData/>
  </xdr:oneCellAnchor>
  <xdr:oneCellAnchor>
    <xdr:from>
      <xdr:col>1</xdr:col>
      <xdr:colOff>665095</xdr:colOff>
      <xdr:row>199</xdr:row>
      <xdr:rowOff>15240</xdr:rowOff>
    </xdr:from>
    <xdr:ext cx="998991" cy="347596"/>
    <xdr:sp macro="" textlink="">
      <xdr:nvSpPr>
        <xdr:cNvPr id="31896" name="Text Box 152">
          <a:extLst>
            <a:ext uri="{FF2B5EF4-FFF2-40B4-BE49-F238E27FC236}">
              <a16:creationId xmlns:a16="http://schemas.microsoft.com/office/drawing/2014/main" id="{9D4D9080-0F38-0DAD-7288-CBD0B6324C03}"/>
            </a:ext>
          </a:extLst>
        </xdr:cNvPr>
        <xdr:cNvSpPr txBox="1">
          <a:spLocks noChangeArrowheads="1"/>
        </xdr:cNvSpPr>
      </xdr:nvSpPr>
      <xdr:spPr bwMode="auto">
        <a:xfrm>
          <a:off x="1338195" y="34178240"/>
          <a:ext cx="998991" cy="347596"/>
        </a:xfrm>
        <a:prstGeom prst="rect">
          <a:avLst/>
        </a:prstGeom>
        <a:noFill/>
        <a:ln>
          <a:noFill/>
        </a:ln>
      </xdr:spPr>
      <xdr:txBody>
        <a:bodyPr wrap="none" lIns="18288" tIns="22860" rIns="18288" bIns="0" anchor="t" upright="1">
          <a:spAutoFit/>
        </a:bodyPr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Knuckle Radius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"</a:t>
          </a: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R2"</a:t>
          </a:r>
        </a:p>
      </xdr:txBody>
    </xdr:sp>
    <xdr:clientData/>
  </xdr:oneCellAnchor>
  <xdr:oneCellAnchor>
    <xdr:from>
      <xdr:col>8</xdr:col>
      <xdr:colOff>263128</xdr:colOff>
      <xdr:row>206</xdr:row>
      <xdr:rowOff>140970</xdr:rowOff>
    </xdr:from>
    <xdr:ext cx="789823" cy="347596"/>
    <xdr:sp macro="" textlink="">
      <xdr:nvSpPr>
        <xdr:cNvPr id="31897" name="Text Box 153">
          <a:extLst>
            <a:ext uri="{FF2B5EF4-FFF2-40B4-BE49-F238E27FC236}">
              <a16:creationId xmlns:a16="http://schemas.microsoft.com/office/drawing/2014/main" id="{101A4B20-3A8A-FBFD-D957-0D1B030F0ADB}"/>
            </a:ext>
          </a:extLst>
        </xdr:cNvPr>
        <xdr:cNvSpPr txBox="1">
          <a:spLocks noChangeArrowheads="1"/>
        </xdr:cNvSpPr>
      </xdr:nvSpPr>
      <xdr:spPr bwMode="auto">
        <a:xfrm>
          <a:off x="5114528" y="35444430"/>
          <a:ext cx="778035" cy="347596"/>
        </a:xfrm>
        <a:prstGeom prst="rect">
          <a:avLst/>
        </a:prstGeom>
        <a:noFill/>
        <a:ln>
          <a:noFill/>
        </a:ln>
      </xdr:spPr>
      <xdr:txBody>
        <a:bodyPr wrap="none" lIns="18288" tIns="22860" rIns="18288" bIns="0" anchor="t" upright="1">
          <a:spAutoFit/>
        </a:bodyPr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Dish Radius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"</a:t>
          </a: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R1"</a:t>
          </a:r>
        </a:p>
      </xdr:txBody>
    </xdr:sp>
    <xdr:clientData/>
  </xdr:oneCellAnchor>
  <xdr:twoCellAnchor>
    <xdr:from>
      <xdr:col>9</xdr:col>
      <xdr:colOff>635000</xdr:colOff>
      <xdr:row>202</xdr:row>
      <xdr:rowOff>101600</xdr:rowOff>
    </xdr:from>
    <xdr:to>
      <xdr:col>10</xdr:col>
      <xdr:colOff>165100</xdr:colOff>
      <xdr:row>203</xdr:row>
      <xdr:rowOff>101600</xdr:rowOff>
    </xdr:to>
    <xdr:sp macro="" textlink="">
      <xdr:nvSpPr>
        <xdr:cNvPr id="58690" name="Line 154">
          <a:extLst>
            <a:ext uri="{FF2B5EF4-FFF2-40B4-BE49-F238E27FC236}">
              <a16:creationId xmlns:a16="http://schemas.microsoft.com/office/drawing/2014/main" id="{1FD91DC1-3C12-72FD-3A3E-CD5D8440F823}"/>
            </a:ext>
          </a:extLst>
        </xdr:cNvPr>
        <xdr:cNvSpPr>
          <a:spLocks noChangeShapeType="1"/>
        </xdr:cNvSpPr>
      </xdr:nvSpPr>
      <xdr:spPr bwMode="auto">
        <a:xfrm flipH="1">
          <a:off x="6692900" y="34759900"/>
          <a:ext cx="203200" cy="1651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196</xdr:row>
      <xdr:rowOff>101600</xdr:rowOff>
    </xdr:from>
    <xdr:to>
      <xdr:col>4</xdr:col>
      <xdr:colOff>114300</xdr:colOff>
      <xdr:row>203</xdr:row>
      <xdr:rowOff>114300</xdr:rowOff>
    </xdr:to>
    <xdr:sp macro="" textlink="">
      <xdr:nvSpPr>
        <xdr:cNvPr id="58691" name="Line 155">
          <a:extLst>
            <a:ext uri="{FF2B5EF4-FFF2-40B4-BE49-F238E27FC236}">
              <a16:creationId xmlns:a16="http://schemas.microsoft.com/office/drawing/2014/main" id="{161F1984-6C9C-B85B-49E8-438AB56B5377}"/>
            </a:ext>
          </a:extLst>
        </xdr:cNvPr>
        <xdr:cNvSpPr>
          <a:spLocks noChangeShapeType="1"/>
        </xdr:cNvSpPr>
      </xdr:nvSpPr>
      <xdr:spPr bwMode="auto">
        <a:xfrm flipV="1">
          <a:off x="2806700" y="33769300"/>
          <a:ext cx="0" cy="11684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609600</xdr:colOff>
      <xdr:row>199</xdr:row>
      <xdr:rowOff>101600</xdr:rowOff>
    </xdr:from>
    <xdr:to>
      <xdr:col>9</xdr:col>
      <xdr:colOff>622300</xdr:colOff>
      <xdr:row>203</xdr:row>
      <xdr:rowOff>139700</xdr:rowOff>
    </xdr:to>
    <xdr:sp macro="" textlink="">
      <xdr:nvSpPr>
        <xdr:cNvPr id="58692" name="Line 156">
          <a:extLst>
            <a:ext uri="{FF2B5EF4-FFF2-40B4-BE49-F238E27FC236}">
              <a16:creationId xmlns:a16="http://schemas.microsoft.com/office/drawing/2014/main" id="{3A8E9DDE-5696-DD3F-1444-AF7D1DAB8E81}"/>
            </a:ext>
          </a:extLst>
        </xdr:cNvPr>
        <xdr:cNvSpPr>
          <a:spLocks noChangeShapeType="1"/>
        </xdr:cNvSpPr>
      </xdr:nvSpPr>
      <xdr:spPr bwMode="auto">
        <a:xfrm flipH="1" flipV="1">
          <a:off x="6667500" y="34264600"/>
          <a:ext cx="12700" cy="6985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596900</xdr:colOff>
      <xdr:row>196</xdr:row>
      <xdr:rowOff>139700</xdr:rowOff>
    </xdr:from>
    <xdr:to>
      <xdr:col>9</xdr:col>
      <xdr:colOff>596900</xdr:colOff>
      <xdr:row>197</xdr:row>
      <xdr:rowOff>139700</xdr:rowOff>
    </xdr:to>
    <xdr:sp macro="" textlink="">
      <xdr:nvSpPr>
        <xdr:cNvPr id="58693" name="Line 157">
          <a:extLst>
            <a:ext uri="{FF2B5EF4-FFF2-40B4-BE49-F238E27FC236}">
              <a16:creationId xmlns:a16="http://schemas.microsoft.com/office/drawing/2014/main" id="{1743419C-EA1B-C202-D88A-A3D45317E3A6}"/>
            </a:ext>
          </a:extLst>
        </xdr:cNvPr>
        <xdr:cNvSpPr>
          <a:spLocks noChangeShapeType="1"/>
        </xdr:cNvSpPr>
      </xdr:nvSpPr>
      <xdr:spPr bwMode="auto">
        <a:xfrm flipH="1" flipV="1">
          <a:off x="6654800" y="33807400"/>
          <a:ext cx="0" cy="1651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127000</xdr:colOff>
      <xdr:row>197</xdr:row>
      <xdr:rowOff>12700</xdr:rowOff>
    </xdr:from>
    <xdr:to>
      <xdr:col>9</xdr:col>
      <xdr:colOff>584200</xdr:colOff>
      <xdr:row>197</xdr:row>
      <xdr:rowOff>12700</xdr:rowOff>
    </xdr:to>
    <xdr:sp macro="" textlink="">
      <xdr:nvSpPr>
        <xdr:cNvPr id="58694" name="Line 158">
          <a:extLst>
            <a:ext uri="{FF2B5EF4-FFF2-40B4-BE49-F238E27FC236}">
              <a16:creationId xmlns:a16="http://schemas.microsoft.com/office/drawing/2014/main" id="{88BB3D41-3E1B-4529-8199-A2AF50A9EB32}"/>
            </a:ext>
          </a:extLst>
        </xdr:cNvPr>
        <xdr:cNvSpPr>
          <a:spLocks noChangeShapeType="1"/>
        </xdr:cNvSpPr>
      </xdr:nvSpPr>
      <xdr:spPr bwMode="auto">
        <a:xfrm>
          <a:off x="2819400" y="33845500"/>
          <a:ext cx="38227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5</xdr:col>
      <xdr:colOff>504190</xdr:colOff>
      <xdr:row>195</xdr:row>
      <xdr:rowOff>135255</xdr:rowOff>
    </xdr:from>
    <xdr:ext cx="1645947" cy="170560"/>
    <xdr:sp macro="" textlink="">
      <xdr:nvSpPr>
        <xdr:cNvPr id="31903" name="Text Box 159">
          <a:extLst>
            <a:ext uri="{FF2B5EF4-FFF2-40B4-BE49-F238E27FC236}">
              <a16:creationId xmlns:a16="http://schemas.microsoft.com/office/drawing/2014/main" id="{CD678759-8D9F-F7FF-BD31-5B8710B5D3ED}"/>
            </a:ext>
          </a:extLst>
        </xdr:cNvPr>
        <xdr:cNvSpPr txBox="1">
          <a:spLocks noChangeArrowheads="1"/>
        </xdr:cNvSpPr>
      </xdr:nvSpPr>
      <xdr:spPr bwMode="auto">
        <a:xfrm>
          <a:off x="3501390" y="33594675"/>
          <a:ext cx="1657377" cy="170560"/>
        </a:xfrm>
        <a:prstGeom prst="rect">
          <a:avLst/>
        </a:prstGeom>
        <a:noFill/>
        <a:ln>
          <a:noFill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Area for nozzle attachment</a:t>
          </a:r>
        </a:p>
      </xdr:txBody>
    </xdr:sp>
    <xdr:clientData/>
  </xdr:oneCellAnchor>
  <xdr:oneCellAnchor>
    <xdr:from>
      <xdr:col>6</xdr:col>
      <xdr:colOff>81280</xdr:colOff>
      <xdr:row>197</xdr:row>
      <xdr:rowOff>26670</xdr:rowOff>
    </xdr:from>
    <xdr:ext cx="964815" cy="203048"/>
    <xdr:sp macro="" textlink="">
      <xdr:nvSpPr>
        <xdr:cNvPr id="31904" name="Text Box 160">
          <a:extLst>
            <a:ext uri="{FF2B5EF4-FFF2-40B4-BE49-F238E27FC236}">
              <a16:creationId xmlns:a16="http://schemas.microsoft.com/office/drawing/2014/main" id="{DFB1394C-9E0A-4306-6638-3CE5B1E0367C}"/>
            </a:ext>
          </a:extLst>
        </xdr:cNvPr>
        <xdr:cNvSpPr txBox="1">
          <a:spLocks noChangeArrowheads="1"/>
        </xdr:cNvSpPr>
      </xdr:nvSpPr>
      <xdr:spPr bwMode="auto">
        <a:xfrm>
          <a:off x="3710940" y="33870900"/>
          <a:ext cx="941283" cy="170560"/>
        </a:xfrm>
        <a:prstGeom prst="rect">
          <a:avLst/>
        </a:prstGeom>
        <a:noFill/>
        <a:ln>
          <a:noFill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O.D. - (R2+T)x2</a:t>
          </a:r>
        </a:p>
      </xdr:txBody>
    </xdr:sp>
    <xdr:clientData/>
  </xdr:oneCellAnchor>
  <xdr:twoCellAnchor>
    <xdr:from>
      <xdr:col>3</xdr:col>
      <xdr:colOff>292100</xdr:colOff>
      <xdr:row>205</xdr:row>
      <xdr:rowOff>50800</xdr:rowOff>
    </xdr:from>
    <xdr:to>
      <xdr:col>3</xdr:col>
      <xdr:colOff>292100</xdr:colOff>
      <xdr:row>215</xdr:row>
      <xdr:rowOff>0</xdr:rowOff>
    </xdr:to>
    <xdr:sp macro="" textlink="">
      <xdr:nvSpPr>
        <xdr:cNvPr id="58697" name="Line 161">
          <a:extLst>
            <a:ext uri="{FF2B5EF4-FFF2-40B4-BE49-F238E27FC236}">
              <a16:creationId xmlns:a16="http://schemas.microsoft.com/office/drawing/2014/main" id="{EEC5CA9E-0912-0D22-D1BF-BBF8CB8FD1EA}"/>
            </a:ext>
          </a:extLst>
        </xdr:cNvPr>
        <xdr:cNvSpPr>
          <a:spLocks noChangeShapeType="1"/>
        </xdr:cNvSpPr>
      </xdr:nvSpPr>
      <xdr:spPr bwMode="auto">
        <a:xfrm>
          <a:off x="2311400" y="35204400"/>
          <a:ext cx="0" cy="16002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381000</xdr:colOff>
      <xdr:row>205</xdr:row>
      <xdr:rowOff>63500</xdr:rowOff>
    </xdr:from>
    <xdr:to>
      <xdr:col>10</xdr:col>
      <xdr:colOff>381000</xdr:colOff>
      <xdr:row>215</xdr:row>
      <xdr:rowOff>25400</xdr:rowOff>
    </xdr:to>
    <xdr:sp macro="" textlink="">
      <xdr:nvSpPr>
        <xdr:cNvPr id="58698" name="Line 162">
          <a:extLst>
            <a:ext uri="{FF2B5EF4-FFF2-40B4-BE49-F238E27FC236}">
              <a16:creationId xmlns:a16="http://schemas.microsoft.com/office/drawing/2014/main" id="{D8FCF141-57B0-166E-5F3A-0FAA8284969F}"/>
            </a:ext>
          </a:extLst>
        </xdr:cNvPr>
        <xdr:cNvSpPr>
          <a:spLocks noChangeShapeType="1"/>
        </xdr:cNvSpPr>
      </xdr:nvSpPr>
      <xdr:spPr bwMode="auto">
        <a:xfrm>
          <a:off x="7112000" y="35217100"/>
          <a:ext cx="0" cy="16129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279400</xdr:colOff>
      <xdr:row>214</xdr:row>
      <xdr:rowOff>101600</xdr:rowOff>
    </xdr:from>
    <xdr:to>
      <xdr:col>10</xdr:col>
      <xdr:colOff>381000</xdr:colOff>
      <xdr:row>214</xdr:row>
      <xdr:rowOff>101600</xdr:rowOff>
    </xdr:to>
    <xdr:sp macro="" textlink="">
      <xdr:nvSpPr>
        <xdr:cNvPr id="58699" name="Line 163">
          <a:extLst>
            <a:ext uri="{FF2B5EF4-FFF2-40B4-BE49-F238E27FC236}">
              <a16:creationId xmlns:a16="http://schemas.microsoft.com/office/drawing/2014/main" id="{F088081C-00A1-4B19-C60A-E72AAA95D8F7}"/>
            </a:ext>
          </a:extLst>
        </xdr:cNvPr>
        <xdr:cNvSpPr>
          <a:spLocks noChangeShapeType="1"/>
        </xdr:cNvSpPr>
      </xdr:nvSpPr>
      <xdr:spPr bwMode="auto">
        <a:xfrm>
          <a:off x="2298700" y="36741100"/>
          <a:ext cx="48133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5</xdr:col>
      <xdr:colOff>405765</xdr:colOff>
      <xdr:row>213</xdr:row>
      <xdr:rowOff>59055</xdr:rowOff>
    </xdr:from>
    <xdr:ext cx="1465016" cy="170560"/>
    <xdr:sp macro="" textlink="">
      <xdr:nvSpPr>
        <xdr:cNvPr id="31908" name="Text Box 164">
          <a:extLst>
            <a:ext uri="{FF2B5EF4-FFF2-40B4-BE49-F238E27FC236}">
              <a16:creationId xmlns:a16="http://schemas.microsoft.com/office/drawing/2014/main" id="{71ED70BA-9FA0-DB6F-0A43-5243E5D90DA5}"/>
            </a:ext>
          </a:extLst>
        </xdr:cNvPr>
        <xdr:cNvSpPr txBox="1">
          <a:spLocks noChangeArrowheads="1"/>
        </xdr:cNvSpPr>
      </xdr:nvSpPr>
      <xdr:spPr bwMode="auto">
        <a:xfrm>
          <a:off x="3771265" y="36533455"/>
          <a:ext cx="1465016" cy="170560"/>
        </a:xfrm>
        <a:prstGeom prst="rect">
          <a:avLst/>
        </a:prstGeom>
        <a:noFill/>
        <a:ln>
          <a:noFill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Outside Diameter (O.D.)</a:t>
          </a:r>
        </a:p>
      </xdr:txBody>
    </xdr:sp>
    <xdr:clientData/>
  </xdr:oneCellAnchor>
  <xdr:oneCellAnchor>
    <xdr:from>
      <xdr:col>4</xdr:col>
      <xdr:colOff>419100</xdr:colOff>
      <xdr:row>215</xdr:row>
      <xdr:rowOff>57150</xdr:rowOff>
    </xdr:from>
    <xdr:ext cx="2910220" cy="234167"/>
    <xdr:sp macro="" textlink="">
      <xdr:nvSpPr>
        <xdr:cNvPr id="31909" name="Text Box 165">
          <a:extLst>
            <a:ext uri="{FF2B5EF4-FFF2-40B4-BE49-F238E27FC236}">
              <a16:creationId xmlns:a16="http://schemas.microsoft.com/office/drawing/2014/main" id="{47D3E927-8C6A-192B-6DAD-B3BF4C69D285}"/>
            </a:ext>
          </a:extLst>
        </xdr:cNvPr>
        <xdr:cNvSpPr txBox="1">
          <a:spLocks noChangeArrowheads="1"/>
        </xdr:cNvSpPr>
      </xdr:nvSpPr>
      <xdr:spPr bwMode="auto">
        <a:xfrm>
          <a:off x="3111500" y="36861750"/>
          <a:ext cx="2910220" cy="234167"/>
        </a:xfrm>
        <a:prstGeom prst="rect">
          <a:avLst/>
        </a:prstGeom>
        <a:noFill/>
        <a:ln>
          <a:noFill/>
        </a:ln>
      </xdr:spPr>
      <xdr:txBody>
        <a:bodyPr wrap="none" lIns="27432" tIns="27432" rIns="0" bIns="0" anchor="t" upright="1">
          <a:spAutoFit/>
        </a:bodyPr>
        <a:lstStyle/>
        <a:p>
          <a:pPr algn="l" rtl="0">
            <a:defRPr sz="1000"/>
          </a:pPr>
          <a:r>
            <a:rPr lang="en-US" sz="1400" b="1" i="0" u="sng" strike="noStrike" baseline="0">
              <a:solidFill>
                <a:srgbClr val="0000FF"/>
              </a:solidFill>
              <a:latin typeface="Arial"/>
              <a:cs typeface="Arial"/>
            </a:rPr>
            <a:t>Flanged and Dished Head </a:t>
          </a:r>
          <a:r>
            <a:rPr lang="en-US" sz="1400" b="1" i="0" u="sng" strike="noStrike" baseline="0">
              <a:solidFill>
                <a:srgbClr val="FF0000"/>
              </a:solidFill>
              <a:latin typeface="Arial"/>
              <a:cs typeface="Arial"/>
            </a:rPr>
            <a:t>(ASME)</a:t>
          </a:r>
        </a:p>
      </xdr:txBody>
    </xdr:sp>
    <xdr:clientData/>
  </xdr:oneCellAnchor>
  <xdr:twoCellAnchor>
    <xdr:from>
      <xdr:col>7</xdr:col>
      <xdr:colOff>25400</xdr:colOff>
      <xdr:row>200</xdr:row>
      <xdr:rowOff>139700</xdr:rowOff>
    </xdr:from>
    <xdr:to>
      <xdr:col>11</xdr:col>
      <xdr:colOff>609600</xdr:colOff>
      <xdr:row>200</xdr:row>
      <xdr:rowOff>139700</xdr:rowOff>
    </xdr:to>
    <xdr:sp macro="" textlink="">
      <xdr:nvSpPr>
        <xdr:cNvPr id="58702" name="Line 166">
          <a:extLst>
            <a:ext uri="{FF2B5EF4-FFF2-40B4-BE49-F238E27FC236}">
              <a16:creationId xmlns:a16="http://schemas.microsoft.com/office/drawing/2014/main" id="{EEBE866D-6F18-958D-8B6F-726991CF81E0}"/>
            </a:ext>
          </a:extLst>
        </xdr:cNvPr>
        <xdr:cNvSpPr>
          <a:spLocks noChangeShapeType="1"/>
        </xdr:cNvSpPr>
      </xdr:nvSpPr>
      <xdr:spPr bwMode="auto">
        <a:xfrm>
          <a:off x="4737100" y="34467800"/>
          <a:ext cx="32766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369570</xdr:colOff>
      <xdr:row>199</xdr:row>
      <xdr:rowOff>15240</xdr:rowOff>
    </xdr:from>
    <xdr:to>
      <xdr:col>13</xdr:col>
      <xdr:colOff>646360</xdr:colOff>
      <xdr:row>202</xdr:row>
      <xdr:rowOff>102718</xdr:rowOff>
    </xdr:to>
    <xdr:sp macro="" textlink="">
      <xdr:nvSpPr>
        <xdr:cNvPr id="31911" name="Rectangle 167">
          <a:extLst>
            <a:ext uri="{FF2B5EF4-FFF2-40B4-BE49-F238E27FC236}">
              <a16:creationId xmlns:a16="http://schemas.microsoft.com/office/drawing/2014/main" id="{E15C7176-0D66-CC17-2C6D-7B6F9CCB0083}"/>
            </a:ext>
          </a:extLst>
        </xdr:cNvPr>
        <xdr:cNvSpPr>
          <a:spLocks noChangeArrowheads="1"/>
        </xdr:cNvSpPr>
      </xdr:nvSpPr>
      <xdr:spPr bwMode="auto">
        <a:xfrm>
          <a:off x="7648575" y="33223200"/>
          <a:ext cx="857250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Inside Depth</a:t>
          </a:r>
        </a:p>
        <a:p>
          <a:pPr algn="l" rtl="0">
            <a:defRPr sz="1000"/>
          </a:pP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of Dish</a:t>
          </a:r>
        </a:p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"</a:t>
          </a: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IDD"</a:t>
          </a:r>
        </a:p>
      </xdr:txBody>
    </xdr:sp>
    <xdr:clientData/>
  </xdr:twoCellAnchor>
  <xdr:twoCellAnchor>
    <xdr:from>
      <xdr:col>11</xdr:col>
      <xdr:colOff>431800</xdr:colOff>
      <xdr:row>200</xdr:row>
      <xdr:rowOff>139700</xdr:rowOff>
    </xdr:from>
    <xdr:to>
      <xdr:col>12</xdr:col>
      <xdr:colOff>342900</xdr:colOff>
      <xdr:row>202</xdr:row>
      <xdr:rowOff>50800</xdr:rowOff>
    </xdr:to>
    <xdr:sp macro="" textlink="">
      <xdr:nvSpPr>
        <xdr:cNvPr id="58704" name="Line 168">
          <a:extLst>
            <a:ext uri="{FF2B5EF4-FFF2-40B4-BE49-F238E27FC236}">
              <a16:creationId xmlns:a16="http://schemas.microsoft.com/office/drawing/2014/main" id="{AD06E96B-9FDE-DCF5-6752-57FF2FC156CB}"/>
            </a:ext>
          </a:extLst>
        </xdr:cNvPr>
        <xdr:cNvSpPr>
          <a:spLocks noChangeShapeType="1"/>
        </xdr:cNvSpPr>
      </xdr:nvSpPr>
      <xdr:spPr bwMode="auto">
        <a:xfrm flipV="1">
          <a:off x="7835900" y="34467800"/>
          <a:ext cx="584200" cy="2413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oval" w="med" len="med"/>
          <a:tailEnd type="oval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189865</xdr:colOff>
      <xdr:row>220</xdr:row>
      <xdr:rowOff>68580</xdr:rowOff>
    </xdr:from>
    <xdr:ext cx="310707" cy="227484"/>
    <xdr:sp macro="" textlink="">
      <xdr:nvSpPr>
        <xdr:cNvPr id="31913" name="Text Box 169">
          <a:extLst>
            <a:ext uri="{FF2B5EF4-FFF2-40B4-BE49-F238E27FC236}">
              <a16:creationId xmlns:a16="http://schemas.microsoft.com/office/drawing/2014/main" id="{00A9BD9B-3EA9-E135-A6E9-5B0479FCAD74}"/>
            </a:ext>
          </a:extLst>
        </xdr:cNvPr>
        <xdr:cNvSpPr txBox="1">
          <a:spLocks noChangeArrowheads="1"/>
        </xdr:cNvSpPr>
      </xdr:nvSpPr>
      <xdr:spPr bwMode="auto">
        <a:xfrm>
          <a:off x="748665" y="37858065"/>
          <a:ext cx="271869" cy="204736"/>
        </a:xfrm>
        <a:prstGeom prst="rect">
          <a:avLst/>
        </a:prstGeom>
        <a:noFill/>
        <a:ln>
          <a:noFill/>
        </a:ln>
      </xdr:spPr>
      <xdr:txBody>
        <a:bodyPr wrap="none" lIns="27432" tIns="27432" rIns="0" bIns="0" anchor="t" upright="1">
          <a:spAutoFit/>
        </a:bodyPr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26"</a:t>
          </a:r>
        </a:p>
      </xdr:txBody>
    </xdr:sp>
    <xdr:clientData/>
  </xdr:oneCellAnchor>
  <xdr:oneCellAnchor>
    <xdr:from>
      <xdr:col>1</xdr:col>
      <xdr:colOff>165100</xdr:colOff>
      <xdr:row>224</xdr:row>
      <xdr:rowOff>60960</xdr:rowOff>
    </xdr:from>
    <xdr:ext cx="296584" cy="204736"/>
    <xdr:sp macro="" textlink="">
      <xdr:nvSpPr>
        <xdr:cNvPr id="31914" name="Text Box 170">
          <a:extLst>
            <a:ext uri="{FF2B5EF4-FFF2-40B4-BE49-F238E27FC236}">
              <a16:creationId xmlns:a16="http://schemas.microsoft.com/office/drawing/2014/main" id="{EBE01BEF-7DC7-1AF9-383A-5CE899901A2B}"/>
            </a:ext>
          </a:extLst>
        </xdr:cNvPr>
        <xdr:cNvSpPr txBox="1">
          <a:spLocks noChangeArrowheads="1"/>
        </xdr:cNvSpPr>
      </xdr:nvSpPr>
      <xdr:spPr bwMode="auto">
        <a:xfrm>
          <a:off x="762000" y="38427660"/>
          <a:ext cx="271869" cy="204736"/>
        </a:xfrm>
        <a:prstGeom prst="rect">
          <a:avLst/>
        </a:prstGeom>
        <a:noFill/>
        <a:ln>
          <a:noFill/>
        </a:ln>
      </xdr:spPr>
      <xdr:txBody>
        <a:bodyPr wrap="none" lIns="27432" tIns="27432" rIns="0" bIns="0" anchor="t" upright="1">
          <a:spAutoFit/>
        </a:bodyPr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28"</a:t>
          </a:r>
        </a:p>
      </xdr:txBody>
    </xdr:sp>
    <xdr:clientData/>
  </xdr:oneCellAnchor>
  <xdr:oneCellAnchor>
    <xdr:from>
      <xdr:col>1</xdr:col>
      <xdr:colOff>134620</xdr:colOff>
      <xdr:row>228</xdr:row>
      <xdr:rowOff>15240</xdr:rowOff>
    </xdr:from>
    <xdr:ext cx="297761" cy="227484"/>
    <xdr:sp macro="" textlink="">
      <xdr:nvSpPr>
        <xdr:cNvPr id="31915" name="Text Box 171">
          <a:extLst>
            <a:ext uri="{FF2B5EF4-FFF2-40B4-BE49-F238E27FC236}">
              <a16:creationId xmlns:a16="http://schemas.microsoft.com/office/drawing/2014/main" id="{51F4396B-6D90-9DD7-C023-30348FBDBD8F}"/>
            </a:ext>
          </a:extLst>
        </xdr:cNvPr>
        <xdr:cNvSpPr txBox="1">
          <a:spLocks noChangeArrowheads="1"/>
        </xdr:cNvSpPr>
      </xdr:nvSpPr>
      <xdr:spPr bwMode="auto">
        <a:xfrm>
          <a:off x="742950" y="39071550"/>
          <a:ext cx="271869" cy="204736"/>
        </a:xfrm>
        <a:prstGeom prst="rect">
          <a:avLst/>
        </a:prstGeom>
        <a:noFill/>
        <a:ln>
          <a:noFill/>
        </a:ln>
      </xdr:spPr>
      <xdr:txBody>
        <a:bodyPr wrap="none" lIns="27432" tIns="27432" rIns="0" bIns="0" anchor="t" upright="1">
          <a:spAutoFit/>
        </a:bodyPr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30"</a:t>
          </a:r>
        </a:p>
      </xdr:txBody>
    </xdr:sp>
    <xdr:clientData/>
  </xdr:oneCellAnchor>
  <xdr:oneCellAnchor>
    <xdr:from>
      <xdr:col>1</xdr:col>
      <xdr:colOff>134620</xdr:colOff>
      <xdr:row>232</xdr:row>
      <xdr:rowOff>60960</xdr:rowOff>
    </xdr:from>
    <xdr:ext cx="297761" cy="214846"/>
    <xdr:sp macro="" textlink="">
      <xdr:nvSpPr>
        <xdr:cNvPr id="31916" name="Text Box 172">
          <a:extLst>
            <a:ext uri="{FF2B5EF4-FFF2-40B4-BE49-F238E27FC236}">
              <a16:creationId xmlns:a16="http://schemas.microsoft.com/office/drawing/2014/main" id="{608E6C62-C209-A1FE-A4D2-0717498755F1}"/>
            </a:ext>
          </a:extLst>
        </xdr:cNvPr>
        <xdr:cNvSpPr txBox="1">
          <a:spLocks noChangeArrowheads="1"/>
        </xdr:cNvSpPr>
      </xdr:nvSpPr>
      <xdr:spPr bwMode="auto">
        <a:xfrm>
          <a:off x="742950" y="39795450"/>
          <a:ext cx="271869" cy="204736"/>
        </a:xfrm>
        <a:prstGeom prst="rect">
          <a:avLst/>
        </a:prstGeom>
        <a:noFill/>
        <a:ln>
          <a:noFill/>
        </a:ln>
      </xdr:spPr>
      <xdr:txBody>
        <a:bodyPr wrap="none" lIns="27432" tIns="27432" rIns="0" bIns="0" anchor="t" upright="1">
          <a:spAutoFit/>
        </a:bodyPr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32"</a:t>
          </a:r>
        </a:p>
      </xdr:txBody>
    </xdr:sp>
    <xdr:clientData/>
  </xdr:oneCellAnchor>
  <xdr:oneCellAnchor>
    <xdr:from>
      <xdr:col>1</xdr:col>
      <xdr:colOff>134620</xdr:colOff>
      <xdr:row>236</xdr:row>
      <xdr:rowOff>41910</xdr:rowOff>
    </xdr:from>
    <xdr:ext cx="297761" cy="235328"/>
    <xdr:sp macro="" textlink="">
      <xdr:nvSpPr>
        <xdr:cNvPr id="31917" name="Text Box 173">
          <a:extLst>
            <a:ext uri="{FF2B5EF4-FFF2-40B4-BE49-F238E27FC236}">
              <a16:creationId xmlns:a16="http://schemas.microsoft.com/office/drawing/2014/main" id="{72EFF7FD-A7B8-21BD-ABAD-6DF0AA0D9BB8}"/>
            </a:ext>
          </a:extLst>
        </xdr:cNvPr>
        <xdr:cNvSpPr txBox="1">
          <a:spLocks noChangeArrowheads="1"/>
        </xdr:cNvSpPr>
      </xdr:nvSpPr>
      <xdr:spPr bwMode="auto">
        <a:xfrm>
          <a:off x="742950" y="40471725"/>
          <a:ext cx="271869" cy="204736"/>
        </a:xfrm>
        <a:prstGeom prst="rect">
          <a:avLst/>
        </a:prstGeom>
        <a:noFill/>
        <a:ln>
          <a:noFill/>
        </a:ln>
      </xdr:spPr>
      <xdr:txBody>
        <a:bodyPr wrap="none" lIns="27432" tIns="27432" rIns="0" bIns="0" anchor="t" upright="1">
          <a:spAutoFit/>
        </a:bodyPr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34"</a:t>
          </a:r>
        </a:p>
      </xdr:txBody>
    </xdr:sp>
    <xdr:clientData/>
  </xdr:oneCellAnchor>
  <xdr:oneCellAnchor>
    <xdr:from>
      <xdr:col>1</xdr:col>
      <xdr:colOff>134620</xdr:colOff>
      <xdr:row>240</xdr:row>
      <xdr:rowOff>60960</xdr:rowOff>
    </xdr:from>
    <xdr:ext cx="297761" cy="214846"/>
    <xdr:sp macro="" textlink="">
      <xdr:nvSpPr>
        <xdr:cNvPr id="31918" name="Text Box 174">
          <a:extLst>
            <a:ext uri="{FF2B5EF4-FFF2-40B4-BE49-F238E27FC236}">
              <a16:creationId xmlns:a16="http://schemas.microsoft.com/office/drawing/2014/main" id="{9D97B792-285D-A82F-4F92-94FD64C99095}"/>
            </a:ext>
          </a:extLst>
        </xdr:cNvPr>
        <xdr:cNvSpPr txBox="1">
          <a:spLocks noChangeArrowheads="1"/>
        </xdr:cNvSpPr>
      </xdr:nvSpPr>
      <xdr:spPr bwMode="auto">
        <a:xfrm>
          <a:off x="742950" y="41167050"/>
          <a:ext cx="271869" cy="204736"/>
        </a:xfrm>
        <a:prstGeom prst="rect">
          <a:avLst/>
        </a:prstGeom>
        <a:noFill/>
        <a:ln>
          <a:noFill/>
        </a:ln>
      </xdr:spPr>
      <xdr:txBody>
        <a:bodyPr wrap="none" lIns="27432" tIns="27432" rIns="0" bIns="0" anchor="t" upright="1">
          <a:spAutoFit/>
        </a:bodyPr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36"</a:t>
          </a:r>
        </a:p>
      </xdr:txBody>
    </xdr:sp>
    <xdr:clientData/>
  </xdr:oneCellAnchor>
  <xdr:oneCellAnchor>
    <xdr:from>
      <xdr:col>1</xdr:col>
      <xdr:colOff>189865</xdr:colOff>
      <xdr:row>245</xdr:row>
      <xdr:rowOff>68580</xdr:rowOff>
    </xdr:from>
    <xdr:ext cx="310707" cy="227484"/>
    <xdr:sp macro="" textlink="">
      <xdr:nvSpPr>
        <xdr:cNvPr id="31919" name="Text Box 175">
          <a:extLst>
            <a:ext uri="{FF2B5EF4-FFF2-40B4-BE49-F238E27FC236}">
              <a16:creationId xmlns:a16="http://schemas.microsoft.com/office/drawing/2014/main" id="{EE56E69E-01E6-466D-27FF-699DBF43CF04}"/>
            </a:ext>
          </a:extLst>
        </xdr:cNvPr>
        <xdr:cNvSpPr txBox="1">
          <a:spLocks noChangeArrowheads="1"/>
        </xdr:cNvSpPr>
      </xdr:nvSpPr>
      <xdr:spPr bwMode="auto">
        <a:xfrm>
          <a:off x="748665" y="42153840"/>
          <a:ext cx="271869" cy="204736"/>
        </a:xfrm>
        <a:prstGeom prst="rect">
          <a:avLst/>
        </a:prstGeom>
        <a:noFill/>
        <a:ln>
          <a:noFill/>
        </a:ln>
      </xdr:spPr>
      <xdr:txBody>
        <a:bodyPr wrap="none" lIns="27432" tIns="27432" rIns="0" bIns="0" anchor="t" upright="1">
          <a:spAutoFit/>
        </a:bodyPr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38"</a:t>
          </a:r>
        </a:p>
      </xdr:txBody>
    </xdr:sp>
    <xdr:clientData/>
  </xdr:oneCellAnchor>
  <xdr:oneCellAnchor>
    <xdr:from>
      <xdr:col>1</xdr:col>
      <xdr:colOff>165100</xdr:colOff>
      <xdr:row>249</xdr:row>
      <xdr:rowOff>45720</xdr:rowOff>
    </xdr:from>
    <xdr:ext cx="296584" cy="204736"/>
    <xdr:sp macro="" textlink="">
      <xdr:nvSpPr>
        <xdr:cNvPr id="31920" name="Text Box 176">
          <a:extLst>
            <a:ext uri="{FF2B5EF4-FFF2-40B4-BE49-F238E27FC236}">
              <a16:creationId xmlns:a16="http://schemas.microsoft.com/office/drawing/2014/main" id="{5CCCDC73-351B-A667-743C-16CD4FED16C3}"/>
            </a:ext>
          </a:extLst>
        </xdr:cNvPr>
        <xdr:cNvSpPr txBox="1">
          <a:spLocks noChangeArrowheads="1"/>
        </xdr:cNvSpPr>
      </xdr:nvSpPr>
      <xdr:spPr bwMode="auto">
        <a:xfrm>
          <a:off x="762000" y="42710100"/>
          <a:ext cx="271869" cy="204736"/>
        </a:xfrm>
        <a:prstGeom prst="rect">
          <a:avLst/>
        </a:prstGeom>
        <a:noFill/>
        <a:ln>
          <a:noFill/>
        </a:ln>
      </xdr:spPr>
      <xdr:txBody>
        <a:bodyPr wrap="none" lIns="27432" tIns="27432" rIns="0" bIns="0" anchor="t" upright="1">
          <a:spAutoFit/>
        </a:bodyPr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40"</a:t>
          </a:r>
        </a:p>
      </xdr:txBody>
    </xdr:sp>
    <xdr:clientData/>
  </xdr:oneCellAnchor>
  <xdr:oneCellAnchor>
    <xdr:from>
      <xdr:col>1</xdr:col>
      <xdr:colOff>134620</xdr:colOff>
      <xdr:row>253</xdr:row>
      <xdr:rowOff>15240</xdr:rowOff>
    </xdr:from>
    <xdr:ext cx="297761" cy="227484"/>
    <xdr:sp macro="" textlink="">
      <xdr:nvSpPr>
        <xdr:cNvPr id="31921" name="Text Box 177">
          <a:extLst>
            <a:ext uri="{FF2B5EF4-FFF2-40B4-BE49-F238E27FC236}">
              <a16:creationId xmlns:a16="http://schemas.microsoft.com/office/drawing/2014/main" id="{ADDF2CCD-E713-E25A-16CD-CD04739A3C03}"/>
            </a:ext>
          </a:extLst>
        </xdr:cNvPr>
        <xdr:cNvSpPr txBox="1">
          <a:spLocks noChangeArrowheads="1"/>
        </xdr:cNvSpPr>
      </xdr:nvSpPr>
      <xdr:spPr bwMode="auto">
        <a:xfrm>
          <a:off x="742950" y="43369230"/>
          <a:ext cx="271869" cy="204736"/>
        </a:xfrm>
        <a:prstGeom prst="rect">
          <a:avLst/>
        </a:prstGeom>
        <a:noFill/>
        <a:ln>
          <a:noFill/>
        </a:ln>
      </xdr:spPr>
      <xdr:txBody>
        <a:bodyPr wrap="none" lIns="27432" tIns="27432" rIns="0" bIns="0" anchor="t" upright="1">
          <a:spAutoFit/>
        </a:bodyPr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42"</a:t>
          </a:r>
        </a:p>
      </xdr:txBody>
    </xdr:sp>
    <xdr:clientData/>
  </xdr:oneCellAnchor>
  <xdr:oneCellAnchor>
    <xdr:from>
      <xdr:col>1</xdr:col>
      <xdr:colOff>134620</xdr:colOff>
      <xdr:row>257</xdr:row>
      <xdr:rowOff>45720</xdr:rowOff>
    </xdr:from>
    <xdr:ext cx="297761" cy="235328"/>
    <xdr:sp macro="" textlink="">
      <xdr:nvSpPr>
        <xdr:cNvPr id="31922" name="Text Box 178">
          <a:extLst>
            <a:ext uri="{FF2B5EF4-FFF2-40B4-BE49-F238E27FC236}">
              <a16:creationId xmlns:a16="http://schemas.microsoft.com/office/drawing/2014/main" id="{AAC2E212-9193-FF72-6BC8-C7EF6781CF04}"/>
            </a:ext>
          </a:extLst>
        </xdr:cNvPr>
        <xdr:cNvSpPr txBox="1">
          <a:spLocks noChangeArrowheads="1"/>
        </xdr:cNvSpPr>
      </xdr:nvSpPr>
      <xdr:spPr bwMode="auto">
        <a:xfrm>
          <a:off x="742950" y="44093130"/>
          <a:ext cx="271869" cy="204736"/>
        </a:xfrm>
        <a:prstGeom prst="rect">
          <a:avLst/>
        </a:prstGeom>
        <a:noFill/>
        <a:ln>
          <a:noFill/>
        </a:ln>
      </xdr:spPr>
      <xdr:txBody>
        <a:bodyPr wrap="none" lIns="27432" tIns="27432" rIns="0" bIns="0" anchor="t" upright="1">
          <a:spAutoFit/>
        </a:bodyPr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48"</a:t>
          </a:r>
        </a:p>
      </xdr:txBody>
    </xdr:sp>
    <xdr:clientData/>
  </xdr:oneCellAnchor>
  <xdr:oneCellAnchor>
    <xdr:from>
      <xdr:col>1</xdr:col>
      <xdr:colOff>134620</xdr:colOff>
      <xdr:row>261</xdr:row>
      <xdr:rowOff>57150</xdr:rowOff>
    </xdr:from>
    <xdr:ext cx="297761" cy="221972"/>
    <xdr:sp macro="" textlink="">
      <xdr:nvSpPr>
        <xdr:cNvPr id="31923" name="Text Box 179">
          <a:extLst>
            <a:ext uri="{FF2B5EF4-FFF2-40B4-BE49-F238E27FC236}">
              <a16:creationId xmlns:a16="http://schemas.microsoft.com/office/drawing/2014/main" id="{413D7B00-EDAE-CCF3-B7C8-5906A1C8C1CA}"/>
            </a:ext>
          </a:extLst>
        </xdr:cNvPr>
        <xdr:cNvSpPr txBox="1">
          <a:spLocks noChangeArrowheads="1"/>
        </xdr:cNvSpPr>
      </xdr:nvSpPr>
      <xdr:spPr bwMode="auto">
        <a:xfrm>
          <a:off x="742950" y="44769405"/>
          <a:ext cx="271869" cy="204736"/>
        </a:xfrm>
        <a:prstGeom prst="rect">
          <a:avLst/>
        </a:prstGeom>
        <a:noFill/>
        <a:ln>
          <a:noFill/>
        </a:ln>
      </xdr:spPr>
      <xdr:txBody>
        <a:bodyPr wrap="none" lIns="27432" tIns="27432" rIns="0" bIns="0" anchor="t" upright="1">
          <a:spAutoFit/>
        </a:bodyPr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54"</a:t>
          </a:r>
        </a:p>
      </xdr:txBody>
    </xdr:sp>
    <xdr:clientData/>
  </xdr:oneCellAnchor>
  <xdr:oneCellAnchor>
    <xdr:from>
      <xdr:col>1</xdr:col>
      <xdr:colOff>134620</xdr:colOff>
      <xdr:row>265</xdr:row>
      <xdr:rowOff>45720</xdr:rowOff>
    </xdr:from>
    <xdr:ext cx="297761" cy="235328"/>
    <xdr:sp macro="" textlink="">
      <xdr:nvSpPr>
        <xdr:cNvPr id="31924" name="Text Box 180">
          <a:extLst>
            <a:ext uri="{FF2B5EF4-FFF2-40B4-BE49-F238E27FC236}">
              <a16:creationId xmlns:a16="http://schemas.microsoft.com/office/drawing/2014/main" id="{A335FA9D-2B6E-560D-66BF-6C452C208537}"/>
            </a:ext>
          </a:extLst>
        </xdr:cNvPr>
        <xdr:cNvSpPr txBox="1">
          <a:spLocks noChangeArrowheads="1"/>
        </xdr:cNvSpPr>
      </xdr:nvSpPr>
      <xdr:spPr bwMode="auto">
        <a:xfrm>
          <a:off x="742950" y="45464730"/>
          <a:ext cx="271869" cy="204736"/>
        </a:xfrm>
        <a:prstGeom prst="rect">
          <a:avLst/>
        </a:prstGeom>
        <a:noFill/>
        <a:ln>
          <a:noFill/>
        </a:ln>
      </xdr:spPr>
      <xdr:txBody>
        <a:bodyPr wrap="none" lIns="27432" tIns="27432" rIns="0" bIns="0" anchor="t" upright="1">
          <a:spAutoFit/>
        </a:bodyPr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60"</a:t>
          </a:r>
        </a:p>
      </xdr:txBody>
    </xdr:sp>
    <xdr:clientData/>
  </xdr:oneCellAnchor>
  <xdr:oneCellAnchor>
    <xdr:from>
      <xdr:col>1</xdr:col>
      <xdr:colOff>189865</xdr:colOff>
      <xdr:row>270</xdr:row>
      <xdr:rowOff>68580</xdr:rowOff>
    </xdr:from>
    <xdr:ext cx="310707" cy="227484"/>
    <xdr:sp macro="" textlink="">
      <xdr:nvSpPr>
        <xdr:cNvPr id="31925" name="Text Box 181">
          <a:extLst>
            <a:ext uri="{FF2B5EF4-FFF2-40B4-BE49-F238E27FC236}">
              <a16:creationId xmlns:a16="http://schemas.microsoft.com/office/drawing/2014/main" id="{300B5CEC-A43B-4B47-F801-2DD36315272D}"/>
            </a:ext>
          </a:extLst>
        </xdr:cNvPr>
        <xdr:cNvSpPr txBox="1">
          <a:spLocks noChangeArrowheads="1"/>
        </xdr:cNvSpPr>
      </xdr:nvSpPr>
      <xdr:spPr bwMode="auto">
        <a:xfrm>
          <a:off x="748665" y="46449615"/>
          <a:ext cx="271869" cy="204736"/>
        </a:xfrm>
        <a:prstGeom prst="rect">
          <a:avLst/>
        </a:prstGeom>
        <a:noFill/>
        <a:ln>
          <a:noFill/>
        </a:ln>
      </xdr:spPr>
      <xdr:txBody>
        <a:bodyPr wrap="none" lIns="27432" tIns="27432" rIns="0" bIns="0" anchor="t" upright="1">
          <a:spAutoFit/>
        </a:bodyPr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66"</a:t>
          </a:r>
        </a:p>
      </xdr:txBody>
    </xdr:sp>
    <xdr:clientData/>
  </xdr:oneCellAnchor>
  <xdr:oneCellAnchor>
    <xdr:from>
      <xdr:col>1</xdr:col>
      <xdr:colOff>165100</xdr:colOff>
      <xdr:row>274</xdr:row>
      <xdr:rowOff>60960</xdr:rowOff>
    </xdr:from>
    <xdr:ext cx="296584" cy="204736"/>
    <xdr:sp macro="" textlink="">
      <xdr:nvSpPr>
        <xdr:cNvPr id="31926" name="Text Box 182">
          <a:extLst>
            <a:ext uri="{FF2B5EF4-FFF2-40B4-BE49-F238E27FC236}">
              <a16:creationId xmlns:a16="http://schemas.microsoft.com/office/drawing/2014/main" id="{C548FEB6-7F3E-D9C5-19A4-73E8CFBC59A7}"/>
            </a:ext>
          </a:extLst>
        </xdr:cNvPr>
        <xdr:cNvSpPr txBox="1">
          <a:spLocks noChangeArrowheads="1"/>
        </xdr:cNvSpPr>
      </xdr:nvSpPr>
      <xdr:spPr bwMode="auto">
        <a:xfrm>
          <a:off x="762000" y="47023020"/>
          <a:ext cx="271869" cy="204736"/>
        </a:xfrm>
        <a:prstGeom prst="rect">
          <a:avLst/>
        </a:prstGeom>
        <a:noFill/>
        <a:ln>
          <a:noFill/>
        </a:ln>
      </xdr:spPr>
      <xdr:txBody>
        <a:bodyPr wrap="none" lIns="27432" tIns="27432" rIns="0" bIns="0" anchor="t" upright="1">
          <a:spAutoFit/>
        </a:bodyPr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72"</a:t>
          </a:r>
        </a:p>
      </xdr:txBody>
    </xdr:sp>
    <xdr:clientData/>
  </xdr:oneCellAnchor>
  <xdr:oneCellAnchor>
    <xdr:from>
      <xdr:col>1</xdr:col>
      <xdr:colOff>134620</xdr:colOff>
      <xdr:row>278</xdr:row>
      <xdr:rowOff>15240</xdr:rowOff>
    </xdr:from>
    <xdr:ext cx="297761" cy="226924"/>
    <xdr:sp macro="" textlink="">
      <xdr:nvSpPr>
        <xdr:cNvPr id="31927" name="Text Box 183">
          <a:extLst>
            <a:ext uri="{FF2B5EF4-FFF2-40B4-BE49-F238E27FC236}">
              <a16:creationId xmlns:a16="http://schemas.microsoft.com/office/drawing/2014/main" id="{3C4932DE-C400-FF5A-8796-0697DA96DABD}"/>
            </a:ext>
          </a:extLst>
        </xdr:cNvPr>
        <xdr:cNvSpPr txBox="1">
          <a:spLocks noChangeArrowheads="1"/>
        </xdr:cNvSpPr>
      </xdr:nvSpPr>
      <xdr:spPr bwMode="auto">
        <a:xfrm>
          <a:off x="742950" y="47666910"/>
          <a:ext cx="271869" cy="204736"/>
        </a:xfrm>
        <a:prstGeom prst="rect">
          <a:avLst/>
        </a:prstGeom>
        <a:noFill/>
        <a:ln>
          <a:noFill/>
        </a:ln>
      </xdr:spPr>
      <xdr:txBody>
        <a:bodyPr wrap="none" lIns="27432" tIns="27432" rIns="0" bIns="0" anchor="t" upright="1">
          <a:spAutoFit/>
        </a:bodyPr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78"</a:t>
          </a:r>
        </a:p>
      </xdr:txBody>
    </xdr:sp>
    <xdr:clientData/>
  </xdr:oneCellAnchor>
  <xdr:oneCellAnchor>
    <xdr:from>
      <xdr:col>1</xdr:col>
      <xdr:colOff>134620</xdr:colOff>
      <xdr:row>282</xdr:row>
      <xdr:rowOff>60960</xdr:rowOff>
    </xdr:from>
    <xdr:ext cx="297761" cy="214317"/>
    <xdr:sp macro="" textlink="">
      <xdr:nvSpPr>
        <xdr:cNvPr id="31928" name="Text Box 184">
          <a:extLst>
            <a:ext uri="{FF2B5EF4-FFF2-40B4-BE49-F238E27FC236}">
              <a16:creationId xmlns:a16="http://schemas.microsoft.com/office/drawing/2014/main" id="{860F8059-8700-33AA-990F-C7F08888A954}"/>
            </a:ext>
          </a:extLst>
        </xdr:cNvPr>
        <xdr:cNvSpPr txBox="1">
          <a:spLocks noChangeArrowheads="1"/>
        </xdr:cNvSpPr>
      </xdr:nvSpPr>
      <xdr:spPr bwMode="auto">
        <a:xfrm>
          <a:off x="742950" y="48390810"/>
          <a:ext cx="271869" cy="204736"/>
        </a:xfrm>
        <a:prstGeom prst="rect">
          <a:avLst/>
        </a:prstGeom>
        <a:noFill/>
        <a:ln>
          <a:noFill/>
        </a:ln>
      </xdr:spPr>
      <xdr:txBody>
        <a:bodyPr wrap="none" lIns="27432" tIns="27432" rIns="0" bIns="0" anchor="t" upright="1">
          <a:spAutoFit/>
        </a:bodyPr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84"</a:t>
          </a:r>
        </a:p>
      </xdr:txBody>
    </xdr:sp>
    <xdr:clientData/>
  </xdr:oneCellAnchor>
  <xdr:oneCellAnchor>
    <xdr:from>
      <xdr:col>1</xdr:col>
      <xdr:colOff>134620</xdr:colOff>
      <xdr:row>286</xdr:row>
      <xdr:rowOff>57150</xdr:rowOff>
    </xdr:from>
    <xdr:ext cx="297761" cy="221972"/>
    <xdr:sp macro="" textlink="">
      <xdr:nvSpPr>
        <xdr:cNvPr id="31929" name="Text Box 185">
          <a:extLst>
            <a:ext uri="{FF2B5EF4-FFF2-40B4-BE49-F238E27FC236}">
              <a16:creationId xmlns:a16="http://schemas.microsoft.com/office/drawing/2014/main" id="{742C57E4-E1BC-CEB3-D01C-71A7724C907E}"/>
            </a:ext>
          </a:extLst>
        </xdr:cNvPr>
        <xdr:cNvSpPr txBox="1">
          <a:spLocks noChangeArrowheads="1"/>
        </xdr:cNvSpPr>
      </xdr:nvSpPr>
      <xdr:spPr bwMode="auto">
        <a:xfrm>
          <a:off x="742950" y="49067085"/>
          <a:ext cx="271869" cy="204736"/>
        </a:xfrm>
        <a:prstGeom prst="rect">
          <a:avLst/>
        </a:prstGeom>
        <a:noFill/>
        <a:ln>
          <a:noFill/>
        </a:ln>
      </xdr:spPr>
      <xdr:txBody>
        <a:bodyPr wrap="none" lIns="27432" tIns="27432" rIns="0" bIns="0" anchor="t" upright="1">
          <a:spAutoFit/>
        </a:bodyPr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90"</a:t>
          </a:r>
        </a:p>
      </xdr:txBody>
    </xdr:sp>
    <xdr:clientData/>
  </xdr:oneCellAnchor>
  <xdr:oneCellAnchor>
    <xdr:from>
      <xdr:col>1</xdr:col>
      <xdr:colOff>134620</xdr:colOff>
      <xdr:row>290</xdr:row>
      <xdr:rowOff>60960</xdr:rowOff>
    </xdr:from>
    <xdr:ext cx="297761" cy="214317"/>
    <xdr:sp macro="" textlink="">
      <xdr:nvSpPr>
        <xdr:cNvPr id="31930" name="Text Box 186">
          <a:extLst>
            <a:ext uri="{FF2B5EF4-FFF2-40B4-BE49-F238E27FC236}">
              <a16:creationId xmlns:a16="http://schemas.microsoft.com/office/drawing/2014/main" id="{09696D51-972B-DE90-88D1-F52571364EBE}"/>
            </a:ext>
          </a:extLst>
        </xdr:cNvPr>
        <xdr:cNvSpPr txBox="1">
          <a:spLocks noChangeArrowheads="1"/>
        </xdr:cNvSpPr>
      </xdr:nvSpPr>
      <xdr:spPr bwMode="auto">
        <a:xfrm>
          <a:off x="742950" y="49762410"/>
          <a:ext cx="271869" cy="204736"/>
        </a:xfrm>
        <a:prstGeom prst="rect">
          <a:avLst/>
        </a:prstGeom>
        <a:noFill/>
        <a:ln>
          <a:noFill/>
        </a:ln>
      </xdr:spPr>
      <xdr:txBody>
        <a:bodyPr wrap="none" lIns="27432" tIns="27432" rIns="0" bIns="0" anchor="t" upright="1">
          <a:spAutoFit/>
        </a:bodyPr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96"</a:t>
          </a:r>
        </a:p>
      </xdr:txBody>
    </xdr:sp>
    <xdr:clientData/>
  </xdr:oneCellAnchor>
  <xdr:oneCellAnchor>
    <xdr:from>
      <xdr:col>1</xdr:col>
      <xdr:colOff>85090</xdr:colOff>
      <xdr:row>295</xdr:row>
      <xdr:rowOff>68580</xdr:rowOff>
    </xdr:from>
    <xdr:ext cx="383004" cy="227484"/>
    <xdr:sp macro="" textlink="">
      <xdr:nvSpPr>
        <xdr:cNvPr id="31931" name="Text Box 187">
          <a:extLst>
            <a:ext uri="{FF2B5EF4-FFF2-40B4-BE49-F238E27FC236}">
              <a16:creationId xmlns:a16="http://schemas.microsoft.com/office/drawing/2014/main" id="{565BA8F0-E2C0-F740-89C2-8F15DEBD215D}"/>
            </a:ext>
          </a:extLst>
        </xdr:cNvPr>
        <xdr:cNvSpPr txBox="1">
          <a:spLocks noChangeArrowheads="1"/>
        </xdr:cNvSpPr>
      </xdr:nvSpPr>
      <xdr:spPr bwMode="auto">
        <a:xfrm>
          <a:off x="666750" y="50745390"/>
          <a:ext cx="357470" cy="204736"/>
        </a:xfrm>
        <a:prstGeom prst="rect">
          <a:avLst/>
        </a:prstGeom>
        <a:noFill/>
        <a:ln>
          <a:noFill/>
        </a:ln>
      </xdr:spPr>
      <xdr:txBody>
        <a:bodyPr wrap="none" lIns="27432" tIns="27432" rIns="0" bIns="0" anchor="t" upright="1">
          <a:spAutoFit/>
        </a:bodyPr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102"</a:t>
          </a:r>
        </a:p>
      </xdr:txBody>
    </xdr:sp>
    <xdr:clientData/>
  </xdr:oneCellAnchor>
  <xdr:oneCellAnchor>
    <xdr:from>
      <xdr:col>1</xdr:col>
      <xdr:colOff>115570</xdr:colOff>
      <xdr:row>299</xdr:row>
      <xdr:rowOff>60960</xdr:rowOff>
    </xdr:from>
    <xdr:ext cx="395770" cy="204736"/>
    <xdr:sp macro="" textlink="">
      <xdr:nvSpPr>
        <xdr:cNvPr id="31932" name="Text Box 188">
          <a:extLst>
            <a:ext uri="{FF2B5EF4-FFF2-40B4-BE49-F238E27FC236}">
              <a16:creationId xmlns:a16="http://schemas.microsoft.com/office/drawing/2014/main" id="{E4027E66-6321-F382-63FF-7F7D9C74A19B}"/>
            </a:ext>
          </a:extLst>
        </xdr:cNvPr>
        <xdr:cNvSpPr txBox="1">
          <a:spLocks noChangeArrowheads="1"/>
        </xdr:cNvSpPr>
      </xdr:nvSpPr>
      <xdr:spPr bwMode="auto">
        <a:xfrm>
          <a:off x="712470" y="51320700"/>
          <a:ext cx="357470" cy="204736"/>
        </a:xfrm>
        <a:prstGeom prst="rect">
          <a:avLst/>
        </a:prstGeom>
        <a:noFill/>
        <a:ln>
          <a:noFill/>
        </a:ln>
      </xdr:spPr>
      <xdr:txBody>
        <a:bodyPr wrap="none" lIns="27432" tIns="27432" rIns="0" bIns="0" anchor="t" upright="1">
          <a:spAutoFit/>
        </a:bodyPr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108"</a:t>
          </a:r>
        </a:p>
      </xdr:txBody>
    </xdr:sp>
    <xdr:clientData/>
  </xdr:oneCellAnchor>
  <xdr:oneCellAnchor>
    <xdr:from>
      <xdr:col>1</xdr:col>
      <xdr:colOff>83820</xdr:colOff>
      <xdr:row>303</xdr:row>
      <xdr:rowOff>15240</xdr:rowOff>
    </xdr:from>
    <xdr:ext cx="395770" cy="204736"/>
    <xdr:sp macro="" textlink="">
      <xdr:nvSpPr>
        <xdr:cNvPr id="31933" name="Text Box 189">
          <a:extLst>
            <a:ext uri="{FF2B5EF4-FFF2-40B4-BE49-F238E27FC236}">
              <a16:creationId xmlns:a16="http://schemas.microsoft.com/office/drawing/2014/main" id="{47EEDAB2-D5D7-D80C-8D59-EBAF39CAA8C8}"/>
            </a:ext>
          </a:extLst>
        </xdr:cNvPr>
        <xdr:cNvSpPr txBox="1">
          <a:spLocks noChangeArrowheads="1"/>
        </xdr:cNvSpPr>
      </xdr:nvSpPr>
      <xdr:spPr bwMode="auto">
        <a:xfrm>
          <a:off x="693420" y="51960780"/>
          <a:ext cx="357470" cy="204736"/>
        </a:xfrm>
        <a:prstGeom prst="rect">
          <a:avLst/>
        </a:prstGeom>
        <a:noFill/>
        <a:ln>
          <a:noFill/>
        </a:ln>
      </xdr:spPr>
      <xdr:txBody>
        <a:bodyPr wrap="none" lIns="27432" tIns="27432" rIns="0" bIns="0" anchor="t" upright="1">
          <a:spAutoFit/>
        </a:bodyPr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114"</a:t>
          </a:r>
        </a:p>
      </xdr:txBody>
    </xdr:sp>
    <xdr:clientData/>
  </xdr:oneCellAnchor>
  <xdr:oneCellAnchor>
    <xdr:from>
      <xdr:col>1</xdr:col>
      <xdr:colOff>130810</xdr:colOff>
      <xdr:row>307</xdr:row>
      <xdr:rowOff>72390</xdr:rowOff>
    </xdr:from>
    <xdr:ext cx="397189" cy="245683"/>
    <xdr:sp macro="" textlink="">
      <xdr:nvSpPr>
        <xdr:cNvPr id="31934" name="Text Box 190">
          <a:extLst>
            <a:ext uri="{FF2B5EF4-FFF2-40B4-BE49-F238E27FC236}">
              <a16:creationId xmlns:a16="http://schemas.microsoft.com/office/drawing/2014/main" id="{EEBBDC2D-6EE2-B009-EE37-8EA89E19D1A8}"/>
            </a:ext>
          </a:extLst>
        </xdr:cNvPr>
        <xdr:cNvSpPr txBox="1">
          <a:spLocks noChangeArrowheads="1"/>
        </xdr:cNvSpPr>
      </xdr:nvSpPr>
      <xdr:spPr bwMode="auto">
        <a:xfrm>
          <a:off x="704850" y="52806600"/>
          <a:ext cx="357470" cy="204736"/>
        </a:xfrm>
        <a:prstGeom prst="rect">
          <a:avLst/>
        </a:prstGeom>
        <a:noFill/>
        <a:ln>
          <a:noFill/>
        </a:ln>
      </xdr:spPr>
      <xdr:txBody>
        <a:bodyPr wrap="none" lIns="27432" tIns="27432" rIns="0" bIns="0" anchor="t" upright="1">
          <a:spAutoFit/>
        </a:bodyPr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120"</a:t>
          </a:r>
        </a:p>
      </xdr:txBody>
    </xdr:sp>
    <xdr:clientData/>
  </xdr:oneCellAnchor>
  <xdr:oneCellAnchor>
    <xdr:from>
      <xdr:col>1</xdr:col>
      <xdr:colOff>134620</xdr:colOff>
      <xdr:row>311</xdr:row>
      <xdr:rowOff>57150</xdr:rowOff>
    </xdr:from>
    <xdr:ext cx="395770" cy="222254"/>
    <xdr:sp macro="" textlink="">
      <xdr:nvSpPr>
        <xdr:cNvPr id="31935" name="Text Box 191">
          <a:extLst>
            <a:ext uri="{FF2B5EF4-FFF2-40B4-BE49-F238E27FC236}">
              <a16:creationId xmlns:a16="http://schemas.microsoft.com/office/drawing/2014/main" id="{451E56B2-6D57-8879-7785-7A48A34BF7D0}"/>
            </a:ext>
          </a:extLst>
        </xdr:cNvPr>
        <xdr:cNvSpPr txBox="1">
          <a:spLocks noChangeArrowheads="1"/>
        </xdr:cNvSpPr>
      </xdr:nvSpPr>
      <xdr:spPr bwMode="auto">
        <a:xfrm>
          <a:off x="742950" y="53364765"/>
          <a:ext cx="357470" cy="204736"/>
        </a:xfrm>
        <a:prstGeom prst="rect">
          <a:avLst/>
        </a:prstGeom>
        <a:noFill/>
        <a:ln>
          <a:noFill/>
        </a:ln>
      </xdr:spPr>
      <xdr:txBody>
        <a:bodyPr wrap="none" lIns="27432" tIns="27432" rIns="0" bIns="0" anchor="t" upright="1">
          <a:spAutoFit/>
        </a:bodyPr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126"</a:t>
          </a:r>
        </a:p>
      </xdr:txBody>
    </xdr:sp>
    <xdr:clientData/>
  </xdr:oneCellAnchor>
  <xdr:oneCellAnchor>
    <xdr:from>
      <xdr:col>1</xdr:col>
      <xdr:colOff>134620</xdr:colOff>
      <xdr:row>315</xdr:row>
      <xdr:rowOff>60960</xdr:rowOff>
    </xdr:from>
    <xdr:ext cx="395770" cy="214317"/>
    <xdr:sp macro="" textlink="">
      <xdr:nvSpPr>
        <xdr:cNvPr id="31936" name="Text Box 192">
          <a:extLst>
            <a:ext uri="{FF2B5EF4-FFF2-40B4-BE49-F238E27FC236}">
              <a16:creationId xmlns:a16="http://schemas.microsoft.com/office/drawing/2014/main" id="{34EADB2C-FB15-1CD4-D19C-FB86A578638B}"/>
            </a:ext>
          </a:extLst>
        </xdr:cNvPr>
        <xdr:cNvSpPr txBox="1">
          <a:spLocks noChangeArrowheads="1"/>
        </xdr:cNvSpPr>
      </xdr:nvSpPr>
      <xdr:spPr bwMode="auto">
        <a:xfrm>
          <a:off x="742950" y="54060090"/>
          <a:ext cx="357470" cy="204736"/>
        </a:xfrm>
        <a:prstGeom prst="rect">
          <a:avLst/>
        </a:prstGeom>
        <a:noFill/>
        <a:ln>
          <a:noFill/>
        </a:ln>
      </xdr:spPr>
      <xdr:txBody>
        <a:bodyPr wrap="none" lIns="27432" tIns="27432" rIns="0" bIns="0" anchor="t" upright="1">
          <a:spAutoFit/>
        </a:bodyPr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132"</a:t>
          </a:r>
        </a:p>
      </xdr:txBody>
    </xdr:sp>
    <xdr:clientData/>
  </xdr:oneCellAnchor>
  <xdr:oneCellAnchor>
    <xdr:from>
      <xdr:col>1</xdr:col>
      <xdr:colOff>85090</xdr:colOff>
      <xdr:row>320</xdr:row>
      <xdr:rowOff>68580</xdr:rowOff>
    </xdr:from>
    <xdr:ext cx="383004" cy="227484"/>
    <xdr:sp macro="" textlink="">
      <xdr:nvSpPr>
        <xdr:cNvPr id="31937" name="Text Box 193">
          <a:extLst>
            <a:ext uri="{FF2B5EF4-FFF2-40B4-BE49-F238E27FC236}">
              <a16:creationId xmlns:a16="http://schemas.microsoft.com/office/drawing/2014/main" id="{64A8C2E9-33AB-9033-8B5B-74C0E91CD907}"/>
            </a:ext>
          </a:extLst>
        </xdr:cNvPr>
        <xdr:cNvSpPr txBox="1">
          <a:spLocks noChangeArrowheads="1"/>
        </xdr:cNvSpPr>
      </xdr:nvSpPr>
      <xdr:spPr bwMode="auto">
        <a:xfrm>
          <a:off x="666750" y="55041165"/>
          <a:ext cx="357470" cy="204736"/>
        </a:xfrm>
        <a:prstGeom prst="rect">
          <a:avLst/>
        </a:prstGeom>
        <a:noFill/>
        <a:ln>
          <a:noFill/>
        </a:ln>
      </xdr:spPr>
      <xdr:txBody>
        <a:bodyPr wrap="none" lIns="27432" tIns="27432" rIns="0" bIns="0" anchor="t" upright="1">
          <a:spAutoFit/>
        </a:bodyPr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138"</a:t>
          </a:r>
        </a:p>
      </xdr:txBody>
    </xdr:sp>
    <xdr:clientData/>
  </xdr:oneCellAnchor>
  <xdr:oneCellAnchor>
    <xdr:from>
      <xdr:col>1</xdr:col>
      <xdr:colOff>115570</xdr:colOff>
      <xdr:row>324</xdr:row>
      <xdr:rowOff>60960</xdr:rowOff>
    </xdr:from>
    <xdr:ext cx="395770" cy="204736"/>
    <xdr:sp macro="" textlink="">
      <xdr:nvSpPr>
        <xdr:cNvPr id="31938" name="Text Box 194">
          <a:extLst>
            <a:ext uri="{FF2B5EF4-FFF2-40B4-BE49-F238E27FC236}">
              <a16:creationId xmlns:a16="http://schemas.microsoft.com/office/drawing/2014/main" id="{A913F9AF-8DAF-24C8-A092-4069122668F4}"/>
            </a:ext>
          </a:extLst>
        </xdr:cNvPr>
        <xdr:cNvSpPr txBox="1">
          <a:spLocks noChangeArrowheads="1"/>
        </xdr:cNvSpPr>
      </xdr:nvSpPr>
      <xdr:spPr bwMode="auto">
        <a:xfrm>
          <a:off x="712470" y="55618380"/>
          <a:ext cx="357470" cy="204736"/>
        </a:xfrm>
        <a:prstGeom prst="rect">
          <a:avLst/>
        </a:prstGeom>
        <a:noFill/>
        <a:ln>
          <a:noFill/>
        </a:ln>
      </xdr:spPr>
      <xdr:txBody>
        <a:bodyPr wrap="none" lIns="27432" tIns="27432" rIns="0" bIns="0" anchor="t" upright="1">
          <a:spAutoFit/>
        </a:bodyPr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144"</a:t>
          </a:r>
        </a:p>
      </xdr:txBody>
    </xdr:sp>
    <xdr:clientData/>
  </xdr:oneCellAnchor>
  <xdr:oneCellAnchor>
    <xdr:from>
      <xdr:col>1</xdr:col>
      <xdr:colOff>83820</xdr:colOff>
      <xdr:row>328</xdr:row>
      <xdr:rowOff>15240</xdr:rowOff>
    </xdr:from>
    <xdr:ext cx="395770" cy="204736"/>
    <xdr:sp macro="" textlink="">
      <xdr:nvSpPr>
        <xdr:cNvPr id="31939" name="Text Box 195">
          <a:extLst>
            <a:ext uri="{FF2B5EF4-FFF2-40B4-BE49-F238E27FC236}">
              <a16:creationId xmlns:a16="http://schemas.microsoft.com/office/drawing/2014/main" id="{0591545F-0C1E-E792-9989-F4C68D4C3E4B}"/>
            </a:ext>
          </a:extLst>
        </xdr:cNvPr>
        <xdr:cNvSpPr txBox="1">
          <a:spLocks noChangeArrowheads="1"/>
        </xdr:cNvSpPr>
      </xdr:nvSpPr>
      <xdr:spPr bwMode="auto">
        <a:xfrm>
          <a:off x="693420" y="56258460"/>
          <a:ext cx="357470" cy="204736"/>
        </a:xfrm>
        <a:prstGeom prst="rect">
          <a:avLst/>
        </a:prstGeom>
        <a:noFill/>
        <a:ln>
          <a:noFill/>
        </a:ln>
      </xdr:spPr>
      <xdr:txBody>
        <a:bodyPr wrap="none" lIns="27432" tIns="27432" rIns="0" bIns="0" anchor="t" upright="1">
          <a:spAutoFit/>
        </a:bodyPr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156"</a:t>
          </a:r>
        </a:p>
      </xdr:txBody>
    </xdr:sp>
    <xdr:clientData/>
  </xdr:oneCellAnchor>
  <xdr:oneCellAnchor>
    <xdr:from>
      <xdr:col>1</xdr:col>
      <xdr:colOff>130810</xdr:colOff>
      <xdr:row>332</xdr:row>
      <xdr:rowOff>72390</xdr:rowOff>
    </xdr:from>
    <xdr:ext cx="397189" cy="245683"/>
    <xdr:sp macro="" textlink="">
      <xdr:nvSpPr>
        <xdr:cNvPr id="31940" name="Text Box 196">
          <a:extLst>
            <a:ext uri="{FF2B5EF4-FFF2-40B4-BE49-F238E27FC236}">
              <a16:creationId xmlns:a16="http://schemas.microsoft.com/office/drawing/2014/main" id="{EBF75070-D0A7-AFA2-B046-F548E9199049}"/>
            </a:ext>
          </a:extLst>
        </xdr:cNvPr>
        <xdr:cNvSpPr txBox="1">
          <a:spLocks noChangeArrowheads="1"/>
        </xdr:cNvSpPr>
      </xdr:nvSpPr>
      <xdr:spPr bwMode="auto">
        <a:xfrm>
          <a:off x="704850" y="57102375"/>
          <a:ext cx="357470" cy="204736"/>
        </a:xfrm>
        <a:prstGeom prst="rect">
          <a:avLst/>
        </a:prstGeom>
        <a:noFill/>
        <a:ln>
          <a:noFill/>
        </a:ln>
      </xdr:spPr>
      <xdr:txBody>
        <a:bodyPr wrap="none" lIns="27432" tIns="27432" rIns="0" bIns="0" anchor="t" upright="1">
          <a:spAutoFit/>
        </a:bodyPr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168"</a:t>
          </a:r>
        </a:p>
      </xdr:txBody>
    </xdr:sp>
    <xdr:clientData/>
  </xdr:oneCellAnchor>
  <xdr:oneCellAnchor>
    <xdr:from>
      <xdr:col>1</xdr:col>
      <xdr:colOff>134620</xdr:colOff>
      <xdr:row>336</xdr:row>
      <xdr:rowOff>41910</xdr:rowOff>
    </xdr:from>
    <xdr:ext cx="395770" cy="235328"/>
    <xdr:sp macro="" textlink="">
      <xdr:nvSpPr>
        <xdr:cNvPr id="31941" name="Text Box 197">
          <a:extLst>
            <a:ext uri="{FF2B5EF4-FFF2-40B4-BE49-F238E27FC236}">
              <a16:creationId xmlns:a16="http://schemas.microsoft.com/office/drawing/2014/main" id="{1F707EBF-1E37-BA4E-34E2-7A27E6E30EB0}"/>
            </a:ext>
          </a:extLst>
        </xdr:cNvPr>
        <xdr:cNvSpPr txBox="1">
          <a:spLocks noChangeArrowheads="1"/>
        </xdr:cNvSpPr>
      </xdr:nvSpPr>
      <xdr:spPr bwMode="auto">
        <a:xfrm>
          <a:off x="742950" y="57662445"/>
          <a:ext cx="357470" cy="204736"/>
        </a:xfrm>
        <a:prstGeom prst="rect">
          <a:avLst/>
        </a:prstGeom>
        <a:noFill/>
        <a:ln>
          <a:noFill/>
        </a:ln>
      </xdr:spPr>
      <xdr:txBody>
        <a:bodyPr wrap="none" lIns="27432" tIns="27432" rIns="0" bIns="0" anchor="t" upright="1">
          <a:spAutoFit/>
        </a:bodyPr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180"</a:t>
          </a:r>
        </a:p>
      </xdr:txBody>
    </xdr:sp>
    <xdr:clientData/>
  </xdr:oneCellAnchor>
  <xdr:oneCellAnchor>
    <xdr:from>
      <xdr:col>1</xdr:col>
      <xdr:colOff>134620</xdr:colOff>
      <xdr:row>340</xdr:row>
      <xdr:rowOff>60960</xdr:rowOff>
    </xdr:from>
    <xdr:ext cx="395770" cy="214846"/>
    <xdr:sp macro="" textlink="">
      <xdr:nvSpPr>
        <xdr:cNvPr id="31942" name="Text Box 198">
          <a:extLst>
            <a:ext uri="{FF2B5EF4-FFF2-40B4-BE49-F238E27FC236}">
              <a16:creationId xmlns:a16="http://schemas.microsoft.com/office/drawing/2014/main" id="{DE2D3EC7-E67B-9D63-F453-4ACF526C5956}"/>
            </a:ext>
          </a:extLst>
        </xdr:cNvPr>
        <xdr:cNvSpPr txBox="1">
          <a:spLocks noChangeArrowheads="1"/>
        </xdr:cNvSpPr>
      </xdr:nvSpPr>
      <xdr:spPr bwMode="auto">
        <a:xfrm>
          <a:off x="742950" y="58357770"/>
          <a:ext cx="357470" cy="204736"/>
        </a:xfrm>
        <a:prstGeom prst="rect">
          <a:avLst/>
        </a:prstGeom>
        <a:noFill/>
        <a:ln>
          <a:noFill/>
        </a:ln>
      </xdr:spPr>
      <xdr:txBody>
        <a:bodyPr wrap="none" lIns="27432" tIns="27432" rIns="0" bIns="0" anchor="t" upright="1">
          <a:spAutoFit/>
        </a:bodyPr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192"</a:t>
          </a:r>
        </a:p>
      </xdr:txBody>
    </xdr:sp>
    <xdr:clientData/>
  </xdr:oneCellAnchor>
  <xdr:oneCellAnchor>
    <xdr:from>
      <xdr:col>1</xdr:col>
      <xdr:colOff>85090</xdr:colOff>
      <xdr:row>345</xdr:row>
      <xdr:rowOff>68580</xdr:rowOff>
    </xdr:from>
    <xdr:ext cx="383004" cy="227484"/>
    <xdr:sp macro="" textlink="">
      <xdr:nvSpPr>
        <xdr:cNvPr id="31943" name="Text Box 199">
          <a:extLst>
            <a:ext uri="{FF2B5EF4-FFF2-40B4-BE49-F238E27FC236}">
              <a16:creationId xmlns:a16="http://schemas.microsoft.com/office/drawing/2014/main" id="{717A1D9B-8E2B-2A7B-A4E4-3CE7538A22B2}"/>
            </a:ext>
          </a:extLst>
        </xdr:cNvPr>
        <xdr:cNvSpPr txBox="1">
          <a:spLocks noChangeArrowheads="1"/>
        </xdr:cNvSpPr>
      </xdr:nvSpPr>
      <xdr:spPr bwMode="auto">
        <a:xfrm>
          <a:off x="666750" y="59336940"/>
          <a:ext cx="357470" cy="204736"/>
        </a:xfrm>
        <a:prstGeom prst="rect">
          <a:avLst/>
        </a:prstGeom>
        <a:noFill/>
        <a:ln>
          <a:noFill/>
        </a:ln>
      </xdr:spPr>
      <xdr:txBody>
        <a:bodyPr wrap="none" lIns="27432" tIns="27432" rIns="0" bIns="0" anchor="t" upright="1">
          <a:spAutoFit/>
        </a:bodyPr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204"</a:t>
          </a:r>
        </a:p>
      </xdr:txBody>
    </xdr:sp>
    <xdr:clientData/>
  </xdr:oneCellAnchor>
  <xdr:oneCellAnchor>
    <xdr:from>
      <xdr:col>1</xdr:col>
      <xdr:colOff>85090</xdr:colOff>
      <xdr:row>349</xdr:row>
      <xdr:rowOff>68580</xdr:rowOff>
    </xdr:from>
    <xdr:ext cx="383004" cy="227484"/>
    <xdr:sp macro="" textlink="">
      <xdr:nvSpPr>
        <xdr:cNvPr id="31944" name="Text Box 200">
          <a:extLst>
            <a:ext uri="{FF2B5EF4-FFF2-40B4-BE49-F238E27FC236}">
              <a16:creationId xmlns:a16="http://schemas.microsoft.com/office/drawing/2014/main" id="{5E8682F9-6431-CD68-E84B-FF9D5EC72CBF}"/>
            </a:ext>
          </a:extLst>
        </xdr:cNvPr>
        <xdr:cNvSpPr txBox="1">
          <a:spLocks noChangeArrowheads="1"/>
        </xdr:cNvSpPr>
      </xdr:nvSpPr>
      <xdr:spPr bwMode="auto">
        <a:xfrm>
          <a:off x="666750" y="60022740"/>
          <a:ext cx="357470" cy="204736"/>
        </a:xfrm>
        <a:prstGeom prst="rect">
          <a:avLst/>
        </a:prstGeom>
        <a:noFill/>
        <a:ln>
          <a:noFill/>
        </a:ln>
      </xdr:spPr>
      <xdr:txBody>
        <a:bodyPr wrap="none" lIns="27432" tIns="27432" rIns="0" bIns="0" anchor="t" upright="1">
          <a:spAutoFit/>
        </a:bodyPr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210"</a:t>
          </a:r>
        </a:p>
      </xdr:txBody>
    </xdr:sp>
    <xdr:clientData/>
  </xdr:oneCellAnchor>
  <xdr:oneCellAnchor>
    <xdr:from>
      <xdr:col>1</xdr:col>
      <xdr:colOff>85090</xdr:colOff>
      <xdr:row>353</xdr:row>
      <xdr:rowOff>68580</xdr:rowOff>
    </xdr:from>
    <xdr:ext cx="383004" cy="227484"/>
    <xdr:sp macro="" textlink="">
      <xdr:nvSpPr>
        <xdr:cNvPr id="31945" name="Text Box 201">
          <a:extLst>
            <a:ext uri="{FF2B5EF4-FFF2-40B4-BE49-F238E27FC236}">
              <a16:creationId xmlns:a16="http://schemas.microsoft.com/office/drawing/2014/main" id="{2D128A3B-6808-D14D-9294-E70E6547E32F}"/>
            </a:ext>
          </a:extLst>
        </xdr:cNvPr>
        <xdr:cNvSpPr txBox="1">
          <a:spLocks noChangeArrowheads="1"/>
        </xdr:cNvSpPr>
      </xdr:nvSpPr>
      <xdr:spPr bwMode="auto">
        <a:xfrm>
          <a:off x="666750" y="60708540"/>
          <a:ext cx="357470" cy="204736"/>
        </a:xfrm>
        <a:prstGeom prst="rect">
          <a:avLst/>
        </a:prstGeom>
        <a:noFill/>
        <a:ln>
          <a:noFill/>
        </a:ln>
      </xdr:spPr>
      <xdr:txBody>
        <a:bodyPr wrap="none" lIns="27432" tIns="27432" rIns="0" bIns="0" anchor="t" upright="1">
          <a:spAutoFit/>
        </a:bodyPr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216"</a:t>
          </a:r>
        </a:p>
      </xdr:txBody>
    </xdr:sp>
    <xdr:clientData/>
  </xdr:oneCellAnchor>
  <xdr:oneCellAnchor>
    <xdr:from>
      <xdr:col>1</xdr:col>
      <xdr:colOff>85090</xdr:colOff>
      <xdr:row>357</xdr:row>
      <xdr:rowOff>68580</xdr:rowOff>
    </xdr:from>
    <xdr:ext cx="383004" cy="227484"/>
    <xdr:sp macro="" textlink="">
      <xdr:nvSpPr>
        <xdr:cNvPr id="31946" name="Text Box 202">
          <a:extLst>
            <a:ext uri="{FF2B5EF4-FFF2-40B4-BE49-F238E27FC236}">
              <a16:creationId xmlns:a16="http://schemas.microsoft.com/office/drawing/2014/main" id="{719C79F9-8063-463B-917C-AFDEA6EAE100}"/>
            </a:ext>
          </a:extLst>
        </xdr:cNvPr>
        <xdr:cNvSpPr txBox="1">
          <a:spLocks noChangeArrowheads="1"/>
        </xdr:cNvSpPr>
      </xdr:nvSpPr>
      <xdr:spPr bwMode="auto">
        <a:xfrm>
          <a:off x="666750" y="61394340"/>
          <a:ext cx="357470" cy="204736"/>
        </a:xfrm>
        <a:prstGeom prst="rect">
          <a:avLst/>
        </a:prstGeom>
        <a:noFill/>
        <a:ln>
          <a:noFill/>
        </a:ln>
      </xdr:spPr>
      <xdr:txBody>
        <a:bodyPr wrap="none" lIns="27432" tIns="27432" rIns="0" bIns="0" anchor="t" upright="1">
          <a:spAutoFit/>
        </a:bodyPr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228"</a:t>
          </a:r>
        </a:p>
      </xdr:txBody>
    </xdr:sp>
    <xdr:clientData/>
  </xdr:oneCellAnchor>
  <xdr:twoCellAnchor editAs="oneCell">
    <xdr:from>
      <xdr:col>19</xdr:col>
      <xdr:colOff>0</xdr:colOff>
      <xdr:row>19</xdr:row>
      <xdr:rowOff>0</xdr:rowOff>
    </xdr:from>
    <xdr:to>
      <xdr:col>30</xdr:col>
      <xdr:colOff>368300</xdr:colOff>
      <xdr:row>53</xdr:row>
      <xdr:rowOff>75682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077044A-FBE2-4E08-B3DC-3EF1F1F74A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788900" y="3289300"/>
          <a:ext cx="7772400" cy="5854182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19</xdr:row>
      <xdr:rowOff>0</xdr:rowOff>
    </xdr:from>
    <xdr:to>
      <xdr:col>30</xdr:col>
      <xdr:colOff>368300</xdr:colOff>
      <xdr:row>34</xdr:row>
      <xdr:rowOff>52184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0304FDF-AB18-13A1-0C73-18502D08A3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788900" y="3289300"/>
          <a:ext cx="7772400" cy="2642984"/>
        </a:xfrm>
        <a:prstGeom prst="rect">
          <a:avLst/>
        </a:prstGeom>
      </xdr:spPr>
    </xdr:pic>
    <xdr:clientData/>
  </xdr:twoCellAnchor>
  <xdr:twoCellAnchor editAs="oneCell">
    <xdr:from>
      <xdr:col>17</xdr:col>
      <xdr:colOff>406400</xdr:colOff>
      <xdr:row>204</xdr:row>
      <xdr:rowOff>101600</xdr:rowOff>
    </xdr:from>
    <xdr:to>
      <xdr:col>29</xdr:col>
      <xdr:colOff>101600</xdr:colOff>
      <xdr:row>220</xdr:row>
      <xdr:rowOff>52184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379865F-3456-7198-93D0-696B498EA8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849100" y="35090100"/>
          <a:ext cx="7772400" cy="2642984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127000</xdr:colOff>
      <xdr:row>4</xdr:row>
      <xdr:rowOff>101600</xdr:rowOff>
    </xdr:from>
    <xdr:to>
      <xdr:col>5</xdr:col>
      <xdr:colOff>546100</xdr:colOff>
      <xdr:row>4</xdr:row>
      <xdr:rowOff>101600</xdr:rowOff>
    </xdr:to>
    <xdr:sp macro="" textlink="">
      <xdr:nvSpPr>
        <xdr:cNvPr id="31391" name="Line 1">
          <a:extLst>
            <a:ext uri="{FF2B5EF4-FFF2-40B4-BE49-F238E27FC236}">
              <a16:creationId xmlns:a16="http://schemas.microsoft.com/office/drawing/2014/main" id="{46E06922-A4AA-8809-2F7A-710BF1E7AF9B}"/>
            </a:ext>
          </a:extLst>
        </xdr:cNvPr>
        <xdr:cNvSpPr>
          <a:spLocks noChangeShapeType="1"/>
        </xdr:cNvSpPr>
      </xdr:nvSpPr>
      <xdr:spPr bwMode="auto">
        <a:xfrm>
          <a:off x="2578100" y="787400"/>
          <a:ext cx="137160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254000</xdr:colOff>
      <xdr:row>4</xdr:row>
      <xdr:rowOff>101600</xdr:rowOff>
    </xdr:from>
    <xdr:to>
      <xdr:col>4</xdr:col>
      <xdr:colOff>406400</xdr:colOff>
      <xdr:row>5</xdr:row>
      <xdr:rowOff>114300</xdr:rowOff>
    </xdr:to>
    <xdr:sp macro="" textlink="">
      <xdr:nvSpPr>
        <xdr:cNvPr id="31392" name="AutoShape 2">
          <a:extLst>
            <a:ext uri="{FF2B5EF4-FFF2-40B4-BE49-F238E27FC236}">
              <a16:creationId xmlns:a16="http://schemas.microsoft.com/office/drawing/2014/main" id="{352F7F45-6CE3-CD0B-1EB7-6504A0C75A30}"/>
            </a:ext>
          </a:extLst>
        </xdr:cNvPr>
        <xdr:cNvSpPr>
          <a:spLocks noChangeArrowheads="1"/>
        </xdr:cNvSpPr>
      </xdr:nvSpPr>
      <xdr:spPr bwMode="auto">
        <a:xfrm>
          <a:off x="2705100" y="787400"/>
          <a:ext cx="152400" cy="177800"/>
        </a:xfrm>
        <a:prstGeom prst="upArrow">
          <a:avLst>
            <a:gd name="adj1" fmla="val 42861"/>
            <a:gd name="adj2" fmla="val 34314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2857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330200</xdr:colOff>
      <xdr:row>4</xdr:row>
      <xdr:rowOff>101600</xdr:rowOff>
    </xdr:from>
    <xdr:to>
      <xdr:col>5</xdr:col>
      <xdr:colOff>482600</xdr:colOff>
      <xdr:row>5</xdr:row>
      <xdr:rowOff>114300</xdr:rowOff>
    </xdr:to>
    <xdr:sp macro="" textlink="">
      <xdr:nvSpPr>
        <xdr:cNvPr id="31393" name="AutoShape 3">
          <a:extLst>
            <a:ext uri="{FF2B5EF4-FFF2-40B4-BE49-F238E27FC236}">
              <a16:creationId xmlns:a16="http://schemas.microsoft.com/office/drawing/2014/main" id="{2F32EFE8-7587-DE61-5C9C-96141E2762F5}"/>
            </a:ext>
          </a:extLst>
        </xdr:cNvPr>
        <xdr:cNvSpPr>
          <a:spLocks noChangeArrowheads="1"/>
        </xdr:cNvSpPr>
      </xdr:nvSpPr>
      <xdr:spPr bwMode="auto">
        <a:xfrm>
          <a:off x="3733800" y="787400"/>
          <a:ext cx="152400" cy="177800"/>
        </a:xfrm>
        <a:prstGeom prst="upArrow">
          <a:avLst>
            <a:gd name="adj1" fmla="val 42861"/>
            <a:gd name="adj2" fmla="val 34314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2857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330200</xdr:colOff>
      <xdr:row>3</xdr:row>
      <xdr:rowOff>50800</xdr:rowOff>
    </xdr:from>
    <xdr:to>
      <xdr:col>4</xdr:col>
      <xdr:colOff>330200</xdr:colOff>
      <xdr:row>4</xdr:row>
      <xdr:rowOff>63500</xdr:rowOff>
    </xdr:to>
    <xdr:sp macro="" textlink="">
      <xdr:nvSpPr>
        <xdr:cNvPr id="31394" name="Line 4">
          <a:extLst>
            <a:ext uri="{FF2B5EF4-FFF2-40B4-BE49-F238E27FC236}">
              <a16:creationId xmlns:a16="http://schemas.microsoft.com/office/drawing/2014/main" id="{14DFC322-8EDD-93BC-8CCC-6ACB51DA0CFC}"/>
            </a:ext>
          </a:extLst>
        </xdr:cNvPr>
        <xdr:cNvSpPr>
          <a:spLocks noChangeShapeType="1"/>
        </xdr:cNvSpPr>
      </xdr:nvSpPr>
      <xdr:spPr bwMode="auto">
        <a:xfrm flipV="1">
          <a:off x="2781300" y="571500"/>
          <a:ext cx="0" cy="1778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406400</xdr:colOff>
      <xdr:row>3</xdr:row>
      <xdr:rowOff>63500</xdr:rowOff>
    </xdr:from>
    <xdr:to>
      <xdr:col>5</xdr:col>
      <xdr:colOff>406400</xdr:colOff>
      <xdr:row>4</xdr:row>
      <xdr:rowOff>101600</xdr:rowOff>
    </xdr:to>
    <xdr:sp macro="" textlink="">
      <xdr:nvSpPr>
        <xdr:cNvPr id="31395" name="Line 5">
          <a:extLst>
            <a:ext uri="{FF2B5EF4-FFF2-40B4-BE49-F238E27FC236}">
              <a16:creationId xmlns:a16="http://schemas.microsoft.com/office/drawing/2014/main" id="{534EFA91-D870-3D6C-C99B-C0B60601355C}"/>
            </a:ext>
          </a:extLst>
        </xdr:cNvPr>
        <xdr:cNvSpPr>
          <a:spLocks noChangeShapeType="1"/>
        </xdr:cNvSpPr>
      </xdr:nvSpPr>
      <xdr:spPr bwMode="auto">
        <a:xfrm flipV="1">
          <a:off x="3810000" y="584200"/>
          <a:ext cx="0" cy="203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330200</xdr:colOff>
      <xdr:row>3</xdr:row>
      <xdr:rowOff>101600</xdr:rowOff>
    </xdr:from>
    <xdr:to>
      <xdr:col>5</xdr:col>
      <xdr:colOff>406400</xdr:colOff>
      <xdr:row>3</xdr:row>
      <xdr:rowOff>101600</xdr:rowOff>
    </xdr:to>
    <xdr:sp macro="" textlink="">
      <xdr:nvSpPr>
        <xdr:cNvPr id="31396" name="Line 6">
          <a:extLst>
            <a:ext uri="{FF2B5EF4-FFF2-40B4-BE49-F238E27FC236}">
              <a16:creationId xmlns:a16="http://schemas.microsoft.com/office/drawing/2014/main" id="{9A23E58A-1EB6-9ECA-E87B-D85C630487C2}"/>
            </a:ext>
          </a:extLst>
        </xdr:cNvPr>
        <xdr:cNvSpPr>
          <a:spLocks noChangeShapeType="1"/>
        </xdr:cNvSpPr>
      </xdr:nvSpPr>
      <xdr:spPr bwMode="auto">
        <a:xfrm>
          <a:off x="2781300" y="622300"/>
          <a:ext cx="10287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139700</xdr:colOff>
      <xdr:row>3</xdr:row>
      <xdr:rowOff>63500</xdr:rowOff>
    </xdr:from>
    <xdr:to>
      <xdr:col>6</xdr:col>
      <xdr:colOff>673100</xdr:colOff>
      <xdr:row>5</xdr:row>
      <xdr:rowOff>76200</xdr:rowOff>
    </xdr:to>
    <xdr:sp macro="" textlink="">
      <xdr:nvSpPr>
        <xdr:cNvPr id="31397" name="Line 7">
          <a:extLst>
            <a:ext uri="{FF2B5EF4-FFF2-40B4-BE49-F238E27FC236}">
              <a16:creationId xmlns:a16="http://schemas.microsoft.com/office/drawing/2014/main" id="{38F9E76F-3F61-6F9E-532A-170452DE6DC2}"/>
            </a:ext>
          </a:extLst>
        </xdr:cNvPr>
        <xdr:cNvSpPr>
          <a:spLocks noChangeShapeType="1"/>
        </xdr:cNvSpPr>
      </xdr:nvSpPr>
      <xdr:spPr bwMode="auto">
        <a:xfrm flipV="1">
          <a:off x="4457700" y="584200"/>
          <a:ext cx="533400" cy="3429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673100</xdr:colOff>
      <xdr:row>3</xdr:row>
      <xdr:rowOff>63500</xdr:rowOff>
    </xdr:from>
    <xdr:to>
      <xdr:col>6</xdr:col>
      <xdr:colOff>1511300</xdr:colOff>
      <xdr:row>5</xdr:row>
      <xdr:rowOff>50800</xdr:rowOff>
    </xdr:to>
    <xdr:sp macro="" textlink="">
      <xdr:nvSpPr>
        <xdr:cNvPr id="31398" name="Line 8">
          <a:extLst>
            <a:ext uri="{FF2B5EF4-FFF2-40B4-BE49-F238E27FC236}">
              <a16:creationId xmlns:a16="http://schemas.microsoft.com/office/drawing/2014/main" id="{4C3F97F2-9B0F-7009-86AC-5EA542E2A6F0}"/>
            </a:ext>
          </a:extLst>
        </xdr:cNvPr>
        <xdr:cNvSpPr>
          <a:spLocks noChangeShapeType="1"/>
        </xdr:cNvSpPr>
      </xdr:nvSpPr>
      <xdr:spPr bwMode="auto">
        <a:xfrm>
          <a:off x="4991100" y="584200"/>
          <a:ext cx="838200" cy="3175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266700</xdr:colOff>
      <xdr:row>4</xdr:row>
      <xdr:rowOff>139700</xdr:rowOff>
    </xdr:from>
    <xdr:to>
      <xdr:col>6</xdr:col>
      <xdr:colOff>419100</xdr:colOff>
      <xdr:row>5</xdr:row>
      <xdr:rowOff>152400</xdr:rowOff>
    </xdr:to>
    <xdr:sp macro="" textlink="">
      <xdr:nvSpPr>
        <xdr:cNvPr id="31399" name="AutoShape 9">
          <a:extLst>
            <a:ext uri="{FF2B5EF4-FFF2-40B4-BE49-F238E27FC236}">
              <a16:creationId xmlns:a16="http://schemas.microsoft.com/office/drawing/2014/main" id="{4C3E4DDE-111C-9B02-B1D7-F93D6245FE02}"/>
            </a:ext>
          </a:extLst>
        </xdr:cNvPr>
        <xdr:cNvSpPr>
          <a:spLocks noChangeArrowheads="1"/>
        </xdr:cNvSpPr>
      </xdr:nvSpPr>
      <xdr:spPr bwMode="auto">
        <a:xfrm>
          <a:off x="4584700" y="825500"/>
          <a:ext cx="152400" cy="177800"/>
        </a:xfrm>
        <a:prstGeom prst="upArrow">
          <a:avLst>
            <a:gd name="adj1" fmla="val 42861"/>
            <a:gd name="adj2" fmla="val 34314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2857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1295400</xdr:colOff>
      <xdr:row>5</xdr:row>
      <xdr:rowOff>12700</xdr:rowOff>
    </xdr:from>
    <xdr:to>
      <xdr:col>6</xdr:col>
      <xdr:colOff>1447800</xdr:colOff>
      <xdr:row>6</xdr:row>
      <xdr:rowOff>0</xdr:rowOff>
    </xdr:to>
    <xdr:sp macro="" textlink="">
      <xdr:nvSpPr>
        <xdr:cNvPr id="31400" name="AutoShape 10">
          <a:extLst>
            <a:ext uri="{FF2B5EF4-FFF2-40B4-BE49-F238E27FC236}">
              <a16:creationId xmlns:a16="http://schemas.microsoft.com/office/drawing/2014/main" id="{2E8CC3C2-47A5-F5CD-3142-4409BC2E9E1E}"/>
            </a:ext>
          </a:extLst>
        </xdr:cNvPr>
        <xdr:cNvSpPr>
          <a:spLocks noChangeArrowheads="1"/>
        </xdr:cNvSpPr>
      </xdr:nvSpPr>
      <xdr:spPr bwMode="auto">
        <a:xfrm>
          <a:off x="5613400" y="863600"/>
          <a:ext cx="152400" cy="165100"/>
        </a:xfrm>
        <a:prstGeom prst="upArrow">
          <a:avLst>
            <a:gd name="adj1" fmla="val 42861"/>
            <a:gd name="adj2" fmla="val 31863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2857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1371600</xdr:colOff>
      <xdr:row>3</xdr:row>
      <xdr:rowOff>101600</xdr:rowOff>
    </xdr:from>
    <xdr:to>
      <xdr:col>6</xdr:col>
      <xdr:colOff>1371600</xdr:colOff>
      <xdr:row>4</xdr:row>
      <xdr:rowOff>114300</xdr:rowOff>
    </xdr:to>
    <xdr:sp macro="" textlink="">
      <xdr:nvSpPr>
        <xdr:cNvPr id="31401" name="Line 11">
          <a:extLst>
            <a:ext uri="{FF2B5EF4-FFF2-40B4-BE49-F238E27FC236}">
              <a16:creationId xmlns:a16="http://schemas.microsoft.com/office/drawing/2014/main" id="{14019F5E-77A5-34C2-29F1-7ED677DEE974}"/>
            </a:ext>
          </a:extLst>
        </xdr:cNvPr>
        <xdr:cNvSpPr>
          <a:spLocks noChangeShapeType="1"/>
        </xdr:cNvSpPr>
      </xdr:nvSpPr>
      <xdr:spPr bwMode="auto">
        <a:xfrm flipV="1">
          <a:off x="5689600" y="622300"/>
          <a:ext cx="0" cy="1778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317500</xdr:colOff>
      <xdr:row>3</xdr:row>
      <xdr:rowOff>38100</xdr:rowOff>
    </xdr:from>
    <xdr:to>
      <xdr:col>6</xdr:col>
      <xdr:colOff>317500</xdr:colOff>
      <xdr:row>4</xdr:row>
      <xdr:rowOff>101600</xdr:rowOff>
    </xdr:to>
    <xdr:sp macro="" textlink="">
      <xdr:nvSpPr>
        <xdr:cNvPr id="31402" name="Line 12">
          <a:extLst>
            <a:ext uri="{FF2B5EF4-FFF2-40B4-BE49-F238E27FC236}">
              <a16:creationId xmlns:a16="http://schemas.microsoft.com/office/drawing/2014/main" id="{265DB7BB-A78D-0CA2-D135-95F97AC52E29}"/>
            </a:ext>
          </a:extLst>
        </xdr:cNvPr>
        <xdr:cNvSpPr>
          <a:spLocks noChangeShapeType="1"/>
        </xdr:cNvSpPr>
      </xdr:nvSpPr>
      <xdr:spPr bwMode="auto">
        <a:xfrm flipV="1">
          <a:off x="4635500" y="558800"/>
          <a:ext cx="0" cy="2286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317500</xdr:colOff>
      <xdr:row>2</xdr:row>
      <xdr:rowOff>63500</xdr:rowOff>
    </xdr:from>
    <xdr:to>
      <xdr:col>6</xdr:col>
      <xdr:colOff>635000</xdr:colOff>
      <xdr:row>3</xdr:row>
      <xdr:rowOff>63500</xdr:rowOff>
    </xdr:to>
    <xdr:sp macro="" textlink="">
      <xdr:nvSpPr>
        <xdr:cNvPr id="31403" name="Line 13">
          <a:extLst>
            <a:ext uri="{FF2B5EF4-FFF2-40B4-BE49-F238E27FC236}">
              <a16:creationId xmlns:a16="http://schemas.microsoft.com/office/drawing/2014/main" id="{84353A51-6249-35D6-20BA-ED0DFA29A22F}"/>
            </a:ext>
          </a:extLst>
        </xdr:cNvPr>
        <xdr:cNvSpPr>
          <a:spLocks noChangeShapeType="1"/>
        </xdr:cNvSpPr>
      </xdr:nvSpPr>
      <xdr:spPr bwMode="auto">
        <a:xfrm flipV="1">
          <a:off x="4635500" y="406400"/>
          <a:ext cx="317500" cy="1778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647700</xdr:colOff>
      <xdr:row>2</xdr:row>
      <xdr:rowOff>63500</xdr:rowOff>
    </xdr:from>
    <xdr:to>
      <xdr:col>6</xdr:col>
      <xdr:colOff>1358900</xdr:colOff>
      <xdr:row>4</xdr:row>
      <xdr:rowOff>0</xdr:rowOff>
    </xdr:to>
    <xdr:sp macro="" textlink="">
      <xdr:nvSpPr>
        <xdr:cNvPr id="31404" name="Line 14">
          <a:extLst>
            <a:ext uri="{FF2B5EF4-FFF2-40B4-BE49-F238E27FC236}">
              <a16:creationId xmlns:a16="http://schemas.microsoft.com/office/drawing/2014/main" id="{C1612130-3031-FF0E-35AF-8E3A55F9D8D1}"/>
            </a:ext>
          </a:extLst>
        </xdr:cNvPr>
        <xdr:cNvSpPr>
          <a:spLocks noChangeShapeType="1"/>
        </xdr:cNvSpPr>
      </xdr:nvSpPr>
      <xdr:spPr bwMode="auto">
        <a:xfrm flipH="1" flipV="1">
          <a:off x="4965700" y="406400"/>
          <a:ext cx="711200" cy="2794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266700</xdr:colOff>
      <xdr:row>9</xdr:row>
      <xdr:rowOff>127000</xdr:rowOff>
    </xdr:from>
    <xdr:to>
      <xdr:col>6</xdr:col>
      <xdr:colOff>419100</xdr:colOff>
      <xdr:row>10</xdr:row>
      <xdr:rowOff>139700</xdr:rowOff>
    </xdr:to>
    <xdr:sp macro="" textlink="">
      <xdr:nvSpPr>
        <xdr:cNvPr id="31405" name="AutoShape 18">
          <a:extLst>
            <a:ext uri="{FF2B5EF4-FFF2-40B4-BE49-F238E27FC236}">
              <a16:creationId xmlns:a16="http://schemas.microsoft.com/office/drawing/2014/main" id="{C200EAE7-A244-FAA6-CE93-1F3D11E0920C}"/>
            </a:ext>
          </a:extLst>
        </xdr:cNvPr>
        <xdr:cNvSpPr>
          <a:spLocks noChangeArrowheads="1"/>
        </xdr:cNvSpPr>
      </xdr:nvSpPr>
      <xdr:spPr bwMode="auto">
        <a:xfrm>
          <a:off x="4584700" y="1663700"/>
          <a:ext cx="152400" cy="190500"/>
        </a:xfrm>
        <a:prstGeom prst="upArrow">
          <a:avLst>
            <a:gd name="adj1" fmla="val 42861"/>
            <a:gd name="adj2" fmla="val 36765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2857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190500</xdr:colOff>
      <xdr:row>8</xdr:row>
      <xdr:rowOff>101600</xdr:rowOff>
    </xdr:from>
    <xdr:to>
      <xdr:col>6</xdr:col>
      <xdr:colOff>723900</xdr:colOff>
      <xdr:row>10</xdr:row>
      <xdr:rowOff>25400</xdr:rowOff>
    </xdr:to>
    <xdr:sp macro="" textlink="">
      <xdr:nvSpPr>
        <xdr:cNvPr id="31406" name="Line 19">
          <a:extLst>
            <a:ext uri="{FF2B5EF4-FFF2-40B4-BE49-F238E27FC236}">
              <a16:creationId xmlns:a16="http://schemas.microsoft.com/office/drawing/2014/main" id="{8ACA43E5-4B56-C45B-750F-3F69EA8A1101}"/>
            </a:ext>
          </a:extLst>
        </xdr:cNvPr>
        <xdr:cNvSpPr>
          <a:spLocks noChangeShapeType="1"/>
        </xdr:cNvSpPr>
      </xdr:nvSpPr>
      <xdr:spPr bwMode="auto">
        <a:xfrm flipV="1">
          <a:off x="4508500" y="1473200"/>
          <a:ext cx="533400" cy="2667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711200</xdr:colOff>
      <xdr:row>6</xdr:row>
      <xdr:rowOff>114300</xdr:rowOff>
    </xdr:from>
    <xdr:to>
      <xdr:col>6</xdr:col>
      <xdr:colOff>711200</xdr:colOff>
      <xdr:row>8</xdr:row>
      <xdr:rowOff>101600</xdr:rowOff>
    </xdr:to>
    <xdr:sp macro="" textlink="">
      <xdr:nvSpPr>
        <xdr:cNvPr id="31407" name="Line 20">
          <a:extLst>
            <a:ext uri="{FF2B5EF4-FFF2-40B4-BE49-F238E27FC236}">
              <a16:creationId xmlns:a16="http://schemas.microsoft.com/office/drawing/2014/main" id="{F72D1965-CF3A-867F-21AC-F44D8E7F20A8}"/>
            </a:ext>
          </a:extLst>
        </xdr:cNvPr>
        <xdr:cNvSpPr>
          <a:spLocks noChangeShapeType="1"/>
        </xdr:cNvSpPr>
      </xdr:nvSpPr>
      <xdr:spPr bwMode="auto">
        <a:xfrm flipV="1">
          <a:off x="5029200" y="1143000"/>
          <a:ext cx="0" cy="3302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711200</xdr:colOff>
      <xdr:row>6</xdr:row>
      <xdr:rowOff>127000</xdr:rowOff>
    </xdr:from>
    <xdr:to>
      <xdr:col>6</xdr:col>
      <xdr:colOff>1397000</xdr:colOff>
      <xdr:row>8</xdr:row>
      <xdr:rowOff>12700</xdr:rowOff>
    </xdr:to>
    <xdr:sp macro="" textlink="">
      <xdr:nvSpPr>
        <xdr:cNvPr id="31408" name="Line 21">
          <a:extLst>
            <a:ext uri="{FF2B5EF4-FFF2-40B4-BE49-F238E27FC236}">
              <a16:creationId xmlns:a16="http://schemas.microsoft.com/office/drawing/2014/main" id="{CC611B80-BA3C-B6D1-1513-C298886E7394}"/>
            </a:ext>
          </a:extLst>
        </xdr:cNvPr>
        <xdr:cNvSpPr>
          <a:spLocks noChangeShapeType="1"/>
        </xdr:cNvSpPr>
      </xdr:nvSpPr>
      <xdr:spPr bwMode="auto">
        <a:xfrm>
          <a:off x="5029200" y="1155700"/>
          <a:ext cx="685800" cy="2286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1143000</xdr:colOff>
      <xdr:row>7</xdr:row>
      <xdr:rowOff>139700</xdr:rowOff>
    </xdr:from>
    <xdr:to>
      <xdr:col>6</xdr:col>
      <xdr:colOff>1295400</xdr:colOff>
      <xdr:row>8</xdr:row>
      <xdr:rowOff>139700</xdr:rowOff>
    </xdr:to>
    <xdr:sp macro="" textlink="">
      <xdr:nvSpPr>
        <xdr:cNvPr id="31409" name="AutoShape 22">
          <a:extLst>
            <a:ext uri="{FF2B5EF4-FFF2-40B4-BE49-F238E27FC236}">
              <a16:creationId xmlns:a16="http://schemas.microsoft.com/office/drawing/2014/main" id="{52622ED9-75F8-5B44-1CF8-35E93EC64233}"/>
            </a:ext>
          </a:extLst>
        </xdr:cNvPr>
        <xdr:cNvSpPr>
          <a:spLocks noChangeArrowheads="1"/>
        </xdr:cNvSpPr>
      </xdr:nvSpPr>
      <xdr:spPr bwMode="auto">
        <a:xfrm>
          <a:off x="5461000" y="1346200"/>
          <a:ext cx="152400" cy="165100"/>
        </a:xfrm>
        <a:prstGeom prst="upArrow">
          <a:avLst>
            <a:gd name="adj1" fmla="val 42861"/>
            <a:gd name="adj2" fmla="val 31863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2857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1219200</xdr:colOff>
      <xdr:row>6</xdr:row>
      <xdr:rowOff>88900</xdr:rowOff>
    </xdr:from>
    <xdr:to>
      <xdr:col>6</xdr:col>
      <xdr:colOff>1219200</xdr:colOff>
      <xdr:row>7</xdr:row>
      <xdr:rowOff>101600</xdr:rowOff>
    </xdr:to>
    <xdr:sp macro="" textlink="">
      <xdr:nvSpPr>
        <xdr:cNvPr id="31410" name="Line 23">
          <a:extLst>
            <a:ext uri="{FF2B5EF4-FFF2-40B4-BE49-F238E27FC236}">
              <a16:creationId xmlns:a16="http://schemas.microsoft.com/office/drawing/2014/main" id="{B36A7744-C8AC-54CB-B911-B6CF7E45DBDA}"/>
            </a:ext>
          </a:extLst>
        </xdr:cNvPr>
        <xdr:cNvSpPr>
          <a:spLocks noChangeShapeType="1"/>
        </xdr:cNvSpPr>
      </xdr:nvSpPr>
      <xdr:spPr bwMode="auto">
        <a:xfrm flipV="1">
          <a:off x="5537200" y="1117600"/>
          <a:ext cx="0" cy="1905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584200</xdr:colOff>
      <xdr:row>5</xdr:row>
      <xdr:rowOff>88900</xdr:rowOff>
    </xdr:from>
    <xdr:to>
      <xdr:col>6</xdr:col>
      <xdr:colOff>1219200</xdr:colOff>
      <xdr:row>6</xdr:row>
      <xdr:rowOff>152400</xdr:rowOff>
    </xdr:to>
    <xdr:sp macro="" textlink="">
      <xdr:nvSpPr>
        <xdr:cNvPr id="31411" name="Line 24">
          <a:extLst>
            <a:ext uri="{FF2B5EF4-FFF2-40B4-BE49-F238E27FC236}">
              <a16:creationId xmlns:a16="http://schemas.microsoft.com/office/drawing/2014/main" id="{81152DCB-2ECE-DF77-9391-A5662A673D8F}"/>
            </a:ext>
          </a:extLst>
        </xdr:cNvPr>
        <xdr:cNvSpPr>
          <a:spLocks noChangeShapeType="1"/>
        </xdr:cNvSpPr>
      </xdr:nvSpPr>
      <xdr:spPr bwMode="auto">
        <a:xfrm flipH="1" flipV="1">
          <a:off x="4902200" y="939800"/>
          <a:ext cx="635000" cy="2413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330200</xdr:colOff>
      <xdr:row>8</xdr:row>
      <xdr:rowOff>25400</xdr:rowOff>
    </xdr:from>
    <xdr:to>
      <xdr:col>6</xdr:col>
      <xdr:colOff>330200</xdr:colOff>
      <xdr:row>9</xdr:row>
      <xdr:rowOff>88900</xdr:rowOff>
    </xdr:to>
    <xdr:sp macro="" textlink="">
      <xdr:nvSpPr>
        <xdr:cNvPr id="31412" name="Line 25">
          <a:extLst>
            <a:ext uri="{FF2B5EF4-FFF2-40B4-BE49-F238E27FC236}">
              <a16:creationId xmlns:a16="http://schemas.microsoft.com/office/drawing/2014/main" id="{01C5EC33-1D5E-DCDC-9FDD-82DC67691077}"/>
            </a:ext>
          </a:extLst>
        </xdr:cNvPr>
        <xdr:cNvSpPr>
          <a:spLocks noChangeShapeType="1"/>
        </xdr:cNvSpPr>
      </xdr:nvSpPr>
      <xdr:spPr bwMode="auto">
        <a:xfrm flipV="1">
          <a:off x="4648200" y="1397000"/>
          <a:ext cx="0" cy="2286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342900</xdr:colOff>
      <xdr:row>7</xdr:row>
      <xdr:rowOff>139700</xdr:rowOff>
    </xdr:from>
    <xdr:to>
      <xdr:col>6</xdr:col>
      <xdr:colOff>571500</xdr:colOff>
      <xdr:row>8</xdr:row>
      <xdr:rowOff>63500</xdr:rowOff>
    </xdr:to>
    <xdr:sp macro="" textlink="">
      <xdr:nvSpPr>
        <xdr:cNvPr id="31413" name="Line 26">
          <a:extLst>
            <a:ext uri="{FF2B5EF4-FFF2-40B4-BE49-F238E27FC236}">
              <a16:creationId xmlns:a16="http://schemas.microsoft.com/office/drawing/2014/main" id="{C82F68DA-523E-C9D2-23AA-4727CC5E6E58}"/>
            </a:ext>
          </a:extLst>
        </xdr:cNvPr>
        <xdr:cNvSpPr>
          <a:spLocks noChangeShapeType="1"/>
        </xdr:cNvSpPr>
      </xdr:nvSpPr>
      <xdr:spPr bwMode="auto">
        <a:xfrm flipV="1">
          <a:off x="4660900" y="1346200"/>
          <a:ext cx="228600" cy="889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584200</xdr:colOff>
      <xdr:row>5</xdr:row>
      <xdr:rowOff>88900</xdr:rowOff>
    </xdr:from>
    <xdr:to>
      <xdr:col>6</xdr:col>
      <xdr:colOff>584200</xdr:colOff>
      <xdr:row>7</xdr:row>
      <xdr:rowOff>139700</xdr:rowOff>
    </xdr:to>
    <xdr:sp macro="" textlink="">
      <xdr:nvSpPr>
        <xdr:cNvPr id="31414" name="Line 27">
          <a:extLst>
            <a:ext uri="{FF2B5EF4-FFF2-40B4-BE49-F238E27FC236}">
              <a16:creationId xmlns:a16="http://schemas.microsoft.com/office/drawing/2014/main" id="{263D72E9-B369-398C-3259-E5B493DB1853}"/>
            </a:ext>
          </a:extLst>
        </xdr:cNvPr>
        <xdr:cNvSpPr>
          <a:spLocks noChangeShapeType="1"/>
        </xdr:cNvSpPr>
      </xdr:nvSpPr>
      <xdr:spPr bwMode="auto">
        <a:xfrm flipV="1">
          <a:off x="4902200" y="939800"/>
          <a:ext cx="0" cy="4064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215900</xdr:colOff>
      <xdr:row>4</xdr:row>
      <xdr:rowOff>63500</xdr:rowOff>
    </xdr:from>
    <xdr:to>
      <xdr:col>7</xdr:col>
      <xdr:colOff>647700</xdr:colOff>
      <xdr:row>5</xdr:row>
      <xdr:rowOff>152400</xdr:rowOff>
    </xdr:to>
    <xdr:sp macro="" textlink="">
      <xdr:nvSpPr>
        <xdr:cNvPr id="31415" name="Line 28">
          <a:extLst>
            <a:ext uri="{FF2B5EF4-FFF2-40B4-BE49-F238E27FC236}">
              <a16:creationId xmlns:a16="http://schemas.microsoft.com/office/drawing/2014/main" id="{F649D8A4-5F20-2BDF-4F36-D8EA0C29F1CB}"/>
            </a:ext>
          </a:extLst>
        </xdr:cNvPr>
        <xdr:cNvSpPr>
          <a:spLocks noChangeShapeType="1"/>
        </xdr:cNvSpPr>
      </xdr:nvSpPr>
      <xdr:spPr bwMode="auto">
        <a:xfrm flipV="1">
          <a:off x="6248400" y="749300"/>
          <a:ext cx="431800" cy="2540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419100</xdr:colOff>
      <xdr:row>3</xdr:row>
      <xdr:rowOff>101600</xdr:rowOff>
    </xdr:from>
    <xdr:to>
      <xdr:col>7</xdr:col>
      <xdr:colOff>419100</xdr:colOff>
      <xdr:row>5</xdr:row>
      <xdr:rowOff>50800</xdr:rowOff>
    </xdr:to>
    <xdr:sp macro="" textlink="">
      <xdr:nvSpPr>
        <xdr:cNvPr id="31416" name="Line 29">
          <a:extLst>
            <a:ext uri="{FF2B5EF4-FFF2-40B4-BE49-F238E27FC236}">
              <a16:creationId xmlns:a16="http://schemas.microsoft.com/office/drawing/2014/main" id="{41156B20-C22B-6A61-4D85-9C01154BCC8A}"/>
            </a:ext>
          </a:extLst>
        </xdr:cNvPr>
        <xdr:cNvSpPr>
          <a:spLocks noChangeShapeType="1"/>
        </xdr:cNvSpPr>
      </xdr:nvSpPr>
      <xdr:spPr bwMode="auto">
        <a:xfrm flipV="1">
          <a:off x="6451600" y="622300"/>
          <a:ext cx="0" cy="2794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406400</xdr:colOff>
      <xdr:row>3</xdr:row>
      <xdr:rowOff>76200</xdr:rowOff>
    </xdr:from>
    <xdr:to>
      <xdr:col>7</xdr:col>
      <xdr:colOff>952500</xdr:colOff>
      <xdr:row>4</xdr:row>
      <xdr:rowOff>139700</xdr:rowOff>
    </xdr:to>
    <xdr:sp macro="" textlink="">
      <xdr:nvSpPr>
        <xdr:cNvPr id="31417" name="Line 30">
          <a:extLst>
            <a:ext uri="{FF2B5EF4-FFF2-40B4-BE49-F238E27FC236}">
              <a16:creationId xmlns:a16="http://schemas.microsoft.com/office/drawing/2014/main" id="{34903B15-0C7D-F31C-953D-F31A4D5A0DED}"/>
            </a:ext>
          </a:extLst>
        </xdr:cNvPr>
        <xdr:cNvSpPr>
          <a:spLocks noChangeShapeType="1"/>
        </xdr:cNvSpPr>
      </xdr:nvSpPr>
      <xdr:spPr bwMode="auto">
        <a:xfrm>
          <a:off x="6438900" y="596900"/>
          <a:ext cx="546100" cy="2286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952500</xdr:colOff>
      <xdr:row>4</xdr:row>
      <xdr:rowOff>114300</xdr:rowOff>
    </xdr:from>
    <xdr:to>
      <xdr:col>7</xdr:col>
      <xdr:colOff>952500</xdr:colOff>
      <xdr:row>7</xdr:row>
      <xdr:rowOff>25400</xdr:rowOff>
    </xdr:to>
    <xdr:sp macro="" textlink="">
      <xdr:nvSpPr>
        <xdr:cNvPr id="31418" name="Line 31">
          <a:extLst>
            <a:ext uri="{FF2B5EF4-FFF2-40B4-BE49-F238E27FC236}">
              <a16:creationId xmlns:a16="http://schemas.microsoft.com/office/drawing/2014/main" id="{2D88CAC8-08FF-811C-B8C2-AE01DE117DBC}"/>
            </a:ext>
          </a:extLst>
        </xdr:cNvPr>
        <xdr:cNvSpPr>
          <a:spLocks noChangeShapeType="1"/>
        </xdr:cNvSpPr>
      </xdr:nvSpPr>
      <xdr:spPr bwMode="auto">
        <a:xfrm>
          <a:off x="6985000" y="800100"/>
          <a:ext cx="0" cy="4318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952500</xdr:colOff>
      <xdr:row>7</xdr:row>
      <xdr:rowOff>12700</xdr:rowOff>
    </xdr:from>
    <xdr:to>
      <xdr:col>7</xdr:col>
      <xdr:colOff>1460500</xdr:colOff>
      <xdr:row>8</xdr:row>
      <xdr:rowOff>50800</xdr:rowOff>
    </xdr:to>
    <xdr:sp macro="" textlink="">
      <xdr:nvSpPr>
        <xdr:cNvPr id="31419" name="Line 32">
          <a:extLst>
            <a:ext uri="{FF2B5EF4-FFF2-40B4-BE49-F238E27FC236}">
              <a16:creationId xmlns:a16="http://schemas.microsoft.com/office/drawing/2014/main" id="{AA666AB6-ABC9-D2D0-CFA3-29DA47A08F36}"/>
            </a:ext>
          </a:extLst>
        </xdr:cNvPr>
        <xdr:cNvSpPr>
          <a:spLocks noChangeShapeType="1"/>
        </xdr:cNvSpPr>
      </xdr:nvSpPr>
      <xdr:spPr bwMode="auto">
        <a:xfrm>
          <a:off x="6985000" y="1219200"/>
          <a:ext cx="508000" cy="2032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127000</xdr:colOff>
      <xdr:row>4</xdr:row>
      <xdr:rowOff>76200</xdr:rowOff>
    </xdr:from>
    <xdr:to>
      <xdr:col>7</xdr:col>
      <xdr:colOff>419100</xdr:colOff>
      <xdr:row>5</xdr:row>
      <xdr:rowOff>25400</xdr:rowOff>
    </xdr:to>
    <xdr:sp macro="" textlink="">
      <xdr:nvSpPr>
        <xdr:cNvPr id="31420" name="Line 33">
          <a:extLst>
            <a:ext uri="{FF2B5EF4-FFF2-40B4-BE49-F238E27FC236}">
              <a16:creationId xmlns:a16="http://schemas.microsoft.com/office/drawing/2014/main" id="{99BD78C6-0BF6-C004-7F3E-AB29E261BA4E}"/>
            </a:ext>
          </a:extLst>
        </xdr:cNvPr>
        <xdr:cNvSpPr>
          <a:spLocks noChangeShapeType="1"/>
        </xdr:cNvSpPr>
      </xdr:nvSpPr>
      <xdr:spPr bwMode="auto">
        <a:xfrm>
          <a:off x="6159500" y="762000"/>
          <a:ext cx="292100" cy="1143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190500</xdr:colOff>
      <xdr:row>2</xdr:row>
      <xdr:rowOff>76200</xdr:rowOff>
    </xdr:from>
    <xdr:to>
      <xdr:col>7</xdr:col>
      <xdr:colOff>190500</xdr:colOff>
      <xdr:row>4</xdr:row>
      <xdr:rowOff>101600</xdr:rowOff>
    </xdr:to>
    <xdr:sp macro="" textlink="">
      <xdr:nvSpPr>
        <xdr:cNvPr id="31421" name="Line 34">
          <a:extLst>
            <a:ext uri="{FF2B5EF4-FFF2-40B4-BE49-F238E27FC236}">
              <a16:creationId xmlns:a16="http://schemas.microsoft.com/office/drawing/2014/main" id="{629375A7-FF25-4670-90CE-4F6E6F2A5B17}"/>
            </a:ext>
          </a:extLst>
        </xdr:cNvPr>
        <xdr:cNvSpPr>
          <a:spLocks noChangeShapeType="1"/>
        </xdr:cNvSpPr>
      </xdr:nvSpPr>
      <xdr:spPr bwMode="auto">
        <a:xfrm flipV="1">
          <a:off x="6223000" y="419100"/>
          <a:ext cx="0" cy="3683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190500</xdr:colOff>
      <xdr:row>2</xdr:row>
      <xdr:rowOff>63500</xdr:rowOff>
    </xdr:from>
    <xdr:to>
      <xdr:col>7</xdr:col>
      <xdr:colOff>1066800</xdr:colOff>
      <xdr:row>4</xdr:row>
      <xdr:rowOff>63500</xdr:rowOff>
    </xdr:to>
    <xdr:sp macro="" textlink="">
      <xdr:nvSpPr>
        <xdr:cNvPr id="31422" name="Line 35">
          <a:extLst>
            <a:ext uri="{FF2B5EF4-FFF2-40B4-BE49-F238E27FC236}">
              <a16:creationId xmlns:a16="http://schemas.microsoft.com/office/drawing/2014/main" id="{8B2547FC-1936-4EA7-8565-194644B89F97}"/>
            </a:ext>
          </a:extLst>
        </xdr:cNvPr>
        <xdr:cNvSpPr>
          <a:spLocks noChangeShapeType="1"/>
        </xdr:cNvSpPr>
      </xdr:nvSpPr>
      <xdr:spPr bwMode="auto">
        <a:xfrm>
          <a:off x="6223000" y="406400"/>
          <a:ext cx="876300" cy="34290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1244600</xdr:colOff>
      <xdr:row>8</xdr:row>
      <xdr:rowOff>0</xdr:rowOff>
    </xdr:from>
    <xdr:to>
      <xdr:col>7</xdr:col>
      <xdr:colOff>1397000</xdr:colOff>
      <xdr:row>9</xdr:row>
      <xdr:rowOff>0</xdr:rowOff>
    </xdr:to>
    <xdr:sp macro="" textlink="">
      <xdr:nvSpPr>
        <xdr:cNvPr id="31423" name="AutoShape 36">
          <a:extLst>
            <a:ext uri="{FF2B5EF4-FFF2-40B4-BE49-F238E27FC236}">
              <a16:creationId xmlns:a16="http://schemas.microsoft.com/office/drawing/2014/main" id="{A013A3E1-98D8-AF7F-E804-67AB10119D11}"/>
            </a:ext>
          </a:extLst>
        </xdr:cNvPr>
        <xdr:cNvSpPr>
          <a:spLocks noChangeArrowheads="1"/>
        </xdr:cNvSpPr>
      </xdr:nvSpPr>
      <xdr:spPr bwMode="auto">
        <a:xfrm>
          <a:off x="7277100" y="1371600"/>
          <a:ext cx="152400" cy="165100"/>
        </a:xfrm>
        <a:prstGeom prst="upArrow">
          <a:avLst>
            <a:gd name="adj1" fmla="val 42861"/>
            <a:gd name="adj2" fmla="val 31863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2857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1308100</xdr:colOff>
      <xdr:row>6</xdr:row>
      <xdr:rowOff>88900</xdr:rowOff>
    </xdr:from>
    <xdr:to>
      <xdr:col>7</xdr:col>
      <xdr:colOff>1308100</xdr:colOff>
      <xdr:row>7</xdr:row>
      <xdr:rowOff>139700</xdr:rowOff>
    </xdr:to>
    <xdr:sp macro="" textlink="">
      <xdr:nvSpPr>
        <xdr:cNvPr id="31424" name="Line 37">
          <a:extLst>
            <a:ext uri="{FF2B5EF4-FFF2-40B4-BE49-F238E27FC236}">
              <a16:creationId xmlns:a16="http://schemas.microsoft.com/office/drawing/2014/main" id="{898C9C72-DEBF-9130-9C8D-0C158C959954}"/>
            </a:ext>
          </a:extLst>
        </xdr:cNvPr>
        <xdr:cNvSpPr>
          <a:spLocks noChangeShapeType="1"/>
        </xdr:cNvSpPr>
      </xdr:nvSpPr>
      <xdr:spPr bwMode="auto">
        <a:xfrm flipV="1">
          <a:off x="7340600" y="1117600"/>
          <a:ext cx="0" cy="2286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1066800</xdr:colOff>
      <xdr:row>6</xdr:row>
      <xdr:rowOff>63500</xdr:rowOff>
    </xdr:from>
    <xdr:to>
      <xdr:col>7</xdr:col>
      <xdr:colOff>1308100</xdr:colOff>
      <xdr:row>7</xdr:row>
      <xdr:rowOff>0</xdr:rowOff>
    </xdr:to>
    <xdr:sp macro="" textlink="">
      <xdr:nvSpPr>
        <xdr:cNvPr id="31425" name="Line 38">
          <a:extLst>
            <a:ext uri="{FF2B5EF4-FFF2-40B4-BE49-F238E27FC236}">
              <a16:creationId xmlns:a16="http://schemas.microsoft.com/office/drawing/2014/main" id="{FA675D62-8CD0-15B8-F052-77B97973DEFA}"/>
            </a:ext>
          </a:extLst>
        </xdr:cNvPr>
        <xdr:cNvSpPr>
          <a:spLocks noChangeShapeType="1"/>
        </xdr:cNvSpPr>
      </xdr:nvSpPr>
      <xdr:spPr bwMode="auto">
        <a:xfrm flipH="1" flipV="1">
          <a:off x="7099300" y="1092200"/>
          <a:ext cx="241300" cy="1143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1066800</xdr:colOff>
      <xdr:row>4</xdr:row>
      <xdr:rowOff>63500</xdr:rowOff>
    </xdr:from>
    <xdr:to>
      <xdr:col>7</xdr:col>
      <xdr:colOff>1066800</xdr:colOff>
      <xdr:row>6</xdr:row>
      <xdr:rowOff>63500</xdr:rowOff>
    </xdr:to>
    <xdr:sp macro="" textlink="">
      <xdr:nvSpPr>
        <xdr:cNvPr id="31426" name="Line 39">
          <a:extLst>
            <a:ext uri="{FF2B5EF4-FFF2-40B4-BE49-F238E27FC236}">
              <a16:creationId xmlns:a16="http://schemas.microsoft.com/office/drawing/2014/main" id="{D3915301-4D95-BE24-0139-0B41F7D3740D}"/>
            </a:ext>
          </a:extLst>
        </xdr:cNvPr>
        <xdr:cNvSpPr>
          <a:spLocks noChangeShapeType="1"/>
        </xdr:cNvSpPr>
      </xdr:nvSpPr>
      <xdr:spPr bwMode="auto">
        <a:xfrm flipV="1">
          <a:off x="7099300" y="749300"/>
          <a:ext cx="0" cy="3429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238760</xdr:colOff>
      <xdr:row>0</xdr:row>
      <xdr:rowOff>97155</xdr:rowOff>
    </xdr:from>
    <xdr:ext cx="1785489" cy="170560"/>
    <xdr:sp macro="" textlink="">
      <xdr:nvSpPr>
        <xdr:cNvPr id="30760" name="Text Box 40">
          <a:extLst>
            <a:ext uri="{FF2B5EF4-FFF2-40B4-BE49-F238E27FC236}">
              <a16:creationId xmlns:a16="http://schemas.microsoft.com/office/drawing/2014/main" id="{6C188E51-BE8F-3EB4-53C0-BF4DF52D4274}"/>
            </a:ext>
          </a:extLst>
        </xdr:cNvPr>
        <xdr:cNvSpPr txBox="1">
          <a:spLocks noChangeArrowheads="1"/>
        </xdr:cNvSpPr>
      </xdr:nvSpPr>
      <xdr:spPr bwMode="auto">
        <a:xfrm>
          <a:off x="601980" y="97155"/>
          <a:ext cx="1785489" cy="170560"/>
        </a:xfrm>
        <a:prstGeom prst="rect">
          <a:avLst/>
        </a:prstGeom>
        <a:noFill/>
        <a:ln>
          <a:noFill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ALLOWABLE PIPING SPANS</a:t>
          </a:r>
        </a:p>
      </xdr:txBody>
    </xdr:sp>
    <xdr:clientData/>
  </xdr:one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317500</xdr:colOff>
      <xdr:row>2</xdr:row>
      <xdr:rowOff>76200</xdr:rowOff>
    </xdr:from>
    <xdr:to>
      <xdr:col>4</xdr:col>
      <xdr:colOff>203200</xdr:colOff>
      <xdr:row>8</xdr:row>
      <xdr:rowOff>12700</xdr:rowOff>
    </xdr:to>
    <xdr:sp macro="" textlink="">
      <xdr:nvSpPr>
        <xdr:cNvPr id="50647" name="AutoShape 1">
          <a:extLst>
            <a:ext uri="{FF2B5EF4-FFF2-40B4-BE49-F238E27FC236}">
              <a16:creationId xmlns:a16="http://schemas.microsoft.com/office/drawing/2014/main" id="{A8844574-E17D-1687-CC85-5335A6E6E9C9}"/>
            </a:ext>
          </a:extLst>
        </xdr:cNvPr>
        <xdr:cNvSpPr>
          <a:spLocks noChangeArrowheads="1"/>
        </xdr:cNvSpPr>
      </xdr:nvSpPr>
      <xdr:spPr bwMode="auto">
        <a:xfrm rot="-2676197">
          <a:off x="876300" y="406400"/>
          <a:ext cx="1219200" cy="927100"/>
        </a:xfrm>
        <a:custGeom>
          <a:avLst/>
          <a:gdLst>
            <a:gd name="T0" fmla="*/ 2147483646 w 21600"/>
            <a:gd name="T1" fmla="*/ 0 h 21600"/>
            <a:gd name="T2" fmla="*/ 2147483646 w 21600"/>
            <a:gd name="T3" fmla="*/ 2147483646 h 21600"/>
            <a:gd name="T4" fmla="*/ 2147483646 w 21600"/>
            <a:gd name="T5" fmla="*/ 2147483646 h 21600"/>
            <a:gd name="T6" fmla="*/ 2147483646 w 21600"/>
            <a:gd name="T7" fmla="*/ 2147483646 h 21600"/>
            <a:gd name="T8" fmla="*/ 0 60000 65536"/>
            <a:gd name="T9" fmla="*/ 0 60000 65536"/>
            <a:gd name="T10" fmla="*/ 0 60000 65536"/>
            <a:gd name="T11" fmla="*/ 0 60000 65536"/>
            <a:gd name="T12" fmla="*/ 1601 w 21600"/>
            <a:gd name="T13" fmla="*/ 0 h 21600"/>
            <a:gd name="T14" fmla="*/ 19999 w 21600"/>
            <a:gd name="T15" fmla="*/ 8439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7565" y="7662"/>
              </a:moveTo>
              <a:cubicBezTo>
                <a:pt x="8414" y="6787"/>
                <a:pt x="9581" y="6293"/>
                <a:pt x="10800" y="6294"/>
              </a:cubicBezTo>
              <a:cubicBezTo>
                <a:pt x="12018" y="6294"/>
                <a:pt x="13185" y="6787"/>
                <a:pt x="14034" y="7662"/>
              </a:cubicBezTo>
              <a:lnTo>
                <a:pt x="18552" y="3280"/>
              </a:lnTo>
              <a:cubicBezTo>
                <a:pt x="16518" y="1183"/>
                <a:pt x="13721" y="-1"/>
                <a:pt x="10799" y="0"/>
              </a:cubicBezTo>
              <a:cubicBezTo>
                <a:pt x="7878" y="0"/>
                <a:pt x="5081" y="1183"/>
                <a:pt x="3047" y="3280"/>
              </a:cubicBezTo>
              <a:lnTo>
                <a:pt x="7565" y="7662"/>
              </a:lnTo>
              <a:close/>
            </a:path>
          </a:pathLst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12700</xdr:colOff>
      <xdr:row>3</xdr:row>
      <xdr:rowOff>63500</xdr:rowOff>
    </xdr:from>
    <xdr:to>
      <xdr:col>4</xdr:col>
      <xdr:colOff>152400</xdr:colOff>
      <xdr:row>3</xdr:row>
      <xdr:rowOff>63500</xdr:rowOff>
    </xdr:to>
    <xdr:sp macro="" textlink="">
      <xdr:nvSpPr>
        <xdr:cNvPr id="50648" name="Line 2">
          <a:extLst>
            <a:ext uri="{FF2B5EF4-FFF2-40B4-BE49-F238E27FC236}">
              <a16:creationId xmlns:a16="http://schemas.microsoft.com/office/drawing/2014/main" id="{E4F77C5F-3948-9942-4D25-E0F4E0D703C6}"/>
            </a:ext>
          </a:extLst>
        </xdr:cNvPr>
        <xdr:cNvSpPr>
          <a:spLocks noChangeShapeType="1"/>
        </xdr:cNvSpPr>
      </xdr:nvSpPr>
      <xdr:spPr bwMode="auto">
        <a:xfrm>
          <a:off x="1511300" y="558800"/>
          <a:ext cx="5334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241300</xdr:colOff>
      <xdr:row>5</xdr:row>
      <xdr:rowOff>63500</xdr:rowOff>
    </xdr:from>
    <xdr:to>
      <xdr:col>4</xdr:col>
      <xdr:colOff>152400</xdr:colOff>
      <xdr:row>5</xdr:row>
      <xdr:rowOff>63500</xdr:rowOff>
    </xdr:to>
    <xdr:sp macro="" textlink="">
      <xdr:nvSpPr>
        <xdr:cNvPr id="50649" name="Line 3">
          <a:extLst>
            <a:ext uri="{FF2B5EF4-FFF2-40B4-BE49-F238E27FC236}">
              <a16:creationId xmlns:a16="http://schemas.microsoft.com/office/drawing/2014/main" id="{F29FF7AF-FC5F-3767-6134-7C8EEAF2EC02}"/>
            </a:ext>
          </a:extLst>
        </xdr:cNvPr>
        <xdr:cNvSpPr>
          <a:spLocks noChangeShapeType="1"/>
        </xdr:cNvSpPr>
      </xdr:nvSpPr>
      <xdr:spPr bwMode="auto">
        <a:xfrm flipV="1">
          <a:off x="1308100" y="889000"/>
          <a:ext cx="7366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4</xdr:row>
      <xdr:rowOff>101600</xdr:rowOff>
    </xdr:from>
    <xdr:to>
      <xdr:col>3</xdr:col>
      <xdr:colOff>0</xdr:colOff>
      <xdr:row>7</xdr:row>
      <xdr:rowOff>38100</xdr:rowOff>
    </xdr:to>
    <xdr:sp macro="" textlink="">
      <xdr:nvSpPr>
        <xdr:cNvPr id="50650" name="Line 4">
          <a:extLst>
            <a:ext uri="{FF2B5EF4-FFF2-40B4-BE49-F238E27FC236}">
              <a16:creationId xmlns:a16="http://schemas.microsoft.com/office/drawing/2014/main" id="{2B5EA81C-3C1B-5650-2907-C8282EA251D9}"/>
            </a:ext>
          </a:extLst>
        </xdr:cNvPr>
        <xdr:cNvSpPr>
          <a:spLocks noChangeShapeType="1"/>
        </xdr:cNvSpPr>
      </xdr:nvSpPr>
      <xdr:spPr bwMode="auto">
        <a:xfrm>
          <a:off x="1498600" y="762000"/>
          <a:ext cx="0" cy="4318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38100</xdr:colOff>
      <xdr:row>5</xdr:row>
      <xdr:rowOff>63500</xdr:rowOff>
    </xdr:from>
    <xdr:to>
      <xdr:col>2</xdr:col>
      <xdr:colOff>38100</xdr:colOff>
      <xdr:row>7</xdr:row>
      <xdr:rowOff>25400</xdr:rowOff>
    </xdr:to>
    <xdr:sp macro="" textlink="">
      <xdr:nvSpPr>
        <xdr:cNvPr id="50651" name="Line 5">
          <a:extLst>
            <a:ext uri="{FF2B5EF4-FFF2-40B4-BE49-F238E27FC236}">
              <a16:creationId xmlns:a16="http://schemas.microsoft.com/office/drawing/2014/main" id="{4D00AFA1-50BA-8F32-8736-9BDFDEBCB8A8}"/>
            </a:ext>
          </a:extLst>
        </xdr:cNvPr>
        <xdr:cNvSpPr>
          <a:spLocks noChangeShapeType="1"/>
        </xdr:cNvSpPr>
      </xdr:nvSpPr>
      <xdr:spPr bwMode="auto">
        <a:xfrm>
          <a:off x="1104900" y="889000"/>
          <a:ext cx="0" cy="2921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190500</xdr:colOff>
      <xdr:row>6</xdr:row>
      <xdr:rowOff>139700</xdr:rowOff>
    </xdr:from>
    <xdr:to>
      <xdr:col>2</xdr:col>
      <xdr:colOff>38100</xdr:colOff>
      <xdr:row>6</xdr:row>
      <xdr:rowOff>139700</xdr:rowOff>
    </xdr:to>
    <xdr:sp macro="" textlink="">
      <xdr:nvSpPr>
        <xdr:cNvPr id="50652" name="Line 6">
          <a:extLst>
            <a:ext uri="{FF2B5EF4-FFF2-40B4-BE49-F238E27FC236}">
              <a16:creationId xmlns:a16="http://schemas.microsoft.com/office/drawing/2014/main" id="{F576714A-6399-C1A2-8FB8-B0BFF25D71A3}"/>
            </a:ext>
          </a:extLst>
        </xdr:cNvPr>
        <xdr:cNvSpPr>
          <a:spLocks noChangeShapeType="1"/>
        </xdr:cNvSpPr>
      </xdr:nvSpPr>
      <xdr:spPr bwMode="auto">
        <a:xfrm flipH="1">
          <a:off x="749300" y="1130300"/>
          <a:ext cx="3556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6</xdr:row>
      <xdr:rowOff>152400</xdr:rowOff>
    </xdr:from>
    <xdr:to>
      <xdr:col>3</xdr:col>
      <xdr:colOff>203200</xdr:colOff>
      <xdr:row>6</xdr:row>
      <xdr:rowOff>152400</xdr:rowOff>
    </xdr:to>
    <xdr:sp macro="" textlink="">
      <xdr:nvSpPr>
        <xdr:cNvPr id="50653" name="Line 7">
          <a:extLst>
            <a:ext uri="{FF2B5EF4-FFF2-40B4-BE49-F238E27FC236}">
              <a16:creationId xmlns:a16="http://schemas.microsoft.com/office/drawing/2014/main" id="{88404B92-6B53-FF2B-252A-D7913CC5D528}"/>
            </a:ext>
          </a:extLst>
        </xdr:cNvPr>
        <xdr:cNvSpPr>
          <a:spLocks noChangeShapeType="1"/>
        </xdr:cNvSpPr>
      </xdr:nvSpPr>
      <xdr:spPr bwMode="auto">
        <a:xfrm>
          <a:off x="1498600" y="1143000"/>
          <a:ext cx="2032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2</xdr:row>
      <xdr:rowOff>12700</xdr:rowOff>
    </xdr:from>
    <xdr:to>
      <xdr:col>4</xdr:col>
      <xdr:colOff>114300</xdr:colOff>
      <xdr:row>3</xdr:row>
      <xdr:rowOff>25400</xdr:rowOff>
    </xdr:to>
    <xdr:sp macro="" textlink="">
      <xdr:nvSpPr>
        <xdr:cNvPr id="50654" name="Line 8">
          <a:extLst>
            <a:ext uri="{FF2B5EF4-FFF2-40B4-BE49-F238E27FC236}">
              <a16:creationId xmlns:a16="http://schemas.microsoft.com/office/drawing/2014/main" id="{9B4A43DC-4AB0-AA22-0016-CBB2B520FE31}"/>
            </a:ext>
          </a:extLst>
        </xdr:cNvPr>
        <xdr:cNvSpPr>
          <a:spLocks noChangeShapeType="1"/>
        </xdr:cNvSpPr>
      </xdr:nvSpPr>
      <xdr:spPr bwMode="auto">
        <a:xfrm flipV="1">
          <a:off x="2006600" y="342900"/>
          <a:ext cx="0" cy="1778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5</xdr:row>
      <xdr:rowOff>63500</xdr:rowOff>
    </xdr:from>
    <xdr:to>
      <xdr:col>4</xdr:col>
      <xdr:colOff>114300</xdr:colOff>
      <xdr:row>6</xdr:row>
      <xdr:rowOff>101600</xdr:rowOff>
    </xdr:to>
    <xdr:sp macro="" textlink="">
      <xdr:nvSpPr>
        <xdr:cNvPr id="50655" name="Line 9">
          <a:extLst>
            <a:ext uri="{FF2B5EF4-FFF2-40B4-BE49-F238E27FC236}">
              <a16:creationId xmlns:a16="http://schemas.microsoft.com/office/drawing/2014/main" id="{43181644-72C9-DE40-81C3-E523BB3B12E6}"/>
            </a:ext>
          </a:extLst>
        </xdr:cNvPr>
        <xdr:cNvSpPr>
          <a:spLocks noChangeShapeType="1"/>
        </xdr:cNvSpPr>
      </xdr:nvSpPr>
      <xdr:spPr bwMode="auto">
        <a:xfrm>
          <a:off x="2006600" y="889000"/>
          <a:ext cx="0" cy="2032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4</xdr:col>
      <xdr:colOff>19050</xdr:colOff>
      <xdr:row>3</xdr:row>
      <xdr:rowOff>112395</xdr:rowOff>
    </xdr:from>
    <xdr:to>
      <xdr:col>4</xdr:col>
      <xdr:colOff>241386</xdr:colOff>
      <xdr:row>5</xdr:row>
      <xdr:rowOff>12143</xdr:rowOff>
    </xdr:to>
    <xdr:sp macro="" textlink="">
      <xdr:nvSpPr>
        <xdr:cNvPr id="17418" name="Text Box 10">
          <a:extLst>
            <a:ext uri="{FF2B5EF4-FFF2-40B4-BE49-F238E27FC236}">
              <a16:creationId xmlns:a16="http://schemas.microsoft.com/office/drawing/2014/main" id="{CED926D7-669C-74C5-D393-8BEA5E1291E6}"/>
            </a:ext>
          </a:extLst>
        </xdr:cNvPr>
        <xdr:cNvSpPr txBox="1">
          <a:spLocks noChangeArrowheads="1"/>
        </xdr:cNvSpPr>
      </xdr:nvSpPr>
      <xdr:spPr bwMode="auto">
        <a:xfrm>
          <a:off x="1666875" y="590550"/>
          <a:ext cx="200025" cy="228600"/>
        </a:xfrm>
        <a:prstGeom prst="rect">
          <a:avLst/>
        </a:prstGeom>
        <a:noFill/>
        <a:ln>
          <a:noFill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A</a:t>
          </a:r>
        </a:p>
        <a:p>
          <a:pPr algn="l" rtl="0">
            <a:defRPr sz="1000"/>
          </a:pP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 editAs="oneCell">
    <xdr:from>
      <xdr:col>2</xdr:col>
      <xdr:colOff>108585</xdr:colOff>
      <xdr:row>6</xdr:row>
      <xdr:rowOff>40005</xdr:rowOff>
    </xdr:from>
    <xdr:to>
      <xdr:col>2</xdr:col>
      <xdr:colOff>344288</xdr:colOff>
      <xdr:row>7</xdr:row>
      <xdr:rowOff>116366</xdr:rowOff>
    </xdr:to>
    <xdr:sp macro="" textlink="">
      <xdr:nvSpPr>
        <xdr:cNvPr id="17419" name="Text Box 11">
          <a:extLst>
            <a:ext uri="{FF2B5EF4-FFF2-40B4-BE49-F238E27FC236}">
              <a16:creationId xmlns:a16="http://schemas.microsoft.com/office/drawing/2014/main" id="{DAC7E812-3896-4E32-B095-AABBD238D928}"/>
            </a:ext>
          </a:extLst>
        </xdr:cNvPr>
        <xdr:cNvSpPr txBox="1">
          <a:spLocks noChangeArrowheads="1"/>
        </xdr:cNvSpPr>
      </xdr:nvSpPr>
      <xdr:spPr bwMode="auto">
        <a:xfrm>
          <a:off x="1028700" y="1019175"/>
          <a:ext cx="200025" cy="228600"/>
        </a:xfrm>
        <a:prstGeom prst="rect">
          <a:avLst/>
        </a:prstGeom>
        <a:noFill/>
        <a:ln>
          <a:noFill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A</a:t>
          </a:r>
        </a:p>
        <a:p>
          <a:pPr algn="l" rtl="0">
            <a:defRPr sz="1000"/>
          </a:pP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 editAs="oneCell">
    <xdr:from>
      <xdr:col>1</xdr:col>
      <xdr:colOff>163195</xdr:colOff>
      <xdr:row>7</xdr:row>
      <xdr:rowOff>92075</xdr:rowOff>
    </xdr:from>
    <xdr:to>
      <xdr:col>4</xdr:col>
      <xdr:colOff>43058</xdr:colOff>
      <xdr:row>9</xdr:row>
      <xdr:rowOff>135538</xdr:rowOff>
    </xdr:to>
    <xdr:sp macro="" textlink="">
      <xdr:nvSpPr>
        <xdr:cNvPr id="17420" name="Text Box 12">
          <a:extLst>
            <a:ext uri="{FF2B5EF4-FFF2-40B4-BE49-F238E27FC236}">
              <a16:creationId xmlns:a16="http://schemas.microsoft.com/office/drawing/2014/main" id="{3926BAA4-1591-41E6-D96C-85D71261506F}"/>
            </a:ext>
          </a:extLst>
        </xdr:cNvPr>
        <xdr:cNvSpPr txBox="1">
          <a:spLocks noChangeArrowheads="1"/>
        </xdr:cNvSpPr>
      </xdr:nvSpPr>
      <xdr:spPr bwMode="auto">
        <a:xfrm>
          <a:off x="628650" y="1219200"/>
          <a:ext cx="1066800" cy="361950"/>
        </a:xfrm>
        <a:prstGeom prst="rect">
          <a:avLst/>
        </a:prstGeom>
        <a:noFill/>
        <a:ln>
          <a:noFill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90 L.R. ELL.</a:t>
          </a:r>
        </a:p>
        <a:p>
          <a:pPr algn="l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90 Red. L.R. ELL</a:t>
          </a:r>
        </a:p>
      </xdr:txBody>
    </xdr:sp>
    <xdr:clientData/>
  </xdr:twoCellAnchor>
  <xdr:twoCellAnchor>
    <xdr:from>
      <xdr:col>7</xdr:col>
      <xdr:colOff>165100</xdr:colOff>
      <xdr:row>2</xdr:row>
      <xdr:rowOff>114300</xdr:rowOff>
    </xdr:from>
    <xdr:to>
      <xdr:col>10</xdr:col>
      <xdr:colOff>114300</xdr:colOff>
      <xdr:row>8</xdr:row>
      <xdr:rowOff>63500</xdr:rowOff>
    </xdr:to>
    <xdr:sp macro="" textlink="">
      <xdr:nvSpPr>
        <xdr:cNvPr id="50659" name="AutoShape 13">
          <a:extLst>
            <a:ext uri="{FF2B5EF4-FFF2-40B4-BE49-F238E27FC236}">
              <a16:creationId xmlns:a16="http://schemas.microsoft.com/office/drawing/2014/main" id="{5950DDC8-CEAD-966D-2087-02572AA2DDB4}"/>
            </a:ext>
          </a:extLst>
        </xdr:cNvPr>
        <xdr:cNvSpPr>
          <a:spLocks noChangeArrowheads="1"/>
        </xdr:cNvSpPr>
      </xdr:nvSpPr>
      <xdr:spPr bwMode="auto">
        <a:xfrm rot="-3297740">
          <a:off x="3352800" y="342900"/>
          <a:ext cx="939800" cy="1143000"/>
        </a:xfrm>
        <a:custGeom>
          <a:avLst/>
          <a:gdLst>
            <a:gd name="T0" fmla="*/ 2147483646 w 21600"/>
            <a:gd name="T1" fmla="*/ 0 h 21600"/>
            <a:gd name="T2" fmla="*/ 2147483646 w 21600"/>
            <a:gd name="T3" fmla="*/ 2147483646 h 21600"/>
            <a:gd name="T4" fmla="*/ 2147483646 w 21600"/>
            <a:gd name="T5" fmla="*/ 2147483646 h 21600"/>
            <a:gd name="T6" fmla="*/ 2147483646 w 21600"/>
            <a:gd name="T7" fmla="*/ 2147483646 h 21600"/>
            <a:gd name="T8" fmla="*/ 0 60000 65536"/>
            <a:gd name="T9" fmla="*/ 0 60000 65536"/>
            <a:gd name="T10" fmla="*/ 0 60000 65536"/>
            <a:gd name="T11" fmla="*/ 0 60000 65536"/>
            <a:gd name="T12" fmla="*/ 2992 w 21600"/>
            <a:gd name="T13" fmla="*/ 0 h 21600"/>
            <a:gd name="T14" fmla="*/ 18608 w 21600"/>
            <a:gd name="T15" fmla="*/ 8269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8710" y="7791"/>
              </a:moveTo>
              <a:cubicBezTo>
                <a:pt x="9323" y="7365"/>
                <a:pt x="10053" y="7136"/>
                <a:pt x="10800" y="7137"/>
              </a:cubicBezTo>
              <a:cubicBezTo>
                <a:pt x="11546" y="7137"/>
                <a:pt x="12276" y="7365"/>
                <a:pt x="12889" y="7791"/>
              </a:cubicBezTo>
              <a:lnTo>
                <a:pt x="16961" y="1929"/>
              </a:lnTo>
              <a:cubicBezTo>
                <a:pt x="15152" y="673"/>
                <a:pt x="13002" y="-1"/>
                <a:pt x="10799" y="0"/>
              </a:cubicBezTo>
              <a:cubicBezTo>
                <a:pt x="8597" y="0"/>
                <a:pt x="6447" y="673"/>
                <a:pt x="4638" y="1929"/>
              </a:cubicBezTo>
              <a:lnTo>
                <a:pt x="8710" y="7791"/>
              </a:lnTo>
              <a:close/>
            </a:path>
          </a:pathLst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355600</xdr:colOff>
      <xdr:row>5</xdr:row>
      <xdr:rowOff>76200</xdr:rowOff>
    </xdr:from>
    <xdr:to>
      <xdr:col>7</xdr:col>
      <xdr:colOff>88900</xdr:colOff>
      <xdr:row>5</xdr:row>
      <xdr:rowOff>76200</xdr:rowOff>
    </xdr:to>
    <xdr:sp macro="" textlink="">
      <xdr:nvSpPr>
        <xdr:cNvPr id="50660" name="Line 14">
          <a:extLst>
            <a:ext uri="{FF2B5EF4-FFF2-40B4-BE49-F238E27FC236}">
              <a16:creationId xmlns:a16="http://schemas.microsoft.com/office/drawing/2014/main" id="{76D670E4-7B5B-17A3-49A2-FAE4909DBD3F}"/>
            </a:ext>
          </a:extLst>
        </xdr:cNvPr>
        <xdr:cNvSpPr>
          <a:spLocks noChangeShapeType="1"/>
        </xdr:cNvSpPr>
      </xdr:nvSpPr>
      <xdr:spPr bwMode="auto">
        <a:xfrm flipH="1">
          <a:off x="2667000" y="901700"/>
          <a:ext cx="5080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355600</xdr:colOff>
      <xdr:row>4</xdr:row>
      <xdr:rowOff>76200</xdr:rowOff>
    </xdr:from>
    <xdr:to>
      <xdr:col>8</xdr:col>
      <xdr:colOff>12700</xdr:colOff>
      <xdr:row>4</xdr:row>
      <xdr:rowOff>76200</xdr:rowOff>
    </xdr:to>
    <xdr:sp macro="" textlink="">
      <xdr:nvSpPr>
        <xdr:cNvPr id="50661" name="Line 15">
          <a:extLst>
            <a:ext uri="{FF2B5EF4-FFF2-40B4-BE49-F238E27FC236}">
              <a16:creationId xmlns:a16="http://schemas.microsoft.com/office/drawing/2014/main" id="{7C1FDEFF-E949-A261-7AC5-18F5B33AAA96}"/>
            </a:ext>
          </a:extLst>
        </xdr:cNvPr>
        <xdr:cNvSpPr>
          <a:spLocks noChangeShapeType="1"/>
        </xdr:cNvSpPr>
      </xdr:nvSpPr>
      <xdr:spPr bwMode="auto">
        <a:xfrm flipH="1">
          <a:off x="2667000" y="736600"/>
          <a:ext cx="8255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228600</xdr:colOff>
      <xdr:row>0</xdr:row>
      <xdr:rowOff>139700</xdr:rowOff>
    </xdr:from>
    <xdr:to>
      <xdr:col>8</xdr:col>
      <xdr:colOff>114300</xdr:colOff>
      <xdr:row>2</xdr:row>
      <xdr:rowOff>101600</xdr:rowOff>
    </xdr:to>
    <xdr:sp macro="" textlink="">
      <xdr:nvSpPr>
        <xdr:cNvPr id="50662" name="Line 16">
          <a:extLst>
            <a:ext uri="{FF2B5EF4-FFF2-40B4-BE49-F238E27FC236}">
              <a16:creationId xmlns:a16="http://schemas.microsoft.com/office/drawing/2014/main" id="{EB93205A-FE02-96BF-0657-0BC0143230E3}"/>
            </a:ext>
          </a:extLst>
        </xdr:cNvPr>
        <xdr:cNvSpPr>
          <a:spLocks noChangeShapeType="1"/>
        </xdr:cNvSpPr>
      </xdr:nvSpPr>
      <xdr:spPr bwMode="auto">
        <a:xfrm flipH="1" flipV="1">
          <a:off x="3314700" y="139700"/>
          <a:ext cx="279400" cy="2921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317500</xdr:colOff>
      <xdr:row>1</xdr:row>
      <xdr:rowOff>139700</xdr:rowOff>
    </xdr:from>
    <xdr:to>
      <xdr:col>8</xdr:col>
      <xdr:colOff>0</xdr:colOff>
      <xdr:row>4</xdr:row>
      <xdr:rowOff>76200</xdr:rowOff>
    </xdr:to>
    <xdr:sp macro="" textlink="">
      <xdr:nvSpPr>
        <xdr:cNvPr id="50663" name="Line 17">
          <a:extLst>
            <a:ext uri="{FF2B5EF4-FFF2-40B4-BE49-F238E27FC236}">
              <a16:creationId xmlns:a16="http://schemas.microsoft.com/office/drawing/2014/main" id="{141DB52F-7CEA-E91E-EAEC-4E4BD9BA7300}"/>
            </a:ext>
          </a:extLst>
        </xdr:cNvPr>
        <xdr:cNvSpPr>
          <a:spLocks noChangeShapeType="1"/>
        </xdr:cNvSpPr>
      </xdr:nvSpPr>
      <xdr:spPr bwMode="auto">
        <a:xfrm flipH="1" flipV="1">
          <a:off x="3035300" y="304800"/>
          <a:ext cx="444500" cy="4318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6</xdr:col>
      <xdr:colOff>365618</xdr:colOff>
      <xdr:row>1</xdr:row>
      <xdr:rowOff>13970</xdr:rowOff>
    </xdr:from>
    <xdr:ext cx="140155" cy="223480"/>
    <xdr:sp macro="" textlink="">
      <xdr:nvSpPr>
        <xdr:cNvPr id="17426" name="Text Box 18">
          <a:extLst>
            <a:ext uri="{FF2B5EF4-FFF2-40B4-BE49-F238E27FC236}">
              <a16:creationId xmlns:a16="http://schemas.microsoft.com/office/drawing/2014/main" id="{BC374637-7D8B-7B00-C85A-D6DB21DFC7B0}"/>
            </a:ext>
          </a:extLst>
        </xdr:cNvPr>
        <xdr:cNvSpPr txBox="1">
          <a:spLocks noChangeArrowheads="1"/>
        </xdr:cNvSpPr>
      </xdr:nvSpPr>
      <xdr:spPr bwMode="auto">
        <a:xfrm>
          <a:off x="2797175" y="197908"/>
          <a:ext cx="111056" cy="170560"/>
        </a:xfrm>
        <a:prstGeom prst="rect">
          <a:avLst/>
        </a:prstGeom>
        <a:noFill/>
        <a:ln>
          <a:noFill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B</a:t>
          </a:r>
        </a:p>
      </xdr:txBody>
    </xdr:sp>
    <xdr:clientData/>
  </xdr:oneCellAnchor>
  <xdr:twoCellAnchor editAs="oneCell">
    <xdr:from>
      <xdr:col>5</xdr:col>
      <xdr:colOff>186055</xdr:colOff>
      <xdr:row>4</xdr:row>
      <xdr:rowOff>52070</xdr:rowOff>
    </xdr:from>
    <xdr:to>
      <xdr:col>6</xdr:col>
      <xdr:colOff>36936</xdr:colOff>
      <xdr:row>5</xdr:row>
      <xdr:rowOff>141750</xdr:rowOff>
    </xdr:to>
    <xdr:sp macro="" textlink="">
      <xdr:nvSpPr>
        <xdr:cNvPr id="17427" name="Text Box 19">
          <a:extLst>
            <a:ext uri="{FF2B5EF4-FFF2-40B4-BE49-F238E27FC236}">
              <a16:creationId xmlns:a16="http://schemas.microsoft.com/office/drawing/2014/main" id="{D3100718-FB82-AFCD-2B06-6A7983F9AC6C}"/>
            </a:ext>
          </a:extLst>
        </xdr:cNvPr>
        <xdr:cNvSpPr txBox="1">
          <a:spLocks noChangeArrowheads="1"/>
        </xdr:cNvSpPr>
      </xdr:nvSpPr>
      <xdr:spPr bwMode="auto">
        <a:xfrm>
          <a:off x="2181225" y="714375"/>
          <a:ext cx="209550" cy="238125"/>
        </a:xfrm>
        <a:prstGeom prst="rect">
          <a:avLst/>
        </a:prstGeom>
        <a:noFill/>
        <a:ln>
          <a:noFill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B</a:t>
          </a:r>
        </a:p>
      </xdr:txBody>
    </xdr:sp>
    <xdr:clientData/>
  </xdr:twoCellAnchor>
  <xdr:twoCellAnchor>
    <xdr:from>
      <xdr:col>6</xdr:col>
      <xdr:colOff>190500</xdr:colOff>
      <xdr:row>2</xdr:row>
      <xdr:rowOff>12700</xdr:rowOff>
    </xdr:from>
    <xdr:to>
      <xdr:col>6</xdr:col>
      <xdr:colOff>355600</xdr:colOff>
      <xdr:row>2</xdr:row>
      <xdr:rowOff>152400</xdr:rowOff>
    </xdr:to>
    <xdr:sp macro="" textlink="">
      <xdr:nvSpPr>
        <xdr:cNvPr id="50666" name="Line 20">
          <a:extLst>
            <a:ext uri="{FF2B5EF4-FFF2-40B4-BE49-F238E27FC236}">
              <a16:creationId xmlns:a16="http://schemas.microsoft.com/office/drawing/2014/main" id="{29517765-A727-055C-0A25-0CBA36BC3EF9}"/>
            </a:ext>
          </a:extLst>
        </xdr:cNvPr>
        <xdr:cNvSpPr>
          <a:spLocks noChangeShapeType="1"/>
        </xdr:cNvSpPr>
      </xdr:nvSpPr>
      <xdr:spPr bwMode="auto">
        <a:xfrm flipH="1">
          <a:off x="2908300" y="342900"/>
          <a:ext cx="165100" cy="1397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279400</xdr:colOff>
      <xdr:row>0</xdr:row>
      <xdr:rowOff>12700</xdr:rowOff>
    </xdr:from>
    <xdr:to>
      <xdr:col>8</xdr:col>
      <xdr:colOff>114300</xdr:colOff>
      <xdr:row>0</xdr:row>
      <xdr:rowOff>152400</xdr:rowOff>
    </xdr:to>
    <xdr:sp macro="" textlink="">
      <xdr:nvSpPr>
        <xdr:cNvPr id="50667" name="Line 21">
          <a:extLst>
            <a:ext uri="{FF2B5EF4-FFF2-40B4-BE49-F238E27FC236}">
              <a16:creationId xmlns:a16="http://schemas.microsoft.com/office/drawing/2014/main" id="{ADF619D3-70A3-91B4-B0EB-2798EB231E37}"/>
            </a:ext>
          </a:extLst>
        </xdr:cNvPr>
        <xdr:cNvSpPr>
          <a:spLocks noChangeShapeType="1"/>
        </xdr:cNvSpPr>
      </xdr:nvSpPr>
      <xdr:spPr bwMode="auto">
        <a:xfrm flipV="1">
          <a:off x="3365500" y="12700"/>
          <a:ext cx="228600" cy="1397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38100</xdr:colOff>
      <xdr:row>3</xdr:row>
      <xdr:rowOff>38100</xdr:rowOff>
    </xdr:from>
    <xdr:to>
      <xdr:col>6</xdr:col>
      <xdr:colOff>38100</xdr:colOff>
      <xdr:row>4</xdr:row>
      <xdr:rowOff>63500</xdr:rowOff>
    </xdr:to>
    <xdr:sp macro="" textlink="">
      <xdr:nvSpPr>
        <xdr:cNvPr id="50668" name="Line 22">
          <a:extLst>
            <a:ext uri="{FF2B5EF4-FFF2-40B4-BE49-F238E27FC236}">
              <a16:creationId xmlns:a16="http://schemas.microsoft.com/office/drawing/2014/main" id="{078775A3-1E81-063B-D1BA-4E2FFFB76D1D}"/>
            </a:ext>
          </a:extLst>
        </xdr:cNvPr>
        <xdr:cNvSpPr>
          <a:spLocks noChangeShapeType="1"/>
        </xdr:cNvSpPr>
      </xdr:nvSpPr>
      <xdr:spPr bwMode="auto">
        <a:xfrm flipV="1">
          <a:off x="2755900" y="533400"/>
          <a:ext cx="0" cy="1905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25400</xdr:colOff>
      <xdr:row>5</xdr:row>
      <xdr:rowOff>101600</xdr:rowOff>
    </xdr:from>
    <xdr:to>
      <xdr:col>6</xdr:col>
      <xdr:colOff>25400</xdr:colOff>
      <xdr:row>6</xdr:row>
      <xdr:rowOff>101600</xdr:rowOff>
    </xdr:to>
    <xdr:sp macro="" textlink="">
      <xdr:nvSpPr>
        <xdr:cNvPr id="50669" name="Line 23">
          <a:extLst>
            <a:ext uri="{FF2B5EF4-FFF2-40B4-BE49-F238E27FC236}">
              <a16:creationId xmlns:a16="http://schemas.microsoft.com/office/drawing/2014/main" id="{50C8C2A6-FDA7-8B49-7805-B7226C8A340F}"/>
            </a:ext>
          </a:extLst>
        </xdr:cNvPr>
        <xdr:cNvSpPr>
          <a:spLocks noChangeShapeType="1"/>
        </xdr:cNvSpPr>
      </xdr:nvSpPr>
      <xdr:spPr bwMode="auto">
        <a:xfrm>
          <a:off x="2743200" y="927100"/>
          <a:ext cx="0" cy="1651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6</xdr:col>
      <xdr:colOff>35560</xdr:colOff>
      <xdr:row>7</xdr:row>
      <xdr:rowOff>2540</xdr:rowOff>
    </xdr:from>
    <xdr:ext cx="752514" cy="183680"/>
    <xdr:sp macro="" textlink="">
      <xdr:nvSpPr>
        <xdr:cNvPr id="17432" name="Text Box 24">
          <a:extLst>
            <a:ext uri="{FF2B5EF4-FFF2-40B4-BE49-F238E27FC236}">
              <a16:creationId xmlns:a16="http://schemas.microsoft.com/office/drawing/2014/main" id="{F7F91DF2-728D-C861-9111-6DEA62791C21}"/>
            </a:ext>
          </a:extLst>
        </xdr:cNvPr>
        <xdr:cNvSpPr txBox="1">
          <a:spLocks noChangeArrowheads="1"/>
        </xdr:cNvSpPr>
      </xdr:nvSpPr>
      <xdr:spPr bwMode="auto">
        <a:xfrm>
          <a:off x="2452793" y="1200573"/>
          <a:ext cx="752514" cy="170560"/>
        </a:xfrm>
        <a:prstGeom prst="rect">
          <a:avLst/>
        </a:prstGeom>
        <a:noFill/>
        <a:ln>
          <a:noFill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45 L.R. ELL.</a:t>
          </a:r>
        </a:p>
      </xdr:txBody>
    </xdr:sp>
    <xdr:clientData/>
  </xdr:oneCellAnchor>
  <xdr:twoCellAnchor>
    <xdr:from>
      <xdr:col>9</xdr:col>
      <xdr:colOff>304800</xdr:colOff>
      <xdr:row>3</xdr:row>
      <xdr:rowOff>25400</xdr:rowOff>
    </xdr:from>
    <xdr:to>
      <xdr:col>12</xdr:col>
      <xdr:colOff>279400</xdr:colOff>
      <xdr:row>8</xdr:row>
      <xdr:rowOff>139700</xdr:rowOff>
    </xdr:to>
    <xdr:sp macro="" textlink="">
      <xdr:nvSpPr>
        <xdr:cNvPr id="50671" name="AutoShape 25">
          <a:extLst>
            <a:ext uri="{FF2B5EF4-FFF2-40B4-BE49-F238E27FC236}">
              <a16:creationId xmlns:a16="http://schemas.microsoft.com/office/drawing/2014/main" id="{CDF663BC-6B29-B5D6-D087-38B6FAC5E828}"/>
            </a:ext>
          </a:extLst>
        </xdr:cNvPr>
        <xdr:cNvSpPr>
          <a:spLocks noChangeArrowheads="1"/>
        </xdr:cNvSpPr>
      </xdr:nvSpPr>
      <xdr:spPr bwMode="auto">
        <a:xfrm>
          <a:off x="4191000" y="520700"/>
          <a:ext cx="1206500" cy="939800"/>
        </a:xfrm>
        <a:custGeom>
          <a:avLst/>
          <a:gdLst>
            <a:gd name="T0" fmla="*/ 2147483646 w 21600"/>
            <a:gd name="T1" fmla="*/ 0 h 21600"/>
            <a:gd name="T2" fmla="*/ 2147483646 w 21600"/>
            <a:gd name="T3" fmla="*/ 2147483646 h 21600"/>
            <a:gd name="T4" fmla="*/ 2147483646 w 21600"/>
            <a:gd name="T5" fmla="*/ 2147483646 h 21600"/>
            <a:gd name="T6" fmla="*/ 2147483646 w 21600"/>
            <a:gd name="T7" fmla="*/ 2147483646 h 21600"/>
            <a:gd name="T8" fmla="*/ 0 60000 65536"/>
            <a:gd name="T9" fmla="*/ 0 60000 65536"/>
            <a:gd name="T10" fmla="*/ 0 60000 65536"/>
            <a:gd name="T11" fmla="*/ 0 60000 65536"/>
            <a:gd name="T12" fmla="*/ 0 w 21600"/>
            <a:gd name="T13" fmla="*/ 0 h 21600"/>
            <a:gd name="T14" fmla="*/ 21600 w 21600"/>
            <a:gd name="T15" fmla="*/ 7713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5400" y="10800"/>
              </a:moveTo>
              <a:cubicBezTo>
                <a:pt x="5400" y="7817"/>
                <a:pt x="7817" y="5400"/>
                <a:pt x="10800" y="5400"/>
              </a:cubicBezTo>
              <a:cubicBezTo>
                <a:pt x="13782" y="5399"/>
                <a:pt x="16199" y="7817"/>
                <a:pt x="16200" y="10799"/>
              </a:cubicBezTo>
              <a:lnTo>
                <a:pt x="21600" y="10800"/>
              </a:lnTo>
              <a:cubicBezTo>
                <a:pt x="21600" y="4835"/>
                <a:pt x="16764" y="0"/>
                <a:pt x="10800" y="0"/>
              </a:cubicBezTo>
              <a:cubicBezTo>
                <a:pt x="4835" y="0"/>
                <a:pt x="0" y="4835"/>
                <a:pt x="0" y="10800"/>
              </a:cubicBezTo>
              <a:lnTo>
                <a:pt x="5400" y="10800"/>
              </a:lnTo>
              <a:close/>
            </a:path>
          </a:pathLst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76200</xdr:colOff>
      <xdr:row>6</xdr:row>
      <xdr:rowOff>12700</xdr:rowOff>
    </xdr:from>
    <xdr:to>
      <xdr:col>10</xdr:col>
      <xdr:colOff>76200</xdr:colOff>
      <xdr:row>8</xdr:row>
      <xdr:rowOff>0</xdr:rowOff>
    </xdr:to>
    <xdr:sp macro="" textlink="">
      <xdr:nvSpPr>
        <xdr:cNvPr id="50672" name="Line 26">
          <a:extLst>
            <a:ext uri="{FF2B5EF4-FFF2-40B4-BE49-F238E27FC236}">
              <a16:creationId xmlns:a16="http://schemas.microsoft.com/office/drawing/2014/main" id="{EA5682E5-82F2-F398-B8E7-2EC98F5C3A01}"/>
            </a:ext>
          </a:extLst>
        </xdr:cNvPr>
        <xdr:cNvSpPr>
          <a:spLocks noChangeShapeType="1"/>
        </xdr:cNvSpPr>
      </xdr:nvSpPr>
      <xdr:spPr bwMode="auto">
        <a:xfrm>
          <a:off x="4356100" y="1003300"/>
          <a:ext cx="0" cy="3175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114300</xdr:colOff>
      <xdr:row>4</xdr:row>
      <xdr:rowOff>101600</xdr:rowOff>
    </xdr:from>
    <xdr:to>
      <xdr:col>11</xdr:col>
      <xdr:colOff>114300</xdr:colOff>
      <xdr:row>8</xdr:row>
      <xdr:rowOff>12700</xdr:rowOff>
    </xdr:to>
    <xdr:sp macro="" textlink="">
      <xdr:nvSpPr>
        <xdr:cNvPr id="50673" name="Line 27">
          <a:extLst>
            <a:ext uri="{FF2B5EF4-FFF2-40B4-BE49-F238E27FC236}">
              <a16:creationId xmlns:a16="http://schemas.microsoft.com/office/drawing/2014/main" id="{A6685B38-02D0-AB99-1C41-8C0B23754F4D}"/>
            </a:ext>
          </a:extLst>
        </xdr:cNvPr>
        <xdr:cNvSpPr>
          <a:spLocks noChangeShapeType="1"/>
        </xdr:cNvSpPr>
      </xdr:nvSpPr>
      <xdr:spPr bwMode="auto">
        <a:xfrm>
          <a:off x="4813300" y="762000"/>
          <a:ext cx="0" cy="5715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139700</xdr:colOff>
      <xdr:row>5</xdr:row>
      <xdr:rowOff>152400</xdr:rowOff>
    </xdr:from>
    <xdr:to>
      <xdr:col>12</xdr:col>
      <xdr:colOff>139700</xdr:colOff>
      <xdr:row>8</xdr:row>
      <xdr:rowOff>12700</xdr:rowOff>
    </xdr:to>
    <xdr:sp macro="" textlink="">
      <xdr:nvSpPr>
        <xdr:cNvPr id="50674" name="Line 28">
          <a:extLst>
            <a:ext uri="{FF2B5EF4-FFF2-40B4-BE49-F238E27FC236}">
              <a16:creationId xmlns:a16="http://schemas.microsoft.com/office/drawing/2014/main" id="{89C59A35-BF9F-D861-6828-6D4EE2C196D5}"/>
            </a:ext>
          </a:extLst>
        </xdr:cNvPr>
        <xdr:cNvSpPr>
          <a:spLocks noChangeShapeType="1"/>
        </xdr:cNvSpPr>
      </xdr:nvSpPr>
      <xdr:spPr bwMode="auto">
        <a:xfrm>
          <a:off x="5257800" y="977900"/>
          <a:ext cx="0" cy="3556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12700</xdr:colOff>
      <xdr:row>6</xdr:row>
      <xdr:rowOff>0</xdr:rowOff>
    </xdr:from>
    <xdr:to>
      <xdr:col>13</xdr:col>
      <xdr:colOff>355600</xdr:colOff>
      <xdr:row>6</xdr:row>
      <xdr:rowOff>0</xdr:rowOff>
    </xdr:to>
    <xdr:sp macro="" textlink="">
      <xdr:nvSpPr>
        <xdr:cNvPr id="50675" name="Line 29">
          <a:extLst>
            <a:ext uri="{FF2B5EF4-FFF2-40B4-BE49-F238E27FC236}">
              <a16:creationId xmlns:a16="http://schemas.microsoft.com/office/drawing/2014/main" id="{338F800D-1612-25D0-9F3B-2BA4593ED7FB}"/>
            </a:ext>
          </a:extLst>
        </xdr:cNvPr>
        <xdr:cNvSpPr>
          <a:spLocks noChangeShapeType="1"/>
        </xdr:cNvSpPr>
      </xdr:nvSpPr>
      <xdr:spPr bwMode="auto">
        <a:xfrm>
          <a:off x="5549900" y="990600"/>
          <a:ext cx="3429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304800</xdr:colOff>
      <xdr:row>3</xdr:row>
      <xdr:rowOff>12700</xdr:rowOff>
    </xdr:from>
    <xdr:to>
      <xdr:col>13</xdr:col>
      <xdr:colOff>342900</xdr:colOff>
      <xdr:row>3</xdr:row>
      <xdr:rowOff>12700</xdr:rowOff>
    </xdr:to>
    <xdr:sp macro="" textlink="">
      <xdr:nvSpPr>
        <xdr:cNvPr id="50676" name="Line 30">
          <a:extLst>
            <a:ext uri="{FF2B5EF4-FFF2-40B4-BE49-F238E27FC236}">
              <a16:creationId xmlns:a16="http://schemas.microsoft.com/office/drawing/2014/main" id="{7A6C3E0A-4E49-E288-CB40-0D205F84C600}"/>
            </a:ext>
          </a:extLst>
        </xdr:cNvPr>
        <xdr:cNvSpPr>
          <a:spLocks noChangeShapeType="1"/>
        </xdr:cNvSpPr>
      </xdr:nvSpPr>
      <xdr:spPr bwMode="auto">
        <a:xfrm>
          <a:off x="5003800" y="508000"/>
          <a:ext cx="8763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279400</xdr:colOff>
      <xdr:row>6</xdr:row>
      <xdr:rowOff>0</xdr:rowOff>
    </xdr:from>
    <xdr:to>
      <xdr:col>16</xdr:col>
      <xdr:colOff>304800</xdr:colOff>
      <xdr:row>6</xdr:row>
      <xdr:rowOff>0</xdr:rowOff>
    </xdr:to>
    <xdr:sp macro="" textlink="">
      <xdr:nvSpPr>
        <xdr:cNvPr id="50677" name="Line 31">
          <a:extLst>
            <a:ext uri="{FF2B5EF4-FFF2-40B4-BE49-F238E27FC236}">
              <a16:creationId xmlns:a16="http://schemas.microsoft.com/office/drawing/2014/main" id="{492260D0-5249-FA28-1FCA-2860AF93100C}"/>
            </a:ext>
          </a:extLst>
        </xdr:cNvPr>
        <xdr:cNvSpPr>
          <a:spLocks noChangeShapeType="1"/>
        </xdr:cNvSpPr>
      </xdr:nvSpPr>
      <xdr:spPr bwMode="auto">
        <a:xfrm flipH="1">
          <a:off x="6642100" y="990600"/>
          <a:ext cx="4953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254000</xdr:colOff>
      <xdr:row>3</xdr:row>
      <xdr:rowOff>12700</xdr:rowOff>
    </xdr:from>
    <xdr:to>
      <xdr:col>13</xdr:col>
      <xdr:colOff>254000</xdr:colOff>
      <xdr:row>4</xdr:row>
      <xdr:rowOff>12700</xdr:rowOff>
    </xdr:to>
    <xdr:sp macro="" textlink="">
      <xdr:nvSpPr>
        <xdr:cNvPr id="50678" name="Line 32">
          <a:extLst>
            <a:ext uri="{FF2B5EF4-FFF2-40B4-BE49-F238E27FC236}">
              <a16:creationId xmlns:a16="http://schemas.microsoft.com/office/drawing/2014/main" id="{7C618AE9-5379-3D73-95FB-3FC9A64BE8FB}"/>
            </a:ext>
          </a:extLst>
        </xdr:cNvPr>
        <xdr:cNvSpPr>
          <a:spLocks noChangeShapeType="1"/>
        </xdr:cNvSpPr>
      </xdr:nvSpPr>
      <xdr:spPr bwMode="auto">
        <a:xfrm>
          <a:off x="5791200" y="508000"/>
          <a:ext cx="0" cy="1651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266700</xdr:colOff>
      <xdr:row>4</xdr:row>
      <xdr:rowOff>139700</xdr:rowOff>
    </xdr:from>
    <xdr:to>
      <xdr:col>13</xdr:col>
      <xdr:colOff>266700</xdr:colOff>
      <xdr:row>6</xdr:row>
      <xdr:rowOff>12700</xdr:rowOff>
    </xdr:to>
    <xdr:sp macro="" textlink="">
      <xdr:nvSpPr>
        <xdr:cNvPr id="50679" name="Line 33">
          <a:extLst>
            <a:ext uri="{FF2B5EF4-FFF2-40B4-BE49-F238E27FC236}">
              <a16:creationId xmlns:a16="http://schemas.microsoft.com/office/drawing/2014/main" id="{2A0B4147-33CB-E418-929C-BA09608150DC}"/>
            </a:ext>
          </a:extLst>
        </xdr:cNvPr>
        <xdr:cNvSpPr>
          <a:spLocks noChangeShapeType="1"/>
        </xdr:cNvSpPr>
      </xdr:nvSpPr>
      <xdr:spPr bwMode="auto">
        <a:xfrm flipV="1">
          <a:off x="5803900" y="800100"/>
          <a:ext cx="0" cy="2032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13</xdr:col>
      <xdr:colOff>186055</xdr:colOff>
      <xdr:row>4</xdr:row>
      <xdr:rowOff>0</xdr:rowOff>
    </xdr:from>
    <xdr:ext cx="132210" cy="206739"/>
    <xdr:sp macro="" textlink="">
      <xdr:nvSpPr>
        <xdr:cNvPr id="17442" name="Text Box 34">
          <a:extLst>
            <a:ext uri="{FF2B5EF4-FFF2-40B4-BE49-F238E27FC236}">
              <a16:creationId xmlns:a16="http://schemas.microsoft.com/office/drawing/2014/main" id="{946651F1-22CA-F7F8-1F69-50012B1B345F}"/>
            </a:ext>
          </a:extLst>
        </xdr:cNvPr>
        <xdr:cNvSpPr txBox="1">
          <a:spLocks noChangeArrowheads="1"/>
        </xdr:cNvSpPr>
      </xdr:nvSpPr>
      <xdr:spPr bwMode="auto">
        <a:xfrm>
          <a:off x="5088255" y="677333"/>
          <a:ext cx="111056" cy="170560"/>
        </a:xfrm>
        <a:prstGeom prst="rect">
          <a:avLst/>
        </a:prstGeom>
        <a:noFill/>
        <a:ln>
          <a:noFill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K</a:t>
          </a:r>
        </a:p>
      </xdr:txBody>
    </xdr:sp>
    <xdr:clientData/>
  </xdr:oneCellAnchor>
  <xdr:twoCellAnchor>
    <xdr:from>
      <xdr:col>10</xdr:col>
      <xdr:colOff>50800</xdr:colOff>
      <xdr:row>7</xdr:row>
      <xdr:rowOff>101600</xdr:rowOff>
    </xdr:from>
    <xdr:to>
      <xdr:col>11</xdr:col>
      <xdr:colOff>114300</xdr:colOff>
      <xdr:row>7</xdr:row>
      <xdr:rowOff>114300</xdr:rowOff>
    </xdr:to>
    <xdr:sp macro="" textlink="">
      <xdr:nvSpPr>
        <xdr:cNvPr id="50681" name="Line 35">
          <a:extLst>
            <a:ext uri="{FF2B5EF4-FFF2-40B4-BE49-F238E27FC236}">
              <a16:creationId xmlns:a16="http://schemas.microsoft.com/office/drawing/2014/main" id="{107E68BB-2059-A5B4-33FE-FD17B60B4E72}"/>
            </a:ext>
          </a:extLst>
        </xdr:cNvPr>
        <xdr:cNvSpPr>
          <a:spLocks noChangeShapeType="1"/>
        </xdr:cNvSpPr>
      </xdr:nvSpPr>
      <xdr:spPr bwMode="auto">
        <a:xfrm flipV="1">
          <a:off x="4330700" y="1257300"/>
          <a:ext cx="482600" cy="127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76200</xdr:colOff>
      <xdr:row>7</xdr:row>
      <xdr:rowOff>101600</xdr:rowOff>
    </xdr:from>
    <xdr:to>
      <xdr:col>12</xdr:col>
      <xdr:colOff>139700</xdr:colOff>
      <xdr:row>7</xdr:row>
      <xdr:rowOff>101600</xdr:rowOff>
    </xdr:to>
    <xdr:sp macro="" textlink="">
      <xdr:nvSpPr>
        <xdr:cNvPr id="50682" name="Line 36">
          <a:extLst>
            <a:ext uri="{FF2B5EF4-FFF2-40B4-BE49-F238E27FC236}">
              <a16:creationId xmlns:a16="http://schemas.microsoft.com/office/drawing/2014/main" id="{B2CECF59-1495-CB1A-1519-F85390A0C9BC}"/>
            </a:ext>
          </a:extLst>
        </xdr:cNvPr>
        <xdr:cNvSpPr>
          <a:spLocks noChangeShapeType="1"/>
        </xdr:cNvSpPr>
      </xdr:nvSpPr>
      <xdr:spPr bwMode="auto">
        <a:xfrm>
          <a:off x="4775200" y="1257300"/>
          <a:ext cx="4826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10</xdr:col>
      <xdr:colOff>213995</xdr:colOff>
      <xdr:row>6</xdr:row>
      <xdr:rowOff>76200</xdr:rowOff>
    </xdr:from>
    <xdr:ext cx="124938" cy="170560"/>
    <xdr:sp macro="" textlink="">
      <xdr:nvSpPr>
        <xdr:cNvPr id="17445" name="Text Box 37">
          <a:extLst>
            <a:ext uri="{FF2B5EF4-FFF2-40B4-BE49-F238E27FC236}">
              <a16:creationId xmlns:a16="http://schemas.microsoft.com/office/drawing/2014/main" id="{3EA97319-1AC8-78E4-93F4-F670CC31472A}"/>
            </a:ext>
          </a:extLst>
        </xdr:cNvPr>
        <xdr:cNvSpPr txBox="1">
          <a:spLocks noChangeArrowheads="1"/>
        </xdr:cNvSpPr>
      </xdr:nvSpPr>
      <xdr:spPr bwMode="auto">
        <a:xfrm>
          <a:off x="4015528" y="1092200"/>
          <a:ext cx="111056" cy="170560"/>
        </a:xfrm>
        <a:prstGeom prst="rect">
          <a:avLst/>
        </a:prstGeom>
        <a:noFill/>
        <a:ln>
          <a:noFill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A</a:t>
          </a:r>
        </a:p>
      </xdr:txBody>
    </xdr:sp>
    <xdr:clientData/>
  </xdr:oneCellAnchor>
  <xdr:oneCellAnchor>
    <xdr:from>
      <xdr:col>11</xdr:col>
      <xdr:colOff>196850</xdr:colOff>
      <xdr:row>6</xdr:row>
      <xdr:rowOff>72390</xdr:rowOff>
    </xdr:from>
    <xdr:ext cx="124938" cy="170560"/>
    <xdr:sp macro="" textlink="">
      <xdr:nvSpPr>
        <xdr:cNvPr id="17446" name="Text Box 38">
          <a:extLst>
            <a:ext uri="{FF2B5EF4-FFF2-40B4-BE49-F238E27FC236}">
              <a16:creationId xmlns:a16="http://schemas.microsoft.com/office/drawing/2014/main" id="{9E3F5E20-3616-7A53-6E35-100B4FFEFD14}"/>
            </a:ext>
          </a:extLst>
        </xdr:cNvPr>
        <xdr:cNvSpPr txBox="1">
          <a:spLocks noChangeArrowheads="1"/>
        </xdr:cNvSpPr>
      </xdr:nvSpPr>
      <xdr:spPr bwMode="auto">
        <a:xfrm>
          <a:off x="4370917" y="1088390"/>
          <a:ext cx="111056" cy="170560"/>
        </a:xfrm>
        <a:prstGeom prst="rect">
          <a:avLst/>
        </a:prstGeom>
        <a:noFill/>
        <a:ln>
          <a:noFill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A</a:t>
          </a:r>
        </a:p>
      </xdr:txBody>
    </xdr:sp>
    <xdr:clientData/>
  </xdr:oneCellAnchor>
  <xdr:oneCellAnchor>
    <xdr:from>
      <xdr:col>10</xdr:col>
      <xdr:colOff>0</xdr:colOff>
      <xdr:row>8</xdr:row>
      <xdr:rowOff>60325</xdr:rowOff>
    </xdr:from>
    <xdr:ext cx="788164" cy="170560"/>
    <xdr:sp macro="" textlink="">
      <xdr:nvSpPr>
        <xdr:cNvPr id="17447" name="Text Box 39">
          <a:extLst>
            <a:ext uri="{FF2B5EF4-FFF2-40B4-BE49-F238E27FC236}">
              <a16:creationId xmlns:a16="http://schemas.microsoft.com/office/drawing/2014/main" id="{379602AF-AEF5-3566-A311-0130780372B6}"/>
            </a:ext>
          </a:extLst>
        </xdr:cNvPr>
        <xdr:cNvSpPr txBox="1">
          <a:spLocks noChangeArrowheads="1"/>
        </xdr:cNvSpPr>
      </xdr:nvSpPr>
      <xdr:spPr bwMode="auto">
        <a:xfrm>
          <a:off x="4303889" y="1414992"/>
          <a:ext cx="788164" cy="170560"/>
        </a:xfrm>
        <a:prstGeom prst="rect">
          <a:avLst/>
        </a:prstGeom>
        <a:noFill/>
        <a:ln>
          <a:noFill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180 L.R. ELL</a:t>
          </a:r>
        </a:p>
      </xdr:txBody>
    </xdr:sp>
    <xdr:clientData/>
  </xdr:oneCellAnchor>
  <xdr:twoCellAnchor>
    <xdr:from>
      <xdr:col>14</xdr:col>
      <xdr:colOff>330200</xdr:colOff>
      <xdr:row>3</xdr:row>
      <xdr:rowOff>38100</xdr:rowOff>
    </xdr:from>
    <xdr:to>
      <xdr:col>17</xdr:col>
      <xdr:colOff>63500</xdr:colOff>
      <xdr:row>8</xdr:row>
      <xdr:rowOff>139700</xdr:rowOff>
    </xdr:to>
    <xdr:sp macro="" textlink="">
      <xdr:nvSpPr>
        <xdr:cNvPr id="50686" name="AutoShape 40">
          <a:extLst>
            <a:ext uri="{FF2B5EF4-FFF2-40B4-BE49-F238E27FC236}">
              <a16:creationId xmlns:a16="http://schemas.microsoft.com/office/drawing/2014/main" id="{29C7ED8F-8253-7C40-4771-67023A1C1F5A}"/>
            </a:ext>
          </a:extLst>
        </xdr:cNvPr>
        <xdr:cNvSpPr>
          <a:spLocks noChangeArrowheads="1"/>
        </xdr:cNvSpPr>
      </xdr:nvSpPr>
      <xdr:spPr bwMode="auto">
        <a:xfrm rot="-2676197">
          <a:off x="6248400" y="533400"/>
          <a:ext cx="1130300" cy="927100"/>
        </a:xfrm>
        <a:custGeom>
          <a:avLst/>
          <a:gdLst>
            <a:gd name="T0" fmla="*/ 2147483646 w 21600"/>
            <a:gd name="T1" fmla="*/ 0 h 21600"/>
            <a:gd name="T2" fmla="*/ 2147483646 w 21600"/>
            <a:gd name="T3" fmla="*/ 2147483646 h 21600"/>
            <a:gd name="T4" fmla="*/ 2147483646 w 21600"/>
            <a:gd name="T5" fmla="*/ 2147483646 h 21600"/>
            <a:gd name="T6" fmla="*/ 2147483646 w 21600"/>
            <a:gd name="T7" fmla="*/ 2147483646 h 21600"/>
            <a:gd name="T8" fmla="*/ 0 60000 65536"/>
            <a:gd name="T9" fmla="*/ 0 60000 65536"/>
            <a:gd name="T10" fmla="*/ 0 60000 65536"/>
            <a:gd name="T11" fmla="*/ 0 60000 65536"/>
            <a:gd name="T12" fmla="*/ 1601 w 21600"/>
            <a:gd name="T13" fmla="*/ 0 h 21600"/>
            <a:gd name="T14" fmla="*/ 19999 w 21600"/>
            <a:gd name="T15" fmla="*/ 8439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7565" y="7662"/>
              </a:moveTo>
              <a:cubicBezTo>
                <a:pt x="8414" y="6787"/>
                <a:pt x="9581" y="6293"/>
                <a:pt x="10800" y="6294"/>
              </a:cubicBezTo>
              <a:cubicBezTo>
                <a:pt x="12018" y="6294"/>
                <a:pt x="13185" y="6787"/>
                <a:pt x="14034" y="7662"/>
              </a:cubicBezTo>
              <a:lnTo>
                <a:pt x="18552" y="3280"/>
              </a:lnTo>
              <a:cubicBezTo>
                <a:pt x="16518" y="1183"/>
                <a:pt x="13721" y="-1"/>
                <a:pt x="10799" y="0"/>
              </a:cubicBezTo>
              <a:cubicBezTo>
                <a:pt x="7878" y="0"/>
                <a:pt x="5081" y="1183"/>
                <a:pt x="3047" y="3280"/>
              </a:cubicBezTo>
              <a:lnTo>
                <a:pt x="7565" y="7662"/>
              </a:lnTo>
              <a:close/>
            </a:path>
          </a:pathLst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miter lim="800000"/>
          <a:headEnd/>
          <a:tailEnd/>
        </a:ln>
      </xdr:spPr>
    </xdr:sp>
    <xdr:clientData/>
  </xdr:twoCellAnchor>
  <xdr:twoCellAnchor>
    <xdr:from>
      <xdr:col>15</xdr:col>
      <xdr:colOff>317500</xdr:colOff>
      <xdr:row>4</xdr:row>
      <xdr:rowOff>12700</xdr:rowOff>
    </xdr:from>
    <xdr:to>
      <xdr:col>16</xdr:col>
      <xdr:colOff>342900</xdr:colOff>
      <xdr:row>4</xdr:row>
      <xdr:rowOff>12700</xdr:rowOff>
    </xdr:to>
    <xdr:sp macro="" textlink="">
      <xdr:nvSpPr>
        <xdr:cNvPr id="50687" name="Line 41">
          <a:extLst>
            <a:ext uri="{FF2B5EF4-FFF2-40B4-BE49-F238E27FC236}">
              <a16:creationId xmlns:a16="http://schemas.microsoft.com/office/drawing/2014/main" id="{81E888DD-392A-9234-58B2-67B4C94EBD56}"/>
            </a:ext>
          </a:extLst>
        </xdr:cNvPr>
        <xdr:cNvSpPr>
          <a:spLocks noChangeShapeType="1"/>
        </xdr:cNvSpPr>
      </xdr:nvSpPr>
      <xdr:spPr bwMode="auto">
        <a:xfrm>
          <a:off x="6680200" y="673100"/>
          <a:ext cx="4953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266700</xdr:colOff>
      <xdr:row>3</xdr:row>
      <xdr:rowOff>12700</xdr:rowOff>
    </xdr:from>
    <xdr:to>
      <xdr:col>16</xdr:col>
      <xdr:colOff>266700</xdr:colOff>
      <xdr:row>4</xdr:row>
      <xdr:rowOff>25400</xdr:rowOff>
    </xdr:to>
    <xdr:sp macro="" textlink="">
      <xdr:nvSpPr>
        <xdr:cNvPr id="50688" name="Line 42">
          <a:extLst>
            <a:ext uri="{FF2B5EF4-FFF2-40B4-BE49-F238E27FC236}">
              <a16:creationId xmlns:a16="http://schemas.microsoft.com/office/drawing/2014/main" id="{9AB4A80E-FE53-55E6-D7AB-8DD6EA455B07}"/>
            </a:ext>
          </a:extLst>
        </xdr:cNvPr>
        <xdr:cNvSpPr>
          <a:spLocks noChangeShapeType="1"/>
        </xdr:cNvSpPr>
      </xdr:nvSpPr>
      <xdr:spPr bwMode="auto">
        <a:xfrm flipV="1">
          <a:off x="7099300" y="508000"/>
          <a:ext cx="0" cy="1778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266700</xdr:colOff>
      <xdr:row>5</xdr:row>
      <xdr:rowOff>152400</xdr:rowOff>
    </xdr:from>
    <xdr:to>
      <xdr:col>16</xdr:col>
      <xdr:colOff>266700</xdr:colOff>
      <xdr:row>7</xdr:row>
      <xdr:rowOff>38100</xdr:rowOff>
    </xdr:to>
    <xdr:sp macro="" textlink="">
      <xdr:nvSpPr>
        <xdr:cNvPr id="50689" name="Line 43">
          <a:extLst>
            <a:ext uri="{FF2B5EF4-FFF2-40B4-BE49-F238E27FC236}">
              <a16:creationId xmlns:a16="http://schemas.microsoft.com/office/drawing/2014/main" id="{D6761EB4-4E3C-F162-824F-5A8D29E9C60F}"/>
            </a:ext>
          </a:extLst>
        </xdr:cNvPr>
        <xdr:cNvSpPr>
          <a:spLocks noChangeShapeType="1"/>
        </xdr:cNvSpPr>
      </xdr:nvSpPr>
      <xdr:spPr bwMode="auto">
        <a:xfrm>
          <a:off x="7099300" y="977900"/>
          <a:ext cx="0" cy="2159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431800</xdr:colOff>
      <xdr:row>5</xdr:row>
      <xdr:rowOff>63500</xdr:rowOff>
    </xdr:from>
    <xdr:to>
      <xdr:col>15</xdr:col>
      <xdr:colOff>431800</xdr:colOff>
      <xdr:row>8</xdr:row>
      <xdr:rowOff>12700</xdr:rowOff>
    </xdr:to>
    <xdr:sp macro="" textlink="">
      <xdr:nvSpPr>
        <xdr:cNvPr id="50690" name="Line 44">
          <a:extLst>
            <a:ext uri="{FF2B5EF4-FFF2-40B4-BE49-F238E27FC236}">
              <a16:creationId xmlns:a16="http://schemas.microsoft.com/office/drawing/2014/main" id="{1B908CCD-CD1C-46FF-8A84-A8701CA873C2}"/>
            </a:ext>
          </a:extLst>
        </xdr:cNvPr>
        <xdr:cNvSpPr>
          <a:spLocks noChangeShapeType="1"/>
        </xdr:cNvSpPr>
      </xdr:nvSpPr>
      <xdr:spPr bwMode="auto">
        <a:xfrm>
          <a:off x="6794500" y="889000"/>
          <a:ext cx="0" cy="4445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76200</xdr:colOff>
      <xdr:row>6</xdr:row>
      <xdr:rowOff>0</xdr:rowOff>
    </xdr:from>
    <xdr:to>
      <xdr:col>15</xdr:col>
      <xdr:colOff>76200</xdr:colOff>
      <xdr:row>8</xdr:row>
      <xdr:rowOff>50800</xdr:rowOff>
    </xdr:to>
    <xdr:sp macro="" textlink="">
      <xdr:nvSpPr>
        <xdr:cNvPr id="50691" name="Line 45">
          <a:extLst>
            <a:ext uri="{FF2B5EF4-FFF2-40B4-BE49-F238E27FC236}">
              <a16:creationId xmlns:a16="http://schemas.microsoft.com/office/drawing/2014/main" id="{4B6A2747-29DA-9025-127E-B2ABDF1085B7}"/>
            </a:ext>
          </a:extLst>
        </xdr:cNvPr>
        <xdr:cNvSpPr>
          <a:spLocks noChangeShapeType="1"/>
        </xdr:cNvSpPr>
      </xdr:nvSpPr>
      <xdr:spPr bwMode="auto">
        <a:xfrm>
          <a:off x="6438900" y="990600"/>
          <a:ext cx="0" cy="3810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419100</xdr:colOff>
      <xdr:row>7</xdr:row>
      <xdr:rowOff>139700</xdr:rowOff>
    </xdr:from>
    <xdr:to>
      <xdr:col>16</xdr:col>
      <xdr:colOff>177800</xdr:colOff>
      <xdr:row>7</xdr:row>
      <xdr:rowOff>139700</xdr:rowOff>
    </xdr:to>
    <xdr:sp macro="" textlink="">
      <xdr:nvSpPr>
        <xdr:cNvPr id="50692" name="Line 46">
          <a:extLst>
            <a:ext uri="{FF2B5EF4-FFF2-40B4-BE49-F238E27FC236}">
              <a16:creationId xmlns:a16="http://schemas.microsoft.com/office/drawing/2014/main" id="{8347614F-B744-CA41-F4E7-8E3D690C4D7C}"/>
            </a:ext>
          </a:extLst>
        </xdr:cNvPr>
        <xdr:cNvSpPr>
          <a:spLocks noChangeShapeType="1"/>
        </xdr:cNvSpPr>
      </xdr:nvSpPr>
      <xdr:spPr bwMode="auto">
        <a:xfrm>
          <a:off x="6781800" y="1295400"/>
          <a:ext cx="2286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368300</xdr:colOff>
      <xdr:row>7</xdr:row>
      <xdr:rowOff>76200</xdr:rowOff>
    </xdr:from>
    <xdr:to>
      <xdr:col>18</xdr:col>
      <xdr:colOff>381000</xdr:colOff>
      <xdr:row>7</xdr:row>
      <xdr:rowOff>76200</xdr:rowOff>
    </xdr:to>
    <xdr:sp macro="" textlink="">
      <xdr:nvSpPr>
        <xdr:cNvPr id="50693" name="Line 47">
          <a:extLst>
            <a:ext uri="{FF2B5EF4-FFF2-40B4-BE49-F238E27FC236}">
              <a16:creationId xmlns:a16="http://schemas.microsoft.com/office/drawing/2014/main" id="{634F47E7-DE35-1612-2490-739471D0FD01}"/>
            </a:ext>
          </a:extLst>
        </xdr:cNvPr>
        <xdr:cNvSpPr>
          <a:spLocks noChangeShapeType="1"/>
        </xdr:cNvSpPr>
      </xdr:nvSpPr>
      <xdr:spPr bwMode="auto">
        <a:xfrm flipH="1">
          <a:off x="7683500" y="1231900"/>
          <a:ext cx="5842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15</xdr:col>
      <xdr:colOff>167005</xdr:colOff>
      <xdr:row>7</xdr:row>
      <xdr:rowOff>0</xdr:rowOff>
    </xdr:from>
    <xdr:ext cx="135735" cy="170560"/>
    <xdr:sp macro="" textlink="">
      <xdr:nvSpPr>
        <xdr:cNvPr id="17456" name="Text Box 48">
          <a:extLst>
            <a:ext uri="{FF2B5EF4-FFF2-40B4-BE49-F238E27FC236}">
              <a16:creationId xmlns:a16="http://schemas.microsoft.com/office/drawing/2014/main" id="{BA575D78-780F-96BF-97FB-C64D8BE2F4F1}"/>
            </a:ext>
          </a:extLst>
        </xdr:cNvPr>
        <xdr:cNvSpPr txBox="1">
          <a:spLocks noChangeArrowheads="1"/>
        </xdr:cNvSpPr>
      </xdr:nvSpPr>
      <xdr:spPr bwMode="auto">
        <a:xfrm>
          <a:off x="5860838" y="1185333"/>
          <a:ext cx="111056" cy="170560"/>
        </a:xfrm>
        <a:prstGeom prst="rect">
          <a:avLst/>
        </a:prstGeom>
        <a:noFill/>
        <a:ln>
          <a:noFill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D</a:t>
          </a:r>
        </a:p>
      </xdr:txBody>
    </xdr:sp>
    <xdr:clientData/>
  </xdr:oneCellAnchor>
  <xdr:oneCellAnchor>
    <xdr:from>
      <xdr:col>16</xdr:col>
      <xdr:colOff>210820</xdr:colOff>
      <xdr:row>4</xdr:row>
      <xdr:rowOff>90170</xdr:rowOff>
    </xdr:from>
    <xdr:ext cx="123396" cy="183680"/>
    <xdr:sp macro="" textlink="">
      <xdr:nvSpPr>
        <xdr:cNvPr id="17457" name="Text Box 49">
          <a:extLst>
            <a:ext uri="{FF2B5EF4-FFF2-40B4-BE49-F238E27FC236}">
              <a16:creationId xmlns:a16="http://schemas.microsoft.com/office/drawing/2014/main" id="{70DF98BA-2CF2-B704-DE85-60BF1217F3AC}"/>
            </a:ext>
          </a:extLst>
        </xdr:cNvPr>
        <xdr:cNvSpPr txBox="1">
          <a:spLocks noChangeArrowheads="1"/>
        </xdr:cNvSpPr>
      </xdr:nvSpPr>
      <xdr:spPr bwMode="auto">
        <a:xfrm>
          <a:off x="6327987" y="780203"/>
          <a:ext cx="111056" cy="170560"/>
        </a:xfrm>
        <a:prstGeom prst="rect">
          <a:avLst/>
        </a:prstGeom>
        <a:noFill/>
        <a:ln>
          <a:noFill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D</a:t>
          </a:r>
        </a:p>
      </xdr:txBody>
    </xdr:sp>
    <xdr:clientData/>
  </xdr:oneCellAnchor>
  <xdr:oneCellAnchor>
    <xdr:from>
      <xdr:col>14</xdr:col>
      <xdr:colOff>310515</xdr:colOff>
      <xdr:row>8</xdr:row>
      <xdr:rowOff>72390</xdr:rowOff>
    </xdr:from>
    <xdr:ext cx="724044" cy="170560"/>
    <xdr:sp macro="" textlink="">
      <xdr:nvSpPr>
        <xdr:cNvPr id="17458" name="Text Box 50">
          <a:extLst>
            <a:ext uri="{FF2B5EF4-FFF2-40B4-BE49-F238E27FC236}">
              <a16:creationId xmlns:a16="http://schemas.microsoft.com/office/drawing/2014/main" id="{CDB2FD85-8F1A-2982-878E-5A50BC88CB56}"/>
            </a:ext>
          </a:extLst>
        </xdr:cNvPr>
        <xdr:cNvSpPr txBox="1">
          <a:spLocks noChangeArrowheads="1"/>
        </xdr:cNvSpPr>
      </xdr:nvSpPr>
      <xdr:spPr bwMode="auto">
        <a:xfrm>
          <a:off x="6265404" y="1427057"/>
          <a:ext cx="724044" cy="170560"/>
        </a:xfrm>
        <a:prstGeom prst="rect">
          <a:avLst/>
        </a:prstGeom>
        <a:noFill/>
        <a:ln>
          <a:noFill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90 S.R. ELL</a:t>
          </a:r>
        </a:p>
      </xdr:txBody>
    </xdr:sp>
    <xdr:clientData/>
  </xdr:oneCellAnchor>
  <xdr:twoCellAnchor>
    <xdr:from>
      <xdr:col>17</xdr:col>
      <xdr:colOff>241300</xdr:colOff>
      <xdr:row>3</xdr:row>
      <xdr:rowOff>101600</xdr:rowOff>
    </xdr:from>
    <xdr:to>
      <xdr:col>19</xdr:col>
      <xdr:colOff>114300</xdr:colOff>
      <xdr:row>8</xdr:row>
      <xdr:rowOff>12700</xdr:rowOff>
    </xdr:to>
    <xdr:sp macro="" textlink="">
      <xdr:nvSpPr>
        <xdr:cNvPr id="50697" name="AutoShape 51">
          <a:extLst>
            <a:ext uri="{FF2B5EF4-FFF2-40B4-BE49-F238E27FC236}">
              <a16:creationId xmlns:a16="http://schemas.microsoft.com/office/drawing/2014/main" id="{BC63555B-5D10-27B0-0CC3-4831BFC54C61}"/>
            </a:ext>
          </a:extLst>
        </xdr:cNvPr>
        <xdr:cNvSpPr>
          <a:spLocks noChangeArrowheads="1"/>
        </xdr:cNvSpPr>
      </xdr:nvSpPr>
      <xdr:spPr bwMode="auto">
        <a:xfrm>
          <a:off x="7556500" y="596900"/>
          <a:ext cx="914400" cy="736600"/>
        </a:xfrm>
        <a:custGeom>
          <a:avLst/>
          <a:gdLst>
            <a:gd name="T0" fmla="*/ 2147483646 w 21600"/>
            <a:gd name="T1" fmla="*/ 0 h 21600"/>
            <a:gd name="T2" fmla="*/ 2147483646 w 21600"/>
            <a:gd name="T3" fmla="*/ 2147483646 h 21600"/>
            <a:gd name="T4" fmla="*/ 2147483646 w 21600"/>
            <a:gd name="T5" fmla="*/ 2147483646 h 21600"/>
            <a:gd name="T6" fmla="*/ 2147483646 w 21600"/>
            <a:gd name="T7" fmla="*/ 2147483646 h 21600"/>
            <a:gd name="T8" fmla="*/ 0 60000 65536"/>
            <a:gd name="T9" fmla="*/ 0 60000 65536"/>
            <a:gd name="T10" fmla="*/ 0 60000 65536"/>
            <a:gd name="T11" fmla="*/ 0 60000 65536"/>
            <a:gd name="T12" fmla="*/ 0 w 21600"/>
            <a:gd name="T13" fmla="*/ 0 h 21600"/>
            <a:gd name="T14" fmla="*/ 21600 w 21600"/>
            <a:gd name="T15" fmla="*/ 8068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6059" y="10947"/>
              </a:moveTo>
              <a:cubicBezTo>
                <a:pt x="6057" y="10898"/>
                <a:pt x="6057" y="10849"/>
                <a:pt x="6057" y="10800"/>
              </a:cubicBezTo>
              <a:cubicBezTo>
                <a:pt x="6057" y="8180"/>
                <a:pt x="8180" y="6057"/>
                <a:pt x="10800" y="6057"/>
              </a:cubicBezTo>
              <a:cubicBezTo>
                <a:pt x="13419" y="6057"/>
                <a:pt x="15543" y="8180"/>
                <a:pt x="15543" y="10800"/>
              </a:cubicBezTo>
              <a:cubicBezTo>
                <a:pt x="15543" y="10849"/>
                <a:pt x="15542" y="10898"/>
                <a:pt x="15540" y="10947"/>
              </a:cubicBezTo>
              <a:lnTo>
                <a:pt x="21594" y="11136"/>
              </a:lnTo>
              <a:cubicBezTo>
                <a:pt x="21598" y="11024"/>
                <a:pt x="21600" y="10912"/>
                <a:pt x="21600" y="10800"/>
              </a:cubicBezTo>
              <a:cubicBezTo>
                <a:pt x="21600" y="4835"/>
                <a:pt x="16764" y="0"/>
                <a:pt x="10800" y="0"/>
              </a:cubicBezTo>
              <a:cubicBezTo>
                <a:pt x="4835" y="0"/>
                <a:pt x="0" y="4835"/>
                <a:pt x="0" y="10800"/>
              </a:cubicBezTo>
              <a:cubicBezTo>
                <a:pt x="-1" y="10912"/>
                <a:pt x="1" y="11024"/>
                <a:pt x="5" y="11136"/>
              </a:cubicBezTo>
              <a:lnTo>
                <a:pt x="6059" y="10947"/>
              </a:lnTo>
              <a:close/>
            </a:path>
          </a:pathLst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381000</xdr:colOff>
      <xdr:row>5</xdr:row>
      <xdr:rowOff>139700</xdr:rowOff>
    </xdr:from>
    <xdr:to>
      <xdr:col>17</xdr:col>
      <xdr:colOff>381000</xdr:colOff>
      <xdr:row>7</xdr:row>
      <xdr:rowOff>114300</xdr:rowOff>
    </xdr:to>
    <xdr:sp macro="" textlink="">
      <xdr:nvSpPr>
        <xdr:cNvPr id="50698" name="Line 52">
          <a:extLst>
            <a:ext uri="{FF2B5EF4-FFF2-40B4-BE49-F238E27FC236}">
              <a16:creationId xmlns:a16="http://schemas.microsoft.com/office/drawing/2014/main" id="{CA44A8D4-F8FB-59CC-0D7F-271502DFEEAA}"/>
            </a:ext>
          </a:extLst>
        </xdr:cNvPr>
        <xdr:cNvSpPr>
          <a:spLocks noChangeShapeType="1"/>
        </xdr:cNvSpPr>
      </xdr:nvSpPr>
      <xdr:spPr bwMode="auto">
        <a:xfrm>
          <a:off x="7696200" y="965200"/>
          <a:ext cx="0" cy="3048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114300</xdr:colOff>
      <xdr:row>4</xdr:row>
      <xdr:rowOff>114300</xdr:rowOff>
    </xdr:from>
    <xdr:to>
      <xdr:col>18</xdr:col>
      <xdr:colOff>114300</xdr:colOff>
      <xdr:row>8</xdr:row>
      <xdr:rowOff>38100</xdr:rowOff>
    </xdr:to>
    <xdr:sp macro="" textlink="">
      <xdr:nvSpPr>
        <xdr:cNvPr id="50699" name="Line 53">
          <a:extLst>
            <a:ext uri="{FF2B5EF4-FFF2-40B4-BE49-F238E27FC236}">
              <a16:creationId xmlns:a16="http://schemas.microsoft.com/office/drawing/2014/main" id="{A11D1058-4A69-9029-92C1-B563DAB8E1BC}"/>
            </a:ext>
          </a:extLst>
        </xdr:cNvPr>
        <xdr:cNvSpPr>
          <a:spLocks noChangeShapeType="1"/>
        </xdr:cNvSpPr>
      </xdr:nvSpPr>
      <xdr:spPr bwMode="auto">
        <a:xfrm>
          <a:off x="8001000" y="774700"/>
          <a:ext cx="0" cy="5842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381000</xdr:colOff>
      <xdr:row>5</xdr:row>
      <xdr:rowOff>114300</xdr:rowOff>
    </xdr:from>
    <xdr:to>
      <xdr:col>18</xdr:col>
      <xdr:colOff>381000</xdr:colOff>
      <xdr:row>7</xdr:row>
      <xdr:rowOff>101600</xdr:rowOff>
    </xdr:to>
    <xdr:sp macro="" textlink="">
      <xdr:nvSpPr>
        <xdr:cNvPr id="50700" name="Line 54">
          <a:extLst>
            <a:ext uri="{FF2B5EF4-FFF2-40B4-BE49-F238E27FC236}">
              <a16:creationId xmlns:a16="http://schemas.microsoft.com/office/drawing/2014/main" id="{9F99EA95-D81B-5622-AF5B-4CE0CA73B762}"/>
            </a:ext>
          </a:extLst>
        </xdr:cNvPr>
        <xdr:cNvSpPr>
          <a:spLocks noChangeShapeType="1"/>
        </xdr:cNvSpPr>
      </xdr:nvSpPr>
      <xdr:spPr bwMode="auto">
        <a:xfrm>
          <a:off x="8267700" y="939800"/>
          <a:ext cx="0" cy="3175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38100</xdr:colOff>
      <xdr:row>7</xdr:row>
      <xdr:rowOff>12700</xdr:rowOff>
    </xdr:from>
    <xdr:to>
      <xdr:col>18</xdr:col>
      <xdr:colOff>127000</xdr:colOff>
      <xdr:row>7</xdr:row>
      <xdr:rowOff>127000</xdr:rowOff>
    </xdr:to>
    <xdr:sp macro="" textlink="">
      <xdr:nvSpPr>
        <xdr:cNvPr id="50701" name="Line 55">
          <a:extLst>
            <a:ext uri="{FF2B5EF4-FFF2-40B4-BE49-F238E27FC236}">
              <a16:creationId xmlns:a16="http://schemas.microsoft.com/office/drawing/2014/main" id="{937040F0-0FBE-5EE7-FCB0-C45338ABBA1E}"/>
            </a:ext>
          </a:extLst>
        </xdr:cNvPr>
        <xdr:cNvSpPr>
          <a:spLocks noChangeShapeType="1"/>
        </xdr:cNvSpPr>
      </xdr:nvSpPr>
      <xdr:spPr bwMode="auto">
        <a:xfrm flipV="1">
          <a:off x="7924800" y="1168400"/>
          <a:ext cx="88900" cy="1143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17</xdr:col>
      <xdr:colOff>460375</xdr:colOff>
      <xdr:row>6</xdr:row>
      <xdr:rowOff>68580</xdr:rowOff>
    </xdr:from>
    <xdr:ext cx="111056" cy="170560"/>
    <xdr:sp macro="" textlink="">
      <xdr:nvSpPr>
        <xdr:cNvPr id="17464" name="Text Box 56">
          <a:extLst>
            <a:ext uri="{FF2B5EF4-FFF2-40B4-BE49-F238E27FC236}">
              <a16:creationId xmlns:a16="http://schemas.microsoft.com/office/drawing/2014/main" id="{3F4FA460-E21F-DDA0-0ED9-6DABBF5816CF}"/>
            </a:ext>
          </a:extLst>
        </xdr:cNvPr>
        <xdr:cNvSpPr txBox="1">
          <a:spLocks noChangeArrowheads="1"/>
        </xdr:cNvSpPr>
      </xdr:nvSpPr>
      <xdr:spPr bwMode="auto">
        <a:xfrm>
          <a:off x="7812264" y="1084580"/>
          <a:ext cx="111056" cy="170560"/>
        </a:xfrm>
        <a:prstGeom prst="rect">
          <a:avLst/>
        </a:prstGeom>
        <a:noFill/>
        <a:ln>
          <a:noFill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D</a:t>
          </a:r>
        </a:p>
      </xdr:txBody>
    </xdr:sp>
    <xdr:clientData/>
  </xdr:oneCellAnchor>
  <xdr:oneCellAnchor>
    <xdr:from>
      <xdr:col>18</xdr:col>
      <xdr:colOff>155575</xdr:colOff>
      <xdr:row>6</xdr:row>
      <xdr:rowOff>72390</xdr:rowOff>
    </xdr:from>
    <xdr:ext cx="124938" cy="188973"/>
    <xdr:sp macro="" textlink="">
      <xdr:nvSpPr>
        <xdr:cNvPr id="17465" name="Text Box 57">
          <a:extLst>
            <a:ext uri="{FF2B5EF4-FFF2-40B4-BE49-F238E27FC236}">
              <a16:creationId xmlns:a16="http://schemas.microsoft.com/office/drawing/2014/main" id="{9B593098-8A69-8B7A-C5A7-5847FE99140D}"/>
            </a:ext>
          </a:extLst>
        </xdr:cNvPr>
        <xdr:cNvSpPr txBox="1">
          <a:spLocks noChangeArrowheads="1"/>
        </xdr:cNvSpPr>
      </xdr:nvSpPr>
      <xdr:spPr bwMode="auto">
        <a:xfrm>
          <a:off x="7182062" y="1073150"/>
          <a:ext cx="111056" cy="170560"/>
        </a:xfrm>
        <a:prstGeom prst="rect">
          <a:avLst/>
        </a:prstGeom>
        <a:noFill/>
        <a:ln>
          <a:noFill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D</a:t>
          </a:r>
        </a:p>
      </xdr:txBody>
    </xdr:sp>
    <xdr:clientData/>
  </xdr:oneCellAnchor>
  <xdr:twoCellAnchor>
    <xdr:from>
      <xdr:col>19</xdr:col>
      <xdr:colOff>190500</xdr:colOff>
      <xdr:row>5</xdr:row>
      <xdr:rowOff>139700</xdr:rowOff>
    </xdr:from>
    <xdr:to>
      <xdr:col>19</xdr:col>
      <xdr:colOff>495300</xdr:colOff>
      <xdr:row>5</xdr:row>
      <xdr:rowOff>139700</xdr:rowOff>
    </xdr:to>
    <xdr:sp macro="" textlink="">
      <xdr:nvSpPr>
        <xdr:cNvPr id="50704" name="Line 58">
          <a:extLst>
            <a:ext uri="{FF2B5EF4-FFF2-40B4-BE49-F238E27FC236}">
              <a16:creationId xmlns:a16="http://schemas.microsoft.com/office/drawing/2014/main" id="{A0134BE1-86F0-7147-152F-8731E9A29788}"/>
            </a:ext>
          </a:extLst>
        </xdr:cNvPr>
        <xdr:cNvSpPr>
          <a:spLocks noChangeShapeType="1"/>
        </xdr:cNvSpPr>
      </xdr:nvSpPr>
      <xdr:spPr bwMode="auto">
        <a:xfrm>
          <a:off x="8547100" y="965200"/>
          <a:ext cx="3048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317500</xdr:colOff>
      <xdr:row>3</xdr:row>
      <xdr:rowOff>101600</xdr:rowOff>
    </xdr:from>
    <xdr:to>
      <xdr:col>19</xdr:col>
      <xdr:colOff>508000</xdr:colOff>
      <xdr:row>3</xdr:row>
      <xdr:rowOff>101600</xdr:rowOff>
    </xdr:to>
    <xdr:sp macro="" textlink="">
      <xdr:nvSpPr>
        <xdr:cNvPr id="50705" name="Line 59">
          <a:extLst>
            <a:ext uri="{FF2B5EF4-FFF2-40B4-BE49-F238E27FC236}">
              <a16:creationId xmlns:a16="http://schemas.microsoft.com/office/drawing/2014/main" id="{47A244C5-04E1-5BD4-67B0-3B934A7AC714}"/>
            </a:ext>
          </a:extLst>
        </xdr:cNvPr>
        <xdr:cNvSpPr>
          <a:spLocks noChangeShapeType="1"/>
        </xdr:cNvSpPr>
      </xdr:nvSpPr>
      <xdr:spPr bwMode="auto">
        <a:xfrm>
          <a:off x="8204200" y="596900"/>
          <a:ext cx="6477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381000</xdr:colOff>
      <xdr:row>3</xdr:row>
      <xdr:rowOff>101600</xdr:rowOff>
    </xdr:from>
    <xdr:to>
      <xdr:col>19</xdr:col>
      <xdr:colOff>381000</xdr:colOff>
      <xdr:row>5</xdr:row>
      <xdr:rowOff>139700</xdr:rowOff>
    </xdr:to>
    <xdr:sp macro="" textlink="">
      <xdr:nvSpPr>
        <xdr:cNvPr id="50706" name="Line 60">
          <a:extLst>
            <a:ext uri="{FF2B5EF4-FFF2-40B4-BE49-F238E27FC236}">
              <a16:creationId xmlns:a16="http://schemas.microsoft.com/office/drawing/2014/main" id="{E7B4C741-2235-D8F3-C771-D482E6B3D204}"/>
            </a:ext>
          </a:extLst>
        </xdr:cNvPr>
        <xdr:cNvSpPr>
          <a:spLocks noChangeShapeType="1"/>
        </xdr:cNvSpPr>
      </xdr:nvSpPr>
      <xdr:spPr bwMode="auto">
        <a:xfrm>
          <a:off x="8737600" y="596900"/>
          <a:ext cx="0" cy="3683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19</xdr:col>
      <xdr:colOff>457200</xdr:colOff>
      <xdr:row>3</xdr:row>
      <xdr:rowOff>168063</xdr:rowOff>
    </xdr:from>
    <xdr:ext cx="104003" cy="170560"/>
    <xdr:sp macro="" textlink="">
      <xdr:nvSpPr>
        <xdr:cNvPr id="17469" name="Text Box 61">
          <a:extLst>
            <a:ext uri="{FF2B5EF4-FFF2-40B4-BE49-F238E27FC236}">
              <a16:creationId xmlns:a16="http://schemas.microsoft.com/office/drawing/2014/main" id="{2FB8F96A-88C1-9E86-5850-F0769040BFE2}"/>
            </a:ext>
          </a:extLst>
        </xdr:cNvPr>
        <xdr:cNvSpPr txBox="1">
          <a:spLocks noChangeArrowheads="1"/>
        </xdr:cNvSpPr>
      </xdr:nvSpPr>
      <xdr:spPr bwMode="auto">
        <a:xfrm>
          <a:off x="8853311" y="676063"/>
          <a:ext cx="104003" cy="170560"/>
        </a:xfrm>
        <a:prstGeom prst="rect">
          <a:avLst/>
        </a:prstGeom>
        <a:noFill/>
        <a:ln>
          <a:noFill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V</a:t>
          </a:r>
        </a:p>
      </xdr:txBody>
    </xdr:sp>
    <xdr:clientData/>
  </xdr:oneCellAnchor>
  <xdr:oneCellAnchor>
    <xdr:from>
      <xdr:col>17</xdr:col>
      <xdr:colOff>234950</xdr:colOff>
      <xdr:row>8</xdr:row>
      <xdr:rowOff>15240</xdr:rowOff>
    </xdr:from>
    <xdr:ext cx="795346" cy="170560"/>
    <xdr:sp macro="" textlink="">
      <xdr:nvSpPr>
        <xdr:cNvPr id="17470" name="Text Box 62">
          <a:extLst>
            <a:ext uri="{FF2B5EF4-FFF2-40B4-BE49-F238E27FC236}">
              <a16:creationId xmlns:a16="http://schemas.microsoft.com/office/drawing/2014/main" id="{7E570F78-E37B-1E6D-7E3D-0630B4D1E926}"/>
            </a:ext>
          </a:extLst>
        </xdr:cNvPr>
        <xdr:cNvSpPr txBox="1">
          <a:spLocks noChangeArrowheads="1"/>
        </xdr:cNvSpPr>
      </xdr:nvSpPr>
      <xdr:spPr bwMode="auto">
        <a:xfrm>
          <a:off x="7586839" y="1369907"/>
          <a:ext cx="795346" cy="170560"/>
        </a:xfrm>
        <a:prstGeom prst="rect">
          <a:avLst/>
        </a:prstGeom>
        <a:noFill/>
        <a:ln>
          <a:noFill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180 S.R. ELL</a:t>
          </a:r>
        </a:p>
      </xdr:txBody>
    </xdr:sp>
    <xdr:clientData/>
  </xdr:oneCellAnchor>
  <xdr:twoCellAnchor>
    <xdr:from>
      <xdr:col>21</xdr:col>
      <xdr:colOff>228600</xdr:colOff>
      <xdr:row>0</xdr:row>
      <xdr:rowOff>0</xdr:rowOff>
    </xdr:from>
    <xdr:to>
      <xdr:col>23</xdr:col>
      <xdr:colOff>38100</xdr:colOff>
      <xdr:row>5</xdr:row>
      <xdr:rowOff>12700</xdr:rowOff>
    </xdr:to>
    <xdr:sp macro="" textlink="">
      <xdr:nvSpPr>
        <xdr:cNvPr id="50709" name="Arc 63">
          <a:extLst>
            <a:ext uri="{FF2B5EF4-FFF2-40B4-BE49-F238E27FC236}">
              <a16:creationId xmlns:a16="http://schemas.microsoft.com/office/drawing/2014/main" id="{F15754B6-4048-3311-4322-870F3E4913F8}"/>
            </a:ext>
          </a:extLst>
        </xdr:cNvPr>
        <xdr:cNvSpPr>
          <a:spLocks/>
        </xdr:cNvSpPr>
      </xdr:nvSpPr>
      <xdr:spPr bwMode="auto">
        <a:xfrm rot="-2443811">
          <a:off x="9537700" y="0"/>
          <a:ext cx="609600" cy="838200"/>
        </a:xfrm>
        <a:custGeom>
          <a:avLst/>
          <a:gdLst>
            <a:gd name="T0" fmla="*/ 0 w 20437"/>
            <a:gd name="T1" fmla="*/ 2147483646 h 21600"/>
            <a:gd name="T2" fmla="*/ 2147483646 w 20437"/>
            <a:gd name="T3" fmla="*/ 2147483646 h 21600"/>
            <a:gd name="T4" fmla="*/ 2147483646 w 20437"/>
            <a:gd name="T5" fmla="*/ 2147483646 h 21600"/>
            <a:gd name="T6" fmla="*/ 0 60000 65536"/>
            <a:gd name="T7" fmla="*/ 0 60000 65536"/>
            <a:gd name="T8" fmla="*/ 0 60000 65536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0" t="0" r="r" b="b"/>
          <a:pathLst>
            <a:path w="20437" h="21600" fill="none" extrusionOk="0">
              <a:moveTo>
                <a:pt x="-1" y="71"/>
              </a:moveTo>
              <a:cubicBezTo>
                <a:pt x="585" y="23"/>
                <a:pt x="1172" y="-1"/>
                <a:pt x="1760" y="0"/>
              </a:cubicBezTo>
              <a:cubicBezTo>
                <a:pt x="9456" y="0"/>
                <a:pt x="16571" y="4095"/>
                <a:pt x="20437" y="10749"/>
              </a:cubicBezTo>
            </a:path>
            <a:path w="20437" h="21600" stroke="0" extrusionOk="0">
              <a:moveTo>
                <a:pt x="-1" y="71"/>
              </a:moveTo>
              <a:cubicBezTo>
                <a:pt x="585" y="23"/>
                <a:pt x="1172" y="-1"/>
                <a:pt x="1760" y="0"/>
              </a:cubicBezTo>
              <a:cubicBezTo>
                <a:pt x="9456" y="0"/>
                <a:pt x="16571" y="4095"/>
                <a:pt x="20437" y="10749"/>
              </a:cubicBezTo>
              <a:lnTo>
                <a:pt x="1760" y="21600"/>
              </a:lnTo>
              <a:lnTo>
                <a:pt x="-1" y="71"/>
              </a:lnTo>
              <a:close/>
            </a:path>
          </a:pathLst>
        </a:custGeom>
        <a:noFill/>
        <a:ln w="1905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21</xdr:col>
      <xdr:colOff>12700</xdr:colOff>
      <xdr:row>1</xdr:row>
      <xdr:rowOff>101600</xdr:rowOff>
    </xdr:from>
    <xdr:to>
      <xdr:col>21</xdr:col>
      <xdr:colOff>12700</xdr:colOff>
      <xdr:row>2</xdr:row>
      <xdr:rowOff>139700</xdr:rowOff>
    </xdr:to>
    <xdr:sp macro="" textlink="">
      <xdr:nvSpPr>
        <xdr:cNvPr id="50710" name="Line 64">
          <a:extLst>
            <a:ext uri="{FF2B5EF4-FFF2-40B4-BE49-F238E27FC236}">
              <a16:creationId xmlns:a16="http://schemas.microsoft.com/office/drawing/2014/main" id="{A2A5DFFF-64C8-6A12-9F32-A6CDA0238FEA}"/>
            </a:ext>
          </a:extLst>
        </xdr:cNvPr>
        <xdr:cNvSpPr>
          <a:spLocks noChangeShapeType="1"/>
        </xdr:cNvSpPr>
      </xdr:nvSpPr>
      <xdr:spPr bwMode="auto">
        <a:xfrm flipH="1">
          <a:off x="9321800" y="266700"/>
          <a:ext cx="0" cy="2032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22</xdr:col>
      <xdr:colOff>381000</xdr:colOff>
      <xdr:row>1</xdr:row>
      <xdr:rowOff>101600</xdr:rowOff>
    </xdr:from>
    <xdr:to>
      <xdr:col>22</xdr:col>
      <xdr:colOff>381000</xdr:colOff>
      <xdr:row>2</xdr:row>
      <xdr:rowOff>152400</xdr:rowOff>
    </xdr:to>
    <xdr:sp macro="" textlink="">
      <xdr:nvSpPr>
        <xdr:cNvPr id="50711" name="Line 65">
          <a:extLst>
            <a:ext uri="{FF2B5EF4-FFF2-40B4-BE49-F238E27FC236}">
              <a16:creationId xmlns:a16="http://schemas.microsoft.com/office/drawing/2014/main" id="{10FAAA7E-D2CF-7AE3-08EF-C5357AF7EB75}"/>
            </a:ext>
          </a:extLst>
        </xdr:cNvPr>
        <xdr:cNvSpPr>
          <a:spLocks noChangeShapeType="1"/>
        </xdr:cNvSpPr>
      </xdr:nvSpPr>
      <xdr:spPr bwMode="auto">
        <a:xfrm>
          <a:off x="10096500" y="266700"/>
          <a:ext cx="0" cy="2159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12700</xdr:colOff>
      <xdr:row>2</xdr:row>
      <xdr:rowOff>139700</xdr:rowOff>
    </xdr:from>
    <xdr:to>
      <xdr:col>23</xdr:col>
      <xdr:colOff>12700</xdr:colOff>
      <xdr:row>2</xdr:row>
      <xdr:rowOff>139700</xdr:rowOff>
    </xdr:to>
    <xdr:sp macro="" textlink="">
      <xdr:nvSpPr>
        <xdr:cNvPr id="50712" name="Line 66">
          <a:extLst>
            <a:ext uri="{FF2B5EF4-FFF2-40B4-BE49-F238E27FC236}">
              <a16:creationId xmlns:a16="http://schemas.microsoft.com/office/drawing/2014/main" id="{E27D0649-18EA-1BCA-87F7-92E1422DBE45}"/>
            </a:ext>
          </a:extLst>
        </xdr:cNvPr>
        <xdr:cNvSpPr>
          <a:spLocks noChangeShapeType="1"/>
        </xdr:cNvSpPr>
      </xdr:nvSpPr>
      <xdr:spPr bwMode="auto">
        <a:xfrm>
          <a:off x="9321800" y="469900"/>
          <a:ext cx="8001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22</xdr:col>
      <xdr:colOff>114300</xdr:colOff>
      <xdr:row>0</xdr:row>
      <xdr:rowOff>114300</xdr:rowOff>
    </xdr:from>
    <xdr:to>
      <xdr:col>23</xdr:col>
      <xdr:colOff>457200</xdr:colOff>
      <xdr:row>0</xdr:row>
      <xdr:rowOff>114300</xdr:rowOff>
    </xdr:to>
    <xdr:sp macro="" textlink="">
      <xdr:nvSpPr>
        <xdr:cNvPr id="50713" name="Line 67">
          <a:extLst>
            <a:ext uri="{FF2B5EF4-FFF2-40B4-BE49-F238E27FC236}">
              <a16:creationId xmlns:a16="http://schemas.microsoft.com/office/drawing/2014/main" id="{5C59FE76-6A94-B4E5-6766-5C80CCF46E7D}"/>
            </a:ext>
          </a:extLst>
        </xdr:cNvPr>
        <xdr:cNvSpPr>
          <a:spLocks noChangeShapeType="1"/>
        </xdr:cNvSpPr>
      </xdr:nvSpPr>
      <xdr:spPr bwMode="auto">
        <a:xfrm>
          <a:off x="9829800" y="114300"/>
          <a:ext cx="7366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63500</xdr:colOff>
      <xdr:row>2</xdr:row>
      <xdr:rowOff>139700</xdr:rowOff>
    </xdr:from>
    <xdr:to>
      <xdr:col>23</xdr:col>
      <xdr:colOff>406400</xdr:colOff>
      <xdr:row>2</xdr:row>
      <xdr:rowOff>139700</xdr:rowOff>
    </xdr:to>
    <xdr:sp macro="" textlink="">
      <xdr:nvSpPr>
        <xdr:cNvPr id="50714" name="Line 68">
          <a:extLst>
            <a:ext uri="{FF2B5EF4-FFF2-40B4-BE49-F238E27FC236}">
              <a16:creationId xmlns:a16="http://schemas.microsoft.com/office/drawing/2014/main" id="{0554D0CE-BFFF-0E75-F733-B8DC074AF081}"/>
            </a:ext>
          </a:extLst>
        </xdr:cNvPr>
        <xdr:cNvSpPr>
          <a:spLocks noChangeShapeType="1"/>
        </xdr:cNvSpPr>
      </xdr:nvSpPr>
      <xdr:spPr bwMode="auto">
        <a:xfrm>
          <a:off x="10172700" y="469900"/>
          <a:ext cx="3429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279400</xdr:colOff>
      <xdr:row>0</xdr:row>
      <xdr:rowOff>101600</xdr:rowOff>
    </xdr:from>
    <xdr:to>
      <xdr:col>23</xdr:col>
      <xdr:colOff>304800</xdr:colOff>
      <xdr:row>2</xdr:row>
      <xdr:rowOff>152400</xdr:rowOff>
    </xdr:to>
    <xdr:sp macro="" textlink="">
      <xdr:nvSpPr>
        <xdr:cNvPr id="50715" name="Line 69">
          <a:extLst>
            <a:ext uri="{FF2B5EF4-FFF2-40B4-BE49-F238E27FC236}">
              <a16:creationId xmlns:a16="http://schemas.microsoft.com/office/drawing/2014/main" id="{FA569EA3-4626-008D-E6B3-BE4959A7EA84}"/>
            </a:ext>
          </a:extLst>
        </xdr:cNvPr>
        <xdr:cNvSpPr>
          <a:spLocks noChangeShapeType="1"/>
        </xdr:cNvSpPr>
      </xdr:nvSpPr>
      <xdr:spPr bwMode="auto">
        <a:xfrm flipH="1" flipV="1">
          <a:off x="10388600" y="101600"/>
          <a:ext cx="25400" cy="3810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23</xdr:col>
      <xdr:colOff>401955</xdr:colOff>
      <xdr:row>1</xdr:row>
      <xdr:rowOff>72390</xdr:rowOff>
    </xdr:from>
    <xdr:ext cx="133718" cy="203048"/>
    <xdr:sp macro="" textlink="">
      <xdr:nvSpPr>
        <xdr:cNvPr id="17478" name="Text Box 70">
          <a:extLst>
            <a:ext uri="{FF2B5EF4-FFF2-40B4-BE49-F238E27FC236}">
              <a16:creationId xmlns:a16="http://schemas.microsoft.com/office/drawing/2014/main" id="{C2249F4D-2CF9-9E1A-25EC-3660B91D1D03}"/>
            </a:ext>
          </a:extLst>
        </xdr:cNvPr>
        <xdr:cNvSpPr txBox="1">
          <a:spLocks noChangeArrowheads="1"/>
        </xdr:cNvSpPr>
      </xdr:nvSpPr>
      <xdr:spPr bwMode="auto">
        <a:xfrm>
          <a:off x="9346988" y="226483"/>
          <a:ext cx="104003" cy="170560"/>
        </a:xfrm>
        <a:prstGeom prst="rect">
          <a:avLst/>
        </a:prstGeom>
        <a:noFill/>
        <a:ln>
          <a:noFill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E</a:t>
          </a:r>
        </a:p>
      </xdr:txBody>
    </xdr:sp>
    <xdr:clientData/>
  </xdr:oneCellAnchor>
  <xdr:oneCellAnchor>
    <xdr:from>
      <xdr:col>21</xdr:col>
      <xdr:colOff>233045</xdr:colOff>
      <xdr:row>3</xdr:row>
      <xdr:rowOff>45720</xdr:rowOff>
    </xdr:from>
    <xdr:ext cx="289182" cy="170560"/>
    <xdr:sp macro="" textlink="">
      <xdr:nvSpPr>
        <xdr:cNvPr id="17479" name="Text Box 71">
          <a:extLst>
            <a:ext uri="{FF2B5EF4-FFF2-40B4-BE49-F238E27FC236}">
              <a16:creationId xmlns:a16="http://schemas.microsoft.com/office/drawing/2014/main" id="{463A4B3E-D623-702A-7F19-1470577800B0}"/>
            </a:ext>
          </a:extLst>
        </xdr:cNvPr>
        <xdr:cNvSpPr txBox="1">
          <a:spLocks noChangeArrowheads="1"/>
        </xdr:cNvSpPr>
      </xdr:nvSpPr>
      <xdr:spPr bwMode="auto">
        <a:xfrm>
          <a:off x="9574601" y="553720"/>
          <a:ext cx="289182" cy="170560"/>
        </a:xfrm>
        <a:prstGeom prst="rect">
          <a:avLst/>
        </a:prstGeom>
        <a:noFill/>
        <a:ln>
          <a:noFill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CAP</a:t>
          </a:r>
        </a:p>
      </xdr:txBody>
    </xdr:sp>
    <xdr:clientData/>
  </xdr:oneCellAnchor>
  <xdr:twoCellAnchor>
    <xdr:from>
      <xdr:col>21</xdr:col>
      <xdr:colOff>12700</xdr:colOff>
      <xdr:row>5</xdr:row>
      <xdr:rowOff>25400</xdr:rowOff>
    </xdr:from>
    <xdr:to>
      <xdr:col>22</xdr:col>
      <xdr:colOff>101600</xdr:colOff>
      <xdr:row>7</xdr:row>
      <xdr:rowOff>0</xdr:rowOff>
    </xdr:to>
    <xdr:sp macro="" textlink="">
      <xdr:nvSpPr>
        <xdr:cNvPr id="50718" name="Rectangle 72">
          <a:extLst>
            <a:ext uri="{FF2B5EF4-FFF2-40B4-BE49-F238E27FC236}">
              <a16:creationId xmlns:a16="http://schemas.microsoft.com/office/drawing/2014/main" id="{B2AC9342-0D1D-ECC8-623F-220AADB3D989}"/>
            </a:ext>
          </a:extLst>
        </xdr:cNvPr>
        <xdr:cNvSpPr>
          <a:spLocks noChangeArrowheads="1"/>
        </xdr:cNvSpPr>
      </xdr:nvSpPr>
      <xdr:spPr bwMode="auto">
        <a:xfrm>
          <a:off x="9321800" y="850900"/>
          <a:ext cx="495300" cy="304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miter lim="800000"/>
          <a:headEnd/>
          <a:tailEnd/>
        </a:ln>
      </xdr:spPr>
    </xdr:sp>
    <xdr:clientData/>
  </xdr:twoCellAnchor>
  <xdr:twoCellAnchor>
    <xdr:from>
      <xdr:col>22</xdr:col>
      <xdr:colOff>101600</xdr:colOff>
      <xdr:row>4</xdr:row>
      <xdr:rowOff>101600</xdr:rowOff>
    </xdr:from>
    <xdr:to>
      <xdr:col>22</xdr:col>
      <xdr:colOff>203200</xdr:colOff>
      <xdr:row>7</xdr:row>
      <xdr:rowOff>114300</xdr:rowOff>
    </xdr:to>
    <xdr:sp macro="" textlink="">
      <xdr:nvSpPr>
        <xdr:cNvPr id="50719" name="Rectangle 73">
          <a:extLst>
            <a:ext uri="{FF2B5EF4-FFF2-40B4-BE49-F238E27FC236}">
              <a16:creationId xmlns:a16="http://schemas.microsoft.com/office/drawing/2014/main" id="{4AAA3C78-B0C3-3A60-9862-F12AB247E13F}"/>
            </a:ext>
          </a:extLst>
        </xdr:cNvPr>
        <xdr:cNvSpPr>
          <a:spLocks noChangeArrowheads="1"/>
        </xdr:cNvSpPr>
      </xdr:nvSpPr>
      <xdr:spPr bwMode="auto">
        <a:xfrm>
          <a:off x="9817100" y="762000"/>
          <a:ext cx="101600" cy="5080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miter lim="800000"/>
          <a:headEnd/>
          <a:tailEnd/>
        </a:ln>
      </xdr:spPr>
    </xdr:sp>
    <xdr:clientData/>
  </xdr:twoCellAnchor>
  <xdr:twoCellAnchor>
    <xdr:from>
      <xdr:col>22</xdr:col>
      <xdr:colOff>254000</xdr:colOff>
      <xdr:row>4</xdr:row>
      <xdr:rowOff>114300</xdr:rowOff>
    </xdr:from>
    <xdr:to>
      <xdr:col>23</xdr:col>
      <xdr:colOff>419100</xdr:colOff>
      <xdr:row>4</xdr:row>
      <xdr:rowOff>114300</xdr:rowOff>
    </xdr:to>
    <xdr:sp macro="" textlink="">
      <xdr:nvSpPr>
        <xdr:cNvPr id="50720" name="Line 74">
          <a:extLst>
            <a:ext uri="{FF2B5EF4-FFF2-40B4-BE49-F238E27FC236}">
              <a16:creationId xmlns:a16="http://schemas.microsoft.com/office/drawing/2014/main" id="{7D6CFEAB-1668-2700-4269-3BADE64AE7A8}"/>
            </a:ext>
          </a:extLst>
        </xdr:cNvPr>
        <xdr:cNvSpPr>
          <a:spLocks noChangeShapeType="1"/>
        </xdr:cNvSpPr>
      </xdr:nvSpPr>
      <xdr:spPr bwMode="auto">
        <a:xfrm>
          <a:off x="9969500" y="774700"/>
          <a:ext cx="5588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22</xdr:col>
      <xdr:colOff>254000</xdr:colOff>
      <xdr:row>7</xdr:row>
      <xdr:rowOff>101600</xdr:rowOff>
    </xdr:from>
    <xdr:to>
      <xdr:col>23</xdr:col>
      <xdr:colOff>393700</xdr:colOff>
      <xdr:row>7</xdr:row>
      <xdr:rowOff>101600</xdr:rowOff>
    </xdr:to>
    <xdr:sp macro="" textlink="">
      <xdr:nvSpPr>
        <xdr:cNvPr id="50721" name="Line 75">
          <a:extLst>
            <a:ext uri="{FF2B5EF4-FFF2-40B4-BE49-F238E27FC236}">
              <a16:creationId xmlns:a16="http://schemas.microsoft.com/office/drawing/2014/main" id="{C59E063D-4A2A-30E2-5D77-0281091AE396}"/>
            </a:ext>
          </a:extLst>
        </xdr:cNvPr>
        <xdr:cNvSpPr>
          <a:spLocks noChangeShapeType="1"/>
        </xdr:cNvSpPr>
      </xdr:nvSpPr>
      <xdr:spPr bwMode="auto">
        <a:xfrm>
          <a:off x="9969500" y="1257300"/>
          <a:ext cx="5334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241300</xdr:colOff>
      <xdr:row>4</xdr:row>
      <xdr:rowOff>114300</xdr:rowOff>
    </xdr:from>
    <xdr:to>
      <xdr:col>23</xdr:col>
      <xdr:colOff>241300</xdr:colOff>
      <xdr:row>7</xdr:row>
      <xdr:rowOff>139700</xdr:rowOff>
    </xdr:to>
    <xdr:sp macro="" textlink="">
      <xdr:nvSpPr>
        <xdr:cNvPr id="50722" name="Line 76">
          <a:extLst>
            <a:ext uri="{FF2B5EF4-FFF2-40B4-BE49-F238E27FC236}">
              <a16:creationId xmlns:a16="http://schemas.microsoft.com/office/drawing/2014/main" id="{F9B98F77-EDC7-46A7-A616-0876534BFD4E}"/>
            </a:ext>
          </a:extLst>
        </xdr:cNvPr>
        <xdr:cNvSpPr>
          <a:spLocks noChangeShapeType="1"/>
        </xdr:cNvSpPr>
      </xdr:nvSpPr>
      <xdr:spPr bwMode="auto">
        <a:xfrm flipH="1" flipV="1">
          <a:off x="10350500" y="774700"/>
          <a:ext cx="0" cy="5207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23</xdr:col>
      <xdr:colOff>312420</xdr:colOff>
      <xdr:row>5</xdr:row>
      <xdr:rowOff>104775</xdr:rowOff>
    </xdr:from>
    <xdr:ext cx="130061" cy="201571"/>
    <xdr:sp macro="" textlink="">
      <xdr:nvSpPr>
        <xdr:cNvPr id="17485" name="Text Box 77">
          <a:extLst>
            <a:ext uri="{FF2B5EF4-FFF2-40B4-BE49-F238E27FC236}">
              <a16:creationId xmlns:a16="http://schemas.microsoft.com/office/drawing/2014/main" id="{DDFE7145-06F4-909A-967B-4E932FC714C1}"/>
            </a:ext>
          </a:extLst>
        </xdr:cNvPr>
        <xdr:cNvSpPr txBox="1">
          <a:spLocks noChangeArrowheads="1"/>
        </xdr:cNvSpPr>
      </xdr:nvSpPr>
      <xdr:spPr bwMode="auto">
        <a:xfrm>
          <a:off x="9280313" y="928582"/>
          <a:ext cx="118237" cy="170560"/>
        </a:xfrm>
        <a:prstGeom prst="rect">
          <a:avLst/>
        </a:prstGeom>
        <a:noFill/>
        <a:ln>
          <a:noFill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G</a:t>
          </a:r>
        </a:p>
      </xdr:txBody>
    </xdr:sp>
    <xdr:clientData/>
  </xdr:oneCellAnchor>
  <xdr:twoCellAnchor>
    <xdr:from>
      <xdr:col>22</xdr:col>
      <xdr:colOff>203200</xdr:colOff>
      <xdr:row>7</xdr:row>
      <xdr:rowOff>139700</xdr:rowOff>
    </xdr:from>
    <xdr:to>
      <xdr:col>22</xdr:col>
      <xdr:colOff>203200</xdr:colOff>
      <xdr:row>9</xdr:row>
      <xdr:rowOff>63500</xdr:rowOff>
    </xdr:to>
    <xdr:sp macro="" textlink="">
      <xdr:nvSpPr>
        <xdr:cNvPr id="50724" name="Line 78">
          <a:extLst>
            <a:ext uri="{FF2B5EF4-FFF2-40B4-BE49-F238E27FC236}">
              <a16:creationId xmlns:a16="http://schemas.microsoft.com/office/drawing/2014/main" id="{FB994078-F75F-1081-09DB-82D2F6E2C899}"/>
            </a:ext>
          </a:extLst>
        </xdr:cNvPr>
        <xdr:cNvSpPr>
          <a:spLocks noChangeShapeType="1"/>
        </xdr:cNvSpPr>
      </xdr:nvSpPr>
      <xdr:spPr bwMode="auto">
        <a:xfrm>
          <a:off x="9918700" y="1295400"/>
          <a:ext cx="0" cy="2540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12700</xdr:colOff>
      <xdr:row>7</xdr:row>
      <xdr:rowOff>50800</xdr:rowOff>
    </xdr:from>
    <xdr:to>
      <xdr:col>21</xdr:col>
      <xdr:colOff>25400</xdr:colOff>
      <xdr:row>9</xdr:row>
      <xdr:rowOff>63500</xdr:rowOff>
    </xdr:to>
    <xdr:sp macro="" textlink="">
      <xdr:nvSpPr>
        <xdr:cNvPr id="50725" name="Line 79">
          <a:extLst>
            <a:ext uri="{FF2B5EF4-FFF2-40B4-BE49-F238E27FC236}">
              <a16:creationId xmlns:a16="http://schemas.microsoft.com/office/drawing/2014/main" id="{77B21A9C-87E1-C462-64D5-C96D0351F62E}"/>
            </a:ext>
          </a:extLst>
        </xdr:cNvPr>
        <xdr:cNvSpPr>
          <a:spLocks noChangeShapeType="1"/>
        </xdr:cNvSpPr>
      </xdr:nvSpPr>
      <xdr:spPr bwMode="auto">
        <a:xfrm flipH="1">
          <a:off x="9321800" y="1206500"/>
          <a:ext cx="12700" cy="3429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25400</xdr:colOff>
      <xdr:row>9</xdr:row>
      <xdr:rowOff>12700</xdr:rowOff>
    </xdr:from>
    <xdr:to>
      <xdr:col>22</xdr:col>
      <xdr:colOff>203200</xdr:colOff>
      <xdr:row>9</xdr:row>
      <xdr:rowOff>12700</xdr:rowOff>
    </xdr:to>
    <xdr:sp macro="" textlink="">
      <xdr:nvSpPr>
        <xdr:cNvPr id="50726" name="Line 80">
          <a:extLst>
            <a:ext uri="{FF2B5EF4-FFF2-40B4-BE49-F238E27FC236}">
              <a16:creationId xmlns:a16="http://schemas.microsoft.com/office/drawing/2014/main" id="{CEAB9A4A-6A80-A347-1F0F-32ED7CFDDB3E}"/>
            </a:ext>
          </a:extLst>
        </xdr:cNvPr>
        <xdr:cNvSpPr>
          <a:spLocks noChangeShapeType="1"/>
        </xdr:cNvSpPr>
      </xdr:nvSpPr>
      <xdr:spPr bwMode="auto">
        <a:xfrm flipH="1">
          <a:off x="9334500" y="1498600"/>
          <a:ext cx="5842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21</xdr:col>
      <xdr:colOff>250190</xdr:colOff>
      <xdr:row>7</xdr:row>
      <xdr:rowOff>153035</xdr:rowOff>
    </xdr:from>
    <xdr:ext cx="110653" cy="216585"/>
    <xdr:sp macro="" textlink="">
      <xdr:nvSpPr>
        <xdr:cNvPr id="17489" name="Text Box 81">
          <a:extLst>
            <a:ext uri="{FF2B5EF4-FFF2-40B4-BE49-F238E27FC236}">
              <a16:creationId xmlns:a16="http://schemas.microsoft.com/office/drawing/2014/main" id="{2C8BC4BB-C9CB-27C5-0385-A89E0E6DEEAE}"/>
            </a:ext>
          </a:extLst>
        </xdr:cNvPr>
        <xdr:cNvSpPr txBox="1">
          <a:spLocks noChangeArrowheads="1"/>
        </xdr:cNvSpPr>
      </xdr:nvSpPr>
      <xdr:spPr bwMode="auto">
        <a:xfrm>
          <a:off x="8529320" y="1320588"/>
          <a:ext cx="96821" cy="170560"/>
        </a:xfrm>
        <a:prstGeom prst="rect">
          <a:avLst/>
        </a:prstGeom>
        <a:noFill/>
        <a:ln>
          <a:noFill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</a:t>
          </a:r>
        </a:p>
      </xdr:txBody>
    </xdr:sp>
    <xdr:clientData/>
  </xdr:oneCellAnchor>
  <xdr:twoCellAnchor editAs="oneCell">
    <xdr:from>
      <xdr:col>21</xdr:col>
      <xdr:colOff>8819</xdr:colOff>
      <xdr:row>9</xdr:row>
      <xdr:rowOff>72390</xdr:rowOff>
    </xdr:from>
    <xdr:to>
      <xdr:col>23</xdr:col>
      <xdr:colOff>126903</xdr:colOff>
      <xdr:row>11</xdr:row>
      <xdr:rowOff>39787</xdr:rowOff>
    </xdr:to>
    <xdr:sp macro="" textlink="">
      <xdr:nvSpPr>
        <xdr:cNvPr id="17490" name="Text Box 82">
          <a:extLst>
            <a:ext uri="{FF2B5EF4-FFF2-40B4-BE49-F238E27FC236}">
              <a16:creationId xmlns:a16="http://schemas.microsoft.com/office/drawing/2014/main" id="{8CBFE4D7-1D91-535A-A179-0C5CEDD5CAA7}"/>
            </a:ext>
          </a:extLst>
        </xdr:cNvPr>
        <xdr:cNvSpPr txBox="1">
          <a:spLocks noChangeArrowheads="1"/>
        </xdr:cNvSpPr>
      </xdr:nvSpPr>
      <xdr:spPr bwMode="auto">
        <a:xfrm>
          <a:off x="8134350" y="1524000"/>
          <a:ext cx="809625" cy="304800"/>
        </a:xfrm>
        <a:prstGeom prst="rect">
          <a:avLst/>
        </a:prstGeom>
        <a:noFill/>
        <a:ln>
          <a:noFill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LAP JOINT</a:t>
          </a:r>
        </a:p>
        <a:p>
          <a:pPr algn="l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STUB END</a:t>
          </a: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14</xdr:col>
      <xdr:colOff>152400</xdr:colOff>
      <xdr:row>7</xdr:row>
      <xdr:rowOff>139700</xdr:rowOff>
    </xdr:from>
    <xdr:to>
      <xdr:col>15</xdr:col>
      <xdr:colOff>76200</xdr:colOff>
      <xdr:row>7</xdr:row>
      <xdr:rowOff>139700</xdr:rowOff>
    </xdr:to>
    <xdr:sp macro="" textlink="">
      <xdr:nvSpPr>
        <xdr:cNvPr id="50729" name="Line 83">
          <a:extLst>
            <a:ext uri="{FF2B5EF4-FFF2-40B4-BE49-F238E27FC236}">
              <a16:creationId xmlns:a16="http://schemas.microsoft.com/office/drawing/2014/main" id="{57F1BF84-A571-72FC-551A-96ABEC5B268A}"/>
            </a:ext>
          </a:extLst>
        </xdr:cNvPr>
        <xdr:cNvSpPr>
          <a:spLocks noChangeShapeType="1"/>
        </xdr:cNvSpPr>
      </xdr:nvSpPr>
      <xdr:spPr bwMode="auto">
        <a:xfrm flipH="1">
          <a:off x="6070600" y="1295400"/>
          <a:ext cx="3683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25</xdr:col>
      <xdr:colOff>197555</xdr:colOff>
      <xdr:row>7</xdr:row>
      <xdr:rowOff>155223</xdr:rowOff>
    </xdr:from>
    <xdr:to>
      <xdr:col>36</xdr:col>
      <xdr:colOff>519289</xdr:colOff>
      <xdr:row>13</xdr:row>
      <xdr:rowOff>129935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261C9B8-16E7-EB1B-C300-9E0940132C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571111" y="1340556"/>
          <a:ext cx="7772400" cy="1117712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2</xdr:col>
      <xdr:colOff>0</xdr:colOff>
      <xdr:row>5</xdr:row>
      <xdr:rowOff>25400</xdr:rowOff>
    </xdr:to>
    <xdr:sp macro="" textlink="">
      <xdr:nvSpPr>
        <xdr:cNvPr id="55805" name="Line 1">
          <a:extLst>
            <a:ext uri="{FF2B5EF4-FFF2-40B4-BE49-F238E27FC236}">
              <a16:creationId xmlns:a16="http://schemas.microsoft.com/office/drawing/2014/main" id="{876BFA7C-CE4B-4DCB-AA1F-CDADF18781BB}"/>
            </a:ext>
          </a:extLst>
        </xdr:cNvPr>
        <xdr:cNvSpPr>
          <a:spLocks noChangeShapeType="1"/>
        </xdr:cNvSpPr>
      </xdr:nvSpPr>
      <xdr:spPr bwMode="auto">
        <a:xfrm>
          <a:off x="965200" y="495300"/>
          <a:ext cx="0" cy="3556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3</xdr:row>
      <xdr:rowOff>0</xdr:rowOff>
    </xdr:from>
    <xdr:to>
      <xdr:col>4</xdr:col>
      <xdr:colOff>0</xdr:colOff>
      <xdr:row>5</xdr:row>
      <xdr:rowOff>25400</xdr:rowOff>
    </xdr:to>
    <xdr:sp macro="" textlink="">
      <xdr:nvSpPr>
        <xdr:cNvPr id="55806" name="Line 2">
          <a:extLst>
            <a:ext uri="{FF2B5EF4-FFF2-40B4-BE49-F238E27FC236}">
              <a16:creationId xmlns:a16="http://schemas.microsoft.com/office/drawing/2014/main" id="{B8D31115-9390-90E9-9E47-DAF875D333EE}"/>
            </a:ext>
          </a:extLst>
        </xdr:cNvPr>
        <xdr:cNvSpPr>
          <a:spLocks noChangeShapeType="1"/>
        </xdr:cNvSpPr>
      </xdr:nvSpPr>
      <xdr:spPr bwMode="auto">
        <a:xfrm>
          <a:off x="1803400" y="495300"/>
          <a:ext cx="0" cy="3556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165100</xdr:colOff>
      <xdr:row>2</xdr:row>
      <xdr:rowOff>12700</xdr:rowOff>
    </xdr:from>
    <xdr:to>
      <xdr:col>2</xdr:col>
      <xdr:colOff>165100</xdr:colOff>
      <xdr:row>2</xdr:row>
      <xdr:rowOff>152400</xdr:rowOff>
    </xdr:to>
    <xdr:sp macro="" textlink="">
      <xdr:nvSpPr>
        <xdr:cNvPr id="55807" name="Line 3">
          <a:extLst>
            <a:ext uri="{FF2B5EF4-FFF2-40B4-BE49-F238E27FC236}">
              <a16:creationId xmlns:a16="http://schemas.microsoft.com/office/drawing/2014/main" id="{7D1D7FE4-10DA-7138-D557-4C9B875A381F}"/>
            </a:ext>
          </a:extLst>
        </xdr:cNvPr>
        <xdr:cNvSpPr>
          <a:spLocks noChangeShapeType="1"/>
        </xdr:cNvSpPr>
      </xdr:nvSpPr>
      <xdr:spPr bwMode="auto">
        <a:xfrm>
          <a:off x="1130300" y="342900"/>
          <a:ext cx="0" cy="1397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215900</xdr:colOff>
      <xdr:row>2</xdr:row>
      <xdr:rowOff>0</xdr:rowOff>
    </xdr:from>
    <xdr:to>
      <xdr:col>3</xdr:col>
      <xdr:colOff>215900</xdr:colOff>
      <xdr:row>3</xdr:row>
      <xdr:rowOff>0</xdr:rowOff>
    </xdr:to>
    <xdr:sp macro="" textlink="">
      <xdr:nvSpPr>
        <xdr:cNvPr id="55808" name="Line 4">
          <a:extLst>
            <a:ext uri="{FF2B5EF4-FFF2-40B4-BE49-F238E27FC236}">
              <a16:creationId xmlns:a16="http://schemas.microsoft.com/office/drawing/2014/main" id="{699AA5F7-3C68-8FD2-A922-C3515520DBA8}"/>
            </a:ext>
          </a:extLst>
        </xdr:cNvPr>
        <xdr:cNvSpPr>
          <a:spLocks noChangeShapeType="1"/>
        </xdr:cNvSpPr>
      </xdr:nvSpPr>
      <xdr:spPr bwMode="auto">
        <a:xfrm>
          <a:off x="1600200" y="330200"/>
          <a:ext cx="0" cy="1651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177800</xdr:colOff>
      <xdr:row>2</xdr:row>
      <xdr:rowOff>0</xdr:rowOff>
    </xdr:from>
    <xdr:to>
      <xdr:col>3</xdr:col>
      <xdr:colOff>215900</xdr:colOff>
      <xdr:row>2</xdr:row>
      <xdr:rowOff>0</xdr:rowOff>
    </xdr:to>
    <xdr:sp macro="" textlink="">
      <xdr:nvSpPr>
        <xdr:cNvPr id="55809" name="Line 5">
          <a:extLst>
            <a:ext uri="{FF2B5EF4-FFF2-40B4-BE49-F238E27FC236}">
              <a16:creationId xmlns:a16="http://schemas.microsoft.com/office/drawing/2014/main" id="{26D1017C-7D32-957D-0E09-27BFE984895F}"/>
            </a:ext>
          </a:extLst>
        </xdr:cNvPr>
        <xdr:cNvSpPr>
          <a:spLocks noChangeShapeType="1"/>
        </xdr:cNvSpPr>
      </xdr:nvSpPr>
      <xdr:spPr bwMode="auto">
        <a:xfrm>
          <a:off x="1143000" y="330200"/>
          <a:ext cx="4572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0</xdr:colOff>
      <xdr:row>3</xdr:row>
      <xdr:rowOff>0</xdr:rowOff>
    </xdr:from>
    <xdr:to>
      <xdr:col>2</xdr:col>
      <xdr:colOff>165100</xdr:colOff>
      <xdr:row>3</xdr:row>
      <xdr:rowOff>0</xdr:rowOff>
    </xdr:to>
    <xdr:sp macro="" textlink="">
      <xdr:nvSpPr>
        <xdr:cNvPr id="55810" name="Line 6">
          <a:extLst>
            <a:ext uri="{FF2B5EF4-FFF2-40B4-BE49-F238E27FC236}">
              <a16:creationId xmlns:a16="http://schemas.microsoft.com/office/drawing/2014/main" id="{3715A98F-8783-223C-686B-A4EB7F3922EF}"/>
            </a:ext>
          </a:extLst>
        </xdr:cNvPr>
        <xdr:cNvSpPr>
          <a:spLocks noChangeShapeType="1"/>
        </xdr:cNvSpPr>
      </xdr:nvSpPr>
      <xdr:spPr bwMode="auto">
        <a:xfrm flipH="1">
          <a:off x="965200" y="495300"/>
          <a:ext cx="1651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215900</xdr:colOff>
      <xdr:row>3</xdr:row>
      <xdr:rowOff>12700</xdr:rowOff>
    </xdr:from>
    <xdr:to>
      <xdr:col>3</xdr:col>
      <xdr:colOff>393700</xdr:colOff>
      <xdr:row>3</xdr:row>
      <xdr:rowOff>12700</xdr:rowOff>
    </xdr:to>
    <xdr:sp macro="" textlink="">
      <xdr:nvSpPr>
        <xdr:cNvPr id="55811" name="Line 7">
          <a:extLst>
            <a:ext uri="{FF2B5EF4-FFF2-40B4-BE49-F238E27FC236}">
              <a16:creationId xmlns:a16="http://schemas.microsoft.com/office/drawing/2014/main" id="{C78F84E5-C511-7894-618E-52F48202DFBA}"/>
            </a:ext>
          </a:extLst>
        </xdr:cNvPr>
        <xdr:cNvSpPr>
          <a:spLocks noChangeShapeType="1"/>
        </xdr:cNvSpPr>
      </xdr:nvSpPr>
      <xdr:spPr bwMode="auto">
        <a:xfrm>
          <a:off x="1600200" y="508000"/>
          <a:ext cx="1778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12700</xdr:colOff>
      <xdr:row>5</xdr:row>
      <xdr:rowOff>12700</xdr:rowOff>
    </xdr:from>
    <xdr:to>
      <xdr:col>3</xdr:col>
      <xdr:colOff>419100</xdr:colOff>
      <xdr:row>5</xdr:row>
      <xdr:rowOff>12700</xdr:rowOff>
    </xdr:to>
    <xdr:sp macro="" textlink="">
      <xdr:nvSpPr>
        <xdr:cNvPr id="55812" name="Line 8">
          <a:extLst>
            <a:ext uri="{FF2B5EF4-FFF2-40B4-BE49-F238E27FC236}">
              <a16:creationId xmlns:a16="http://schemas.microsoft.com/office/drawing/2014/main" id="{FF927E77-5CB5-7572-B406-5FD111B6E486}"/>
            </a:ext>
          </a:extLst>
        </xdr:cNvPr>
        <xdr:cNvSpPr>
          <a:spLocks noChangeShapeType="1"/>
        </xdr:cNvSpPr>
      </xdr:nvSpPr>
      <xdr:spPr bwMode="auto">
        <a:xfrm>
          <a:off x="977900" y="838200"/>
          <a:ext cx="8255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304800</xdr:colOff>
      <xdr:row>4</xdr:row>
      <xdr:rowOff>12700</xdr:rowOff>
    </xdr:from>
    <xdr:to>
      <xdr:col>5</xdr:col>
      <xdr:colOff>38100</xdr:colOff>
      <xdr:row>4</xdr:row>
      <xdr:rowOff>12700</xdr:rowOff>
    </xdr:to>
    <xdr:sp macro="" textlink="">
      <xdr:nvSpPr>
        <xdr:cNvPr id="55813" name="Line 9">
          <a:extLst>
            <a:ext uri="{FF2B5EF4-FFF2-40B4-BE49-F238E27FC236}">
              <a16:creationId xmlns:a16="http://schemas.microsoft.com/office/drawing/2014/main" id="{02AFCB03-B189-8DAF-153B-B17EE8D09159}"/>
            </a:ext>
          </a:extLst>
        </xdr:cNvPr>
        <xdr:cNvSpPr>
          <a:spLocks noChangeShapeType="1"/>
        </xdr:cNvSpPr>
      </xdr:nvSpPr>
      <xdr:spPr bwMode="auto">
        <a:xfrm>
          <a:off x="800100" y="673100"/>
          <a:ext cx="14605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304800</xdr:colOff>
      <xdr:row>2</xdr:row>
      <xdr:rowOff>0</xdr:rowOff>
    </xdr:from>
    <xdr:to>
      <xdr:col>5</xdr:col>
      <xdr:colOff>88900</xdr:colOff>
      <xdr:row>2</xdr:row>
      <xdr:rowOff>0</xdr:rowOff>
    </xdr:to>
    <xdr:sp macro="" textlink="">
      <xdr:nvSpPr>
        <xdr:cNvPr id="55814" name="Line 10">
          <a:extLst>
            <a:ext uri="{FF2B5EF4-FFF2-40B4-BE49-F238E27FC236}">
              <a16:creationId xmlns:a16="http://schemas.microsoft.com/office/drawing/2014/main" id="{E276472D-B735-7B4D-6D6A-4D675C36C5BE}"/>
            </a:ext>
          </a:extLst>
        </xdr:cNvPr>
        <xdr:cNvSpPr>
          <a:spLocks noChangeShapeType="1"/>
        </xdr:cNvSpPr>
      </xdr:nvSpPr>
      <xdr:spPr bwMode="auto">
        <a:xfrm>
          <a:off x="1689100" y="330200"/>
          <a:ext cx="6223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177800</xdr:colOff>
      <xdr:row>3</xdr:row>
      <xdr:rowOff>0</xdr:rowOff>
    </xdr:from>
    <xdr:to>
      <xdr:col>3</xdr:col>
      <xdr:colOff>0</xdr:colOff>
      <xdr:row>3</xdr:row>
      <xdr:rowOff>76200</xdr:rowOff>
    </xdr:to>
    <xdr:sp macro="" textlink="">
      <xdr:nvSpPr>
        <xdr:cNvPr id="55815" name="Line 11">
          <a:extLst>
            <a:ext uri="{FF2B5EF4-FFF2-40B4-BE49-F238E27FC236}">
              <a16:creationId xmlns:a16="http://schemas.microsoft.com/office/drawing/2014/main" id="{0E20E368-176D-2E62-E949-5328AE5ABEE4}"/>
            </a:ext>
          </a:extLst>
        </xdr:cNvPr>
        <xdr:cNvSpPr>
          <a:spLocks noChangeShapeType="1"/>
        </xdr:cNvSpPr>
      </xdr:nvSpPr>
      <xdr:spPr bwMode="auto">
        <a:xfrm>
          <a:off x="1143000" y="495300"/>
          <a:ext cx="241300" cy="76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381000</xdr:colOff>
      <xdr:row>3</xdr:row>
      <xdr:rowOff>0</xdr:rowOff>
    </xdr:from>
    <xdr:to>
      <xdr:col>3</xdr:col>
      <xdr:colOff>241300</xdr:colOff>
      <xdr:row>3</xdr:row>
      <xdr:rowOff>63500</xdr:rowOff>
    </xdr:to>
    <xdr:sp macro="" textlink="">
      <xdr:nvSpPr>
        <xdr:cNvPr id="55816" name="Line 12">
          <a:extLst>
            <a:ext uri="{FF2B5EF4-FFF2-40B4-BE49-F238E27FC236}">
              <a16:creationId xmlns:a16="http://schemas.microsoft.com/office/drawing/2014/main" id="{66416E30-DA00-207B-E589-BDC02F83187F}"/>
            </a:ext>
          </a:extLst>
        </xdr:cNvPr>
        <xdr:cNvSpPr>
          <a:spLocks noChangeShapeType="1"/>
        </xdr:cNvSpPr>
      </xdr:nvSpPr>
      <xdr:spPr bwMode="auto">
        <a:xfrm flipV="1">
          <a:off x="1346200" y="495300"/>
          <a:ext cx="279400" cy="635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1</xdr:row>
      <xdr:rowOff>0</xdr:rowOff>
    </xdr:from>
    <xdr:to>
      <xdr:col>3</xdr:col>
      <xdr:colOff>0</xdr:colOff>
      <xdr:row>7</xdr:row>
      <xdr:rowOff>63500</xdr:rowOff>
    </xdr:to>
    <xdr:sp macro="" textlink="">
      <xdr:nvSpPr>
        <xdr:cNvPr id="55817" name="Line 13">
          <a:extLst>
            <a:ext uri="{FF2B5EF4-FFF2-40B4-BE49-F238E27FC236}">
              <a16:creationId xmlns:a16="http://schemas.microsoft.com/office/drawing/2014/main" id="{4A166ABF-DD0A-53D1-92A7-4BB5247E835F}"/>
            </a:ext>
          </a:extLst>
        </xdr:cNvPr>
        <xdr:cNvSpPr>
          <a:spLocks noChangeShapeType="1"/>
        </xdr:cNvSpPr>
      </xdr:nvSpPr>
      <xdr:spPr bwMode="auto">
        <a:xfrm>
          <a:off x="1384300" y="165100"/>
          <a:ext cx="0" cy="10541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0</xdr:colOff>
      <xdr:row>5</xdr:row>
      <xdr:rowOff>76200</xdr:rowOff>
    </xdr:from>
    <xdr:to>
      <xdr:col>2</xdr:col>
      <xdr:colOff>0</xdr:colOff>
      <xdr:row>7</xdr:row>
      <xdr:rowOff>25400</xdr:rowOff>
    </xdr:to>
    <xdr:sp macro="" textlink="">
      <xdr:nvSpPr>
        <xdr:cNvPr id="55818" name="Line 14">
          <a:extLst>
            <a:ext uri="{FF2B5EF4-FFF2-40B4-BE49-F238E27FC236}">
              <a16:creationId xmlns:a16="http://schemas.microsoft.com/office/drawing/2014/main" id="{A5721FFB-DAF2-2D53-7322-33583FA88856}"/>
            </a:ext>
          </a:extLst>
        </xdr:cNvPr>
        <xdr:cNvSpPr>
          <a:spLocks noChangeShapeType="1"/>
        </xdr:cNvSpPr>
      </xdr:nvSpPr>
      <xdr:spPr bwMode="auto">
        <a:xfrm>
          <a:off x="965200" y="901700"/>
          <a:ext cx="0" cy="2794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12700</xdr:colOff>
      <xdr:row>5</xdr:row>
      <xdr:rowOff>63500</xdr:rowOff>
    </xdr:from>
    <xdr:to>
      <xdr:col>4</xdr:col>
      <xdr:colOff>12700</xdr:colOff>
      <xdr:row>7</xdr:row>
      <xdr:rowOff>12700</xdr:rowOff>
    </xdr:to>
    <xdr:sp macro="" textlink="">
      <xdr:nvSpPr>
        <xdr:cNvPr id="55819" name="Line 15">
          <a:extLst>
            <a:ext uri="{FF2B5EF4-FFF2-40B4-BE49-F238E27FC236}">
              <a16:creationId xmlns:a16="http://schemas.microsoft.com/office/drawing/2014/main" id="{815172B9-6F8B-AB9D-FC3A-9211E2C3706B}"/>
            </a:ext>
          </a:extLst>
        </xdr:cNvPr>
        <xdr:cNvSpPr>
          <a:spLocks noChangeShapeType="1"/>
        </xdr:cNvSpPr>
      </xdr:nvSpPr>
      <xdr:spPr bwMode="auto">
        <a:xfrm>
          <a:off x="1816100" y="889000"/>
          <a:ext cx="0" cy="2794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457200</xdr:colOff>
      <xdr:row>6</xdr:row>
      <xdr:rowOff>152400</xdr:rowOff>
    </xdr:from>
    <xdr:to>
      <xdr:col>3</xdr:col>
      <xdr:colOff>12700</xdr:colOff>
      <xdr:row>6</xdr:row>
      <xdr:rowOff>152400</xdr:rowOff>
    </xdr:to>
    <xdr:sp macro="" textlink="">
      <xdr:nvSpPr>
        <xdr:cNvPr id="55820" name="Line 16">
          <a:extLst>
            <a:ext uri="{FF2B5EF4-FFF2-40B4-BE49-F238E27FC236}">
              <a16:creationId xmlns:a16="http://schemas.microsoft.com/office/drawing/2014/main" id="{DA0589D8-0A28-9CDC-0DB2-31F097BF0252}"/>
            </a:ext>
          </a:extLst>
        </xdr:cNvPr>
        <xdr:cNvSpPr>
          <a:spLocks noChangeShapeType="1"/>
        </xdr:cNvSpPr>
      </xdr:nvSpPr>
      <xdr:spPr bwMode="auto">
        <a:xfrm>
          <a:off x="952500" y="1143000"/>
          <a:ext cx="4445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6</xdr:row>
      <xdr:rowOff>152400</xdr:rowOff>
    </xdr:from>
    <xdr:to>
      <xdr:col>4</xdr:col>
      <xdr:colOff>0</xdr:colOff>
      <xdr:row>6</xdr:row>
      <xdr:rowOff>152400</xdr:rowOff>
    </xdr:to>
    <xdr:sp macro="" textlink="">
      <xdr:nvSpPr>
        <xdr:cNvPr id="55821" name="Line 17">
          <a:extLst>
            <a:ext uri="{FF2B5EF4-FFF2-40B4-BE49-F238E27FC236}">
              <a16:creationId xmlns:a16="http://schemas.microsoft.com/office/drawing/2014/main" id="{4FCA59BF-1B89-5FB8-450F-52541B947D41}"/>
            </a:ext>
          </a:extLst>
        </xdr:cNvPr>
        <xdr:cNvSpPr>
          <a:spLocks noChangeShapeType="1"/>
        </xdr:cNvSpPr>
      </xdr:nvSpPr>
      <xdr:spPr bwMode="auto">
        <a:xfrm>
          <a:off x="1384300" y="1143000"/>
          <a:ext cx="4191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2</xdr:col>
      <xdr:colOff>81280</xdr:colOff>
      <xdr:row>5</xdr:row>
      <xdr:rowOff>135255</xdr:rowOff>
    </xdr:from>
    <xdr:ext cx="151441" cy="204736"/>
    <xdr:sp macro="" textlink="">
      <xdr:nvSpPr>
        <xdr:cNvPr id="18450" name="Text Box 18">
          <a:extLst>
            <a:ext uri="{FF2B5EF4-FFF2-40B4-BE49-F238E27FC236}">
              <a16:creationId xmlns:a16="http://schemas.microsoft.com/office/drawing/2014/main" id="{36BDC56F-D725-EF8C-5D29-3C327331A143}"/>
            </a:ext>
          </a:extLst>
        </xdr:cNvPr>
        <xdr:cNvSpPr txBox="1">
          <a:spLocks noChangeArrowheads="1"/>
        </xdr:cNvSpPr>
      </xdr:nvSpPr>
      <xdr:spPr bwMode="auto">
        <a:xfrm>
          <a:off x="937260" y="973455"/>
          <a:ext cx="138821" cy="204736"/>
        </a:xfrm>
        <a:prstGeom prst="rect">
          <a:avLst/>
        </a:prstGeom>
        <a:noFill/>
        <a:ln>
          <a:noFill/>
        </a:ln>
      </xdr:spPr>
      <xdr:txBody>
        <a:bodyPr wrap="none" lIns="27432" tIns="27432" rIns="0" bIns="0" anchor="t" upright="1">
          <a:spAutoFit/>
        </a:bodyPr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800080"/>
              </a:solidFill>
              <a:latin typeface="Arial"/>
              <a:cs typeface="Arial"/>
            </a:rPr>
            <a:t>C</a:t>
          </a:r>
        </a:p>
      </xdr:txBody>
    </xdr:sp>
    <xdr:clientData/>
  </xdr:oneCellAnchor>
  <xdr:oneCellAnchor>
    <xdr:from>
      <xdr:col>3</xdr:col>
      <xdr:colOff>115570</xdr:colOff>
      <xdr:row>5</xdr:row>
      <xdr:rowOff>110490</xdr:rowOff>
    </xdr:from>
    <xdr:ext cx="164061" cy="235029"/>
    <xdr:sp macro="" textlink="">
      <xdr:nvSpPr>
        <xdr:cNvPr id="18451" name="Text Box 19">
          <a:extLst>
            <a:ext uri="{FF2B5EF4-FFF2-40B4-BE49-F238E27FC236}">
              <a16:creationId xmlns:a16="http://schemas.microsoft.com/office/drawing/2014/main" id="{CEB49245-35EF-34DD-EC2F-931B6A06EC5C}"/>
            </a:ext>
          </a:extLst>
        </xdr:cNvPr>
        <xdr:cNvSpPr txBox="1">
          <a:spLocks noChangeArrowheads="1"/>
        </xdr:cNvSpPr>
      </xdr:nvSpPr>
      <xdr:spPr bwMode="auto">
        <a:xfrm>
          <a:off x="1354455" y="942975"/>
          <a:ext cx="138821" cy="204736"/>
        </a:xfrm>
        <a:prstGeom prst="rect">
          <a:avLst/>
        </a:prstGeom>
        <a:noFill/>
        <a:ln>
          <a:noFill/>
        </a:ln>
      </xdr:spPr>
      <xdr:txBody>
        <a:bodyPr wrap="none" lIns="27432" tIns="27432" rIns="0" bIns="0" anchor="t" upright="1">
          <a:spAutoFit/>
        </a:bodyPr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800080"/>
              </a:solidFill>
              <a:latin typeface="Arial"/>
              <a:cs typeface="Arial"/>
            </a:rPr>
            <a:t>C</a:t>
          </a:r>
        </a:p>
      </xdr:txBody>
    </xdr:sp>
    <xdr:clientData/>
  </xdr:oneCellAnchor>
  <xdr:twoCellAnchor>
    <xdr:from>
      <xdr:col>4</xdr:col>
      <xdr:colOff>431800</xdr:colOff>
      <xdr:row>2</xdr:row>
      <xdr:rowOff>12700</xdr:rowOff>
    </xdr:from>
    <xdr:to>
      <xdr:col>4</xdr:col>
      <xdr:colOff>431800</xdr:colOff>
      <xdr:row>3</xdr:row>
      <xdr:rowOff>152400</xdr:rowOff>
    </xdr:to>
    <xdr:sp macro="" textlink="">
      <xdr:nvSpPr>
        <xdr:cNvPr id="55824" name="Line 20">
          <a:extLst>
            <a:ext uri="{FF2B5EF4-FFF2-40B4-BE49-F238E27FC236}">
              <a16:creationId xmlns:a16="http://schemas.microsoft.com/office/drawing/2014/main" id="{D8846F8D-FAFE-D2EF-3AF3-88F2109BC972}"/>
            </a:ext>
          </a:extLst>
        </xdr:cNvPr>
        <xdr:cNvSpPr>
          <a:spLocks noChangeShapeType="1"/>
        </xdr:cNvSpPr>
      </xdr:nvSpPr>
      <xdr:spPr bwMode="auto">
        <a:xfrm>
          <a:off x="2222500" y="342900"/>
          <a:ext cx="0" cy="3048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5</xdr:col>
      <xdr:colOff>39370</xdr:colOff>
      <xdr:row>2</xdr:row>
      <xdr:rowOff>76200</xdr:rowOff>
    </xdr:from>
    <xdr:to>
      <xdr:col>5</xdr:col>
      <xdr:colOff>242570</xdr:colOff>
      <xdr:row>3</xdr:row>
      <xdr:rowOff>148336</xdr:rowOff>
    </xdr:to>
    <xdr:sp macro="" textlink="">
      <xdr:nvSpPr>
        <xdr:cNvPr id="18453" name="Text Box 21">
          <a:extLst>
            <a:ext uri="{FF2B5EF4-FFF2-40B4-BE49-F238E27FC236}">
              <a16:creationId xmlns:a16="http://schemas.microsoft.com/office/drawing/2014/main" id="{B8E07B6E-571E-DF36-273E-8CFFB6CF1A3A}"/>
            </a:ext>
          </a:extLst>
        </xdr:cNvPr>
        <xdr:cNvSpPr txBox="1">
          <a:spLocks noChangeArrowheads="1"/>
        </xdr:cNvSpPr>
      </xdr:nvSpPr>
      <xdr:spPr bwMode="auto">
        <a:xfrm>
          <a:off x="1981200" y="400050"/>
          <a:ext cx="190500" cy="228600"/>
        </a:xfrm>
        <a:prstGeom prst="rect">
          <a:avLst/>
        </a:prstGeom>
        <a:noFill/>
        <a:ln>
          <a:noFill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800080"/>
              </a:solidFill>
              <a:latin typeface="Arial"/>
              <a:cs typeface="Arial"/>
            </a:rPr>
            <a:t>C</a:t>
          </a: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oneCellAnchor>
    <xdr:from>
      <xdr:col>1</xdr:col>
      <xdr:colOff>429895</xdr:colOff>
      <xdr:row>7</xdr:row>
      <xdr:rowOff>68580</xdr:rowOff>
    </xdr:from>
    <xdr:ext cx="759567" cy="170560"/>
    <xdr:sp macro="" textlink="">
      <xdr:nvSpPr>
        <xdr:cNvPr id="18454" name="Text Box 22">
          <a:extLst>
            <a:ext uri="{FF2B5EF4-FFF2-40B4-BE49-F238E27FC236}">
              <a16:creationId xmlns:a16="http://schemas.microsoft.com/office/drawing/2014/main" id="{1CF70882-3D6D-36A2-3EBF-49100FFD9C12}"/>
            </a:ext>
          </a:extLst>
        </xdr:cNvPr>
        <xdr:cNvSpPr txBox="1">
          <a:spLocks noChangeArrowheads="1"/>
        </xdr:cNvSpPr>
      </xdr:nvSpPr>
      <xdr:spPr bwMode="auto">
        <a:xfrm>
          <a:off x="828675" y="1242060"/>
          <a:ext cx="759567" cy="170560"/>
        </a:xfrm>
        <a:prstGeom prst="rect">
          <a:avLst/>
        </a:prstGeom>
        <a:noFill/>
        <a:ln>
          <a:noFill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000" b="1" i="0" u="sng" strike="noStrike" baseline="0">
              <a:solidFill>
                <a:srgbClr val="FF0000"/>
              </a:solidFill>
              <a:latin typeface="Arial"/>
              <a:cs typeface="Arial"/>
            </a:rPr>
            <a:t>Straight Tee</a:t>
          </a:r>
        </a:p>
      </xdr:txBody>
    </xdr:sp>
    <xdr:clientData/>
  </xdr:oneCellAnchor>
  <xdr:twoCellAnchor>
    <xdr:from>
      <xdr:col>6</xdr:col>
      <xdr:colOff>12700</xdr:colOff>
      <xdr:row>5</xdr:row>
      <xdr:rowOff>12700</xdr:rowOff>
    </xdr:from>
    <xdr:to>
      <xdr:col>8</xdr:col>
      <xdr:colOff>0</xdr:colOff>
      <xdr:row>5</xdr:row>
      <xdr:rowOff>12700</xdr:rowOff>
    </xdr:to>
    <xdr:sp macro="" textlink="">
      <xdr:nvSpPr>
        <xdr:cNvPr id="55827" name="Line 23">
          <a:extLst>
            <a:ext uri="{FF2B5EF4-FFF2-40B4-BE49-F238E27FC236}">
              <a16:creationId xmlns:a16="http://schemas.microsoft.com/office/drawing/2014/main" id="{CFCEAE26-208A-EC58-30AB-F54243300D41}"/>
            </a:ext>
          </a:extLst>
        </xdr:cNvPr>
        <xdr:cNvSpPr>
          <a:spLocks noChangeShapeType="1"/>
        </xdr:cNvSpPr>
      </xdr:nvSpPr>
      <xdr:spPr bwMode="auto">
        <a:xfrm>
          <a:off x="2654300" y="838200"/>
          <a:ext cx="7747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368300</xdr:colOff>
      <xdr:row>3</xdr:row>
      <xdr:rowOff>12700</xdr:rowOff>
    </xdr:from>
    <xdr:to>
      <xdr:col>7</xdr:col>
      <xdr:colOff>368300</xdr:colOff>
      <xdr:row>5</xdr:row>
      <xdr:rowOff>38100</xdr:rowOff>
    </xdr:to>
    <xdr:sp macro="" textlink="">
      <xdr:nvSpPr>
        <xdr:cNvPr id="55828" name="Line 24">
          <a:extLst>
            <a:ext uri="{FF2B5EF4-FFF2-40B4-BE49-F238E27FC236}">
              <a16:creationId xmlns:a16="http://schemas.microsoft.com/office/drawing/2014/main" id="{5E8A9AF1-DCC1-C396-D5FA-610998C5EFEC}"/>
            </a:ext>
          </a:extLst>
        </xdr:cNvPr>
        <xdr:cNvSpPr>
          <a:spLocks noChangeShapeType="1"/>
        </xdr:cNvSpPr>
      </xdr:nvSpPr>
      <xdr:spPr bwMode="auto">
        <a:xfrm>
          <a:off x="3416300" y="508000"/>
          <a:ext cx="0" cy="3556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3</xdr:row>
      <xdr:rowOff>0</xdr:rowOff>
    </xdr:from>
    <xdr:to>
      <xdr:col>6</xdr:col>
      <xdr:colOff>0</xdr:colOff>
      <xdr:row>5</xdr:row>
      <xdr:rowOff>25400</xdr:rowOff>
    </xdr:to>
    <xdr:sp macro="" textlink="">
      <xdr:nvSpPr>
        <xdr:cNvPr id="55829" name="Line 25">
          <a:extLst>
            <a:ext uri="{FF2B5EF4-FFF2-40B4-BE49-F238E27FC236}">
              <a16:creationId xmlns:a16="http://schemas.microsoft.com/office/drawing/2014/main" id="{6510429D-AD92-C23B-FA14-8F4C392B97A6}"/>
            </a:ext>
          </a:extLst>
        </xdr:cNvPr>
        <xdr:cNvSpPr>
          <a:spLocks noChangeShapeType="1"/>
        </xdr:cNvSpPr>
      </xdr:nvSpPr>
      <xdr:spPr bwMode="auto">
        <a:xfrm>
          <a:off x="2641600" y="495300"/>
          <a:ext cx="0" cy="3556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266700</xdr:colOff>
      <xdr:row>2</xdr:row>
      <xdr:rowOff>0</xdr:rowOff>
    </xdr:from>
    <xdr:to>
      <xdr:col>7</xdr:col>
      <xdr:colOff>114300</xdr:colOff>
      <xdr:row>2</xdr:row>
      <xdr:rowOff>0</xdr:rowOff>
    </xdr:to>
    <xdr:sp macro="" textlink="">
      <xdr:nvSpPr>
        <xdr:cNvPr id="55830" name="Line 26">
          <a:extLst>
            <a:ext uri="{FF2B5EF4-FFF2-40B4-BE49-F238E27FC236}">
              <a16:creationId xmlns:a16="http://schemas.microsoft.com/office/drawing/2014/main" id="{F7F4B4BF-95D1-7A96-6053-6EAC98EDFA9F}"/>
            </a:ext>
          </a:extLst>
        </xdr:cNvPr>
        <xdr:cNvSpPr>
          <a:spLocks noChangeShapeType="1"/>
        </xdr:cNvSpPr>
      </xdr:nvSpPr>
      <xdr:spPr bwMode="auto">
        <a:xfrm>
          <a:off x="2908300" y="330200"/>
          <a:ext cx="2540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254000</xdr:colOff>
      <xdr:row>2</xdr:row>
      <xdr:rowOff>0</xdr:rowOff>
    </xdr:from>
    <xdr:to>
      <xdr:col>6</xdr:col>
      <xdr:colOff>254000</xdr:colOff>
      <xdr:row>3</xdr:row>
      <xdr:rowOff>0</xdr:rowOff>
    </xdr:to>
    <xdr:sp macro="" textlink="">
      <xdr:nvSpPr>
        <xdr:cNvPr id="55831" name="Line 27">
          <a:extLst>
            <a:ext uri="{FF2B5EF4-FFF2-40B4-BE49-F238E27FC236}">
              <a16:creationId xmlns:a16="http://schemas.microsoft.com/office/drawing/2014/main" id="{E49ECA2D-01D9-2F0A-3901-40D1E6AF72E0}"/>
            </a:ext>
          </a:extLst>
        </xdr:cNvPr>
        <xdr:cNvSpPr>
          <a:spLocks noChangeShapeType="1"/>
        </xdr:cNvSpPr>
      </xdr:nvSpPr>
      <xdr:spPr bwMode="auto">
        <a:xfrm>
          <a:off x="2895600" y="330200"/>
          <a:ext cx="0" cy="1651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127000</xdr:colOff>
      <xdr:row>2</xdr:row>
      <xdr:rowOff>0</xdr:rowOff>
    </xdr:from>
    <xdr:to>
      <xdr:col>7</xdr:col>
      <xdr:colOff>127000</xdr:colOff>
      <xdr:row>3</xdr:row>
      <xdr:rowOff>0</xdr:rowOff>
    </xdr:to>
    <xdr:sp macro="" textlink="">
      <xdr:nvSpPr>
        <xdr:cNvPr id="55832" name="Line 28">
          <a:extLst>
            <a:ext uri="{FF2B5EF4-FFF2-40B4-BE49-F238E27FC236}">
              <a16:creationId xmlns:a16="http://schemas.microsoft.com/office/drawing/2014/main" id="{8B98E6B4-0883-BBAC-8C6B-6EE1004C6955}"/>
            </a:ext>
          </a:extLst>
        </xdr:cNvPr>
        <xdr:cNvSpPr>
          <a:spLocks noChangeShapeType="1"/>
        </xdr:cNvSpPr>
      </xdr:nvSpPr>
      <xdr:spPr bwMode="auto">
        <a:xfrm>
          <a:off x="3175000" y="330200"/>
          <a:ext cx="0" cy="1651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3</xdr:row>
      <xdr:rowOff>12700</xdr:rowOff>
    </xdr:from>
    <xdr:to>
      <xdr:col>6</xdr:col>
      <xdr:colOff>254000</xdr:colOff>
      <xdr:row>3</xdr:row>
      <xdr:rowOff>12700</xdr:rowOff>
    </xdr:to>
    <xdr:sp macro="" textlink="">
      <xdr:nvSpPr>
        <xdr:cNvPr id="55833" name="Line 29">
          <a:extLst>
            <a:ext uri="{FF2B5EF4-FFF2-40B4-BE49-F238E27FC236}">
              <a16:creationId xmlns:a16="http://schemas.microsoft.com/office/drawing/2014/main" id="{2B7F2517-06C6-CE4E-8915-9B1CFA537713}"/>
            </a:ext>
          </a:extLst>
        </xdr:cNvPr>
        <xdr:cNvSpPr>
          <a:spLocks noChangeShapeType="1"/>
        </xdr:cNvSpPr>
      </xdr:nvSpPr>
      <xdr:spPr bwMode="auto">
        <a:xfrm flipH="1">
          <a:off x="2641600" y="508000"/>
          <a:ext cx="2540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127000</xdr:colOff>
      <xdr:row>3</xdr:row>
      <xdr:rowOff>12700</xdr:rowOff>
    </xdr:from>
    <xdr:to>
      <xdr:col>7</xdr:col>
      <xdr:colOff>342900</xdr:colOff>
      <xdr:row>3</xdr:row>
      <xdr:rowOff>12700</xdr:rowOff>
    </xdr:to>
    <xdr:sp macro="" textlink="">
      <xdr:nvSpPr>
        <xdr:cNvPr id="55834" name="Line 30">
          <a:extLst>
            <a:ext uri="{FF2B5EF4-FFF2-40B4-BE49-F238E27FC236}">
              <a16:creationId xmlns:a16="http://schemas.microsoft.com/office/drawing/2014/main" id="{AFCE3A6A-3FAF-37A7-7F25-AAD8E6F3529A}"/>
            </a:ext>
          </a:extLst>
        </xdr:cNvPr>
        <xdr:cNvSpPr>
          <a:spLocks noChangeShapeType="1"/>
        </xdr:cNvSpPr>
      </xdr:nvSpPr>
      <xdr:spPr bwMode="auto">
        <a:xfrm>
          <a:off x="3175000" y="508000"/>
          <a:ext cx="2159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406400</xdr:colOff>
      <xdr:row>1</xdr:row>
      <xdr:rowOff>63500</xdr:rowOff>
    </xdr:from>
    <xdr:to>
      <xdr:col>6</xdr:col>
      <xdr:colOff>406400</xdr:colOff>
      <xdr:row>7</xdr:row>
      <xdr:rowOff>139700</xdr:rowOff>
    </xdr:to>
    <xdr:sp macro="" textlink="">
      <xdr:nvSpPr>
        <xdr:cNvPr id="55835" name="Line 31">
          <a:extLst>
            <a:ext uri="{FF2B5EF4-FFF2-40B4-BE49-F238E27FC236}">
              <a16:creationId xmlns:a16="http://schemas.microsoft.com/office/drawing/2014/main" id="{D63EA6CD-30B3-0D09-98D1-36AA6FA10258}"/>
            </a:ext>
          </a:extLst>
        </xdr:cNvPr>
        <xdr:cNvSpPr>
          <a:spLocks noChangeShapeType="1"/>
        </xdr:cNvSpPr>
      </xdr:nvSpPr>
      <xdr:spPr bwMode="auto">
        <a:xfrm>
          <a:off x="3048000" y="228600"/>
          <a:ext cx="0" cy="10668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355600</xdr:colOff>
      <xdr:row>4</xdr:row>
      <xdr:rowOff>12700</xdr:rowOff>
    </xdr:from>
    <xdr:to>
      <xdr:col>9</xdr:col>
      <xdr:colOff>203200</xdr:colOff>
      <xdr:row>4</xdr:row>
      <xdr:rowOff>12700</xdr:rowOff>
    </xdr:to>
    <xdr:sp macro="" textlink="">
      <xdr:nvSpPr>
        <xdr:cNvPr id="55836" name="Line 32">
          <a:extLst>
            <a:ext uri="{FF2B5EF4-FFF2-40B4-BE49-F238E27FC236}">
              <a16:creationId xmlns:a16="http://schemas.microsoft.com/office/drawing/2014/main" id="{161FAB56-A8F1-8CA4-8DF5-262D21B34FEB}"/>
            </a:ext>
          </a:extLst>
        </xdr:cNvPr>
        <xdr:cNvSpPr>
          <a:spLocks noChangeShapeType="1"/>
        </xdr:cNvSpPr>
      </xdr:nvSpPr>
      <xdr:spPr bwMode="auto">
        <a:xfrm>
          <a:off x="2578100" y="673100"/>
          <a:ext cx="14732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241300</xdr:colOff>
      <xdr:row>2</xdr:row>
      <xdr:rowOff>12700</xdr:rowOff>
    </xdr:from>
    <xdr:to>
      <xdr:col>9</xdr:col>
      <xdr:colOff>88900</xdr:colOff>
      <xdr:row>2</xdr:row>
      <xdr:rowOff>12700</xdr:rowOff>
    </xdr:to>
    <xdr:sp macro="" textlink="">
      <xdr:nvSpPr>
        <xdr:cNvPr id="55837" name="Line 33">
          <a:extLst>
            <a:ext uri="{FF2B5EF4-FFF2-40B4-BE49-F238E27FC236}">
              <a16:creationId xmlns:a16="http://schemas.microsoft.com/office/drawing/2014/main" id="{E0A2BD91-5C02-B0B2-F4E7-E560708AA1F2}"/>
            </a:ext>
          </a:extLst>
        </xdr:cNvPr>
        <xdr:cNvSpPr>
          <a:spLocks noChangeShapeType="1"/>
        </xdr:cNvSpPr>
      </xdr:nvSpPr>
      <xdr:spPr bwMode="auto">
        <a:xfrm>
          <a:off x="3289300" y="342900"/>
          <a:ext cx="6477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406400</xdr:colOff>
      <xdr:row>2</xdr:row>
      <xdr:rowOff>12700</xdr:rowOff>
    </xdr:from>
    <xdr:to>
      <xdr:col>8</xdr:col>
      <xdr:colOff>406400</xdr:colOff>
      <xdr:row>4</xdr:row>
      <xdr:rowOff>0</xdr:rowOff>
    </xdr:to>
    <xdr:sp macro="" textlink="">
      <xdr:nvSpPr>
        <xdr:cNvPr id="55838" name="Line 34">
          <a:extLst>
            <a:ext uri="{FF2B5EF4-FFF2-40B4-BE49-F238E27FC236}">
              <a16:creationId xmlns:a16="http://schemas.microsoft.com/office/drawing/2014/main" id="{D0096846-327F-F5EB-89D3-A8AD6A215DF7}"/>
            </a:ext>
          </a:extLst>
        </xdr:cNvPr>
        <xdr:cNvSpPr>
          <a:spLocks noChangeShapeType="1"/>
        </xdr:cNvSpPr>
      </xdr:nvSpPr>
      <xdr:spPr bwMode="auto">
        <a:xfrm>
          <a:off x="3835400" y="342900"/>
          <a:ext cx="0" cy="3175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406400</xdr:colOff>
      <xdr:row>5</xdr:row>
      <xdr:rowOff>63500</xdr:rowOff>
    </xdr:from>
    <xdr:to>
      <xdr:col>5</xdr:col>
      <xdr:colOff>406400</xdr:colOff>
      <xdr:row>7</xdr:row>
      <xdr:rowOff>12700</xdr:rowOff>
    </xdr:to>
    <xdr:sp macro="" textlink="">
      <xdr:nvSpPr>
        <xdr:cNvPr id="55839" name="Line 35">
          <a:extLst>
            <a:ext uri="{FF2B5EF4-FFF2-40B4-BE49-F238E27FC236}">
              <a16:creationId xmlns:a16="http://schemas.microsoft.com/office/drawing/2014/main" id="{66D31A0C-1910-F6B0-4C6C-6AA1290043EC}"/>
            </a:ext>
          </a:extLst>
        </xdr:cNvPr>
        <xdr:cNvSpPr>
          <a:spLocks noChangeShapeType="1"/>
        </xdr:cNvSpPr>
      </xdr:nvSpPr>
      <xdr:spPr bwMode="auto">
        <a:xfrm>
          <a:off x="2628900" y="889000"/>
          <a:ext cx="0" cy="2794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368300</xdr:colOff>
      <xdr:row>5</xdr:row>
      <xdr:rowOff>76200</xdr:rowOff>
    </xdr:from>
    <xdr:to>
      <xdr:col>7</xdr:col>
      <xdr:colOff>368300</xdr:colOff>
      <xdr:row>7</xdr:row>
      <xdr:rowOff>25400</xdr:rowOff>
    </xdr:to>
    <xdr:sp macro="" textlink="">
      <xdr:nvSpPr>
        <xdr:cNvPr id="55840" name="Line 36">
          <a:extLst>
            <a:ext uri="{FF2B5EF4-FFF2-40B4-BE49-F238E27FC236}">
              <a16:creationId xmlns:a16="http://schemas.microsoft.com/office/drawing/2014/main" id="{3948C3E4-6665-3B19-F963-237F4545C6F1}"/>
            </a:ext>
          </a:extLst>
        </xdr:cNvPr>
        <xdr:cNvSpPr>
          <a:spLocks noChangeShapeType="1"/>
        </xdr:cNvSpPr>
      </xdr:nvSpPr>
      <xdr:spPr bwMode="auto">
        <a:xfrm>
          <a:off x="3416300" y="901700"/>
          <a:ext cx="0" cy="2794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406400</xdr:colOff>
      <xdr:row>6</xdr:row>
      <xdr:rowOff>152400</xdr:rowOff>
    </xdr:from>
    <xdr:to>
      <xdr:col>6</xdr:col>
      <xdr:colOff>393700</xdr:colOff>
      <xdr:row>6</xdr:row>
      <xdr:rowOff>152400</xdr:rowOff>
    </xdr:to>
    <xdr:sp macro="" textlink="">
      <xdr:nvSpPr>
        <xdr:cNvPr id="55841" name="Line 37">
          <a:extLst>
            <a:ext uri="{FF2B5EF4-FFF2-40B4-BE49-F238E27FC236}">
              <a16:creationId xmlns:a16="http://schemas.microsoft.com/office/drawing/2014/main" id="{FE0696AF-1C49-1B45-57A5-53C7B04470F7}"/>
            </a:ext>
          </a:extLst>
        </xdr:cNvPr>
        <xdr:cNvSpPr>
          <a:spLocks noChangeShapeType="1"/>
        </xdr:cNvSpPr>
      </xdr:nvSpPr>
      <xdr:spPr bwMode="auto">
        <a:xfrm>
          <a:off x="2628900" y="1143000"/>
          <a:ext cx="4064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6</xdr:row>
      <xdr:rowOff>152400</xdr:rowOff>
    </xdr:from>
    <xdr:to>
      <xdr:col>7</xdr:col>
      <xdr:colOff>368300</xdr:colOff>
      <xdr:row>6</xdr:row>
      <xdr:rowOff>152400</xdr:rowOff>
    </xdr:to>
    <xdr:sp macro="" textlink="">
      <xdr:nvSpPr>
        <xdr:cNvPr id="55842" name="Line 38">
          <a:extLst>
            <a:ext uri="{FF2B5EF4-FFF2-40B4-BE49-F238E27FC236}">
              <a16:creationId xmlns:a16="http://schemas.microsoft.com/office/drawing/2014/main" id="{6A18810A-E562-A2AF-576F-00A91AE9269D}"/>
            </a:ext>
          </a:extLst>
        </xdr:cNvPr>
        <xdr:cNvSpPr>
          <a:spLocks noChangeShapeType="1"/>
        </xdr:cNvSpPr>
      </xdr:nvSpPr>
      <xdr:spPr bwMode="auto">
        <a:xfrm>
          <a:off x="3048000" y="1143000"/>
          <a:ext cx="3683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6</xdr:col>
      <xdr:colOff>85090</xdr:colOff>
      <xdr:row>5</xdr:row>
      <xdr:rowOff>135255</xdr:rowOff>
    </xdr:from>
    <xdr:ext cx="160349" cy="235029"/>
    <xdr:sp macro="" textlink="">
      <xdr:nvSpPr>
        <xdr:cNvPr id="18471" name="Text Box 39">
          <a:extLst>
            <a:ext uri="{FF2B5EF4-FFF2-40B4-BE49-F238E27FC236}">
              <a16:creationId xmlns:a16="http://schemas.microsoft.com/office/drawing/2014/main" id="{EFE72E71-B52A-3D34-69FE-8104EC834346}"/>
            </a:ext>
          </a:extLst>
        </xdr:cNvPr>
        <xdr:cNvSpPr txBox="1">
          <a:spLocks noChangeArrowheads="1"/>
        </xdr:cNvSpPr>
      </xdr:nvSpPr>
      <xdr:spPr bwMode="auto">
        <a:xfrm>
          <a:off x="2451735" y="969645"/>
          <a:ext cx="138821" cy="204736"/>
        </a:xfrm>
        <a:prstGeom prst="rect">
          <a:avLst/>
        </a:prstGeom>
        <a:noFill/>
        <a:ln>
          <a:noFill/>
        </a:ln>
      </xdr:spPr>
      <xdr:txBody>
        <a:bodyPr wrap="none" lIns="27432" tIns="27432" rIns="0" bIns="0" anchor="t" upright="1">
          <a:spAutoFit/>
        </a:bodyPr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800080"/>
              </a:solidFill>
              <a:latin typeface="Arial"/>
              <a:cs typeface="Arial"/>
            </a:rPr>
            <a:t>C</a:t>
          </a:r>
        </a:p>
      </xdr:txBody>
    </xdr:sp>
    <xdr:clientData/>
  </xdr:oneCellAnchor>
  <xdr:oneCellAnchor>
    <xdr:from>
      <xdr:col>7</xdr:col>
      <xdr:colOff>115570</xdr:colOff>
      <xdr:row>5</xdr:row>
      <xdr:rowOff>135255</xdr:rowOff>
    </xdr:from>
    <xdr:ext cx="151441" cy="235029"/>
    <xdr:sp macro="" textlink="">
      <xdr:nvSpPr>
        <xdr:cNvPr id="18472" name="Text Box 40">
          <a:extLst>
            <a:ext uri="{FF2B5EF4-FFF2-40B4-BE49-F238E27FC236}">
              <a16:creationId xmlns:a16="http://schemas.microsoft.com/office/drawing/2014/main" id="{976D9D3F-304D-3AC8-875D-BE9B1C4724CA}"/>
            </a:ext>
          </a:extLst>
        </xdr:cNvPr>
        <xdr:cNvSpPr txBox="1">
          <a:spLocks noChangeArrowheads="1"/>
        </xdr:cNvSpPr>
      </xdr:nvSpPr>
      <xdr:spPr bwMode="auto">
        <a:xfrm>
          <a:off x="2855595" y="969645"/>
          <a:ext cx="138821" cy="204736"/>
        </a:xfrm>
        <a:prstGeom prst="rect">
          <a:avLst/>
        </a:prstGeom>
        <a:noFill/>
        <a:ln>
          <a:noFill/>
        </a:ln>
      </xdr:spPr>
      <xdr:txBody>
        <a:bodyPr wrap="none" lIns="27432" tIns="27432" rIns="0" bIns="0" anchor="t" upright="1">
          <a:spAutoFit/>
        </a:bodyPr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800080"/>
              </a:solidFill>
              <a:latin typeface="Arial"/>
              <a:cs typeface="Arial"/>
            </a:rPr>
            <a:t>C</a:t>
          </a:r>
        </a:p>
      </xdr:txBody>
    </xdr:sp>
    <xdr:clientData/>
  </xdr:oneCellAnchor>
  <xdr:twoCellAnchor editAs="oneCell">
    <xdr:from>
      <xdr:col>9</xdr:col>
      <xdr:colOff>38100</xdr:colOff>
      <xdr:row>2</xdr:row>
      <xdr:rowOff>83820</xdr:rowOff>
    </xdr:from>
    <xdr:to>
      <xdr:col>9</xdr:col>
      <xdr:colOff>250751</xdr:colOff>
      <xdr:row>3</xdr:row>
      <xdr:rowOff>148327</xdr:rowOff>
    </xdr:to>
    <xdr:sp macro="" textlink="">
      <xdr:nvSpPr>
        <xdr:cNvPr id="18473" name="Text Box 41">
          <a:extLst>
            <a:ext uri="{FF2B5EF4-FFF2-40B4-BE49-F238E27FC236}">
              <a16:creationId xmlns:a16="http://schemas.microsoft.com/office/drawing/2014/main" id="{56E26F5E-65B5-1D0A-8671-CF5C60118F56}"/>
            </a:ext>
          </a:extLst>
        </xdr:cNvPr>
        <xdr:cNvSpPr txBox="1">
          <a:spLocks noChangeArrowheads="1"/>
        </xdr:cNvSpPr>
      </xdr:nvSpPr>
      <xdr:spPr bwMode="auto">
        <a:xfrm>
          <a:off x="3419475" y="419100"/>
          <a:ext cx="209550" cy="209550"/>
        </a:xfrm>
        <a:prstGeom prst="rect">
          <a:avLst/>
        </a:prstGeom>
        <a:noFill/>
        <a:ln>
          <a:noFill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</xdr:txBody>
    </xdr:sp>
    <xdr:clientData/>
  </xdr:twoCellAnchor>
  <xdr:oneCellAnchor>
    <xdr:from>
      <xdr:col>5</xdr:col>
      <xdr:colOff>335280</xdr:colOff>
      <xdr:row>7</xdr:row>
      <xdr:rowOff>72390</xdr:rowOff>
    </xdr:from>
    <xdr:ext cx="859338" cy="170560"/>
    <xdr:sp macro="" textlink="">
      <xdr:nvSpPr>
        <xdr:cNvPr id="18474" name="Text Box 42">
          <a:extLst>
            <a:ext uri="{FF2B5EF4-FFF2-40B4-BE49-F238E27FC236}">
              <a16:creationId xmlns:a16="http://schemas.microsoft.com/office/drawing/2014/main" id="{768916FB-3D3D-840B-A3AE-C511167168F3}"/>
            </a:ext>
          </a:extLst>
        </xdr:cNvPr>
        <xdr:cNvSpPr txBox="1">
          <a:spLocks noChangeArrowheads="1"/>
        </xdr:cNvSpPr>
      </xdr:nvSpPr>
      <xdr:spPr bwMode="auto">
        <a:xfrm>
          <a:off x="2557780" y="1228090"/>
          <a:ext cx="859338" cy="170560"/>
        </a:xfrm>
        <a:prstGeom prst="rect">
          <a:avLst/>
        </a:prstGeom>
        <a:noFill/>
        <a:ln>
          <a:noFill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000" b="1" i="0" u="sng" strike="noStrike" baseline="0">
              <a:solidFill>
                <a:srgbClr val="FF0000"/>
              </a:solidFill>
              <a:latin typeface="Arial"/>
              <a:cs typeface="Arial"/>
            </a:rPr>
            <a:t>Reducing Tee</a:t>
          </a:r>
        </a:p>
      </xdr:txBody>
    </xdr:sp>
    <xdr:clientData/>
  </xdr:oneCellAnchor>
  <xdr:twoCellAnchor>
    <xdr:from>
      <xdr:col>6</xdr:col>
      <xdr:colOff>254000</xdr:colOff>
      <xdr:row>3</xdr:row>
      <xdr:rowOff>12700</xdr:rowOff>
    </xdr:from>
    <xdr:to>
      <xdr:col>6</xdr:col>
      <xdr:colOff>393700</xdr:colOff>
      <xdr:row>3</xdr:row>
      <xdr:rowOff>114300</xdr:rowOff>
    </xdr:to>
    <xdr:sp macro="" textlink="">
      <xdr:nvSpPr>
        <xdr:cNvPr id="55847" name="Line 43">
          <a:extLst>
            <a:ext uri="{FF2B5EF4-FFF2-40B4-BE49-F238E27FC236}">
              <a16:creationId xmlns:a16="http://schemas.microsoft.com/office/drawing/2014/main" id="{5B19B9FD-21CB-FDB9-B002-B3405124F33A}"/>
            </a:ext>
          </a:extLst>
        </xdr:cNvPr>
        <xdr:cNvSpPr>
          <a:spLocks noChangeShapeType="1"/>
        </xdr:cNvSpPr>
      </xdr:nvSpPr>
      <xdr:spPr bwMode="auto">
        <a:xfrm>
          <a:off x="2895600" y="508000"/>
          <a:ext cx="139700" cy="1016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406400</xdr:colOff>
      <xdr:row>3</xdr:row>
      <xdr:rowOff>12700</xdr:rowOff>
    </xdr:from>
    <xdr:to>
      <xdr:col>7</xdr:col>
      <xdr:colOff>101600</xdr:colOff>
      <xdr:row>3</xdr:row>
      <xdr:rowOff>101600</xdr:rowOff>
    </xdr:to>
    <xdr:sp macro="" textlink="">
      <xdr:nvSpPr>
        <xdr:cNvPr id="55848" name="Line 44">
          <a:extLst>
            <a:ext uri="{FF2B5EF4-FFF2-40B4-BE49-F238E27FC236}">
              <a16:creationId xmlns:a16="http://schemas.microsoft.com/office/drawing/2014/main" id="{21DCFC0E-ED8A-1D3E-0B6C-6DDD9317707D}"/>
            </a:ext>
          </a:extLst>
        </xdr:cNvPr>
        <xdr:cNvSpPr>
          <a:spLocks noChangeShapeType="1"/>
        </xdr:cNvSpPr>
      </xdr:nvSpPr>
      <xdr:spPr bwMode="auto">
        <a:xfrm flipH="1">
          <a:off x="3048000" y="508000"/>
          <a:ext cx="101600" cy="889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457200</xdr:colOff>
      <xdr:row>2</xdr:row>
      <xdr:rowOff>12700</xdr:rowOff>
    </xdr:from>
    <xdr:to>
      <xdr:col>11</xdr:col>
      <xdr:colOff>431800</xdr:colOff>
      <xdr:row>2</xdr:row>
      <xdr:rowOff>12700</xdr:rowOff>
    </xdr:to>
    <xdr:sp macro="" textlink="">
      <xdr:nvSpPr>
        <xdr:cNvPr id="55849" name="Line 45">
          <a:extLst>
            <a:ext uri="{FF2B5EF4-FFF2-40B4-BE49-F238E27FC236}">
              <a16:creationId xmlns:a16="http://schemas.microsoft.com/office/drawing/2014/main" id="{CBE20927-715A-F454-E3B8-684F9B14B7EB}"/>
            </a:ext>
          </a:extLst>
        </xdr:cNvPr>
        <xdr:cNvSpPr>
          <a:spLocks noChangeShapeType="1"/>
        </xdr:cNvSpPr>
      </xdr:nvSpPr>
      <xdr:spPr bwMode="auto">
        <a:xfrm>
          <a:off x="4787900" y="342900"/>
          <a:ext cx="4318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2</xdr:row>
      <xdr:rowOff>25400</xdr:rowOff>
    </xdr:from>
    <xdr:to>
      <xdr:col>11</xdr:col>
      <xdr:colOff>0</xdr:colOff>
      <xdr:row>2</xdr:row>
      <xdr:rowOff>165100</xdr:rowOff>
    </xdr:to>
    <xdr:sp macro="" textlink="">
      <xdr:nvSpPr>
        <xdr:cNvPr id="55850" name="Line 46">
          <a:extLst>
            <a:ext uri="{FF2B5EF4-FFF2-40B4-BE49-F238E27FC236}">
              <a16:creationId xmlns:a16="http://schemas.microsoft.com/office/drawing/2014/main" id="{2066D18D-2F2A-1A92-B51D-2C808CC652FC}"/>
            </a:ext>
          </a:extLst>
        </xdr:cNvPr>
        <xdr:cNvSpPr>
          <a:spLocks noChangeShapeType="1"/>
        </xdr:cNvSpPr>
      </xdr:nvSpPr>
      <xdr:spPr bwMode="auto">
        <a:xfrm>
          <a:off x="4787900" y="355600"/>
          <a:ext cx="0" cy="1397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12700</xdr:colOff>
      <xdr:row>2</xdr:row>
      <xdr:rowOff>12700</xdr:rowOff>
    </xdr:from>
    <xdr:to>
      <xdr:col>12</xdr:col>
      <xdr:colOff>12700</xdr:colOff>
      <xdr:row>2</xdr:row>
      <xdr:rowOff>152400</xdr:rowOff>
    </xdr:to>
    <xdr:sp macro="" textlink="">
      <xdr:nvSpPr>
        <xdr:cNvPr id="55851" name="Line 47">
          <a:extLst>
            <a:ext uri="{FF2B5EF4-FFF2-40B4-BE49-F238E27FC236}">
              <a16:creationId xmlns:a16="http://schemas.microsoft.com/office/drawing/2014/main" id="{B808C849-6B80-0B26-866E-C2F9C451586C}"/>
            </a:ext>
          </a:extLst>
        </xdr:cNvPr>
        <xdr:cNvSpPr>
          <a:spLocks noChangeShapeType="1"/>
        </xdr:cNvSpPr>
      </xdr:nvSpPr>
      <xdr:spPr bwMode="auto">
        <a:xfrm>
          <a:off x="5232400" y="342900"/>
          <a:ext cx="0" cy="1397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355600</xdr:colOff>
      <xdr:row>5</xdr:row>
      <xdr:rowOff>0</xdr:rowOff>
    </xdr:from>
    <xdr:to>
      <xdr:col>12</xdr:col>
      <xdr:colOff>114300</xdr:colOff>
      <xdr:row>5</xdr:row>
      <xdr:rowOff>0</xdr:rowOff>
    </xdr:to>
    <xdr:sp macro="" textlink="">
      <xdr:nvSpPr>
        <xdr:cNvPr id="55852" name="Line 48">
          <a:extLst>
            <a:ext uri="{FF2B5EF4-FFF2-40B4-BE49-F238E27FC236}">
              <a16:creationId xmlns:a16="http://schemas.microsoft.com/office/drawing/2014/main" id="{77E25636-53AC-BF94-0318-1AA1E7B87306}"/>
            </a:ext>
          </a:extLst>
        </xdr:cNvPr>
        <xdr:cNvSpPr>
          <a:spLocks noChangeShapeType="1"/>
        </xdr:cNvSpPr>
      </xdr:nvSpPr>
      <xdr:spPr bwMode="auto">
        <a:xfrm>
          <a:off x="4699000" y="825500"/>
          <a:ext cx="6350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355600</xdr:colOff>
      <xdr:row>4</xdr:row>
      <xdr:rowOff>12700</xdr:rowOff>
    </xdr:from>
    <xdr:to>
      <xdr:col>10</xdr:col>
      <xdr:colOff>355600</xdr:colOff>
      <xdr:row>5</xdr:row>
      <xdr:rowOff>0</xdr:rowOff>
    </xdr:to>
    <xdr:sp macro="" textlink="">
      <xdr:nvSpPr>
        <xdr:cNvPr id="55853" name="Line 49">
          <a:extLst>
            <a:ext uri="{FF2B5EF4-FFF2-40B4-BE49-F238E27FC236}">
              <a16:creationId xmlns:a16="http://schemas.microsoft.com/office/drawing/2014/main" id="{2BCD7072-4183-AA52-3896-B433F1AC18EC}"/>
            </a:ext>
          </a:extLst>
        </xdr:cNvPr>
        <xdr:cNvSpPr>
          <a:spLocks noChangeShapeType="1"/>
        </xdr:cNvSpPr>
      </xdr:nvSpPr>
      <xdr:spPr bwMode="auto">
        <a:xfrm flipV="1">
          <a:off x="4699000" y="673100"/>
          <a:ext cx="0" cy="1524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101600</xdr:colOff>
      <xdr:row>4</xdr:row>
      <xdr:rowOff>12700</xdr:rowOff>
    </xdr:from>
    <xdr:to>
      <xdr:col>12</xdr:col>
      <xdr:colOff>101600</xdr:colOff>
      <xdr:row>5</xdr:row>
      <xdr:rowOff>0</xdr:rowOff>
    </xdr:to>
    <xdr:sp macro="" textlink="">
      <xdr:nvSpPr>
        <xdr:cNvPr id="55854" name="Line 50">
          <a:extLst>
            <a:ext uri="{FF2B5EF4-FFF2-40B4-BE49-F238E27FC236}">
              <a16:creationId xmlns:a16="http://schemas.microsoft.com/office/drawing/2014/main" id="{DE1531E8-C532-530A-06C7-D9C25808F583}"/>
            </a:ext>
          </a:extLst>
        </xdr:cNvPr>
        <xdr:cNvSpPr>
          <a:spLocks noChangeShapeType="1"/>
        </xdr:cNvSpPr>
      </xdr:nvSpPr>
      <xdr:spPr bwMode="auto">
        <a:xfrm flipV="1">
          <a:off x="5321300" y="673100"/>
          <a:ext cx="0" cy="1524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330200</xdr:colOff>
      <xdr:row>2</xdr:row>
      <xdr:rowOff>139700</xdr:rowOff>
    </xdr:from>
    <xdr:to>
      <xdr:col>10</xdr:col>
      <xdr:colOff>457200</xdr:colOff>
      <xdr:row>4</xdr:row>
      <xdr:rowOff>25400</xdr:rowOff>
    </xdr:to>
    <xdr:sp macro="" textlink="">
      <xdr:nvSpPr>
        <xdr:cNvPr id="55855" name="Line 51">
          <a:extLst>
            <a:ext uri="{FF2B5EF4-FFF2-40B4-BE49-F238E27FC236}">
              <a16:creationId xmlns:a16="http://schemas.microsoft.com/office/drawing/2014/main" id="{3FAAE443-CA0B-CCD4-D88D-FAE78226025C}"/>
            </a:ext>
          </a:extLst>
        </xdr:cNvPr>
        <xdr:cNvSpPr>
          <a:spLocks noChangeShapeType="1"/>
        </xdr:cNvSpPr>
      </xdr:nvSpPr>
      <xdr:spPr bwMode="auto">
        <a:xfrm flipV="1">
          <a:off x="4673600" y="469900"/>
          <a:ext cx="114300" cy="2159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12700</xdr:colOff>
      <xdr:row>2</xdr:row>
      <xdr:rowOff>114300</xdr:rowOff>
    </xdr:from>
    <xdr:to>
      <xdr:col>12</xdr:col>
      <xdr:colOff>101600</xdr:colOff>
      <xdr:row>4</xdr:row>
      <xdr:rowOff>12700</xdr:rowOff>
    </xdr:to>
    <xdr:sp macro="" textlink="">
      <xdr:nvSpPr>
        <xdr:cNvPr id="55856" name="Line 52">
          <a:extLst>
            <a:ext uri="{FF2B5EF4-FFF2-40B4-BE49-F238E27FC236}">
              <a16:creationId xmlns:a16="http://schemas.microsoft.com/office/drawing/2014/main" id="{FF03D9F7-7306-B9D0-1C7E-3B44F75AFF11}"/>
            </a:ext>
          </a:extLst>
        </xdr:cNvPr>
        <xdr:cNvSpPr>
          <a:spLocks noChangeShapeType="1"/>
        </xdr:cNvSpPr>
      </xdr:nvSpPr>
      <xdr:spPr bwMode="auto">
        <a:xfrm>
          <a:off x="5232400" y="444500"/>
          <a:ext cx="88900" cy="2286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228600</xdr:colOff>
      <xdr:row>1</xdr:row>
      <xdr:rowOff>12700</xdr:rowOff>
    </xdr:from>
    <xdr:to>
      <xdr:col>11</xdr:col>
      <xdr:colOff>228600</xdr:colOff>
      <xdr:row>6</xdr:row>
      <xdr:rowOff>38100</xdr:rowOff>
    </xdr:to>
    <xdr:sp macro="" textlink="">
      <xdr:nvSpPr>
        <xdr:cNvPr id="55857" name="Line 53">
          <a:extLst>
            <a:ext uri="{FF2B5EF4-FFF2-40B4-BE49-F238E27FC236}">
              <a16:creationId xmlns:a16="http://schemas.microsoft.com/office/drawing/2014/main" id="{09F36B27-5873-272D-C9B4-F571E12A0D43}"/>
            </a:ext>
          </a:extLst>
        </xdr:cNvPr>
        <xdr:cNvSpPr>
          <a:spLocks noChangeShapeType="1"/>
        </xdr:cNvSpPr>
      </xdr:nvSpPr>
      <xdr:spPr bwMode="auto">
        <a:xfrm>
          <a:off x="5016500" y="177800"/>
          <a:ext cx="0" cy="8509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88900</xdr:colOff>
      <xdr:row>2</xdr:row>
      <xdr:rowOff>25400</xdr:rowOff>
    </xdr:from>
    <xdr:to>
      <xdr:col>13</xdr:col>
      <xdr:colOff>228600</xdr:colOff>
      <xdr:row>2</xdr:row>
      <xdr:rowOff>25400</xdr:rowOff>
    </xdr:to>
    <xdr:sp macro="" textlink="">
      <xdr:nvSpPr>
        <xdr:cNvPr id="55858" name="Line 54">
          <a:extLst>
            <a:ext uri="{FF2B5EF4-FFF2-40B4-BE49-F238E27FC236}">
              <a16:creationId xmlns:a16="http://schemas.microsoft.com/office/drawing/2014/main" id="{F97E985E-8A7F-3865-802F-201E176BFE46}"/>
            </a:ext>
          </a:extLst>
        </xdr:cNvPr>
        <xdr:cNvSpPr>
          <a:spLocks noChangeShapeType="1"/>
        </xdr:cNvSpPr>
      </xdr:nvSpPr>
      <xdr:spPr bwMode="auto">
        <a:xfrm>
          <a:off x="5308600" y="355600"/>
          <a:ext cx="6477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165100</xdr:colOff>
      <xdr:row>5</xdr:row>
      <xdr:rowOff>0</xdr:rowOff>
    </xdr:from>
    <xdr:to>
      <xdr:col>13</xdr:col>
      <xdr:colOff>215900</xdr:colOff>
      <xdr:row>5</xdr:row>
      <xdr:rowOff>0</xdr:rowOff>
    </xdr:to>
    <xdr:sp macro="" textlink="">
      <xdr:nvSpPr>
        <xdr:cNvPr id="55859" name="Line 55">
          <a:extLst>
            <a:ext uri="{FF2B5EF4-FFF2-40B4-BE49-F238E27FC236}">
              <a16:creationId xmlns:a16="http://schemas.microsoft.com/office/drawing/2014/main" id="{9546B029-499B-189B-E839-511F7095EBDA}"/>
            </a:ext>
          </a:extLst>
        </xdr:cNvPr>
        <xdr:cNvSpPr>
          <a:spLocks noChangeShapeType="1"/>
        </xdr:cNvSpPr>
      </xdr:nvSpPr>
      <xdr:spPr bwMode="auto">
        <a:xfrm flipV="1">
          <a:off x="5384800" y="825500"/>
          <a:ext cx="5588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139700</xdr:colOff>
      <xdr:row>2</xdr:row>
      <xdr:rowOff>12700</xdr:rowOff>
    </xdr:from>
    <xdr:to>
      <xdr:col>13</xdr:col>
      <xdr:colOff>139700</xdr:colOff>
      <xdr:row>5</xdr:row>
      <xdr:rowOff>12700</xdr:rowOff>
    </xdr:to>
    <xdr:sp macro="" textlink="">
      <xdr:nvSpPr>
        <xdr:cNvPr id="55860" name="Line 56">
          <a:extLst>
            <a:ext uri="{FF2B5EF4-FFF2-40B4-BE49-F238E27FC236}">
              <a16:creationId xmlns:a16="http://schemas.microsoft.com/office/drawing/2014/main" id="{022B8E7B-0820-9E43-573C-D979FC9AEFDA}"/>
            </a:ext>
          </a:extLst>
        </xdr:cNvPr>
        <xdr:cNvSpPr>
          <a:spLocks noChangeShapeType="1"/>
        </xdr:cNvSpPr>
      </xdr:nvSpPr>
      <xdr:spPr bwMode="auto">
        <a:xfrm>
          <a:off x="5867400" y="342900"/>
          <a:ext cx="0" cy="4953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13</xdr:col>
      <xdr:colOff>163195</xdr:colOff>
      <xdr:row>3</xdr:row>
      <xdr:rowOff>15240</xdr:rowOff>
    </xdr:from>
    <xdr:ext cx="151441" cy="227484"/>
    <xdr:sp macro="" textlink="">
      <xdr:nvSpPr>
        <xdr:cNvPr id="18489" name="Text Box 57">
          <a:extLst>
            <a:ext uri="{FF2B5EF4-FFF2-40B4-BE49-F238E27FC236}">
              <a16:creationId xmlns:a16="http://schemas.microsoft.com/office/drawing/2014/main" id="{93F8691D-5118-20A4-4ADE-DF2DE28B4A23}"/>
            </a:ext>
          </a:extLst>
        </xdr:cNvPr>
        <xdr:cNvSpPr txBox="1">
          <a:spLocks noChangeArrowheads="1"/>
        </xdr:cNvSpPr>
      </xdr:nvSpPr>
      <xdr:spPr bwMode="auto">
        <a:xfrm>
          <a:off x="5282565" y="529590"/>
          <a:ext cx="138821" cy="204736"/>
        </a:xfrm>
        <a:prstGeom prst="rect">
          <a:avLst/>
        </a:prstGeom>
        <a:noFill/>
        <a:ln>
          <a:noFill/>
        </a:ln>
      </xdr:spPr>
      <xdr:txBody>
        <a:bodyPr wrap="none" lIns="27432" tIns="27432" rIns="0" bIns="0" anchor="t" upright="1">
          <a:spAutoFit/>
        </a:bodyPr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FF00FF"/>
              </a:solidFill>
              <a:latin typeface="Arial"/>
              <a:cs typeface="Arial"/>
            </a:rPr>
            <a:t>H</a:t>
          </a:r>
        </a:p>
      </xdr:txBody>
    </xdr:sp>
    <xdr:clientData/>
  </xdr:oneCellAnchor>
  <xdr:twoCellAnchor>
    <xdr:from>
      <xdr:col>15</xdr:col>
      <xdr:colOff>12700</xdr:colOff>
      <xdr:row>5</xdr:row>
      <xdr:rowOff>0</xdr:rowOff>
    </xdr:from>
    <xdr:to>
      <xdr:col>16</xdr:col>
      <xdr:colOff>177800</xdr:colOff>
      <xdr:row>5</xdr:row>
      <xdr:rowOff>0</xdr:rowOff>
    </xdr:to>
    <xdr:sp macro="" textlink="">
      <xdr:nvSpPr>
        <xdr:cNvPr id="55862" name="Line 58">
          <a:extLst>
            <a:ext uri="{FF2B5EF4-FFF2-40B4-BE49-F238E27FC236}">
              <a16:creationId xmlns:a16="http://schemas.microsoft.com/office/drawing/2014/main" id="{F78BF97C-6204-773C-0808-5195AE94474A}"/>
            </a:ext>
          </a:extLst>
        </xdr:cNvPr>
        <xdr:cNvSpPr>
          <a:spLocks noChangeShapeType="1"/>
        </xdr:cNvSpPr>
      </xdr:nvSpPr>
      <xdr:spPr bwMode="auto">
        <a:xfrm>
          <a:off x="6654800" y="825500"/>
          <a:ext cx="7239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2</xdr:row>
      <xdr:rowOff>12700</xdr:rowOff>
    </xdr:from>
    <xdr:to>
      <xdr:col>15</xdr:col>
      <xdr:colOff>457200</xdr:colOff>
      <xdr:row>2</xdr:row>
      <xdr:rowOff>12700</xdr:rowOff>
    </xdr:to>
    <xdr:sp macro="" textlink="">
      <xdr:nvSpPr>
        <xdr:cNvPr id="55863" name="Line 59">
          <a:extLst>
            <a:ext uri="{FF2B5EF4-FFF2-40B4-BE49-F238E27FC236}">
              <a16:creationId xmlns:a16="http://schemas.microsoft.com/office/drawing/2014/main" id="{E2FFBF88-BEB0-08C3-433F-FB31FD0D88B3}"/>
            </a:ext>
          </a:extLst>
        </xdr:cNvPr>
        <xdr:cNvSpPr>
          <a:spLocks noChangeShapeType="1"/>
        </xdr:cNvSpPr>
      </xdr:nvSpPr>
      <xdr:spPr bwMode="auto">
        <a:xfrm>
          <a:off x="6642100" y="342900"/>
          <a:ext cx="4572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139700</xdr:colOff>
      <xdr:row>4</xdr:row>
      <xdr:rowOff>12700</xdr:rowOff>
    </xdr:from>
    <xdr:to>
      <xdr:col>16</xdr:col>
      <xdr:colOff>139700</xdr:colOff>
      <xdr:row>4</xdr:row>
      <xdr:rowOff>152400</xdr:rowOff>
    </xdr:to>
    <xdr:sp macro="" textlink="">
      <xdr:nvSpPr>
        <xdr:cNvPr id="55864" name="Line 60">
          <a:extLst>
            <a:ext uri="{FF2B5EF4-FFF2-40B4-BE49-F238E27FC236}">
              <a16:creationId xmlns:a16="http://schemas.microsoft.com/office/drawing/2014/main" id="{0EA55A1F-3BD6-1D65-4D58-F35D09E8EA58}"/>
            </a:ext>
          </a:extLst>
        </xdr:cNvPr>
        <xdr:cNvSpPr>
          <a:spLocks noChangeShapeType="1"/>
        </xdr:cNvSpPr>
      </xdr:nvSpPr>
      <xdr:spPr bwMode="auto">
        <a:xfrm flipV="1">
          <a:off x="7340600" y="673100"/>
          <a:ext cx="0" cy="1397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2</xdr:row>
      <xdr:rowOff>12700</xdr:rowOff>
    </xdr:from>
    <xdr:to>
      <xdr:col>15</xdr:col>
      <xdr:colOff>0</xdr:colOff>
      <xdr:row>5</xdr:row>
      <xdr:rowOff>12700</xdr:rowOff>
    </xdr:to>
    <xdr:sp macro="" textlink="">
      <xdr:nvSpPr>
        <xdr:cNvPr id="55865" name="Line 61">
          <a:extLst>
            <a:ext uri="{FF2B5EF4-FFF2-40B4-BE49-F238E27FC236}">
              <a16:creationId xmlns:a16="http://schemas.microsoft.com/office/drawing/2014/main" id="{C6409A69-D9B4-2C8C-97C8-6DE068846906}"/>
            </a:ext>
          </a:extLst>
        </xdr:cNvPr>
        <xdr:cNvSpPr>
          <a:spLocks noChangeShapeType="1"/>
        </xdr:cNvSpPr>
      </xdr:nvSpPr>
      <xdr:spPr bwMode="auto">
        <a:xfrm>
          <a:off x="6642100" y="342900"/>
          <a:ext cx="0" cy="4953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419100</xdr:colOff>
      <xdr:row>2</xdr:row>
      <xdr:rowOff>25400</xdr:rowOff>
    </xdr:from>
    <xdr:to>
      <xdr:col>15</xdr:col>
      <xdr:colOff>419100</xdr:colOff>
      <xdr:row>2</xdr:row>
      <xdr:rowOff>165100</xdr:rowOff>
    </xdr:to>
    <xdr:sp macro="" textlink="">
      <xdr:nvSpPr>
        <xdr:cNvPr id="55866" name="Line 62">
          <a:extLst>
            <a:ext uri="{FF2B5EF4-FFF2-40B4-BE49-F238E27FC236}">
              <a16:creationId xmlns:a16="http://schemas.microsoft.com/office/drawing/2014/main" id="{F8919EE5-C7F5-988D-DC63-C12EB1C2E5AE}"/>
            </a:ext>
          </a:extLst>
        </xdr:cNvPr>
        <xdr:cNvSpPr>
          <a:spLocks noChangeShapeType="1"/>
        </xdr:cNvSpPr>
      </xdr:nvSpPr>
      <xdr:spPr bwMode="auto">
        <a:xfrm>
          <a:off x="7061200" y="355600"/>
          <a:ext cx="0" cy="1397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419100</xdr:colOff>
      <xdr:row>2</xdr:row>
      <xdr:rowOff>139700</xdr:rowOff>
    </xdr:from>
    <xdr:to>
      <xdr:col>16</xdr:col>
      <xdr:colOff>139700</xdr:colOff>
      <xdr:row>4</xdr:row>
      <xdr:rowOff>12700</xdr:rowOff>
    </xdr:to>
    <xdr:sp macro="" textlink="">
      <xdr:nvSpPr>
        <xdr:cNvPr id="55867" name="Line 63">
          <a:extLst>
            <a:ext uri="{FF2B5EF4-FFF2-40B4-BE49-F238E27FC236}">
              <a16:creationId xmlns:a16="http://schemas.microsoft.com/office/drawing/2014/main" id="{95CB880D-7D52-604A-5907-6BACEE6EAC70}"/>
            </a:ext>
          </a:extLst>
        </xdr:cNvPr>
        <xdr:cNvSpPr>
          <a:spLocks noChangeShapeType="1"/>
        </xdr:cNvSpPr>
      </xdr:nvSpPr>
      <xdr:spPr bwMode="auto">
        <a:xfrm>
          <a:off x="7061200" y="469900"/>
          <a:ext cx="279400" cy="2032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215900</xdr:colOff>
      <xdr:row>0</xdr:row>
      <xdr:rowOff>152400</xdr:rowOff>
    </xdr:from>
    <xdr:to>
      <xdr:col>15</xdr:col>
      <xdr:colOff>215900</xdr:colOff>
      <xdr:row>2</xdr:row>
      <xdr:rowOff>139700</xdr:rowOff>
    </xdr:to>
    <xdr:sp macro="" textlink="">
      <xdr:nvSpPr>
        <xdr:cNvPr id="55868" name="Line 64">
          <a:extLst>
            <a:ext uri="{FF2B5EF4-FFF2-40B4-BE49-F238E27FC236}">
              <a16:creationId xmlns:a16="http://schemas.microsoft.com/office/drawing/2014/main" id="{0C74E5ED-9AF1-3135-0A67-ED4DF949C797}"/>
            </a:ext>
          </a:extLst>
        </xdr:cNvPr>
        <xdr:cNvSpPr>
          <a:spLocks noChangeShapeType="1"/>
        </xdr:cNvSpPr>
      </xdr:nvSpPr>
      <xdr:spPr bwMode="auto">
        <a:xfrm>
          <a:off x="6858000" y="152400"/>
          <a:ext cx="0" cy="3175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330200</xdr:colOff>
      <xdr:row>3</xdr:row>
      <xdr:rowOff>139700</xdr:rowOff>
    </xdr:from>
    <xdr:to>
      <xdr:col>15</xdr:col>
      <xdr:colOff>330200</xdr:colOff>
      <xdr:row>6</xdr:row>
      <xdr:rowOff>12700</xdr:rowOff>
    </xdr:to>
    <xdr:sp macro="" textlink="">
      <xdr:nvSpPr>
        <xdr:cNvPr id="55869" name="Line 65">
          <a:extLst>
            <a:ext uri="{FF2B5EF4-FFF2-40B4-BE49-F238E27FC236}">
              <a16:creationId xmlns:a16="http://schemas.microsoft.com/office/drawing/2014/main" id="{7AD14F19-4E4C-E43C-DC5F-2C2C88B71BCC}"/>
            </a:ext>
          </a:extLst>
        </xdr:cNvPr>
        <xdr:cNvSpPr>
          <a:spLocks noChangeShapeType="1"/>
        </xdr:cNvSpPr>
      </xdr:nvSpPr>
      <xdr:spPr bwMode="auto">
        <a:xfrm>
          <a:off x="6972300" y="635000"/>
          <a:ext cx="0" cy="3683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2</xdr:row>
      <xdr:rowOff>12700</xdr:rowOff>
    </xdr:from>
    <xdr:to>
      <xdr:col>17</xdr:col>
      <xdr:colOff>114300</xdr:colOff>
      <xdr:row>2</xdr:row>
      <xdr:rowOff>12700</xdr:rowOff>
    </xdr:to>
    <xdr:sp macro="" textlink="">
      <xdr:nvSpPr>
        <xdr:cNvPr id="55870" name="Line 66">
          <a:extLst>
            <a:ext uri="{FF2B5EF4-FFF2-40B4-BE49-F238E27FC236}">
              <a16:creationId xmlns:a16="http://schemas.microsoft.com/office/drawing/2014/main" id="{69FA4123-DBE1-27F0-888C-84D0810C75CD}"/>
            </a:ext>
          </a:extLst>
        </xdr:cNvPr>
        <xdr:cNvSpPr>
          <a:spLocks noChangeShapeType="1"/>
        </xdr:cNvSpPr>
      </xdr:nvSpPr>
      <xdr:spPr bwMode="auto">
        <a:xfrm>
          <a:off x="7200900" y="342900"/>
          <a:ext cx="6350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215900</xdr:colOff>
      <xdr:row>4</xdr:row>
      <xdr:rowOff>152400</xdr:rowOff>
    </xdr:from>
    <xdr:to>
      <xdr:col>17</xdr:col>
      <xdr:colOff>114300</xdr:colOff>
      <xdr:row>4</xdr:row>
      <xdr:rowOff>152400</xdr:rowOff>
    </xdr:to>
    <xdr:sp macro="" textlink="">
      <xdr:nvSpPr>
        <xdr:cNvPr id="55871" name="Line 67">
          <a:extLst>
            <a:ext uri="{FF2B5EF4-FFF2-40B4-BE49-F238E27FC236}">
              <a16:creationId xmlns:a16="http://schemas.microsoft.com/office/drawing/2014/main" id="{2C008A9F-80CB-5834-B701-C04D8DA13389}"/>
            </a:ext>
          </a:extLst>
        </xdr:cNvPr>
        <xdr:cNvSpPr>
          <a:spLocks noChangeShapeType="1"/>
        </xdr:cNvSpPr>
      </xdr:nvSpPr>
      <xdr:spPr bwMode="auto">
        <a:xfrm flipV="1">
          <a:off x="7416800" y="812800"/>
          <a:ext cx="4191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17</xdr:col>
      <xdr:colOff>38100</xdr:colOff>
      <xdr:row>3</xdr:row>
      <xdr:rowOff>11430</xdr:rowOff>
    </xdr:from>
    <xdr:ext cx="151441" cy="235328"/>
    <xdr:sp macro="" textlink="">
      <xdr:nvSpPr>
        <xdr:cNvPr id="18500" name="Text Box 68">
          <a:extLst>
            <a:ext uri="{FF2B5EF4-FFF2-40B4-BE49-F238E27FC236}">
              <a16:creationId xmlns:a16="http://schemas.microsoft.com/office/drawing/2014/main" id="{041B8BB2-47F9-91B5-28DB-233370C4DED0}"/>
            </a:ext>
          </a:extLst>
        </xdr:cNvPr>
        <xdr:cNvSpPr txBox="1">
          <a:spLocks noChangeArrowheads="1"/>
        </xdr:cNvSpPr>
      </xdr:nvSpPr>
      <xdr:spPr bwMode="auto">
        <a:xfrm>
          <a:off x="7010400" y="512445"/>
          <a:ext cx="138821" cy="204736"/>
        </a:xfrm>
        <a:prstGeom prst="rect">
          <a:avLst/>
        </a:prstGeom>
        <a:noFill/>
        <a:ln>
          <a:noFill/>
        </a:ln>
      </xdr:spPr>
      <xdr:txBody>
        <a:bodyPr wrap="none" lIns="27432" tIns="27432" rIns="0" bIns="0" anchor="t" upright="1">
          <a:spAutoFit/>
        </a:bodyPr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FF00FF"/>
              </a:solidFill>
              <a:latin typeface="Arial"/>
              <a:cs typeface="Arial"/>
            </a:rPr>
            <a:t>H</a:t>
          </a:r>
        </a:p>
      </xdr:txBody>
    </xdr:sp>
    <xdr:clientData/>
  </xdr:oneCellAnchor>
  <xdr:twoCellAnchor>
    <xdr:from>
      <xdr:col>17</xdr:col>
      <xdr:colOff>0</xdr:colOff>
      <xdr:row>2</xdr:row>
      <xdr:rowOff>12700</xdr:rowOff>
    </xdr:from>
    <xdr:to>
      <xdr:col>17</xdr:col>
      <xdr:colOff>0</xdr:colOff>
      <xdr:row>5</xdr:row>
      <xdr:rowOff>12700</xdr:rowOff>
    </xdr:to>
    <xdr:sp macro="" textlink="">
      <xdr:nvSpPr>
        <xdr:cNvPr id="55873" name="Line 69">
          <a:extLst>
            <a:ext uri="{FF2B5EF4-FFF2-40B4-BE49-F238E27FC236}">
              <a16:creationId xmlns:a16="http://schemas.microsoft.com/office/drawing/2014/main" id="{C5C669C3-8D08-26E8-99CE-9AC7CCBE3FD0}"/>
            </a:ext>
          </a:extLst>
        </xdr:cNvPr>
        <xdr:cNvSpPr>
          <a:spLocks noChangeShapeType="1"/>
        </xdr:cNvSpPr>
      </xdr:nvSpPr>
      <xdr:spPr bwMode="auto">
        <a:xfrm>
          <a:off x="7721600" y="342900"/>
          <a:ext cx="0" cy="4953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10</xdr:col>
      <xdr:colOff>166370</xdr:colOff>
      <xdr:row>6</xdr:row>
      <xdr:rowOff>0</xdr:rowOff>
    </xdr:from>
    <xdr:ext cx="923458" cy="170560"/>
    <xdr:sp macro="" textlink="">
      <xdr:nvSpPr>
        <xdr:cNvPr id="18502" name="Text Box 70">
          <a:extLst>
            <a:ext uri="{FF2B5EF4-FFF2-40B4-BE49-F238E27FC236}">
              <a16:creationId xmlns:a16="http://schemas.microsoft.com/office/drawing/2014/main" id="{461178D8-3582-E95B-571C-E5E992F909A3}"/>
            </a:ext>
          </a:extLst>
        </xdr:cNvPr>
        <xdr:cNvSpPr txBox="1">
          <a:spLocks noChangeArrowheads="1"/>
        </xdr:cNvSpPr>
      </xdr:nvSpPr>
      <xdr:spPr bwMode="auto">
        <a:xfrm>
          <a:off x="4065270" y="1005840"/>
          <a:ext cx="923458" cy="170560"/>
        </a:xfrm>
        <a:prstGeom prst="rect">
          <a:avLst/>
        </a:prstGeom>
        <a:noFill/>
        <a:ln>
          <a:noFill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000" b="1" i="0" u="sng" strike="noStrike" baseline="0">
              <a:solidFill>
                <a:srgbClr val="FF0000"/>
              </a:solidFill>
              <a:latin typeface="Arial"/>
              <a:cs typeface="Arial"/>
            </a:rPr>
            <a:t>Conc. Reducer</a:t>
          </a:r>
        </a:p>
      </xdr:txBody>
    </xdr:sp>
    <xdr:clientData/>
  </xdr:oneCellAnchor>
  <xdr:oneCellAnchor>
    <xdr:from>
      <xdr:col>14</xdr:col>
      <xdr:colOff>281940</xdr:colOff>
      <xdr:row>6</xdr:row>
      <xdr:rowOff>0</xdr:rowOff>
    </xdr:from>
    <xdr:ext cx="1144544" cy="170560"/>
    <xdr:sp macro="" textlink="">
      <xdr:nvSpPr>
        <xdr:cNvPr id="18503" name="Text Box 71">
          <a:extLst>
            <a:ext uri="{FF2B5EF4-FFF2-40B4-BE49-F238E27FC236}">
              <a16:creationId xmlns:a16="http://schemas.microsoft.com/office/drawing/2014/main" id="{B0B9590F-66CC-2D26-5E82-732E442ED3DF}"/>
            </a:ext>
          </a:extLst>
        </xdr:cNvPr>
        <xdr:cNvSpPr txBox="1">
          <a:spLocks noChangeArrowheads="1"/>
        </xdr:cNvSpPr>
      </xdr:nvSpPr>
      <xdr:spPr bwMode="auto">
        <a:xfrm>
          <a:off x="6530340" y="990600"/>
          <a:ext cx="1144544" cy="170560"/>
        </a:xfrm>
        <a:prstGeom prst="rect">
          <a:avLst/>
        </a:prstGeom>
        <a:noFill/>
        <a:ln>
          <a:noFill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000" b="1" i="0" u="sng" strike="noStrike" baseline="0">
              <a:solidFill>
                <a:srgbClr val="FF0000"/>
              </a:solidFill>
              <a:latin typeface="Arial"/>
              <a:cs typeface="Arial"/>
            </a:rPr>
            <a:t>Eccentric Reducer</a:t>
          </a:r>
        </a:p>
      </xdr:txBody>
    </xdr:sp>
    <xdr:clientData/>
  </xdr:oneCellAnchor>
  <xdr:twoCellAnchor>
    <xdr:from>
      <xdr:col>2</xdr:col>
      <xdr:colOff>0</xdr:colOff>
      <xdr:row>54</xdr:row>
      <xdr:rowOff>0</xdr:rowOff>
    </xdr:from>
    <xdr:to>
      <xdr:col>2</xdr:col>
      <xdr:colOff>0</xdr:colOff>
      <xdr:row>56</xdr:row>
      <xdr:rowOff>25400</xdr:rowOff>
    </xdr:to>
    <xdr:sp macro="" textlink="">
      <xdr:nvSpPr>
        <xdr:cNvPr id="55876" name="Line 72">
          <a:extLst>
            <a:ext uri="{FF2B5EF4-FFF2-40B4-BE49-F238E27FC236}">
              <a16:creationId xmlns:a16="http://schemas.microsoft.com/office/drawing/2014/main" id="{B8DF827F-5911-97A7-AEF8-5292CB7DBFDA}"/>
            </a:ext>
          </a:extLst>
        </xdr:cNvPr>
        <xdr:cNvSpPr>
          <a:spLocks noChangeShapeType="1"/>
        </xdr:cNvSpPr>
      </xdr:nvSpPr>
      <xdr:spPr bwMode="auto">
        <a:xfrm>
          <a:off x="965200" y="9664700"/>
          <a:ext cx="0" cy="3556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54</xdr:row>
      <xdr:rowOff>0</xdr:rowOff>
    </xdr:from>
    <xdr:to>
      <xdr:col>4</xdr:col>
      <xdr:colOff>0</xdr:colOff>
      <xdr:row>56</xdr:row>
      <xdr:rowOff>25400</xdr:rowOff>
    </xdr:to>
    <xdr:sp macro="" textlink="">
      <xdr:nvSpPr>
        <xdr:cNvPr id="55877" name="Line 73">
          <a:extLst>
            <a:ext uri="{FF2B5EF4-FFF2-40B4-BE49-F238E27FC236}">
              <a16:creationId xmlns:a16="http://schemas.microsoft.com/office/drawing/2014/main" id="{195EFABF-D30A-1567-A730-9641DFCFE566}"/>
            </a:ext>
          </a:extLst>
        </xdr:cNvPr>
        <xdr:cNvSpPr>
          <a:spLocks noChangeShapeType="1"/>
        </xdr:cNvSpPr>
      </xdr:nvSpPr>
      <xdr:spPr bwMode="auto">
        <a:xfrm>
          <a:off x="1803400" y="9664700"/>
          <a:ext cx="0" cy="3556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165100</xdr:colOff>
      <xdr:row>53</xdr:row>
      <xdr:rowOff>12700</xdr:rowOff>
    </xdr:from>
    <xdr:to>
      <xdr:col>2</xdr:col>
      <xdr:colOff>165100</xdr:colOff>
      <xdr:row>53</xdr:row>
      <xdr:rowOff>152400</xdr:rowOff>
    </xdr:to>
    <xdr:sp macro="" textlink="">
      <xdr:nvSpPr>
        <xdr:cNvPr id="55878" name="Line 74">
          <a:extLst>
            <a:ext uri="{FF2B5EF4-FFF2-40B4-BE49-F238E27FC236}">
              <a16:creationId xmlns:a16="http://schemas.microsoft.com/office/drawing/2014/main" id="{02F0FFFD-F1A1-FAB1-F8C1-AA1EB72AB685}"/>
            </a:ext>
          </a:extLst>
        </xdr:cNvPr>
        <xdr:cNvSpPr>
          <a:spLocks noChangeShapeType="1"/>
        </xdr:cNvSpPr>
      </xdr:nvSpPr>
      <xdr:spPr bwMode="auto">
        <a:xfrm>
          <a:off x="1130300" y="9512300"/>
          <a:ext cx="0" cy="1397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215900</xdr:colOff>
      <xdr:row>53</xdr:row>
      <xdr:rowOff>0</xdr:rowOff>
    </xdr:from>
    <xdr:to>
      <xdr:col>3</xdr:col>
      <xdr:colOff>215900</xdr:colOff>
      <xdr:row>54</xdr:row>
      <xdr:rowOff>0</xdr:rowOff>
    </xdr:to>
    <xdr:sp macro="" textlink="">
      <xdr:nvSpPr>
        <xdr:cNvPr id="55879" name="Line 75">
          <a:extLst>
            <a:ext uri="{FF2B5EF4-FFF2-40B4-BE49-F238E27FC236}">
              <a16:creationId xmlns:a16="http://schemas.microsoft.com/office/drawing/2014/main" id="{0106660B-FC64-1E63-EC4F-713C22C5A97D}"/>
            </a:ext>
          </a:extLst>
        </xdr:cNvPr>
        <xdr:cNvSpPr>
          <a:spLocks noChangeShapeType="1"/>
        </xdr:cNvSpPr>
      </xdr:nvSpPr>
      <xdr:spPr bwMode="auto">
        <a:xfrm>
          <a:off x="1600200" y="9499600"/>
          <a:ext cx="0" cy="1651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177800</xdr:colOff>
      <xdr:row>53</xdr:row>
      <xdr:rowOff>0</xdr:rowOff>
    </xdr:from>
    <xdr:to>
      <xdr:col>3</xdr:col>
      <xdr:colOff>215900</xdr:colOff>
      <xdr:row>53</xdr:row>
      <xdr:rowOff>0</xdr:rowOff>
    </xdr:to>
    <xdr:sp macro="" textlink="">
      <xdr:nvSpPr>
        <xdr:cNvPr id="55880" name="Line 76">
          <a:extLst>
            <a:ext uri="{FF2B5EF4-FFF2-40B4-BE49-F238E27FC236}">
              <a16:creationId xmlns:a16="http://schemas.microsoft.com/office/drawing/2014/main" id="{D2D960CB-B686-CB25-9F8A-B38E2E648DF3}"/>
            </a:ext>
          </a:extLst>
        </xdr:cNvPr>
        <xdr:cNvSpPr>
          <a:spLocks noChangeShapeType="1"/>
        </xdr:cNvSpPr>
      </xdr:nvSpPr>
      <xdr:spPr bwMode="auto">
        <a:xfrm>
          <a:off x="1143000" y="9499600"/>
          <a:ext cx="4572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0</xdr:colOff>
      <xdr:row>54</xdr:row>
      <xdr:rowOff>0</xdr:rowOff>
    </xdr:from>
    <xdr:to>
      <xdr:col>2</xdr:col>
      <xdr:colOff>165100</xdr:colOff>
      <xdr:row>54</xdr:row>
      <xdr:rowOff>0</xdr:rowOff>
    </xdr:to>
    <xdr:sp macro="" textlink="">
      <xdr:nvSpPr>
        <xdr:cNvPr id="55881" name="Line 77">
          <a:extLst>
            <a:ext uri="{FF2B5EF4-FFF2-40B4-BE49-F238E27FC236}">
              <a16:creationId xmlns:a16="http://schemas.microsoft.com/office/drawing/2014/main" id="{2A4439D9-9496-8482-9906-24993A823F36}"/>
            </a:ext>
          </a:extLst>
        </xdr:cNvPr>
        <xdr:cNvSpPr>
          <a:spLocks noChangeShapeType="1"/>
        </xdr:cNvSpPr>
      </xdr:nvSpPr>
      <xdr:spPr bwMode="auto">
        <a:xfrm flipH="1">
          <a:off x="965200" y="9664700"/>
          <a:ext cx="1651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215900</xdr:colOff>
      <xdr:row>54</xdr:row>
      <xdr:rowOff>12700</xdr:rowOff>
    </xdr:from>
    <xdr:to>
      <xdr:col>3</xdr:col>
      <xdr:colOff>393700</xdr:colOff>
      <xdr:row>54</xdr:row>
      <xdr:rowOff>12700</xdr:rowOff>
    </xdr:to>
    <xdr:sp macro="" textlink="">
      <xdr:nvSpPr>
        <xdr:cNvPr id="55882" name="Line 78">
          <a:extLst>
            <a:ext uri="{FF2B5EF4-FFF2-40B4-BE49-F238E27FC236}">
              <a16:creationId xmlns:a16="http://schemas.microsoft.com/office/drawing/2014/main" id="{BFFA1FE7-6A50-D5E8-C627-A7BD240C77CE}"/>
            </a:ext>
          </a:extLst>
        </xdr:cNvPr>
        <xdr:cNvSpPr>
          <a:spLocks noChangeShapeType="1"/>
        </xdr:cNvSpPr>
      </xdr:nvSpPr>
      <xdr:spPr bwMode="auto">
        <a:xfrm>
          <a:off x="1600200" y="9677400"/>
          <a:ext cx="1778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12700</xdr:colOff>
      <xdr:row>56</xdr:row>
      <xdr:rowOff>12700</xdr:rowOff>
    </xdr:from>
    <xdr:to>
      <xdr:col>3</xdr:col>
      <xdr:colOff>419100</xdr:colOff>
      <xdr:row>56</xdr:row>
      <xdr:rowOff>12700</xdr:rowOff>
    </xdr:to>
    <xdr:sp macro="" textlink="">
      <xdr:nvSpPr>
        <xdr:cNvPr id="55883" name="Line 79">
          <a:extLst>
            <a:ext uri="{FF2B5EF4-FFF2-40B4-BE49-F238E27FC236}">
              <a16:creationId xmlns:a16="http://schemas.microsoft.com/office/drawing/2014/main" id="{55176F1D-CAB9-9A2C-E338-C752CB2941E0}"/>
            </a:ext>
          </a:extLst>
        </xdr:cNvPr>
        <xdr:cNvSpPr>
          <a:spLocks noChangeShapeType="1"/>
        </xdr:cNvSpPr>
      </xdr:nvSpPr>
      <xdr:spPr bwMode="auto">
        <a:xfrm>
          <a:off x="977900" y="10007600"/>
          <a:ext cx="8255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304800</xdr:colOff>
      <xdr:row>55</xdr:row>
      <xdr:rowOff>12700</xdr:rowOff>
    </xdr:from>
    <xdr:to>
      <xdr:col>5</xdr:col>
      <xdr:colOff>38100</xdr:colOff>
      <xdr:row>55</xdr:row>
      <xdr:rowOff>12700</xdr:rowOff>
    </xdr:to>
    <xdr:sp macro="" textlink="">
      <xdr:nvSpPr>
        <xdr:cNvPr id="55884" name="Line 80">
          <a:extLst>
            <a:ext uri="{FF2B5EF4-FFF2-40B4-BE49-F238E27FC236}">
              <a16:creationId xmlns:a16="http://schemas.microsoft.com/office/drawing/2014/main" id="{03E15AEA-19C6-373F-BF14-FFBBE6E78D60}"/>
            </a:ext>
          </a:extLst>
        </xdr:cNvPr>
        <xdr:cNvSpPr>
          <a:spLocks noChangeShapeType="1"/>
        </xdr:cNvSpPr>
      </xdr:nvSpPr>
      <xdr:spPr bwMode="auto">
        <a:xfrm>
          <a:off x="800100" y="9842500"/>
          <a:ext cx="14605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304800</xdr:colOff>
      <xdr:row>53</xdr:row>
      <xdr:rowOff>0</xdr:rowOff>
    </xdr:from>
    <xdr:to>
      <xdr:col>5</xdr:col>
      <xdr:colOff>88900</xdr:colOff>
      <xdr:row>53</xdr:row>
      <xdr:rowOff>0</xdr:rowOff>
    </xdr:to>
    <xdr:sp macro="" textlink="">
      <xdr:nvSpPr>
        <xdr:cNvPr id="55885" name="Line 81">
          <a:extLst>
            <a:ext uri="{FF2B5EF4-FFF2-40B4-BE49-F238E27FC236}">
              <a16:creationId xmlns:a16="http://schemas.microsoft.com/office/drawing/2014/main" id="{3F86AF2B-EEB1-C61F-9528-E9D633C3B044}"/>
            </a:ext>
          </a:extLst>
        </xdr:cNvPr>
        <xdr:cNvSpPr>
          <a:spLocks noChangeShapeType="1"/>
        </xdr:cNvSpPr>
      </xdr:nvSpPr>
      <xdr:spPr bwMode="auto">
        <a:xfrm>
          <a:off x="1689100" y="9499600"/>
          <a:ext cx="6223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177800</xdr:colOff>
      <xdr:row>54</xdr:row>
      <xdr:rowOff>0</xdr:rowOff>
    </xdr:from>
    <xdr:to>
      <xdr:col>3</xdr:col>
      <xdr:colOff>0</xdr:colOff>
      <xdr:row>54</xdr:row>
      <xdr:rowOff>76200</xdr:rowOff>
    </xdr:to>
    <xdr:sp macro="" textlink="">
      <xdr:nvSpPr>
        <xdr:cNvPr id="55886" name="Line 82">
          <a:extLst>
            <a:ext uri="{FF2B5EF4-FFF2-40B4-BE49-F238E27FC236}">
              <a16:creationId xmlns:a16="http://schemas.microsoft.com/office/drawing/2014/main" id="{EC35332B-22B5-27BA-A516-1AB941F75E3F}"/>
            </a:ext>
          </a:extLst>
        </xdr:cNvPr>
        <xdr:cNvSpPr>
          <a:spLocks noChangeShapeType="1"/>
        </xdr:cNvSpPr>
      </xdr:nvSpPr>
      <xdr:spPr bwMode="auto">
        <a:xfrm>
          <a:off x="1143000" y="9664700"/>
          <a:ext cx="241300" cy="76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381000</xdr:colOff>
      <xdr:row>54</xdr:row>
      <xdr:rowOff>0</xdr:rowOff>
    </xdr:from>
    <xdr:to>
      <xdr:col>3</xdr:col>
      <xdr:colOff>241300</xdr:colOff>
      <xdr:row>54</xdr:row>
      <xdr:rowOff>63500</xdr:rowOff>
    </xdr:to>
    <xdr:sp macro="" textlink="">
      <xdr:nvSpPr>
        <xdr:cNvPr id="55887" name="Line 83">
          <a:extLst>
            <a:ext uri="{FF2B5EF4-FFF2-40B4-BE49-F238E27FC236}">
              <a16:creationId xmlns:a16="http://schemas.microsoft.com/office/drawing/2014/main" id="{C0163024-1C52-682D-8FA6-32B477F71F3B}"/>
            </a:ext>
          </a:extLst>
        </xdr:cNvPr>
        <xdr:cNvSpPr>
          <a:spLocks noChangeShapeType="1"/>
        </xdr:cNvSpPr>
      </xdr:nvSpPr>
      <xdr:spPr bwMode="auto">
        <a:xfrm flipV="1">
          <a:off x="1346200" y="9664700"/>
          <a:ext cx="279400" cy="635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52</xdr:row>
      <xdr:rowOff>0</xdr:rowOff>
    </xdr:from>
    <xdr:to>
      <xdr:col>3</xdr:col>
      <xdr:colOff>0</xdr:colOff>
      <xdr:row>58</xdr:row>
      <xdr:rowOff>63500</xdr:rowOff>
    </xdr:to>
    <xdr:sp macro="" textlink="">
      <xdr:nvSpPr>
        <xdr:cNvPr id="55888" name="Line 84">
          <a:extLst>
            <a:ext uri="{FF2B5EF4-FFF2-40B4-BE49-F238E27FC236}">
              <a16:creationId xmlns:a16="http://schemas.microsoft.com/office/drawing/2014/main" id="{4CF027A0-B26B-D76E-1B66-E33A92656773}"/>
            </a:ext>
          </a:extLst>
        </xdr:cNvPr>
        <xdr:cNvSpPr>
          <a:spLocks noChangeShapeType="1"/>
        </xdr:cNvSpPr>
      </xdr:nvSpPr>
      <xdr:spPr bwMode="auto">
        <a:xfrm>
          <a:off x="1384300" y="9334500"/>
          <a:ext cx="0" cy="10541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0</xdr:colOff>
      <xdr:row>56</xdr:row>
      <xdr:rowOff>76200</xdr:rowOff>
    </xdr:from>
    <xdr:to>
      <xdr:col>2</xdr:col>
      <xdr:colOff>0</xdr:colOff>
      <xdr:row>58</xdr:row>
      <xdr:rowOff>25400</xdr:rowOff>
    </xdr:to>
    <xdr:sp macro="" textlink="">
      <xdr:nvSpPr>
        <xdr:cNvPr id="55889" name="Line 85">
          <a:extLst>
            <a:ext uri="{FF2B5EF4-FFF2-40B4-BE49-F238E27FC236}">
              <a16:creationId xmlns:a16="http://schemas.microsoft.com/office/drawing/2014/main" id="{5E8B2B82-1136-6A11-CC8A-80EA1832F8B5}"/>
            </a:ext>
          </a:extLst>
        </xdr:cNvPr>
        <xdr:cNvSpPr>
          <a:spLocks noChangeShapeType="1"/>
        </xdr:cNvSpPr>
      </xdr:nvSpPr>
      <xdr:spPr bwMode="auto">
        <a:xfrm>
          <a:off x="965200" y="10071100"/>
          <a:ext cx="0" cy="2794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12700</xdr:colOff>
      <xdr:row>56</xdr:row>
      <xdr:rowOff>63500</xdr:rowOff>
    </xdr:from>
    <xdr:to>
      <xdr:col>4</xdr:col>
      <xdr:colOff>12700</xdr:colOff>
      <xdr:row>58</xdr:row>
      <xdr:rowOff>12700</xdr:rowOff>
    </xdr:to>
    <xdr:sp macro="" textlink="">
      <xdr:nvSpPr>
        <xdr:cNvPr id="55890" name="Line 86">
          <a:extLst>
            <a:ext uri="{FF2B5EF4-FFF2-40B4-BE49-F238E27FC236}">
              <a16:creationId xmlns:a16="http://schemas.microsoft.com/office/drawing/2014/main" id="{83191DC3-1254-0E0E-A306-363E8EE5AFE3}"/>
            </a:ext>
          </a:extLst>
        </xdr:cNvPr>
        <xdr:cNvSpPr>
          <a:spLocks noChangeShapeType="1"/>
        </xdr:cNvSpPr>
      </xdr:nvSpPr>
      <xdr:spPr bwMode="auto">
        <a:xfrm>
          <a:off x="1816100" y="10058400"/>
          <a:ext cx="0" cy="2794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457200</xdr:colOff>
      <xdr:row>57</xdr:row>
      <xdr:rowOff>152400</xdr:rowOff>
    </xdr:from>
    <xdr:to>
      <xdr:col>2</xdr:col>
      <xdr:colOff>406400</xdr:colOff>
      <xdr:row>57</xdr:row>
      <xdr:rowOff>152400</xdr:rowOff>
    </xdr:to>
    <xdr:sp macro="" textlink="">
      <xdr:nvSpPr>
        <xdr:cNvPr id="55891" name="Line 87">
          <a:extLst>
            <a:ext uri="{FF2B5EF4-FFF2-40B4-BE49-F238E27FC236}">
              <a16:creationId xmlns:a16="http://schemas.microsoft.com/office/drawing/2014/main" id="{977C5F65-DFA5-C520-248F-9797D3B97076}"/>
            </a:ext>
          </a:extLst>
        </xdr:cNvPr>
        <xdr:cNvSpPr>
          <a:spLocks noChangeShapeType="1"/>
        </xdr:cNvSpPr>
      </xdr:nvSpPr>
      <xdr:spPr bwMode="auto">
        <a:xfrm>
          <a:off x="952500" y="10312400"/>
          <a:ext cx="4191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57</xdr:row>
      <xdr:rowOff>152400</xdr:rowOff>
    </xdr:from>
    <xdr:to>
      <xdr:col>4</xdr:col>
      <xdr:colOff>12700</xdr:colOff>
      <xdr:row>57</xdr:row>
      <xdr:rowOff>152400</xdr:rowOff>
    </xdr:to>
    <xdr:sp macro="" textlink="">
      <xdr:nvSpPr>
        <xdr:cNvPr id="55892" name="Line 88">
          <a:extLst>
            <a:ext uri="{FF2B5EF4-FFF2-40B4-BE49-F238E27FC236}">
              <a16:creationId xmlns:a16="http://schemas.microsoft.com/office/drawing/2014/main" id="{F332D507-AC89-302D-F8C5-19245E23641C}"/>
            </a:ext>
          </a:extLst>
        </xdr:cNvPr>
        <xdr:cNvSpPr>
          <a:spLocks noChangeShapeType="1"/>
        </xdr:cNvSpPr>
      </xdr:nvSpPr>
      <xdr:spPr bwMode="auto">
        <a:xfrm>
          <a:off x="1384300" y="10312400"/>
          <a:ext cx="4318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2</xdr:col>
      <xdr:colOff>81280</xdr:colOff>
      <xdr:row>56</xdr:row>
      <xdr:rowOff>135255</xdr:rowOff>
    </xdr:from>
    <xdr:ext cx="151441" cy="204736"/>
    <xdr:sp macro="" textlink="">
      <xdr:nvSpPr>
        <xdr:cNvPr id="18521" name="Text Box 89">
          <a:extLst>
            <a:ext uri="{FF2B5EF4-FFF2-40B4-BE49-F238E27FC236}">
              <a16:creationId xmlns:a16="http://schemas.microsoft.com/office/drawing/2014/main" id="{2C7F2789-E570-33CB-3477-743FFD499A24}"/>
            </a:ext>
          </a:extLst>
        </xdr:cNvPr>
        <xdr:cNvSpPr txBox="1">
          <a:spLocks noChangeArrowheads="1"/>
        </xdr:cNvSpPr>
      </xdr:nvSpPr>
      <xdr:spPr bwMode="auto">
        <a:xfrm>
          <a:off x="937260" y="10018395"/>
          <a:ext cx="138821" cy="204736"/>
        </a:xfrm>
        <a:prstGeom prst="rect">
          <a:avLst/>
        </a:prstGeom>
        <a:noFill/>
        <a:ln>
          <a:noFill/>
        </a:ln>
      </xdr:spPr>
      <xdr:txBody>
        <a:bodyPr wrap="none" lIns="27432" tIns="27432" rIns="0" bIns="0" anchor="t" upright="1">
          <a:spAutoFit/>
        </a:bodyPr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800080"/>
              </a:solidFill>
              <a:latin typeface="Arial"/>
              <a:cs typeface="Arial"/>
            </a:rPr>
            <a:t>C</a:t>
          </a:r>
        </a:p>
      </xdr:txBody>
    </xdr:sp>
    <xdr:clientData/>
  </xdr:oneCellAnchor>
  <xdr:oneCellAnchor>
    <xdr:from>
      <xdr:col>3</xdr:col>
      <xdr:colOff>168275</xdr:colOff>
      <xdr:row>56</xdr:row>
      <xdr:rowOff>135255</xdr:rowOff>
    </xdr:from>
    <xdr:ext cx="151441" cy="235328"/>
    <xdr:sp macro="" textlink="">
      <xdr:nvSpPr>
        <xdr:cNvPr id="18522" name="Text Box 90">
          <a:extLst>
            <a:ext uri="{FF2B5EF4-FFF2-40B4-BE49-F238E27FC236}">
              <a16:creationId xmlns:a16="http://schemas.microsoft.com/office/drawing/2014/main" id="{7B85E14E-B6AE-1255-A350-795C021874F5}"/>
            </a:ext>
          </a:extLst>
        </xdr:cNvPr>
        <xdr:cNvSpPr txBox="1">
          <a:spLocks noChangeArrowheads="1"/>
        </xdr:cNvSpPr>
      </xdr:nvSpPr>
      <xdr:spPr bwMode="auto">
        <a:xfrm>
          <a:off x="1381125" y="10014585"/>
          <a:ext cx="138821" cy="204736"/>
        </a:xfrm>
        <a:prstGeom prst="rect">
          <a:avLst/>
        </a:prstGeom>
        <a:noFill/>
        <a:ln>
          <a:noFill/>
        </a:ln>
      </xdr:spPr>
      <xdr:txBody>
        <a:bodyPr wrap="none" lIns="27432" tIns="27432" rIns="0" bIns="0" anchor="t" upright="1">
          <a:spAutoFit/>
        </a:bodyPr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800080"/>
              </a:solidFill>
              <a:latin typeface="Arial"/>
              <a:cs typeface="Arial"/>
            </a:rPr>
            <a:t>C</a:t>
          </a:r>
        </a:p>
      </xdr:txBody>
    </xdr:sp>
    <xdr:clientData/>
  </xdr:oneCellAnchor>
  <xdr:twoCellAnchor>
    <xdr:from>
      <xdr:col>4</xdr:col>
      <xdr:colOff>431800</xdr:colOff>
      <xdr:row>53</xdr:row>
      <xdr:rowOff>12700</xdr:rowOff>
    </xdr:from>
    <xdr:to>
      <xdr:col>4</xdr:col>
      <xdr:colOff>431800</xdr:colOff>
      <xdr:row>54</xdr:row>
      <xdr:rowOff>152400</xdr:rowOff>
    </xdr:to>
    <xdr:sp macro="" textlink="">
      <xdr:nvSpPr>
        <xdr:cNvPr id="55895" name="Line 91">
          <a:extLst>
            <a:ext uri="{FF2B5EF4-FFF2-40B4-BE49-F238E27FC236}">
              <a16:creationId xmlns:a16="http://schemas.microsoft.com/office/drawing/2014/main" id="{9184EE66-8639-818D-E3F5-989216A56326}"/>
            </a:ext>
          </a:extLst>
        </xdr:cNvPr>
        <xdr:cNvSpPr>
          <a:spLocks noChangeShapeType="1"/>
        </xdr:cNvSpPr>
      </xdr:nvSpPr>
      <xdr:spPr bwMode="auto">
        <a:xfrm>
          <a:off x="2222500" y="9512300"/>
          <a:ext cx="0" cy="3048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5</xdr:col>
      <xdr:colOff>39370</xdr:colOff>
      <xdr:row>53</xdr:row>
      <xdr:rowOff>68580</xdr:rowOff>
    </xdr:from>
    <xdr:ext cx="146987" cy="414588"/>
    <xdr:sp macro="" textlink="">
      <xdr:nvSpPr>
        <xdr:cNvPr id="18524" name="Text Box 92">
          <a:extLst>
            <a:ext uri="{FF2B5EF4-FFF2-40B4-BE49-F238E27FC236}">
              <a16:creationId xmlns:a16="http://schemas.microsoft.com/office/drawing/2014/main" id="{309A9F7A-BF9C-E069-7F3D-798D08948BB3}"/>
            </a:ext>
          </a:extLst>
        </xdr:cNvPr>
        <xdr:cNvSpPr txBox="1">
          <a:spLocks noChangeArrowheads="1"/>
        </xdr:cNvSpPr>
      </xdr:nvSpPr>
      <xdr:spPr bwMode="auto">
        <a:xfrm>
          <a:off x="2032635" y="9456420"/>
          <a:ext cx="138821" cy="352212"/>
        </a:xfrm>
        <a:prstGeom prst="rect">
          <a:avLst/>
        </a:prstGeom>
        <a:noFill/>
        <a:ln>
          <a:noFill/>
        </a:ln>
      </xdr:spPr>
      <xdr:txBody>
        <a:bodyPr wrap="none" lIns="27432" tIns="27432" rIns="0" bIns="0" anchor="t" upright="1">
          <a:spAutoFit/>
        </a:bodyPr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800080"/>
              </a:solidFill>
              <a:latin typeface="Arial"/>
              <a:cs typeface="Arial"/>
            </a:rPr>
            <a:t>C</a:t>
          </a: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oneCellAnchor>
  <xdr:oneCellAnchor>
    <xdr:from>
      <xdr:col>1</xdr:col>
      <xdr:colOff>429895</xdr:colOff>
      <xdr:row>58</xdr:row>
      <xdr:rowOff>76200</xdr:rowOff>
    </xdr:from>
    <xdr:ext cx="759567" cy="170560"/>
    <xdr:sp macro="" textlink="">
      <xdr:nvSpPr>
        <xdr:cNvPr id="18525" name="Text Box 93">
          <a:extLst>
            <a:ext uri="{FF2B5EF4-FFF2-40B4-BE49-F238E27FC236}">
              <a16:creationId xmlns:a16="http://schemas.microsoft.com/office/drawing/2014/main" id="{4750ABB5-F7E1-EE0B-E108-F0C4A2022C86}"/>
            </a:ext>
          </a:extLst>
        </xdr:cNvPr>
        <xdr:cNvSpPr txBox="1">
          <a:spLocks noChangeArrowheads="1"/>
        </xdr:cNvSpPr>
      </xdr:nvSpPr>
      <xdr:spPr bwMode="auto">
        <a:xfrm>
          <a:off x="828675" y="10294620"/>
          <a:ext cx="759567" cy="170560"/>
        </a:xfrm>
        <a:prstGeom prst="rect">
          <a:avLst/>
        </a:prstGeom>
        <a:noFill/>
        <a:ln>
          <a:noFill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Straight Tee</a:t>
          </a:r>
        </a:p>
      </xdr:txBody>
    </xdr:sp>
    <xdr:clientData/>
  </xdr:oneCellAnchor>
  <xdr:twoCellAnchor>
    <xdr:from>
      <xdr:col>6</xdr:col>
      <xdr:colOff>12700</xdr:colOff>
      <xdr:row>56</xdr:row>
      <xdr:rowOff>12700</xdr:rowOff>
    </xdr:from>
    <xdr:to>
      <xdr:col>8</xdr:col>
      <xdr:colOff>0</xdr:colOff>
      <xdr:row>56</xdr:row>
      <xdr:rowOff>12700</xdr:rowOff>
    </xdr:to>
    <xdr:sp macro="" textlink="">
      <xdr:nvSpPr>
        <xdr:cNvPr id="55898" name="Line 94">
          <a:extLst>
            <a:ext uri="{FF2B5EF4-FFF2-40B4-BE49-F238E27FC236}">
              <a16:creationId xmlns:a16="http://schemas.microsoft.com/office/drawing/2014/main" id="{B437D19F-3D22-F94C-01B2-545D551D1393}"/>
            </a:ext>
          </a:extLst>
        </xdr:cNvPr>
        <xdr:cNvSpPr>
          <a:spLocks noChangeShapeType="1"/>
        </xdr:cNvSpPr>
      </xdr:nvSpPr>
      <xdr:spPr bwMode="auto">
        <a:xfrm>
          <a:off x="2654300" y="10007600"/>
          <a:ext cx="7747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368300</xdr:colOff>
      <xdr:row>54</xdr:row>
      <xdr:rowOff>12700</xdr:rowOff>
    </xdr:from>
    <xdr:to>
      <xdr:col>7</xdr:col>
      <xdr:colOff>368300</xdr:colOff>
      <xdr:row>56</xdr:row>
      <xdr:rowOff>38100</xdr:rowOff>
    </xdr:to>
    <xdr:sp macro="" textlink="">
      <xdr:nvSpPr>
        <xdr:cNvPr id="55899" name="Line 95">
          <a:extLst>
            <a:ext uri="{FF2B5EF4-FFF2-40B4-BE49-F238E27FC236}">
              <a16:creationId xmlns:a16="http://schemas.microsoft.com/office/drawing/2014/main" id="{87FDC85A-84FC-C63F-9E3F-1EF6C5B352B4}"/>
            </a:ext>
          </a:extLst>
        </xdr:cNvPr>
        <xdr:cNvSpPr>
          <a:spLocks noChangeShapeType="1"/>
        </xdr:cNvSpPr>
      </xdr:nvSpPr>
      <xdr:spPr bwMode="auto">
        <a:xfrm>
          <a:off x="3416300" y="9677400"/>
          <a:ext cx="0" cy="3556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54</xdr:row>
      <xdr:rowOff>0</xdr:rowOff>
    </xdr:from>
    <xdr:to>
      <xdr:col>6</xdr:col>
      <xdr:colOff>0</xdr:colOff>
      <xdr:row>56</xdr:row>
      <xdr:rowOff>25400</xdr:rowOff>
    </xdr:to>
    <xdr:sp macro="" textlink="">
      <xdr:nvSpPr>
        <xdr:cNvPr id="55900" name="Line 96">
          <a:extLst>
            <a:ext uri="{FF2B5EF4-FFF2-40B4-BE49-F238E27FC236}">
              <a16:creationId xmlns:a16="http://schemas.microsoft.com/office/drawing/2014/main" id="{13FE74D5-AF7A-0017-2E8F-1FC5F2D0C23F}"/>
            </a:ext>
          </a:extLst>
        </xdr:cNvPr>
        <xdr:cNvSpPr>
          <a:spLocks noChangeShapeType="1"/>
        </xdr:cNvSpPr>
      </xdr:nvSpPr>
      <xdr:spPr bwMode="auto">
        <a:xfrm>
          <a:off x="2641600" y="9664700"/>
          <a:ext cx="0" cy="3556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266700</xdr:colOff>
      <xdr:row>53</xdr:row>
      <xdr:rowOff>0</xdr:rowOff>
    </xdr:from>
    <xdr:to>
      <xdr:col>7</xdr:col>
      <xdr:colOff>114300</xdr:colOff>
      <xdr:row>53</xdr:row>
      <xdr:rowOff>0</xdr:rowOff>
    </xdr:to>
    <xdr:sp macro="" textlink="">
      <xdr:nvSpPr>
        <xdr:cNvPr id="55901" name="Line 97">
          <a:extLst>
            <a:ext uri="{FF2B5EF4-FFF2-40B4-BE49-F238E27FC236}">
              <a16:creationId xmlns:a16="http://schemas.microsoft.com/office/drawing/2014/main" id="{43A84EC4-97C9-875E-CEE9-999512A5D6C5}"/>
            </a:ext>
          </a:extLst>
        </xdr:cNvPr>
        <xdr:cNvSpPr>
          <a:spLocks noChangeShapeType="1"/>
        </xdr:cNvSpPr>
      </xdr:nvSpPr>
      <xdr:spPr bwMode="auto">
        <a:xfrm>
          <a:off x="2908300" y="9499600"/>
          <a:ext cx="2540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254000</xdr:colOff>
      <xdr:row>53</xdr:row>
      <xdr:rowOff>0</xdr:rowOff>
    </xdr:from>
    <xdr:to>
      <xdr:col>6</xdr:col>
      <xdr:colOff>254000</xdr:colOff>
      <xdr:row>54</xdr:row>
      <xdr:rowOff>0</xdr:rowOff>
    </xdr:to>
    <xdr:sp macro="" textlink="">
      <xdr:nvSpPr>
        <xdr:cNvPr id="55902" name="Line 98">
          <a:extLst>
            <a:ext uri="{FF2B5EF4-FFF2-40B4-BE49-F238E27FC236}">
              <a16:creationId xmlns:a16="http://schemas.microsoft.com/office/drawing/2014/main" id="{0E2FF783-8CAC-031E-4E9B-9B3A0E550C9A}"/>
            </a:ext>
          </a:extLst>
        </xdr:cNvPr>
        <xdr:cNvSpPr>
          <a:spLocks noChangeShapeType="1"/>
        </xdr:cNvSpPr>
      </xdr:nvSpPr>
      <xdr:spPr bwMode="auto">
        <a:xfrm>
          <a:off x="2895600" y="9499600"/>
          <a:ext cx="0" cy="1651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127000</xdr:colOff>
      <xdr:row>53</xdr:row>
      <xdr:rowOff>0</xdr:rowOff>
    </xdr:from>
    <xdr:to>
      <xdr:col>7</xdr:col>
      <xdr:colOff>127000</xdr:colOff>
      <xdr:row>54</xdr:row>
      <xdr:rowOff>0</xdr:rowOff>
    </xdr:to>
    <xdr:sp macro="" textlink="">
      <xdr:nvSpPr>
        <xdr:cNvPr id="55903" name="Line 99">
          <a:extLst>
            <a:ext uri="{FF2B5EF4-FFF2-40B4-BE49-F238E27FC236}">
              <a16:creationId xmlns:a16="http://schemas.microsoft.com/office/drawing/2014/main" id="{3EBD0E8C-888A-36DC-4435-8D553C74C30D}"/>
            </a:ext>
          </a:extLst>
        </xdr:cNvPr>
        <xdr:cNvSpPr>
          <a:spLocks noChangeShapeType="1"/>
        </xdr:cNvSpPr>
      </xdr:nvSpPr>
      <xdr:spPr bwMode="auto">
        <a:xfrm>
          <a:off x="3175000" y="9499600"/>
          <a:ext cx="0" cy="1651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54</xdr:row>
      <xdr:rowOff>12700</xdr:rowOff>
    </xdr:from>
    <xdr:to>
      <xdr:col>6</xdr:col>
      <xdr:colOff>254000</xdr:colOff>
      <xdr:row>54</xdr:row>
      <xdr:rowOff>12700</xdr:rowOff>
    </xdr:to>
    <xdr:sp macro="" textlink="">
      <xdr:nvSpPr>
        <xdr:cNvPr id="55904" name="Line 100">
          <a:extLst>
            <a:ext uri="{FF2B5EF4-FFF2-40B4-BE49-F238E27FC236}">
              <a16:creationId xmlns:a16="http://schemas.microsoft.com/office/drawing/2014/main" id="{F18FCB93-10C6-2EEC-A3E4-497B72F687BB}"/>
            </a:ext>
          </a:extLst>
        </xdr:cNvPr>
        <xdr:cNvSpPr>
          <a:spLocks noChangeShapeType="1"/>
        </xdr:cNvSpPr>
      </xdr:nvSpPr>
      <xdr:spPr bwMode="auto">
        <a:xfrm flipH="1">
          <a:off x="2641600" y="9677400"/>
          <a:ext cx="2540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127000</xdr:colOff>
      <xdr:row>54</xdr:row>
      <xdr:rowOff>12700</xdr:rowOff>
    </xdr:from>
    <xdr:to>
      <xdr:col>7</xdr:col>
      <xdr:colOff>342900</xdr:colOff>
      <xdr:row>54</xdr:row>
      <xdr:rowOff>12700</xdr:rowOff>
    </xdr:to>
    <xdr:sp macro="" textlink="">
      <xdr:nvSpPr>
        <xdr:cNvPr id="55905" name="Line 101">
          <a:extLst>
            <a:ext uri="{FF2B5EF4-FFF2-40B4-BE49-F238E27FC236}">
              <a16:creationId xmlns:a16="http://schemas.microsoft.com/office/drawing/2014/main" id="{EC0064EB-8481-D13E-7638-97BCDC430595}"/>
            </a:ext>
          </a:extLst>
        </xdr:cNvPr>
        <xdr:cNvSpPr>
          <a:spLocks noChangeShapeType="1"/>
        </xdr:cNvSpPr>
      </xdr:nvSpPr>
      <xdr:spPr bwMode="auto">
        <a:xfrm>
          <a:off x="3175000" y="9677400"/>
          <a:ext cx="2159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406400</xdr:colOff>
      <xdr:row>52</xdr:row>
      <xdr:rowOff>63500</xdr:rowOff>
    </xdr:from>
    <xdr:to>
      <xdr:col>6</xdr:col>
      <xdr:colOff>406400</xdr:colOff>
      <xdr:row>58</xdr:row>
      <xdr:rowOff>139700</xdr:rowOff>
    </xdr:to>
    <xdr:sp macro="" textlink="">
      <xdr:nvSpPr>
        <xdr:cNvPr id="55906" name="Line 102">
          <a:extLst>
            <a:ext uri="{FF2B5EF4-FFF2-40B4-BE49-F238E27FC236}">
              <a16:creationId xmlns:a16="http://schemas.microsoft.com/office/drawing/2014/main" id="{034AC768-ECC1-3C61-110C-506245F47680}"/>
            </a:ext>
          </a:extLst>
        </xdr:cNvPr>
        <xdr:cNvSpPr>
          <a:spLocks noChangeShapeType="1"/>
        </xdr:cNvSpPr>
      </xdr:nvSpPr>
      <xdr:spPr bwMode="auto">
        <a:xfrm>
          <a:off x="3048000" y="9398000"/>
          <a:ext cx="0" cy="10668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355600</xdr:colOff>
      <xdr:row>55</xdr:row>
      <xdr:rowOff>12700</xdr:rowOff>
    </xdr:from>
    <xdr:to>
      <xdr:col>9</xdr:col>
      <xdr:colOff>203200</xdr:colOff>
      <xdr:row>55</xdr:row>
      <xdr:rowOff>12700</xdr:rowOff>
    </xdr:to>
    <xdr:sp macro="" textlink="">
      <xdr:nvSpPr>
        <xdr:cNvPr id="55907" name="Line 103">
          <a:extLst>
            <a:ext uri="{FF2B5EF4-FFF2-40B4-BE49-F238E27FC236}">
              <a16:creationId xmlns:a16="http://schemas.microsoft.com/office/drawing/2014/main" id="{FA06B9A7-1177-5B08-9977-ACA2FB054449}"/>
            </a:ext>
          </a:extLst>
        </xdr:cNvPr>
        <xdr:cNvSpPr>
          <a:spLocks noChangeShapeType="1"/>
        </xdr:cNvSpPr>
      </xdr:nvSpPr>
      <xdr:spPr bwMode="auto">
        <a:xfrm>
          <a:off x="2578100" y="9842500"/>
          <a:ext cx="14732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241300</xdr:colOff>
      <xdr:row>53</xdr:row>
      <xdr:rowOff>12700</xdr:rowOff>
    </xdr:from>
    <xdr:to>
      <xdr:col>9</xdr:col>
      <xdr:colOff>88900</xdr:colOff>
      <xdr:row>53</xdr:row>
      <xdr:rowOff>12700</xdr:rowOff>
    </xdr:to>
    <xdr:sp macro="" textlink="">
      <xdr:nvSpPr>
        <xdr:cNvPr id="55908" name="Line 104">
          <a:extLst>
            <a:ext uri="{FF2B5EF4-FFF2-40B4-BE49-F238E27FC236}">
              <a16:creationId xmlns:a16="http://schemas.microsoft.com/office/drawing/2014/main" id="{459A1796-3FA4-025F-6322-6221AEB4445A}"/>
            </a:ext>
          </a:extLst>
        </xdr:cNvPr>
        <xdr:cNvSpPr>
          <a:spLocks noChangeShapeType="1"/>
        </xdr:cNvSpPr>
      </xdr:nvSpPr>
      <xdr:spPr bwMode="auto">
        <a:xfrm>
          <a:off x="3289300" y="9512300"/>
          <a:ext cx="6477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406400</xdr:colOff>
      <xdr:row>53</xdr:row>
      <xdr:rowOff>12700</xdr:rowOff>
    </xdr:from>
    <xdr:to>
      <xdr:col>8</xdr:col>
      <xdr:colOff>406400</xdr:colOff>
      <xdr:row>55</xdr:row>
      <xdr:rowOff>0</xdr:rowOff>
    </xdr:to>
    <xdr:sp macro="" textlink="">
      <xdr:nvSpPr>
        <xdr:cNvPr id="55909" name="Line 105">
          <a:extLst>
            <a:ext uri="{FF2B5EF4-FFF2-40B4-BE49-F238E27FC236}">
              <a16:creationId xmlns:a16="http://schemas.microsoft.com/office/drawing/2014/main" id="{9BC936EC-E27B-A27C-D092-0D5B5F73C5BE}"/>
            </a:ext>
          </a:extLst>
        </xdr:cNvPr>
        <xdr:cNvSpPr>
          <a:spLocks noChangeShapeType="1"/>
        </xdr:cNvSpPr>
      </xdr:nvSpPr>
      <xdr:spPr bwMode="auto">
        <a:xfrm>
          <a:off x="3835400" y="9512300"/>
          <a:ext cx="0" cy="3175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406400</xdr:colOff>
      <xdr:row>56</xdr:row>
      <xdr:rowOff>63500</xdr:rowOff>
    </xdr:from>
    <xdr:to>
      <xdr:col>5</xdr:col>
      <xdr:colOff>406400</xdr:colOff>
      <xdr:row>58</xdr:row>
      <xdr:rowOff>12700</xdr:rowOff>
    </xdr:to>
    <xdr:sp macro="" textlink="">
      <xdr:nvSpPr>
        <xdr:cNvPr id="55910" name="Line 106">
          <a:extLst>
            <a:ext uri="{FF2B5EF4-FFF2-40B4-BE49-F238E27FC236}">
              <a16:creationId xmlns:a16="http://schemas.microsoft.com/office/drawing/2014/main" id="{A66AFF36-A7DD-B8FB-4FF4-E426C48765C6}"/>
            </a:ext>
          </a:extLst>
        </xdr:cNvPr>
        <xdr:cNvSpPr>
          <a:spLocks noChangeShapeType="1"/>
        </xdr:cNvSpPr>
      </xdr:nvSpPr>
      <xdr:spPr bwMode="auto">
        <a:xfrm>
          <a:off x="2628900" y="10058400"/>
          <a:ext cx="0" cy="2794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368300</xdr:colOff>
      <xdr:row>56</xdr:row>
      <xdr:rowOff>76200</xdr:rowOff>
    </xdr:from>
    <xdr:to>
      <xdr:col>7</xdr:col>
      <xdr:colOff>368300</xdr:colOff>
      <xdr:row>58</xdr:row>
      <xdr:rowOff>25400</xdr:rowOff>
    </xdr:to>
    <xdr:sp macro="" textlink="">
      <xdr:nvSpPr>
        <xdr:cNvPr id="55911" name="Line 107">
          <a:extLst>
            <a:ext uri="{FF2B5EF4-FFF2-40B4-BE49-F238E27FC236}">
              <a16:creationId xmlns:a16="http://schemas.microsoft.com/office/drawing/2014/main" id="{B496EB54-380D-56A3-5EA3-331F204E9BA8}"/>
            </a:ext>
          </a:extLst>
        </xdr:cNvPr>
        <xdr:cNvSpPr>
          <a:spLocks noChangeShapeType="1"/>
        </xdr:cNvSpPr>
      </xdr:nvSpPr>
      <xdr:spPr bwMode="auto">
        <a:xfrm>
          <a:off x="3416300" y="10071100"/>
          <a:ext cx="0" cy="2794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12700</xdr:colOff>
      <xdr:row>57</xdr:row>
      <xdr:rowOff>139700</xdr:rowOff>
    </xdr:from>
    <xdr:to>
      <xdr:col>6</xdr:col>
      <xdr:colOff>393700</xdr:colOff>
      <xdr:row>57</xdr:row>
      <xdr:rowOff>139700</xdr:rowOff>
    </xdr:to>
    <xdr:sp macro="" textlink="">
      <xdr:nvSpPr>
        <xdr:cNvPr id="55912" name="Line 108">
          <a:extLst>
            <a:ext uri="{FF2B5EF4-FFF2-40B4-BE49-F238E27FC236}">
              <a16:creationId xmlns:a16="http://schemas.microsoft.com/office/drawing/2014/main" id="{15D66673-ABDD-CAEE-D1A3-358BC2774ECB}"/>
            </a:ext>
          </a:extLst>
        </xdr:cNvPr>
        <xdr:cNvSpPr>
          <a:spLocks noChangeShapeType="1"/>
        </xdr:cNvSpPr>
      </xdr:nvSpPr>
      <xdr:spPr bwMode="auto">
        <a:xfrm>
          <a:off x="2654300" y="10299700"/>
          <a:ext cx="3810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38100</xdr:colOff>
      <xdr:row>57</xdr:row>
      <xdr:rowOff>152400</xdr:rowOff>
    </xdr:from>
    <xdr:to>
      <xdr:col>8</xdr:col>
      <xdr:colOff>12700</xdr:colOff>
      <xdr:row>57</xdr:row>
      <xdr:rowOff>152400</xdr:rowOff>
    </xdr:to>
    <xdr:sp macro="" textlink="">
      <xdr:nvSpPr>
        <xdr:cNvPr id="55913" name="Line 109">
          <a:extLst>
            <a:ext uri="{FF2B5EF4-FFF2-40B4-BE49-F238E27FC236}">
              <a16:creationId xmlns:a16="http://schemas.microsoft.com/office/drawing/2014/main" id="{FA9512A9-D508-6335-B271-60ECC7205494}"/>
            </a:ext>
          </a:extLst>
        </xdr:cNvPr>
        <xdr:cNvSpPr>
          <a:spLocks noChangeShapeType="1"/>
        </xdr:cNvSpPr>
      </xdr:nvSpPr>
      <xdr:spPr bwMode="auto">
        <a:xfrm>
          <a:off x="3086100" y="10312400"/>
          <a:ext cx="3556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6</xdr:col>
      <xdr:colOff>123190</xdr:colOff>
      <xdr:row>56</xdr:row>
      <xdr:rowOff>135255</xdr:rowOff>
    </xdr:from>
    <xdr:ext cx="151441" cy="235328"/>
    <xdr:sp macro="" textlink="">
      <xdr:nvSpPr>
        <xdr:cNvPr id="18542" name="Text Box 110">
          <a:extLst>
            <a:ext uri="{FF2B5EF4-FFF2-40B4-BE49-F238E27FC236}">
              <a16:creationId xmlns:a16="http://schemas.microsoft.com/office/drawing/2014/main" id="{A71DD7D9-58DB-8216-5824-339F02AD1C69}"/>
            </a:ext>
          </a:extLst>
        </xdr:cNvPr>
        <xdr:cNvSpPr txBox="1">
          <a:spLocks noChangeArrowheads="1"/>
        </xdr:cNvSpPr>
      </xdr:nvSpPr>
      <xdr:spPr bwMode="auto">
        <a:xfrm>
          <a:off x="2489835" y="10014585"/>
          <a:ext cx="138821" cy="204736"/>
        </a:xfrm>
        <a:prstGeom prst="rect">
          <a:avLst/>
        </a:prstGeom>
        <a:noFill/>
        <a:ln>
          <a:noFill/>
        </a:ln>
      </xdr:spPr>
      <xdr:txBody>
        <a:bodyPr wrap="none" lIns="27432" tIns="27432" rIns="0" bIns="0" anchor="t" upright="1">
          <a:spAutoFit/>
        </a:bodyPr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800080"/>
              </a:solidFill>
              <a:latin typeface="Arial"/>
              <a:cs typeface="Arial"/>
            </a:rPr>
            <a:t>C</a:t>
          </a:r>
        </a:p>
      </xdr:txBody>
    </xdr:sp>
    <xdr:clientData/>
  </xdr:oneCellAnchor>
  <xdr:oneCellAnchor>
    <xdr:from>
      <xdr:col>7</xdr:col>
      <xdr:colOff>115570</xdr:colOff>
      <xdr:row>56</xdr:row>
      <xdr:rowOff>135255</xdr:rowOff>
    </xdr:from>
    <xdr:ext cx="151441" cy="235328"/>
    <xdr:sp macro="" textlink="">
      <xdr:nvSpPr>
        <xdr:cNvPr id="18543" name="Text Box 111">
          <a:extLst>
            <a:ext uri="{FF2B5EF4-FFF2-40B4-BE49-F238E27FC236}">
              <a16:creationId xmlns:a16="http://schemas.microsoft.com/office/drawing/2014/main" id="{D06D3022-4D9F-019A-DCFA-31712579F2E5}"/>
            </a:ext>
          </a:extLst>
        </xdr:cNvPr>
        <xdr:cNvSpPr txBox="1">
          <a:spLocks noChangeArrowheads="1"/>
        </xdr:cNvSpPr>
      </xdr:nvSpPr>
      <xdr:spPr bwMode="auto">
        <a:xfrm>
          <a:off x="2855595" y="10014585"/>
          <a:ext cx="138821" cy="204736"/>
        </a:xfrm>
        <a:prstGeom prst="rect">
          <a:avLst/>
        </a:prstGeom>
        <a:noFill/>
        <a:ln>
          <a:noFill/>
        </a:ln>
      </xdr:spPr>
      <xdr:txBody>
        <a:bodyPr wrap="none" lIns="27432" tIns="27432" rIns="0" bIns="0" anchor="t" upright="1">
          <a:spAutoFit/>
        </a:bodyPr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800080"/>
              </a:solidFill>
              <a:latin typeface="Arial"/>
              <a:cs typeface="Arial"/>
            </a:rPr>
            <a:t>C</a:t>
          </a:r>
        </a:p>
      </xdr:txBody>
    </xdr:sp>
    <xdr:clientData/>
  </xdr:oneCellAnchor>
  <xdr:twoCellAnchor editAs="oneCell">
    <xdr:from>
      <xdr:col>9</xdr:col>
      <xdr:colOff>38100</xdr:colOff>
      <xdr:row>53</xdr:row>
      <xdr:rowOff>99060</xdr:rowOff>
    </xdr:from>
    <xdr:to>
      <xdr:col>9</xdr:col>
      <xdr:colOff>250627</xdr:colOff>
      <xdr:row>54</xdr:row>
      <xdr:rowOff>135262</xdr:rowOff>
    </xdr:to>
    <xdr:sp macro="" textlink="">
      <xdr:nvSpPr>
        <xdr:cNvPr id="18544" name="Text Box 112">
          <a:extLst>
            <a:ext uri="{FF2B5EF4-FFF2-40B4-BE49-F238E27FC236}">
              <a16:creationId xmlns:a16="http://schemas.microsoft.com/office/drawing/2014/main" id="{2909BD49-9ACE-2439-AF3E-69AA4328CBDF}"/>
            </a:ext>
          </a:extLst>
        </xdr:cNvPr>
        <xdr:cNvSpPr txBox="1">
          <a:spLocks noChangeArrowheads="1"/>
        </xdr:cNvSpPr>
      </xdr:nvSpPr>
      <xdr:spPr bwMode="auto">
        <a:xfrm>
          <a:off x="3419475" y="9296400"/>
          <a:ext cx="190500" cy="190500"/>
        </a:xfrm>
        <a:prstGeom prst="rect">
          <a:avLst/>
        </a:prstGeom>
        <a:noFill/>
        <a:ln>
          <a:noFill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</xdr:txBody>
    </xdr:sp>
    <xdr:clientData/>
  </xdr:twoCellAnchor>
  <xdr:oneCellAnchor>
    <xdr:from>
      <xdr:col>5</xdr:col>
      <xdr:colOff>377825</xdr:colOff>
      <xdr:row>58</xdr:row>
      <xdr:rowOff>97155</xdr:rowOff>
    </xdr:from>
    <xdr:ext cx="859338" cy="170560"/>
    <xdr:sp macro="" textlink="">
      <xdr:nvSpPr>
        <xdr:cNvPr id="18545" name="Text Box 113">
          <a:extLst>
            <a:ext uri="{FF2B5EF4-FFF2-40B4-BE49-F238E27FC236}">
              <a16:creationId xmlns:a16="http://schemas.microsoft.com/office/drawing/2014/main" id="{334EBE63-6261-6930-0837-3BCDABEDFA09}"/>
            </a:ext>
          </a:extLst>
        </xdr:cNvPr>
        <xdr:cNvSpPr txBox="1">
          <a:spLocks noChangeArrowheads="1"/>
        </xdr:cNvSpPr>
      </xdr:nvSpPr>
      <xdr:spPr bwMode="auto">
        <a:xfrm>
          <a:off x="2600325" y="10422255"/>
          <a:ext cx="859338" cy="170560"/>
        </a:xfrm>
        <a:prstGeom prst="rect">
          <a:avLst/>
        </a:prstGeom>
        <a:noFill/>
        <a:ln>
          <a:noFill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Reducing Tee</a:t>
          </a:r>
        </a:p>
      </xdr:txBody>
    </xdr:sp>
    <xdr:clientData/>
  </xdr:oneCellAnchor>
  <xdr:twoCellAnchor>
    <xdr:from>
      <xdr:col>6</xdr:col>
      <xdr:colOff>254000</xdr:colOff>
      <xdr:row>54</xdr:row>
      <xdr:rowOff>12700</xdr:rowOff>
    </xdr:from>
    <xdr:to>
      <xdr:col>6</xdr:col>
      <xdr:colOff>393700</xdr:colOff>
      <xdr:row>54</xdr:row>
      <xdr:rowOff>114300</xdr:rowOff>
    </xdr:to>
    <xdr:sp macro="" textlink="">
      <xdr:nvSpPr>
        <xdr:cNvPr id="55918" name="Line 114">
          <a:extLst>
            <a:ext uri="{FF2B5EF4-FFF2-40B4-BE49-F238E27FC236}">
              <a16:creationId xmlns:a16="http://schemas.microsoft.com/office/drawing/2014/main" id="{2784AA49-9D53-FD15-C06B-21E04952FA60}"/>
            </a:ext>
          </a:extLst>
        </xdr:cNvPr>
        <xdr:cNvSpPr>
          <a:spLocks noChangeShapeType="1"/>
        </xdr:cNvSpPr>
      </xdr:nvSpPr>
      <xdr:spPr bwMode="auto">
        <a:xfrm>
          <a:off x="2895600" y="9677400"/>
          <a:ext cx="139700" cy="1016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406400</xdr:colOff>
      <xdr:row>54</xdr:row>
      <xdr:rowOff>12700</xdr:rowOff>
    </xdr:from>
    <xdr:to>
      <xdr:col>7</xdr:col>
      <xdr:colOff>101600</xdr:colOff>
      <xdr:row>54</xdr:row>
      <xdr:rowOff>101600</xdr:rowOff>
    </xdr:to>
    <xdr:sp macro="" textlink="">
      <xdr:nvSpPr>
        <xdr:cNvPr id="55919" name="Line 115">
          <a:extLst>
            <a:ext uri="{FF2B5EF4-FFF2-40B4-BE49-F238E27FC236}">
              <a16:creationId xmlns:a16="http://schemas.microsoft.com/office/drawing/2014/main" id="{70782149-4407-4224-8339-50C7BE916697}"/>
            </a:ext>
          </a:extLst>
        </xdr:cNvPr>
        <xdr:cNvSpPr>
          <a:spLocks noChangeShapeType="1"/>
        </xdr:cNvSpPr>
      </xdr:nvSpPr>
      <xdr:spPr bwMode="auto">
        <a:xfrm flipH="1">
          <a:off x="3048000" y="9677400"/>
          <a:ext cx="101600" cy="889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457200</xdr:colOff>
      <xdr:row>53</xdr:row>
      <xdr:rowOff>12700</xdr:rowOff>
    </xdr:from>
    <xdr:to>
      <xdr:col>11</xdr:col>
      <xdr:colOff>431800</xdr:colOff>
      <xdr:row>53</xdr:row>
      <xdr:rowOff>12700</xdr:rowOff>
    </xdr:to>
    <xdr:sp macro="" textlink="">
      <xdr:nvSpPr>
        <xdr:cNvPr id="55920" name="Line 116">
          <a:extLst>
            <a:ext uri="{FF2B5EF4-FFF2-40B4-BE49-F238E27FC236}">
              <a16:creationId xmlns:a16="http://schemas.microsoft.com/office/drawing/2014/main" id="{BFD39E79-45EC-EE38-1D0D-D327903C940C}"/>
            </a:ext>
          </a:extLst>
        </xdr:cNvPr>
        <xdr:cNvSpPr>
          <a:spLocks noChangeShapeType="1"/>
        </xdr:cNvSpPr>
      </xdr:nvSpPr>
      <xdr:spPr bwMode="auto">
        <a:xfrm>
          <a:off x="4787900" y="9512300"/>
          <a:ext cx="4318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53</xdr:row>
      <xdr:rowOff>25400</xdr:rowOff>
    </xdr:from>
    <xdr:to>
      <xdr:col>11</xdr:col>
      <xdr:colOff>0</xdr:colOff>
      <xdr:row>53</xdr:row>
      <xdr:rowOff>165100</xdr:rowOff>
    </xdr:to>
    <xdr:sp macro="" textlink="">
      <xdr:nvSpPr>
        <xdr:cNvPr id="55921" name="Line 117">
          <a:extLst>
            <a:ext uri="{FF2B5EF4-FFF2-40B4-BE49-F238E27FC236}">
              <a16:creationId xmlns:a16="http://schemas.microsoft.com/office/drawing/2014/main" id="{F2C1DFA6-4CD5-2E81-E836-FAD6791FA2A8}"/>
            </a:ext>
          </a:extLst>
        </xdr:cNvPr>
        <xdr:cNvSpPr>
          <a:spLocks noChangeShapeType="1"/>
        </xdr:cNvSpPr>
      </xdr:nvSpPr>
      <xdr:spPr bwMode="auto">
        <a:xfrm>
          <a:off x="4787900" y="9525000"/>
          <a:ext cx="0" cy="1397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12700</xdr:colOff>
      <xdr:row>53</xdr:row>
      <xdr:rowOff>12700</xdr:rowOff>
    </xdr:from>
    <xdr:to>
      <xdr:col>12</xdr:col>
      <xdr:colOff>12700</xdr:colOff>
      <xdr:row>53</xdr:row>
      <xdr:rowOff>152400</xdr:rowOff>
    </xdr:to>
    <xdr:sp macro="" textlink="">
      <xdr:nvSpPr>
        <xdr:cNvPr id="55922" name="Line 118">
          <a:extLst>
            <a:ext uri="{FF2B5EF4-FFF2-40B4-BE49-F238E27FC236}">
              <a16:creationId xmlns:a16="http://schemas.microsoft.com/office/drawing/2014/main" id="{27D07B40-80BE-5798-80BF-C082AB92905A}"/>
            </a:ext>
          </a:extLst>
        </xdr:cNvPr>
        <xdr:cNvSpPr>
          <a:spLocks noChangeShapeType="1"/>
        </xdr:cNvSpPr>
      </xdr:nvSpPr>
      <xdr:spPr bwMode="auto">
        <a:xfrm>
          <a:off x="5232400" y="9512300"/>
          <a:ext cx="0" cy="1397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355600</xdr:colOff>
      <xdr:row>56</xdr:row>
      <xdr:rowOff>0</xdr:rowOff>
    </xdr:from>
    <xdr:to>
      <xdr:col>12</xdr:col>
      <xdr:colOff>114300</xdr:colOff>
      <xdr:row>56</xdr:row>
      <xdr:rowOff>0</xdr:rowOff>
    </xdr:to>
    <xdr:sp macro="" textlink="">
      <xdr:nvSpPr>
        <xdr:cNvPr id="55923" name="Line 119">
          <a:extLst>
            <a:ext uri="{FF2B5EF4-FFF2-40B4-BE49-F238E27FC236}">
              <a16:creationId xmlns:a16="http://schemas.microsoft.com/office/drawing/2014/main" id="{CAF502D9-3E35-B423-07C4-CA39A10AEE44}"/>
            </a:ext>
          </a:extLst>
        </xdr:cNvPr>
        <xdr:cNvSpPr>
          <a:spLocks noChangeShapeType="1"/>
        </xdr:cNvSpPr>
      </xdr:nvSpPr>
      <xdr:spPr bwMode="auto">
        <a:xfrm>
          <a:off x="4699000" y="9994900"/>
          <a:ext cx="6350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355600</xdr:colOff>
      <xdr:row>55</xdr:row>
      <xdr:rowOff>12700</xdr:rowOff>
    </xdr:from>
    <xdr:to>
      <xdr:col>10</xdr:col>
      <xdr:colOff>355600</xdr:colOff>
      <xdr:row>56</xdr:row>
      <xdr:rowOff>0</xdr:rowOff>
    </xdr:to>
    <xdr:sp macro="" textlink="">
      <xdr:nvSpPr>
        <xdr:cNvPr id="55924" name="Line 120">
          <a:extLst>
            <a:ext uri="{FF2B5EF4-FFF2-40B4-BE49-F238E27FC236}">
              <a16:creationId xmlns:a16="http://schemas.microsoft.com/office/drawing/2014/main" id="{2DE650E4-E74D-619E-532D-93821C776C10}"/>
            </a:ext>
          </a:extLst>
        </xdr:cNvPr>
        <xdr:cNvSpPr>
          <a:spLocks noChangeShapeType="1"/>
        </xdr:cNvSpPr>
      </xdr:nvSpPr>
      <xdr:spPr bwMode="auto">
        <a:xfrm flipV="1">
          <a:off x="4699000" y="9842500"/>
          <a:ext cx="0" cy="1524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101600</xdr:colOff>
      <xdr:row>55</xdr:row>
      <xdr:rowOff>12700</xdr:rowOff>
    </xdr:from>
    <xdr:to>
      <xdr:col>12</xdr:col>
      <xdr:colOff>101600</xdr:colOff>
      <xdr:row>56</xdr:row>
      <xdr:rowOff>0</xdr:rowOff>
    </xdr:to>
    <xdr:sp macro="" textlink="">
      <xdr:nvSpPr>
        <xdr:cNvPr id="55925" name="Line 121">
          <a:extLst>
            <a:ext uri="{FF2B5EF4-FFF2-40B4-BE49-F238E27FC236}">
              <a16:creationId xmlns:a16="http://schemas.microsoft.com/office/drawing/2014/main" id="{B92A59EF-FF5A-AC31-27AE-B5720BF75B11}"/>
            </a:ext>
          </a:extLst>
        </xdr:cNvPr>
        <xdr:cNvSpPr>
          <a:spLocks noChangeShapeType="1"/>
        </xdr:cNvSpPr>
      </xdr:nvSpPr>
      <xdr:spPr bwMode="auto">
        <a:xfrm flipV="1">
          <a:off x="5321300" y="9842500"/>
          <a:ext cx="0" cy="1524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330200</xdr:colOff>
      <xdr:row>53</xdr:row>
      <xdr:rowOff>139700</xdr:rowOff>
    </xdr:from>
    <xdr:to>
      <xdr:col>10</xdr:col>
      <xdr:colOff>457200</xdr:colOff>
      <xdr:row>55</xdr:row>
      <xdr:rowOff>25400</xdr:rowOff>
    </xdr:to>
    <xdr:sp macro="" textlink="">
      <xdr:nvSpPr>
        <xdr:cNvPr id="55926" name="Line 122">
          <a:extLst>
            <a:ext uri="{FF2B5EF4-FFF2-40B4-BE49-F238E27FC236}">
              <a16:creationId xmlns:a16="http://schemas.microsoft.com/office/drawing/2014/main" id="{8D18BD63-5BEC-01C3-8F88-AC0211CD415C}"/>
            </a:ext>
          </a:extLst>
        </xdr:cNvPr>
        <xdr:cNvSpPr>
          <a:spLocks noChangeShapeType="1"/>
        </xdr:cNvSpPr>
      </xdr:nvSpPr>
      <xdr:spPr bwMode="auto">
        <a:xfrm flipV="1">
          <a:off x="4673600" y="9639300"/>
          <a:ext cx="114300" cy="2159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12700</xdr:colOff>
      <xdr:row>53</xdr:row>
      <xdr:rowOff>114300</xdr:rowOff>
    </xdr:from>
    <xdr:to>
      <xdr:col>12</xdr:col>
      <xdr:colOff>101600</xdr:colOff>
      <xdr:row>55</xdr:row>
      <xdr:rowOff>12700</xdr:rowOff>
    </xdr:to>
    <xdr:sp macro="" textlink="">
      <xdr:nvSpPr>
        <xdr:cNvPr id="55927" name="Line 123">
          <a:extLst>
            <a:ext uri="{FF2B5EF4-FFF2-40B4-BE49-F238E27FC236}">
              <a16:creationId xmlns:a16="http://schemas.microsoft.com/office/drawing/2014/main" id="{26B8C2DF-2B51-1E92-777D-B8E3FA7EE5C8}"/>
            </a:ext>
          </a:extLst>
        </xdr:cNvPr>
        <xdr:cNvSpPr>
          <a:spLocks noChangeShapeType="1"/>
        </xdr:cNvSpPr>
      </xdr:nvSpPr>
      <xdr:spPr bwMode="auto">
        <a:xfrm>
          <a:off x="5232400" y="9613900"/>
          <a:ext cx="88900" cy="2286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228600</xdr:colOff>
      <xdr:row>52</xdr:row>
      <xdr:rowOff>12700</xdr:rowOff>
    </xdr:from>
    <xdr:to>
      <xdr:col>11</xdr:col>
      <xdr:colOff>228600</xdr:colOff>
      <xdr:row>57</xdr:row>
      <xdr:rowOff>38100</xdr:rowOff>
    </xdr:to>
    <xdr:sp macro="" textlink="">
      <xdr:nvSpPr>
        <xdr:cNvPr id="55928" name="Line 124">
          <a:extLst>
            <a:ext uri="{FF2B5EF4-FFF2-40B4-BE49-F238E27FC236}">
              <a16:creationId xmlns:a16="http://schemas.microsoft.com/office/drawing/2014/main" id="{C59A89E9-3957-A6A5-969F-865CA23B98B0}"/>
            </a:ext>
          </a:extLst>
        </xdr:cNvPr>
        <xdr:cNvSpPr>
          <a:spLocks noChangeShapeType="1"/>
        </xdr:cNvSpPr>
      </xdr:nvSpPr>
      <xdr:spPr bwMode="auto">
        <a:xfrm>
          <a:off x="5016500" y="9347200"/>
          <a:ext cx="0" cy="8509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88900</xdr:colOff>
      <xdr:row>53</xdr:row>
      <xdr:rowOff>25400</xdr:rowOff>
    </xdr:from>
    <xdr:to>
      <xdr:col>13</xdr:col>
      <xdr:colOff>228600</xdr:colOff>
      <xdr:row>53</xdr:row>
      <xdr:rowOff>25400</xdr:rowOff>
    </xdr:to>
    <xdr:sp macro="" textlink="">
      <xdr:nvSpPr>
        <xdr:cNvPr id="55929" name="Line 125">
          <a:extLst>
            <a:ext uri="{FF2B5EF4-FFF2-40B4-BE49-F238E27FC236}">
              <a16:creationId xmlns:a16="http://schemas.microsoft.com/office/drawing/2014/main" id="{CDDB36B6-91B8-1423-0358-355110734AA5}"/>
            </a:ext>
          </a:extLst>
        </xdr:cNvPr>
        <xdr:cNvSpPr>
          <a:spLocks noChangeShapeType="1"/>
        </xdr:cNvSpPr>
      </xdr:nvSpPr>
      <xdr:spPr bwMode="auto">
        <a:xfrm>
          <a:off x="5308600" y="9525000"/>
          <a:ext cx="6477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165100</xdr:colOff>
      <xdr:row>56</xdr:row>
      <xdr:rowOff>0</xdr:rowOff>
    </xdr:from>
    <xdr:to>
      <xdr:col>13</xdr:col>
      <xdr:colOff>215900</xdr:colOff>
      <xdr:row>56</xdr:row>
      <xdr:rowOff>0</xdr:rowOff>
    </xdr:to>
    <xdr:sp macro="" textlink="">
      <xdr:nvSpPr>
        <xdr:cNvPr id="55930" name="Line 126">
          <a:extLst>
            <a:ext uri="{FF2B5EF4-FFF2-40B4-BE49-F238E27FC236}">
              <a16:creationId xmlns:a16="http://schemas.microsoft.com/office/drawing/2014/main" id="{C5A05354-7DA9-FB30-B084-508D64469D27}"/>
            </a:ext>
          </a:extLst>
        </xdr:cNvPr>
        <xdr:cNvSpPr>
          <a:spLocks noChangeShapeType="1"/>
        </xdr:cNvSpPr>
      </xdr:nvSpPr>
      <xdr:spPr bwMode="auto">
        <a:xfrm flipV="1">
          <a:off x="5384800" y="9994900"/>
          <a:ext cx="5588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139700</xdr:colOff>
      <xdr:row>53</xdr:row>
      <xdr:rowOff>12700</xdr:rowOff>
    </xdr:from>
    <xdr:to>
      <xdr:col>13</xdr:col>
      <xdr:colOff>139700</xdr:colOff>
      <xdr:row>56</xdr:row>
      <xdr:rowOff>12700</xdr:rowOff>
    </xdr:to>
    <xdr:sp macro="" textlink="">
      <xdr:nvSpPr>
        <xdr:cNvPr id="55931" name="Line 127">
          <a:extLst>
            <a:ext uri="{FF2B5EF4-FFF2-40B4-BE49-F238E27FC236}">
              <a16:creationId xmlns:a16="http://schemas.microsoft.com/office/drawing/2014/main" id="{90E6810C-C925-8665-630D-00C1B3E6CFDB}"/>
            </a:ext>
          </a:extLst>
        </xdr:cNvPr>
        <xdr:cNvSpPr>
          <a:spLocks noChangeShapeType="1"/>
        </xdr:cNvSpPr>
      </xdr:nvSpPr>
      <xdr:spPr bwMode="auto">
        <a:xfrm>
          <a:off x="5867400" y="9512300"/>
          <a:ext cx="0" cy="4953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13</xdr:col>
      <xdr:colOff>163195</xdr:colOff>
      <xdr:row>54</xdr:row>
      <xdr:rowOff>15240</xdr:rowOff>
    </xdr:from>
    <xdr:ext cx="151441" cy="227484"/>
    <xdr:sp macro="" textlink="">
      <xdr:nvSpPr>
        <xdr:cNvPr id="18560" name="Text Box 128">
          <a:extLst>
            <a:ext uri="{FF2B5EF4-FFF2-40B4-BE49-F238E27FC236}">
              <a16:creationId xmlns:a16="http://schemas.microsoft.com/office/drawing/2014/main" id="{5D123DA4-BA54-465F-8217-2A210CFC3B22}"/>
            </a:ext>
          </a:extLst>
        </xdr:cNvPr>
        <xdr:cNvSpPr txBox="1">
          <a:spLocks noChangeArrowheads="1"/>
        </xdr:cNvSpPr>
      </xdr:nvSpPr>
      <xdr:spPr bwMode="auto">
        <a:xfrm>
          <a:off x="5282565" y="9511665"/>
          <a:ext cx="138821" cy="204736"/>
        </a:xfrm>
        <a:prstGeom prst="rect">
          <a:avLst/>
        </a:prstGeom>
        <a:noFill/>
        <a:ln>
          <a:noFill/>
        </a:ln>
      </xdr:spPr>
      <xdr:txBody>
        <a:bodyPr wrap="none" lIns="27432" tIns="27432" rIns="0" bIns="0" anchor="t" upright="1">
          <a:spAutoFit/>
        </a:bodyPr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FF00FF"/>
              </a:solidFill>
              <a:latin typeface="Arial"/>
              <a:cs typeface="Arial"/>
            </a:rPr>
            <a:t>H</a:t>
          </a:r>
        </a:p>
      </xdr:txBody>
    </xdr:sp>
    <xdr:clientData/>
  </xdr:oneCellAnchor>
  <xdr:twoCellAnchor>
    <xdr:from>
      <xdr:col>15</xdr:col>
      <xdr:colOff>12700</xdr:colOff>
      <xdr:row>56</xdr:row>
      <xdr:rowOff>0</xdr:rowOff>
    </xdr:from>
    <xdr:to>
      <xdr:col>16</xdr:col>
      <xdr:colOff>177800</xdr:colOff>
      <xdr:row>56</xdr:row>
      <xdr:rowOff>0</xdr:rowOff>
    </xdr:to>
    <xdr:sp macro="" textlink="">
      <xdr:nvSpPr>
        <xdr:cNvPr id="55933" name="Line 129">
          <a:extLst>
            <a:ext uri="{FF2B5EF4-FFF2-40B4-BE49-F238E27FC236}">
              <a16:creationId xmlns:a16="http://schemas.microsoft.com/office/drawing/2014/main" id="{D8B50582-33A3-B2D7-EC40-525EBE0C7E63}"/>
            </a:ext>
          </a:extLst>
        </xdr:cNvPr>
        <xdr:cNvSpPr>
          <a:spLocks noChangeShapeType="1"/>
        </xdr:cNvSpPr>
      </xdr:nvSpPr>
      <xdr:spPr bwMode="auto">
        <a:xfrm>
          <a:off x="6654800" y="9994900"/>
          <a:ext cx="7239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53</xdr:row>
      <xdr:rowOff>12700</xdr:rowOff>
    </xdr:from>
    <xdr:to>
      <xdr:col>15</xdr:col>
      <xdr:colOff>457200</xdr:colOff>
      <xdr:row>53</xdr:row>
      <xdr:rowOff>12700</xdr:rowOff>
    </xdr:to>
    <xdr:sp macro="" textlink="">
      <xdr:nvSpPr>
        <xdr:cNvPr id="55934" name="Line 130">
          <a:extLst>
            <a:ext uri="{FF2B5EF4-FFF2-40B4-BE49-F238E27FC236}">
              <a16:creationId xmlns:a16="http://schemas.microsoft.com/office/drawing/2014/main" id="{E07CCBEF-5F59-335D-6073-59B415320BC4}"/>
            </a:ext>
          </a:extLst>
        </xdr:cNvPr>
        <xdr:cNvSpPr>
          <a:spLocks noChangeShapeType="1"/>
        </xdr:cNvSpPr>
      </xdr:nvSpPr>
      <xdr:spPr bwMode="auto">
        <a:xfrm>
          <a:off x="6642100" y="9512300"/>
          <a:ext cx="4572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139700</xdr:colOff>
      <xdr:row>55</xdr:row>
      <xdr:rowOff>12700</xdr:rowOff>
    </xdr:from>
    <xdr:to>
      <xdr:col>16</xdr:col>
      <xdr:colOff>139700</xdr:colOff>
      <xdr:row>55</xdr:row>
      <xdr:rowOff>152400</xdr:rowOff>
    </xdr:to>
    <xdr:sp macro="" textlink="">
      <xdr:nvSpPr>
        <xdr:cNvPr id="55935" name="Line 131">
          <a:extLst>
            <a:ext uri="{FF2B5EF4-FFF2-40B4-BE49-F238E27FC236}">
              <a16:creationId xmlns:a16="http://schemas.microsoft.com/office/drawing/2014/main" id="{00B3B8EE-FE31-C4D7-BC23-E4D87E5C200C}"/>
            </a:ext>
          </a:extLst>
        </xdr:cNvPr>
        <xdr:cNvSpPr>
          <a:spLocks noChangeShapeType="1"/>
        </xdr:cNvSpPr>
      </xdr:nvSpPr>
      <xdr:spPr bwMode="auto">
        <a:xfrm flipV="1">
          <a:off x="7340600" y="9842500"/>
          <a:ext cx="0" cy="1397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53</xdr:row>
      <xdr:rowOff>12700</xdr:rowOff>
    </xdr:from>
    <xdr:to>
      <xdr:col>15</xdr:col>
      <xdr:colOff>0</xdr:colOff>
      <xdr:row>56</xdr:row>
      <xdr:rowOff>12700</xdr:rowOff>
    </xdr:to>
    <xdr:sp macro="" textlink="">
      <xdr:nvSpPr>
        <xdr:cNvPr id="55936" name="Line 132">
          <a:extLst>
            <a:ext uri="{FF2B5EF4-FFF2-40B4-BE49-F238E27FC236}">
              <a16:creationId xmlns:a16="http://schemas.microsoft.com/office/drawing/2014/main" id="{6374C234-2948-3DC7-5D9D-652CF3D83A2D}"/>
            </a:ext>
          </a:extLst>
        </xdr:cNvPr>
        <xdr:cNvSpPr>
          <a:spLocks noChangeShapeType="1"/>
        </xdr:cNvSpPr>
      </xdr:nvSpPr>
      <xdr:spPr bwMode="auto">
        <a:xfrm>
          <a:off x="6642100" y="9512300"/>
          <a:ext cx="0" cy="4953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419100</xdr:colOff>
      <xdr:row>53</xdr:row>
      <xdr:rowOff>25400</xdr:rowOff>
    </xdr:from>
    <xdr:to>
      <xdr:col>15</xdr:col>
      <xdr:colOff>419100</xdr:colOff>
      <xdr:row>53</xdr:row>
      <xdr:rowOff>165100</xdr:rowOff>
    </xdr:to>
    <xdr:sp macro="" textlink="">
      <xdr:nvSpPr>
        <xdr:cNvPr id="55937" name="Line 133">
          <a:extLst>
            <a:ext uri="{FF2B5EF4-FFF2-40B4-BE49-F238E27FC236}">
              <a16:creationId xmlns:a16="http://schemas.microsoft.com/office/drawing/2014/main" id="{EF658029-6912-C784-0CC0-A36F35B913EA}"/>
            </a:ext>
          </a:extLst>
        </xdr:cNvPr>
        <xdr:cNvSpPr>
          <a:spLocks noChangeShapeType="1"/>
        </xdr:cNvSpPr>
      </xdr:nvSpPr>
      <xdr:spPr bwMode="auto">
        <a:xfrm>
          <a:off x="7061200" y="9525000"/>
          <a:ext cx="0" cy="1397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419100</xdr:colOff>
      <xdr:row>53</xdr:row>
      <xdr:rowOff>139700</xdr:rowOff>
    </xdr:from>
    <xdr:to>
      <xdr:col>16</xdr:col>
      <xdr:colOff>139700</xdr:colOff>
      <xdr:row>55</xdr:row>
      <xdr:rowOff>12700</xdr:rowOff>
    </xdr:to>
    <xdr:sp macro="" textlink="">
      <xdr:nvSpPr>
        <xdr:cNvPr id="55938" name="Line 134">
          <a:extLst>
            <a:ext uri="{FF2B5EF4-FFF2-40B4-BE49-F238E27FC236}">
              <a16:creationId xmlns:a16="http://schemas.microsoft.com/office/drawing/2014/main" id="{09B055BF-34A4-B611-DBE3-B1BB031BBD3A}"/>
            </a:ext>
          </a:extLst>
        </xdr:cNvPr>
        <xdr:cNvSpPr>
          <a:spLocks noChangeShapeType="1"/>
        </xdr:cNvSpPr>
      </xdr:nvSpPr>
      <xdr:spPr bwMode="auto">
        <a:xfrm>
          <a:off x="7061200" y="9639300"/>
          <a:ext cx="279400" cy="2032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215900</xdr:colOff>
      <xdr:row>51</xdr:row>
      <xdr:rowOff>152400</xdr:rowOff>
    </xdr:from>
    <xdr:to>
      <xdr:col>15</xdr:col>
      <xdr:colOff>215900</xdr:colOff>
      <xdr:row>53</xdr:row>
      <xdr:rowOff>139700</xdr:rowOff>
    </xdr:to>
    <xdr:sp macro="" textlink="">
      <xdr:nvSpPr>
        <xdr:cNvPr id="55939" name="Line 135">
          <a:extLst>
            <a:ext uri="{FF2B5EF4-FFF2-40B4-BE49-F238E27FC236}">
              <a16:creationId xmlns:a16="http://schemas.microsoft.com/office/drawing/2014/main" id="{D71C8DD0-73B2-88C1-F53F-8F79F3148580}"/>
            </a:ext>
          </a:extLst>
        </xdr:cNvPr>
        <xdr:cNvSpPr>
          <a:spLocks noChangeShapeType="1"/>
        </xdr:cNvSpPr>
      </xdr:nvSpPr>
      <xdr:spPr bwMode="auto">
        <a:xfrm>
          <a:off x="6858000" y="9321800"/>
          <a:ext cx="0" cy="3175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330200</xdr:colOff>
      <xdr:row>54</xdr:row>
      <xdr:rowOff>139700</xdr:rowOff>
    </xdr:from>
    <xdr:to>
      <xdr:col>15</xdr:col>
      <xdr:colOff>330200</xdr:colOff>
      <xdr:row>57</xdr:row>
      <xdr:rowOff>12700</xdr:rowOff>
    </xdr:to>
    <xdr:sp macro="" textlink="">
      <xdr:nvSpPr>
        <xdr:cNvPr id="55940" name="Line 136">
          <a:extLst>
            <a:ext uri="{FF2B5EF4-FFF2-40B4-BE49-F238E27FC236}">
              <a16:creationId xmlns:a16="http://schemas.microsoft.com/office/drawing/2014/main" id="{DF31C22F-49DC-18B6-6CE4-B993F935CA48}"/>
            </a:ext>
          </a:extLst>
        </xdr:cNvPr>
        <xdr:cNvSpPr>
          <a:spLocks noChangeShapeType="1"/>
        </xdr:cNvSpPr>
      </xdr:nvSpPr>
      <xdr:spPr bwMode="auto">
        <a:xfrm>
          <a:off x="6972300" y="9804400"/>
          <a:ext cx="0" cy="3683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53</xdr:row>
      <xdr:rowOff>12700</xdr:rowOff>
    </xdr:from>
    <xdr:to>
      <xdr:col>17</xdr:col>
      <xdr:colOff>114300</xdr:colOff>
      <xdr:row>53</xdr:row>
      <xdr:rowOff>12700</xdr:rowOff>
    </xdr:to>
    <xdr:sp macro="" textlink="">
      <xdr:nvSpPr>
        <xdr:cNvPr id="55941" name="Line 137">
          <a:extLst>
            <a:ext uri="{FF2B5EF4-FFF2-40B4-BE49-F238E27FC236}">
              <a16:creationId xmlns:a16="http://schemas.microsoft.com/office/drawing/2014/main" id="{85FD345A-744A-19DF-B96A-3793D2BF6A7B}"/>
            </a:ext>
          </a:extLst>
        </xdr:cNvPr>
        <xdr:cNvSpPr>
          <a:spLocks noChangeShapeType="1"/>
        </xdr:cNvSpPr>
      </xdr:nvSpPr>
      <xdr:spPr bwMode="auto">
        <a:xfrm>
          <a:off x="7200900" y="9512300"/>
          <a:ext cx="6350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215900</xdr:colOff>
      <xdr:row>55</xdr:row>
      <xdr:rowOff>152400</xdr:rowOff>
    </xdr:from>
    <xdr:to>
      <xdr:col>17</xdr:col>
      <xdr:colOff>114300</xdr:colOff>
      <xdr:row>55</xdr:row>
      <xdr:rowOff>152400</xdr:rowOff>
    </xdr:to>
    <xdr:sp macro="" textlink="">
      <xdr:nvSpPr>
        <xdr:cNvPr id="55942" name="Line 138">
          <a:extLst>
            <a:ext uri="{FF2B5EF4-FFF2-40B4-BE49-F238E27FC236}">
              <a16:creationId xmlns:a16="http://schemas.microsoft.com/office/drawing/2014/main" id="{252E5370-4EB7-956E-163D-D562ECC5DCD7}"/>
            </a:ext>
          </a:extLst>
        </xdr:cNvPr>
        <xdr:cNvSpPr>
          <a:spLocks noChangeShapeType="1"/>
        </xdr:cNvSpPr>
      </xdr:nvSpPr>
      <xdr:spPr bwMode="auto">
        <a:xfrm flipV="1">
          <a:off x="7416800" y="9982200"/>
          <a:ext cx="4191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17</xdr:col>
      <xdr:colOff>38100</xdr:colOff>
      <xdr:row>54</xdr:row>
      <xdr:rowOff>11430</xdr:rowOff>
    </xdr:from>
    <xdr:ext cx="151441" cy="235328"/>
    <xdr:sp macro="" textlink="">
      <xdr:nvSpPr>
        <xdr:cNvPr id="18571" name="Text Box 139">
          <a:extLst>
            <a:ext uri="{FF2B5EF4-FFF2-40B4-BE49-F238E27FC236}">
              <a16:creationId xmlns:a16="http://schemas.microsoft.com/office/drawing/2014/main" id="{C1883141-A562-D341-9712-572B67D88305}"/>
            </a:ext>
          </a:extLst>
        </xdr:cNvPr>
        <xdr:cNvSpPr txBox="1">
          <a:spLocks noChangeArrowheads="1"/>
        </xdr:cNvSpPr>
      </xdr:nvSpPr>
      <xdr:spPr bwMode="auto">
        <a:xfrm>
          <a:off x="7010400" y="9557385"/>
          <a:ext cx="138821" cy="204736"/>
        </a:xfrm>
        <a:prstGeom prst="rect">
          <a:avLst/>
        </a:prstGeom>
        <a:noFill/>
        <a:ln>
          <a:noFill/>
        </a:ln>
      </xdr:spPr>
      <xdr:txBody>
        <a:bodyPr wrap="none" lIns="27432" tIns="27432" rIns="0" bIns="0" anchor="t" upright="1">
          <a:spAutoFit/>
        </a:bodyPr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FF00FF"/>
              </a:solidFill>
              <a:latin typeface="Arial"/>
              <a:cs typeface="Arial"/>
            </a:rPr>
            <a:t>H</a:t>
          </a:r>
        </a:p>
      </xdr:txBody>
    </xdr:sp>
    <xdr:clientData/>
  </xdr:oneCellAnchor>
  <xdr:twoCellAnchor>
    <xdr:from>
      <xdr:col>17</xdr:col>
      <xdr:colOff>0</xdr:colOff>
      <xdr:row>53</xdr:row>
      <xdr:rowOff>12700</xdr:rowOff>
    </xdr:from>
    <xdr:to>
      <xdr:col>17</xdr:col>
      <xdr:colOff>0</xdr:colOff>
      <xdr:row>56</xdr:row>
      <xdr:rowOff>12700</xdr:rowOff>
    </xdr:to>
    <xdr:sp macro="" textlink="">
      <xdr:nvSpPr>
        <xdr:cNvPr id="55944" name="Line 140">
          <a:extLst>
            <a:ext uri="{FF2B5EF4-FFF2-40B4-BE49-F238E27FC236}">
              <a16:creationId xmlns:a16="http://schemas.microsoft.com/office/drawing/2014/main" id="{0AFAD828-F1DF-D2CA-D95A-3080EB30C60E}"/>
            </a:ext>
          </a:extLst>
        </xdr:cNvPr>
        <xdr:cNvSpPr>
          <a:spLocks noChangeShapeType="1"/>
        </xdr:cNvSpPr>
      </xdr:nvSpPr>
      <xdr:spPr bwMode="auto">
        <a:xfrm>
          <a:off x="7721600" y="9512300"/>
          <a:ext cx="0" cy="4953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10</xdr:col>
      <xdr:colOff>166370</xdr:colOff>
      <xdr:row>57</xdr:row>
      <xdr:rowOff>0</xdr:rowOff>
    </xdr:from>
    <xdr:ext cx="923458" cy="170560"/>
    <xdr:sp macro="" textlink="">
      <xdr:nvSpPr>
        <xdr:cNvPr id="18573" name="Text Box 141">
          <a:extLst>
            <a:ext uri="{FF2B5EF4-FFF2-40B4-BE49-F238E27FC236}">
              <a16:creationId xmlns:a16="http://schemas.microsoft.com/office/drawing/2014/main" id="{7AD40744-4A90-5BED-9D9D-D7093A4CEB05}"/>
            </a:ext>
          </a:extLst>
        </xdr:cNvPr>
        <xdr:cNvSpPr txBox="1">
          <a:spLocks noChangeArrowheads="1"/>
        </xdr:cNvSpPr>
      </xdr:nvSpPr>
      <xdr:spPr bwMode="auto">
        <a:xfrm>
          <a:off x="4065270" y="10050780"/>
          <a:ext cx="923458" cy="170560"/>
        </a:xfrm>
        <a:prstGeom prst="rect">
          <a:avLst/>
        </a:prstGeom>
        <a:noFill/>
        <a:ln>
          <a:noFill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Conc. Reducer</a:t>
          </a:r>
        </a:p>
      </xdr:txBody>
    </xdr:sp>
    <xdr:clientData/>
  </xdr:oneCellAnchor>
  <xdr:oneCellAnchor>
    <xdr:from>
      <xdr:col>14</xdr:col>
      <xdr:colOff>281940</xdr:colOff>
      <xdr:row>57</xdr:row>
      <xdr:rowOff>0</xdr:rowOff>
    </xdr:from>
    <xdr:ext cx="1144544" cy="170560"/>
    <xdr:sp macro="" textlink="">
      <xdr:nvSpPr>
        <xdr:cNvPr id="18574" name="Text Box 142">
          <a:extLst>
            <a:ext uri="{FF2B5EF4-FFF2-40B4-BE49-F238E27FC236}">
              <a16:creationId xmlns:a16="http://schemas.microsoft.com/office/drawing/2014/main" id="{B18C07F8-D48E-1082-0A11-99A5172B886C}"/>
            </a:ext>
          </a:extLst>
        </xdr:cNvPr>
        <xdr:cNvSpPr txBox="1">
          <a:spLocks noChangeArrowheads="1"/>
        </xdr:cNvSpPr>
      </xdr:nvSpPr>
      <xdr:spPr bwMode="auto">
        <a:xfrm>
          <a:off x="6530340" y="10160000"/>
          <a:ext cx="1144544" cy="170560"/>
        </a:xfrm>
        <a:prstGeom prst="rect">
          <a:avLst/>
        </a:prstGeom>
        <a:noFill/>
        <a:ln>
          <a:noFill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Eccentric Reducer</a:t>
          </a:r>
        </a:p>
      </xdr:txBody>
    </xdr:sp>
    <xdr:clientData/>
  </xdr:oneCellAnchor>
  <xdr:twoCellAnchor editAs="oneCell">
    <xdr:from>
      <xdr:col>25</xdr:col>
      <xdr:colOff>88900</xdr:colOff>
      <xdr:row>9</xdr:row>
      <xdr:rowOff>203200</xdr:rowOff>
    </xdr:from>
    <xdr:to>
      <xdr:col>36</xdr:col>
      <xdr:colOff>457200</xdr:colOff>
      <xdr:row>16</xdr:row>
      <xdr:rowOff>127297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58089E2-828C-6921-5872-4BD8733A12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61900" y="1689100"/>
          <a:ext cx="7772400" cy="1333797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4</xdr:row>
      <xdr:rowOff>0</xdr:rowOff>
    </xdr:from>
    <xdr:to>
      <xdr:col>2</xdr:col>
      <xdr:colOff>304800</xdr:colOff>
      <xdr:row>4</xdr:row>
      <xdr:rowOff>63500</xdr:rowOff>
    </xdr:to>
    <xdr:sp macro="" textlink="">
      <xdr:nvSpPr>
        <xdr:cNvPr id="46929" name="Rectangle 1">
          <a:extLst>
            <a:ext uri="{FF2B5EF4-FFF2-40B4-BE49-F238E27FC236}">
              <a16:creationId xmlns:a16="http://schemas.microsoft.com/office/drawing/2014/main" id="{7FF917EA-0D59-D6E8-901A-396791B548A5}"/>
            </a:ext>
          </a:extLst>
        </xdr:cNvPr>
        <xdr:cNvSpPr>
          <a:spLocks noChangeArrowheads="1"/>
        </xdr:cNvSpPr>
      </xdr:nvSpPr>
      <xdr:spPr bwMode="auto">
        <a:xfrm>
          <a:off x="571500" y="660400"/>
          <a:ext cx="914400" cy="63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12700</xdr:colOff>
      <xdr:row>4</xdr:row>
      <xdr:rowOff>101600</xdr:rowOff>
    </xdr:from>
    <xdr:to>
      <xdr:col>1</xdr:col>
      <xdr:colOff>12700</xdr:colOff>
      <xdr:row>6</xdr:row>
      <xdr:rowOff>101600</xdr:rowOff>
    </xdr:to>
    <xdr:sp macro="" textlink="">
      <xdr:nvSpPr>
        <xdr:cNvPr id="46930" name="Line 2">
          <a:extLst>
            <a:ext uri="{FF2B5EF4-FFF2-40B4-BE49-F238E27FC236}">
              <a16:creationId xmlns:a16="http://schemas.microsoft.com/office/drawing/2014/main" id="{BEE87609-596B-7494-467D-BEDE51601375}"/>
            </a:ext>
          </a:extLst>
        </xdr:cNvPr>
        <xdr:cNvSpPr>
          <a:spLocks noChangeShapeType="1"/>
        </xdr:cNvSpPr>
      </xdr:nvSpPr>
      <xdr:spPr bwMode="auto">
        <a:xfrm>
          <a:off x="571500" y="762000"/>
          <a:ext cx="0" cy="33020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304800</xdr:colOff>
      <xdr:row>4</xdr:row>
      <xdr:rowOff>101600</xdr:rowOff>
    </xdr:from>
    <xdr:to>
      <xdr:col>2</xdr:col>
      <xdr:colOff>304800</xdr:colOff>
      <xdr:row>6</xdr:row>
      <xdr:rowOff>101600</xdr:rowOff>
    </xdr:to>
    <xdr:sp macro="" textlink="">
      <xdr:nvSpPr>
        <xdr:cNvPr id="46931" name="Line 3">
          <a:extLst>
            <a:ext uri="{FF2B5EF4-FFF2-40B4-BE49-F238E27FC236}">
              <a16:creationId xmlns:a16="http://schemas.microsoft.com/office/drawing/2014/main" id="{7B601D31-B50C-E52F-B5BE-C548B30828C1}"/>
            </a:ext>
          </a:extLst>
        </xdr:cNvPr>
        <xdr:cNvSpPr>
          <a:spLocks noChangeShapeType="1"/>
        </xdr:cNvSpPr>
      </xdr:nvSpPr>
      <xdr:spPr bwMode="auto">
        <a:xfrm>
          <a:off x="1485900" y="762000"/>
          <a:ext cx="0" cy="33020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101600</xdr:colOff>
      <xdr:row>4</xdr:row>
      <xdr:rowOff>12700</xdr:rowOff>
    </xdr:from>
    <xdr:to>
      <xdr:col>5</xdr:col>
      <xdr:colOff>469900</xdr:colOff>
      <xdr:row>4</xdr:row>
      <xdr:rowOff>101600</xdr:rowOff>
    </xdr:to>
    <xdr:sp macro="" textlink="">
      <xdr:nvSpPr>
        <xdr:cNvPr id="46932" name="Rectangle 4">
          <a:extLst>
            <a:ext uri="{FF2B5EF4-FFF2-40B4-BE49-F238E27FC236}">
              <a16:creationId xmlns:a16="http://schemas.microsoft.com/office/drawing/2014/main" id="{1633CDCC-DADA-1138-0B6F-F891671A1B6C}"/>
            </a:ext>
          </a:extLst>
        </xdr:cNvPr>
        <xdr:cNvSpPr>
          <a:spLocks noChangeArrowheads="1"/>
        </xdr:cNvSpPr>
      </xdr:nvSpPr>
      <xdr:spPr bwMode="auto">
        <a:xfrm>
          <a:off x="2527300" y="673100"/>
          <a:ext cx="939800" cy="88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381000</xdr:colOff>
      <xdr:row>4</xdr:row>
      <xdr:rowOff>25400</xdr:rowOff>
    </xdr:from>
    <xdr:to>
      <xdr:col>9</xdr:col>
      <xdr:colOff>495300</xdr:colOff>
      <xdr:row>4</xdr:row>
      <xdr:rowOff>101600</xdr:rowOff>
    </xdr:to>
    <xdr:sp macro="" textlink="">
      <xdr:nvSpPr>
        <xdr:cNvPr id="46933" name="Rectangle 5">
          <a:extLst>
            <a:ext uri="{FF2B5EF4-FFF2-40B4-BE49-F238E27FC236}">
              <a16:creationId xmlns:a16="http://schemas.microsoft.com/office/drawing/2014/main" id="{7EBDC755-6801-EC77-477C-C4E62E69A56A}"/>
            </a:ext>
          </a:extLst>
        </xdr:cNvPr>
        <xdr:cNvSpPr>
          <a:spLocks noChangeArrowheads="1"/>
        </xdr:cNvSpPr>
      </xdr:nvSpPr>
      <xdr:spPr bwMode="auto">
        <a:xfrm>
          <a:off x="4699000" y="685800"/>
          <a:ext cx="977900" cy="76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317500</xdr:colOff>
      <xdr:row>4</xdr:row>
      <xdr:rowOff>101600</xdr:rowOff>
    </xdr:from>
    <xdr:to>
      <xdr:col>12</xdr:col>
      <xdr:colOff>533400</xdr:colOff>
      <xdr:row>4</xdr:row>
      <xdr:rowOff>152400</xdr:rowOff>
    </xdr:to>
    <xdr:sp macro="" textlink="">
      <xdr:nvSpPr>
        <xdr:cNvPr id="46934" name="Rectangle 6">
          <a:extLst>
            <a:ext uri="{FF2B5EF4-FFF2-40B4-BE49-F238E27FC236}">
              <a16:creationId xmlns:a16="http://schemas.microsoft.com/office/drawing/2014/main" id="{0AEC768D-960B-1FC1-7F79-75A7F4148F76}"/>
            </a:ext>
          </a:extLst>
        </xdr:cNvPr>
        <xdr:cNvSpPr>
          <a:spLocks noChangeArrowheads="1"/>
        </xdr:cNvSpPr>
      </xdr:nvSpPr>
      <xdr:spPr bwMode="auto">
        <a:xfrm>
          <a:off x="6731000" y="762000"/>
          <a:ext cx="825500" cy="50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miter lim="800000"/>
          <a:headEnd/>
          <a:tailEnd/>
        </a:ln>
      </xdr:spPr>
    </xdr:sp>
    <xdr:clientData/>
  </xdr:twoCellAnchor>
  <xdr:twoCellAnchor>
    <xdr:from>
      <xdr:col>14</xdr:col>
      <xdr:colOff>431800</xdr:colOff>
      <xdr:row>4</xdr:row>
      <xdr:rowOff>50800</xdr:rowOff>
    </xdr:from>
    <xdr:to>
      <xdr:col>15</xdr:col>
      <xdr:colOff>635000</xdr:colOff>
      <xdr:row>4</xdr:row>
      <xdr:rowOff>114300</xdr:rowOff>
    </xdr:to>
    <xdr:sp macro="" textlink="">
      <xdr:nvSpPr>
        <xdr:cNvPr id="46935" name="Rectangle 7">
          <a:extLst>
            <a:ext uri="{FF2B5EF4-FFF2-40B4-BE49-F238E27FC236}">
              <a16:creationId xmlns:a16="http://schemas.microsoft.com/office/drawing/2014/main" id="{E02C9B6F-5751-6ADA-381B-7B71872063C5}"/>
            </a:ext>
          </a:extLst>
        </xdr:cNvPr>
        <xdr:cNvSpPr>
          <a:spLocks noChangeArrowheads="1"/>
        </xdr:cNvSpPr>
      </xdr:nvSpPr>
      <xdr:spPr bwMode="auto">
        <a:xfrm>
          <a:off x="8559800" y="711200"/>
          <a:ext cx="762000" cy="63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495300</xdr:colOff>
      <xdr:row>1</xdr:row>
      <xdr:rowOff>139700</xdr:rowOff>
    </xdr:from>
    <xdr:to>
      <xdr:col>1</xdr:col>
      <xdr:colOff>495300</xdr:colOff>
      <xdr:row>5</xdr:row>
      <xdr:rowOff>38100</xdr:rowOff>
    </xdr:to>
    <xdr:sp macro="" textlink="">
      <xdr:nvSpPr>
        <xdr:cNvPr id="46936" name="Line 8">
          <a:extLst>
            <a:ext uri="{FF2B5EF4-FFF2-40B4-BE49-F238E27FC236}">
              <a16:creationId xmlns:a16="http://schemas.microsoft.com/office/drawing/2014/main" id="{400771FE-ECE6-ADE8-913C-B410635759DD}"/>
            </a:ext>
          </a:extLst>
        </xdr:cNvPr>
        <xdr:cNvSpPr>
          <a:spLocks noChangeShapeType="1"/>
        </xdr:cNvSpPr>
      </xdr:nvSpPr>
      <xdr:spPr bwMode="auto">
        <a:xfrm flipV="1">
          <a:off x="1054100" y="304800"/>
          <a:ext cx="0" cy="5588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292100</xdr:colOff>
      <xdr:row>2</xdr:row>
      <xdr:rowOff>63500</xdr:rowOff>
    </xdr:from>
    <xdr:to>
      <xdr:col>2</xdr:col>
      <xdr:colOff>50800</xdr:colOff>
      <xdr:row>2</xdr:row>
      <xdr:rowOff>63500</xdr:rowOff>
    </xdr:to>
    <xdr:sp macro="" textlink="">
      <xdr:nvSpPr>
        <xdr:cNvPr id="46937" name="Line 9">
          <a:extLst>
            <a:ext uri="{FF2B5EF4-FFF2-40B4-BE49-F238E27FC236}">
              <a16:creationId xmlns:a16="http://schemas.microsoft.com/office/drawing/2014/main" id="{BB68E01B-C1D2-1729-5F45-444E49554D13}"/>
            </a:ext>
          </a:extLst>
        </xdr:cNvPr>
        <xdr:cNvSpPr>
          <a:spLocks noChangeShapeType="1"/>
        </xdr:cNvSpPr>
      </xdr:nvSpPr>
      <xdr:spPr bwMode="auto">
        <a:xfrm>
          <a:off x="850900" y="393700"/>
          <a:ext cx="3810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114300</xdr:colOff>
      <xdr:row>2</xdr:row>
      <xdr:rowOff>63500</xdr:rowOff>
    </xdr:from>
    <xdr:to>
      <xdr:col>3</xdr:col>
      <xdr:colOff>50800</xdr:colOff>
      <xdr:row>2</xdr:row>
      <xdr:rowOff>63500</xdr:rowOff>
    </xdr:to>
    <xdr:sp macro="" textlink="">
      <xdr:nvSpPr>
        <xdr:cNvPr id="46938" name="Line 10">
          <a:extLst>
            <a:ext uri="{FF2B5EF4-FFF2-40B4-BE49-F238E27FC236}">
              <a16:creationId xmlns:a16="http://schemas.microsoft.com/office/drawing/2014/main" id="{4C615238-FD45-A602-4544-C459F97388F4}"/>
            </a:ext>
          </a:extLst>
        </xdr:cNvPr>
        <xdr:cNvSpPr>
          <a:spLocks noChangeShapeType="1"/>
        </xdr:cNvSpPr>
      </xdr:nvSpPr>
      <xdr:spPr bwMode="auto">
        <a:xfrm>
          <a:off x="1295400" y="393700"/>
          <a:ext cx="5080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368300</xdr:colOff>
      <xdr:row>4</xdr:row>
      <xdr:rowOff>101600</xdr:rowOff>
    </xdr:from>
    <xdr:to>
      <xdr:col>3</xdr:col>
      <xdr:colOff>63500</xdr:colOff>
      <xdr:row>4</xdr:row>
      <xdr:rowOff>101600</xdr:rowOff>
    </xdr:to>
    <xdr:sp macro="" textlink="">
      <xdr:nvSpPr>
        <xdr:cNvPr id="46939" name="Line 11">
          <a:extLst>
            <a:ext uri="{FF2B5EF4-FFF2-40B4-BE49-F238E27FC236}">
              <a16:creationId xmlns:a16="http://schemas.microsoft.com/office/drawing/2014/main" id="{F4E603C1-C856-29EF-48FD-BAFA2B3BC9B5}"/>
            </a:ext>
          </a:extLst>
        </xdr:cNvPr>
        <xdr:cNvSpPr>
          <a:spLocks noChangeShapeType="1"/>
        </xdr:cNvSpPr>
      </xdr:nvSpPr>
      <xdr:spPr bwMode="auto">
        <a:xfrm flipV="1">
          <a:off x="1549400" y="762000"/>
          <a:ext cx="2667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38100</xdr:colOff>
      <xdr:row>2</xdr:row>
      <xdr:rowOff>63500</xdr:rowOff>
    </xdr:from>
    <xdr:to>
      <xdr:col>2</xdr:col>
      <xdr:colOff>38100</xdr:colOff>
      <xdr:row>2</xdr:row>
      <xdr:rowOff>114300</xdr:rowOff>
    </xdr:to>
    <xdr:sp macro="" textlink="">
      <xdr:nvSpPr>
        <xdr:cNvPr id="46940" name="Line 12">
          <a:extLst>
            <a:ext uri="{FF2B5EF4-FFF2-40B4-BE49-F238E27FC236}">
              <a16:creationId xmlns:a16="http://schemas.microsoft.com/office/drawing/2014/main" id="{4ABFE8A1-97C6-A51A-C44A-C34A4C042733}"/>
            </a:ext>
          </a:extLst>
        </xdr:cNvPr>
        <xdr:cNvSpPr>
          <a:spLocks noChangeShapeType="1"/>
        </xdr:cNvSpPr>
      </xdr:nvSpPr>
      <xdr:spPr bwMode="auto">
        <a:xfrm>
          <a:off x="1219200" y="393700"/>
          <a:ext cx="0" cy="508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317500</xdr:colOff>
      <xdr:row>2</xdr:row>
      <xdr:rowOff>63500</xdr:rowOff>
    </xdr:from>
    <xdr:to>
      <xdr:col>1</xdr:col>
      <xdr:colOff>317500</xdr:colOff>
      <xdr:row>2</xdr:row>
      <xdr:rowOff>114300</xdr:rowOff>
    </xdr:to>
    <xdr:sp macro="" textlink="">
      <xdr:nvSpPr>
        <xdr:cNvPr id="46941" name="Line 13">
          <a:extLst>
            <a:ext uri="{FF2B5EF4-FFF2-40B4-BE49-F238E27FC236}">
              <a16:creationId xmlns:a16="http://schemas.microsoft.com/office/drawing/2014/main" id="{025FCF59-469F-6003-8250-B2609E5915C1}"/>
            </a:ext>
          </a:extLst>
        </xdr:cNvPr>
        <xdr:cNvSpPr>
          <a:spLocks noChangeShapeType="1"/>
        </xdr:cNvSpPr>
      </xdr:nvSpPr>
      <xdr:spPr bwMode="auto">
        <a:xfrm>
          <a:off x="876300" y="393700"/>
          <a:ext cx="0" cy="508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38100</xdr:colOff>
      <xdr:row>2</xdr:row>
      <xdr:rowOff>101600</xdr:rowOff>
    </xdr:from>
    <xdr:to>
      <xdr:col>2</xdr:col>
      <xdr:colOff>203200</xdr:colOff>
      <xdr:row>3</xdr:row>
      <xdr:rowOff>152400</xdr:rowOff>
    </xdr:to>
    <xdr:sp macro="" textlink="">
      <xdr:nvSpPr>
        <xdr:cNvPr id="46942" name="Line 14">
          <a:extLst>
            <a:ext uri="{FF2B5EF4-FFF2-40B4-BE49-F238E27FC236}">
              <a16:creationId xmlns:a16="http://schemas.microsoft.com/office/drawing/2014/main" id="{A2B84B52-F5CE-BE9A-B3FF-B3839DEA512A}"/>
            </a:ext>
          </a:extLst>
        </xdr:cNvPr>
        <xdr:cNvSpPr>
          <a:spLocks noChangeShapeType="1"/>
        </xdr:cNvSpPr>
      </xdr:nvSpPr>
      <xdr:spPr bwMode="auto">
        <a:xfrm>
          <a:off x="1219200" y="431800"/>
          <a:ext cx="165100" cy="2159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114300</xdr:colOff>
      <xdr:row>2</xdr:row>
      <xdr:rowOff>101600</xdr:rowOff>
    </xdr:from>
    <xdr:to>
      <xdr:col>1</xdr:col>
      <xdr:colOff>292100</xdr:colOff>
      <xdr:row>4</xdr:row>
      <xdr:rowOff>0</xdr:rowOff>
    </xdr:to>
    <xdr:sp macro="" textlink="">
      <xdr:nvSpPr>
        <xdr:cNvPr id="46943" name="Line 15">
          <a:extLst>
            <a:ext uri="{FF2B5EF4-FFF2-40B4-BE49-F238E27FC236}">
              <a16:creationId xmlns:a16="http://schemas.microsoft.com/office/drawing/2014/main" id="{1D29972F-9171-D2EC-C5BA-A88B59684893}"/>
            </a:ext>
          </a:extLst>
        </xdr:cNvPr>
        <xdr:cNvSpPr>
          <a:spLocks noChangeShapeType="1"/>
        </xdr:cNvSpPr>
      </xdr:nvSpPr>
      <xdr:spPr bwMode="auto">
        <a:xfrm flipH="1">
          <a:off x="673100" y="431800"/>
          <a:ext cx="177800" cy="2286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12700</xdr:colOff>
      <xdr:row>6</xdr:row>
      <xdr:rowOff>63500</xdr:rowOff>
    </xdr:from>
    <xdr:to>
      <xdr:col>2</xdr:col>
      <xdr:colOff>330200</xdr:colOff>
      <xdr:row>6</xdr:row>
      <xdr:rowOff>63500</xdr:rowOff>
    </xdr:to>
    <xdr:sp macro="" textlink="">
      <xdr:nvSpPr>
        <xdr:cNvPr id="46944" name="Line 16">
          <a:extLst>
            <a:ext uri="{FF2B5EF4-FFF2-40B4-BE49-F238E27FC236}">
              <a16:creationId xmlns:a16="http://schemas.microsoft.com/office/drawing/2014/main" id="{A5A4C07F-02AA-1843-FECC-6FE024FCC5A6}"/>
            </a:ext>
          </a:extLst>
        </xdr:cNvPr>
        <xdr:cNvSpPr>
          <a:spLocks noChangeShapeType="1"/>
        </xdr:cNvSpPr>
      </xdr:nvSpPr>
      <xdr:spPr bwMode="auto">
        <a:xfrm flipV="1">
          <a:off x="571500" y="1054100"/>
          <a:ext cx="9398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1</xdr:col>
      <xdr:colOff>401955</xdr:colOff>
      <xdr:row>5</xdr:row>
      <xdr:rowOff>30480</xdr:rowOff>
    </xdr:from>
    <xdr:to>
      <xdr:col>1</xdr:col>
      <xdr:colOff>617402</xdr:colOff>
      <xdr:row>6</xdr:row>
      <xdr:rowOff>83952</xdr:rowOff>
    </xdr:to>
    <xdr:sp macro="" textlink="">
      <xdr:nvSpPr>
        <xdr:cNvPr id="19473" name="Text Box 17">
          <a:extLst>
            <a:ext uri="{FF2B5EF4-FFF2-40B4-BE49-F238E27FC236}">
              <a16:creationId xmlns:a16="http://schemas.microsoft.com/office/drawing/2014/main" id="{48A8B389-F907-3A55-F1A0-A9AFFBE51B04}"/>
            </a:ext>
          </a:extLst>
        </xdr:cNvPr>
        <xdr:cNvSpPr txBox="1">
          <a:spLocks noChangeArrowheads="1"/>
        </xdr:cNvSpPr>
      </xdr:nvSpPr>
      <xdr:spPr bwMode="auto">
        <a:xfrm>
          <a:off x="838200" y="847725"/>
          <a:ext cx="180975" cy="219075"/>
        </a:xfrm>
        <a:prstGeom prst="rect">
          <a:avLst/>
        </a:prstGeom>
        <a:noFill/>
        <a:ln>
          <a:noFill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O</a:t>
          </a:r>
        </a:p>
      </xdr:txBody>
    </xdr:sp>
    <xdr:clientData/>
  </xdr:twoCellAnchor>
  <xdr:twoCellAnchor>
    <xdr:from>
      <xdr:col>2</xdr:col>
      <xdr:colOff>520700</xdr:colOff>
      <xdr:row>2</xdr:row>
      <xdr:rowOff>63500</xdr:rowOff>
    </xdr:from>
    <xdr:to>
      <xdr:col>2</xdr:col>
      <xdr:colOff>520700</xdr:colOff>
      <xdr:row>4</xdr:row>
      <xdr:rowOff>101600</xdr:rowOff>
    </xdr:to>
    <xdr:sp macro="" textlink="">
      <xdr:nvSpPr>
        <xdr:cNvPr id="46946" name="Line 18">
          <a:extLst>
            <a:ext uri="{FF2B5EF4-FFF2-40B4-BE49-F238E27FC236}">
              <a16:creationId xmlns:a16="http://schemas.microsoft.com/office/drawing/2014/main" id="{7BC57DCF-C5DD-611C-CCA0-C0F72A372348}"/>
            </a:ext>
          </a:extLst>
        </xdr:cNvPr>
        <xdr:cNvSpPr>
          <a:spLocks noChangeShapeType="1"/>
        </xdr:cNvSpPr>
      </xdr:nvSpPr>
      <xdr:spPr bwMode="auto">
        <a:xfrm>
          <a:off x="1701800" y="393700"/>
          <a:ext cx="0" cy="3683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3</xdr:col>
      <xdr:colOff>39370</xdr:colOff>
      <xdr:row>2</xdr:row>
      <xdr:rowOff>140970</xdr:rowOff>
    </xdr:from>
    <xdr:to>
      <xdr:col>3</xdr:col>
      <xdr:colOff>253921</xdr:colOff>
      <xdr:row>4</xdr:row>
      <xdr:rowOff>12413</xdr:rowOff>
    </xdr:to>
    <xdr:sp macro="" textlink="">
      <xdr:nvSpPr>
        <xdr:cNvPr id="19475" name="Text Box 19">
          <a:extLst>
            <a:ext uri="{FF2B5EF4-FFF2-40B4-BE49-F238E27FC236}">
              <a16:creationId xmlns:a16="http://schemas.microsoft.com/office/drawing/2014/main" id="{330889DB-35DD-08CC-1FD4-2F5A341394E5}"/>
            </a:ext>
          </a:extLst>
        </xdr:cNvPr>
        <xdr:cNvSpPr txBox="1">
          <a:spLocks noChangeArrowheads="1"/>
        </xdr:cNvSpPr>
      </xdr:nvSpPr>
      <xdr:spPr bwMode="auto">
        <a:xfrm>
          <a:off x="1562100" y="466725"/>
          <a:ext cx="200025" cy="190500"/>
        </a:xfrm>
        <a:prstGeom prst="rect">
          <a:avLst/>
        </a:prstGeom>
        <a:noFill/>
        <a:ln>
          <a:noFill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Y</a:t>
          </a:r>
        </a:p>
      </xdr:txBody>
    </xdr:sp>
    <xdr:clientData/>
  </xdr:twoCellAnchor>
  <xdr:twoCellAnchor>
    <xdr:from>
      <xdr:col>1</xdr:col>
      <xdr:colOff>165100</xdr:colOff>
      <xdr:row>4</xdr:row>
      <xdr:rowOff>76200</xdr:rowOff>
    </xdr:from>
    <xdr:to>
      <xdr:col>2</xdr:col>
      <xdr:colOff>190500</xdr:colOff>
      <xdr:row>4</xdr:row>
      <xdr:rowOff>101600</xdr:rowOff>
    </xdr:to>
    <xdr:sp macro="" textlink="">
      <xdr:nvSpPr>
        <xdr:cNvPr id="46948" name="Rectangle 20">
          <a:extLst>
            <a:ext uri="{FF2B5EF4-FFF2-40B4-BE49-F238E27FC236}">
              <a16:creationId xmlns:a16="http://schemas.microsoft.com/office/drawing/2014/main" id="{23093D3F-3697-1D1C-7C06-027C54103B5E}"/>
            </a:ext>
          </a:extLst>
        </xdr:cNvPr>
        <xdr:cNvSpPr>
          <a:spLocks noChangeArrowheads="1"/>
        </xdr:cNvSpPr>
      </xdr:nvSpPr>
      <xdr:spPr bwMode="auto">
        <a:xfrm>
          <a:off x="723900" y="736600"/>
          <a:ext cx="647700" cy="25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905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228600</xdr:colOff>
      <xdr:row>4</xdr:row>
      <xdr:rowOff>101600</xdr:rowOff>
    </xdr:from>
    <xdr:to>
      <xdr:col>1</xdr:col>
      <xdr:colOff>114300</xdr:colOff>
      <xdr:row>4</xdr:row>
      <xdr:rowOff>101600</xdr:rowOff>
    </xdr:to>
    <xdr:sp macro="" textlink="">
      <xdr:nvSpPr>
        <xdr:cNvPr id="46949" name="Line 21">
          <a:extLst>
            <a:ext uri="{FF2B5EF4-FFF2-40B4-BE49-F238E27FC236}">
              <a16:creationId xmlns:a16="http://schemas.microsoft.com/office/drawing/2014/main" id="{FE07B91A-3DF1-70A3-8077-39AA8DD055E5}"/>
            </a:ext>
          </a:extLst>
        </xdr:cNvPr>
        <xdr:cNvSpPr>
          <a:spLocks noChangeShapeType="1"/>
        </xdr:cNvSpPr>
      </xdr:nvSpPr>
      <xdr:spPr bwMode="auto">
        <a:xfrm>
          <a:off x="228600" y="762000"/>
          <a:ext cx="4445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228600</xdr:colOff>
      <xdr:row>4</xdr:row>
      <xdr:rowOff>0</xdr:rowOff>
    </xdr:from>
    <xdr:to>
      <xdr:col>0</xdr:col>
      <xdr:colOff>520700</xdr:colOff>
      <xdr:row>4</xdr:row>
      <xdr:rowOff>0</xdr:rowOff>
    </xdr:to>
    <xdr:sp macro="" textlink="">
      <xdr:nvSpPr>
        <xdr:cNvPr id="46950" name="Line 22">
          <a:extLst>
            <a:ext uri="{FF2B5EF4-FFF2-40B4-BE49-F238E27FC236}">
              <a16:creationId xmlns:a16="http://schemas.microsoft.com/office/drawing/2014/main" id="{4672B6D4-F180-D1CB-74B5-66862D1EE039}"/>
            </a:ext>
          </a:extLst>
        </xdr:cNvPr>
        <xdr:cNvSpPr>
          <a:spLocks noChangeShapeType="1"/>
        </xdr:cNvSpPr>
      </xdr:nvSpPr>
      <xdr:spPr bwMode="auto">
        <a:xfrm>
          <a:off x="228600" y="660400"/>
          <a:ext cx="2921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292100</xdr:colOff>
      <xdr:row>2</xdr:row>
      <xdr:rowOff>101600</xdr:rowOff>
    </xdr:from>
    <xdr:to>
      <xdr:col>0</xdr:col>
      <xdr:colOff>292100</xdr:colOff>
      <xdr:row>3</xdr:row>
      <xdr:rowOff>152400</xdr:rowOff>
    </xdr:to>
    <xdr:sp macro="" textlink="">
      <xdr:nvSpPr>
        <xdr:cNvPr id="46951" name="Line 23">
          <a:extLst>
            <a:ext uri="{FF2B5EF4-FFF2-40B4-BE49-F238E27FC236}">
              <a16:creationId xmlns:a16="http://schemas.microsoft.com/office/drawing/2014/main" id="{8594570A-A138-0EDC-7E15-3A77EC39BA47}"/>
            </a:ext>
          </a:extLst>
        </xdr:cNvPr>
        <xdr:cNvSpPr>
          <a:spLocks noChangeShapeType="1"/>
        </xdr:cNvSpPr>
      </xdr:nvSpPr>
      <xdr:spPr bwMode="auto">
        <a:xfrm flipV="1">
          <a:off x="292100" y="431800"/>
          <a:ext cx="0" cy="2159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292100</xdr:colOff>
      <xdr:row>2</xdr:row>
      <xdr:rowOff>101600</xdr:rowOff>
    </xdr:from>
    <xdr:to>
      <xdr:col>0</xdr:col>
      <xdr:colOff>355600</xdr:colOff>
      <xdr:row>2</xdr:row>
      <xdr:rowOff>101600</xdr:rowOff>
    </xdr:to>
    <xdr:sp macro="" textlink="">
      <xdr:nvSpPr>
        <xdr:cNvPr id="46952" name="Line 24">
          <a:extLst>
            <a:ext uri="{FF2B5EF4-FFF2-40B4-BE49-F238E27FC236}">
              <a16:creationId xmlns:a16="http://schemas.microsoft.com/office/drawing/2014/main" id="{4D78DC22-B8CE-1EF0-79EE-B21D0E3E6AA9}"/>
            </a:ext>
          </a:extLst>
        </xdr:cNvPr>
        <xdr:cNvSpPr>
          <a:spLocks noChangeShapeType="1"/>
        </xdr:cNvSpPr>
      </xdr:nvSpPr>
      <xdr:spPr bwMode="auto">
        <a:xfrm>
          <a:off x="292100" y="431800"/>
          <a:ext cx="635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292100</xdr:colOff>
      <xdr:row>4</xdr:row>
      <xdr:rowOff>101600</xdr:rowOff>
    </xdr:from>
    <xdr:to>
      <xdr:col>0</xdr:col>
      <xdr:colOff>292100</xdr:colOff>
      <xdr:row>5</xdr:row>
      <xdr:rowOff>152400</xdr:rowOff>
    </xdr:to>
    <xdr:sp macro="" textlink="">
      <xdr:nvSpPr>
        <xdr:cNvPr id="46953" name="Line 25">
          <a:extLst>
            <a:ext uri="{FF2B5EF4-FFF2-40B4-BE49-F238E27FC236}">
              <a16:creationId xmlns:a16="http://schemas.microsoft.com/office/drawing/2014/main" id="{81FB7BEF-29D1-BBC5-48A6-AE077453F861}"/>
            </a:ext>
          </a:extLst>
        </xdr:cNvPr>
        <xdr:cNvSpPr>
          <a:spLocks noChangeShapeType="1"/>
        </xdr:cNvSpPr>
      </xdr:nvSpPr>
      <xdr:spPr bwMode="auto">
        <a:xfrm>
          <a:off x="292100" y="762000"/>
          <a:ext cx="0" cy="2159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360045</xdr:colOff>
      <xdr:row>1</xdr:row>
      <xdr:rowOff>149225</xdr:rowOff>
    </xdr:from>
    <xdr:ext cx="151441" cy="240865"/>
    <xdr:sp macro="" textlink="">
      <xdr:nvSpPr>
        <xdr:cNvPr id="19482" name="Text Box 26">
          <a:extLst>
            <a:ext uri="{FF2B5EF4-FFF2-40B4-BE49-F238E27FC236}">
              <a16:creationId xmlns:a16="http://schemas.microsoft.com/office/drawing/2014/main" id="{BCBA7AAB-E0D4-2FB7-B67E-B9D07F2DDF15}"/>
            </a:ext>
          </a:extLst>
        </xdr:cNvPr>
        <xdr:cNvSpPr txBox="1">
          <a:spLocks noChangeArrowheads="1"/>
        </xdr:cNvSpPr>
      </xdr:nvSpPr>
      <xdr:spPr bwMode="auto">
        <a:xfrm>
          <a:off x="331470" y="327660"/>
          <a:ext cx="138821" cy="204736"/>
        </a:xfrm>
        <a:prstGeom prst="rect">
          <a:avLst/>
        </a:prstGeom>
        <a:noFill/>
        <a:ln>
          <a:noFill/>
        </a:ln>
      </xdr:spPr>
      <xdr:txBody>
        <a:bodyPr wrap="none" lIns="27432" tIns="27432" rIns="0" bIns="0" anchor="t" upright="1">
          <a:spAutoFit/>
        </a:bodyPr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C</a:t>
          </a:r>
        </a:p>
      </xdr:txBody>
    </xdr:sp>
    <xdr:clientData/>
  </xdr:oneCellAnchor>
  <xdr:twoCellAnchor editAs="oneCell">
    <xdr:from>
      <xdr:col>0</xdr:col>
      <xdr:colOff>398145</xdr:colOff>
      <xdr:row>7</xdr:row>
      <xdr:rowOff>57150</xdr:rowOff>
    </xdr:from>
    <xdr:to>
      <xdr:col>3</xdr:col>
      <xdr:colOff>19786</xdr:colOff>
      <xdr:row>8</xdr:row>
      <xdr:rowOff>72390</xdr:rowOff>
    </xdr:to>
    <xdr:sp macro="" textlink="">
      <xdr:nvSpPr>
        <xdr:cNvPr id="19483" name="Text Box 27">
          <a:extLst>
            <a:ext uri="{FF2B5EF4-FFF2-40B4-BE49-F238E27FC236}">
              <a16:creationId xmlns:a16="http://schemas.microsoft.com/office/drawing/2014/main" id="{09BBE823-696F-BADD-FE4F-3BB4626C67F8}"/>
            </a:ext>
          </a:extLst>
        </xdr:cNvPr>
        <xdr:cNvSpPr txBox="1">
          <a:spLocks noChangeArrowheads="1"/>
        </xdr:cNvSpPr>
      </xdr:nvSpPr>
      <xdr:spPr bwMode="auto">
        <a:xfrm>
          <a:off x="361950" y="1181100"/>
          <a:ext cx="1181100" cy="180975"/>
        </a:xfrm>
        <a:prstGeom prst="rect">
          <a:avLst/>
        </a:prstGeom>
        <a:noFill/>
        <a:ln>
          <a:noFill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Weld Neck Flange</a:t>
          </a:r>
        </a:p>
      </xdr:txBody>
    </xdr:sp>
    <xdr:clientData/>
  </xdr:twoCellAnchor>
  <xdr:twoCellAnchor>
    <xdr:from>
      <xdr:col>4</xdr:col>
      <xdr:colOff>215900</xdr:colOff>
      <xdr:row>4</xdr:row>
      <xdr:rowOff>101600</xdr:rowOff>
    </xdr:from>
    <xdr:to>
      <xdr:col>5</xdr:col>
      <xdr:colOff>330200</xdr:colOff>
      <xdr:row>4</xdr:row>
      <xdr:rowOff>139700</xdr:rowOff>
    </xdr:to>
    <xdr:sp macro="" textlink="">
      <xdr:nvSpPr>
        <xdr:cNvPr id="46956" name="Rectangle 28">
          <a:extLst>
            <a:ext uri="{FF2B5EF4-FFF2-40B4-BE49-F238E27FC236}">
              <a16:creationId xmlns:a16="http://schemas.microsoft.com/office/drawing/2014/main" id="{F614C545-4F45-2C2B-1684-1E633F104D73}"/>
            </a:ext>
          </a:extLst>
        </xdr:cNvPr>
        <xdr:cNvSpPr>
          <a:spLocks noChangeArrowheads="1"/>
        </xdr:cNvSpPr>
      </xdr:nvSpPr>
      <xdr:spPr bwMode="auto">
        <a:xfrm>
          <a:off x="2641600" y="762000"/>
          <a:ext cx="685800" cy="381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905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228600</xdr:colOff>
      <xdr:row>3</xdr:row>
      <xdr:rowOff>114300</xdr:rowOff>
    </xdr:from>
    <xdr:to>
      <xdr:col>4</xdr:col>
      <xdr:colOff>266700</xdr:colOff>
      <xdr:row>4</xdr:row>
      <xdr:rowOff>12700</xdr:rowOff>
    </xdr:to>
    <xdr:sp macro="" textlink="">
      <xdr:nvSpPr>
        <xdr:cNvPr id="46957" name="Line 29">
          <a:extLst>
            <a:ext uri="{FF2B5EF4-FFF2-40B4-BE49-F238E27FC236}">
              <a16:creationId xmlns:a16="http://schemas.microsoft.com/office/drawing/2014/main" id="{B50918F7-7302-AB64-E0DA-8BDD11B5D91C}"/>
            </a:ext>
          </a:extLst>
        </xdr:cNvPr>
        <xdr:cNvSpPr>
          <a:spLocks noChangeShapeType="1"/>
        </xdr:cNvSpPr>
      </xdr:nvSpPr>
      <xdr:spPr bwMode="auto">
        <a:xfrm flipV="1">
          <a:off x="2654300" y="609600"/>
          <a:ext cx="38100" cy="63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266700</xdr:colOff>
      <xdr:row>3</xdr:row>
      <xdr:rowOff>114300</xdr:rowOff>
    </xdr:from>
    <xdr:to>
      <xdr:col>5</xdr:col>
      <xdr:colOff>304800</xdr:colOff>
      <xdr:row>3</xdr:row>
      <xdr:rowOff>114300</xdr:rowOff>
    </xdr:to>
    <xdr:sp macro="" textlink="">
      <xdr:nvSpPr>
        <xdr:cNvPr id="46958" name="Line 30">
          <a:extLst>
            <a:ext uri="{FF2B5EF4-FFF2-40B4-BE49-F238E27FC236}">
              <a16:creationId xmlns:a16="http://schemas.microsoft.com/office/drawing/2014/main" id="{7BB13DCD-B6D7-C4B4-91C6-44A0151B5B08}"/>
            </a:ext>
          </a:extLst>
        </xdr:cNvPr>
        <xdr:cNvSpPr>
          <a:spLocks noChangeShapeType="1"/>
        </xdr:cNvSpPr>
      </xdr:nvSpPr>
      <xdr:spPr bwMode="auto">
        <a:xfrm>
          <a:off x="2692400" y="609600"/>
          <a:ext cx="6096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292100</xdr:colOff>
      <xdr:row>3</xdr:row>
      <xdr:rowOff>101600</xdr:rowOff>
    </xdr:from>
    <xdr:to>
      <xdr:col>5</xdr:col>
      <xdr:colOff>342900</xdr:colOff>
      <xdr:row>4</xdr:row>
      <xdr:rowOff>12700</xdr:rowOff>
    </xdr:to>
    <xdr:sp macro="" textlink="">
      <xdr:nvSpPr>
        <xdr:cNvPr id="46959" name="Line 31">
          <a:extLst>
            <a:ext uri="{FF2B5EF4-FFF2-40B4-BE49-F238E27FC236}">
              <a16:creationId xmlns:a16="http://schemas.microsoft.com/office/drawing/2014/main" id="{70BA53D3-CD7A-98FB-E035-3DC57E1FD57F}"/>
            </a:ext>
          </a:extLst>
        </xdr:cNvPr>
        <xdr:cNvSpPr>
          <a:spLocks noChangeShapeType="1"/>
        </xdr:cNvSpPr>
      </xdr:nvSpPr>
      <xdr:spPr bwMode="auto">
        <a:xfrm>
          <a:off x="3289300" y="596900"/>
          <a:ext cx="50800" cy="762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101600</xdr:colOff>
      <xdr:row>4</xdr:row>
      <xdr:rowOff>101600</xdr:rowOff>
    </xdr:from>
    <xdr:to>
      <xdr:col>4</xdr:col>
      <xdr:colOff>101600</xdr:colOff>
      <xdr:row>6</xdr:row>
      <xdr:rowOff>101600</xdr:rowOff>
    </xdr:to>
    <xdr:sp macro="" textlink="">
      <xdr:nvSpPr>
        <xdr:cNvPr id="46960" name="Line 32">
          <a:extLst>
            <a:ext uri="{FF2B5EF4-FFF2-40B4-BE49-F238E27FC236}">
              <a16:creationId xmlns:a16="http://schemas.microsoft.com/office/drawing/2014/main" id="{590267EC-C488-31A5-E898-75924FECCF09}"/>
            </a:ext>
          </a:extLst>
        </xdr:cNvPr>
        <xdr:cNvSpPr>
          <a:spLocks noChangeShapeType="1"/>
        </xdr:cNvSpPr>
      </xdr:nvSpPr>
      <xdr:spPr bwMode="auto">
        <a:xfrm>
          <a:off x="2527300" y="762000"/>
          <a:ext cx="0" cy="33020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469900</xdr:colOff>
      <xdr:row>4</xdr:row>
      <xdr:rowOff>139700</xdr:rowOff>
    </xdr:from>
    <xdr:to>
      <xdr:col>5</xdr:col>
      <xdr:colOff>469900</xdr:colOff>
      <xdr:row>6</xdr:row>
      <xdr:rowOff>139700</xdr:rowOff>
    </xdr:to>
    <xdr:sp macro="" textlink="">
      <xdr:nvSpPr>
        <xdr:cNvPr id="46961" name="Line 33">
          <a:extLst>
            <a:ext uri="{FF2B5EF4-FFF2-40B4-BE49-F238E27FC236}">
              <a16:creationId xmlns:a16="http://schemas.microsoft.com/office/drawing/2014/main" id="{D5F45903-5C51-C276-9787-F4167F90C8A4}"/>
            </a:ext>
          </a:extLst>
        </xdr:cNvPr>
        <xdr:cNvSpPr>
          <a:spLocks noChangeShapeType="1"/>
        </xdr:cNvSpPr>
      </xdr:nvSpPr>
      <xdr:spPr bwMode="auto">
        <a:xfrm>
          <a:off x="3467100" y="800100"/>
          <a:ext cx="0" cy="33020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12700</xdr:colOff>
      <xdr:row>2</xdr:row>
      <xdr:rowOff>114300</xdr:rowOff>
    </xdr:from>
    <xdr:to>
      <xdr:col>5</xdr:col>
      <xdr:colOff>12700</xdr:colOff>
      <xdr:row>5</xdr:row>
      <xdr:rowOff>25400</xdr:rowOff>
    </xdr:to>
    <xdr:sp macro="" textlink="">
      <xdr:nvSpPr>
        <xdr:cNvPr id="46962" name="Line 34">
          <a:extLst>
            <a:ext uri="{FF2B5EF4-FFF2-40B4-BE49-F238E27FC236}">
              <a16:creationId xmlns:a16="http://schemas.microsoft.com/office/drawing/2014/main" id="{97387002-976F-5D22-0293-9D2043466430}"/>
            </a:ext>
          </a:extLst>
        </xdr:cNvPr>
        <xdr:cNvSpPr>
          <a:spLocks noChangeShapeType="1"/>
        </xdr:cNvSpPr>
      </xdr:nvSpPr>
      <xdr:spPr bwMode="auto">
        <a:xfrm flipV="1">
          <a:off x="3009900" y="444500"/>
          <a:ext cx="0" cy="4064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101600</xdr:colOff>
      <xdr:row>6</xdr:row>
      <xdr:rowOff>63500</xdr:rowOff>
    </xdr:from>
    <xdr:to>
      <xdr:col>5</xdr:col>
      <xdr:colOff>482600</xdr:colOff>
      <xdr:row>6</xdr:row>
      <xdr:rowOff>63500</xdr:rowOff>
    </xdr:to>
    <xdr:sp macro="" textlink="">
      <xdr:nvSpPr>
        <xdr:cNvPr id="46963" name="Line 35">
          <a:extLst>
            <a:ext uri="{FF2B5EF4-FFF2-40B4-BE49-F238E27FC236}">
              <a16:creationId xmlns:a16="http://schemas.microsoft.com/office/drawing/2014/main" id="{FB3D013A-B71E-5CC6-32AA-BC2EEDEA4499}"/>
            </a:ext>
          </a:extLst>
        </xdr:cNvPr>
        <xdr:cNvSpPr>
          <a:spLocks noChangeShapeType="1"/>
        </xdr:cNvSpPr>
      </xdr:nvSpPr>
      <xdr:spPr bwMode="auto">
        <a:xfrm flipV="1">
          <a:off x="2527300" y="1054100"/>
          <a:ext cx="9525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304800</xdr:colOff>
      <xdr:row>4</xdr:row>
      <xdr:rowOff>139700</xdr:rowOff>
    </xdr:from>
    <xdr:to>
      <xdr:col>4</xdr:col>
      <xdr:colOff>203200</xdr:colOff>
      <xdr:row>4</xdr:row>
      <xdr:rowOff>139700</xdr:rowOff>
    </xdr:to>
    <xdr:sp macro="" textlink="">
      <xdr:nvSpPr>
        <xdr:cNvPr id="46964" name="Line 36">
          <a:extLst>
            <a:ext uri="{FF2B5EF4-FFF2-40B4-BE49-F238E27FC236}">
              <a16:creationId xmlns:a16="http://schemas.microsoft.com/office/drawing/2014/main" id="{FBF3D017-B65D-7D77-5F06-CB7CE5DC8655}"/>
            </a:ext>
          </a:extLst>
        </xdr:cNvPr>
        <xdr:cNvSpPr>
          <a:spLocks noChangeShapeType="1"/>
        </xdr:cNvSpPr>
      </xdr:nvSpPr>
      <xdr:spPr bwMode="auto">
        <a:xfrm>
          <a:off x="2057400" y="800100"/>
          <a:ext cx="5715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304800</xdr:colOff>
      <xdr:row>4</xdr:row>
      <xdr:rowOff>12700</xdr:rowOff>
    </xdr:from>
    <xdr:to>
      <xdr:col>4</xdr:col>
      <xdr:colOff>63500</xdr:colOff>
      <xdr:row>4</xdr:row>
      <xdr:rowOff>12700</xdr:rowOff>
    </xdr:to>
    <xdr:sp macro="" textlink="">
      <xdr:nvSpPr>
        <xdr:cNvPr id="46965" name="Line 37">
          <a:extLst>
            <a:ext uri="{FF2B5EF4-FFF2-40B4-BE49-F238E27FC236}">
              <a16:creationId xmlns:a16="http://schemas.microsoft.com/office/drawing/2014/main" id="{9814DBEF-55F4-6A8C-DC15-AD636EB5535E}"/>
            </a:ext>
          </a:extLst>
        </xdr:cNvPr>
        <xdr:cNvSpPr>
          <a:spLocks noChangeShapeType="1"/>
        </xdr:cNvSpPr>
      </xdr:nvSpPr>
      <xdr:spPr bwMode="auto">
        <a:xfrm>
          <a:off x="2057400" y="673100"/>
          <a:ext cx="4318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342900</xdr:colOff>
      <xdr:row>4</xdr:row>
      <xdr:rowOff>139700</xdr:rowOff>
    </xdr:from>
    <xdr:to>
      <xdr:col>3</xdr:col>
      <xdr:colOff>342900</xdr:colOff>
      <xdr:row>6</xdr:row>
      <xdr:rowOff>12700</xdr:rowOff>
    </xdr:to>
    <xdr:sp macro="" textlink="">
      <xdr:nvSpPr>
        <xdr:cNvPr id="46966" name="Line 38">
          <a:extLst>
            <a:ext uri="{FF2B5EF4-FFF2-40B4-BE49-F238E27FC236}">
              <a16:creationId xmlns:a16="http://schemas.microsoft.com/office/drawing/2014/main" id="{3DB9B7A5-CE3E-BBBD-01F7-B148C1CA66CC}"/>
            </a:ext>
          </a:extLst>
        </xdr:cNvPr>
        <xdr:cNvSpPr>
          <a:spLocks noChangeShapeType="1"/>
        </xdr:cNvSpPr>
      </xdr:nvSpPr>
      <xdr:spPr bwMode="auto">
        <a:xfrm>
          <a:off x="2095500" y="800100"/>
          <a:ext cx="0" cy="203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342900</xdr:colOff>
      <xdr:row>2</xdr:row>
      <xdr:rowOff>101600</xdr:rowOff>
    </xdr:from>
    <xdr:to>
      <xdr:col>3</xdr:col>
      <xdr:colOff>342900</xdr:colOff>
      <xdr:row>4</xdr:row>
      <xdr:rowOff>12700</xdr:rowOff>
    </xdr:to>
    <xdr:sp macro="" textlink="">
      <xdr:nvSpPr>
        <xdr:cNvPr id="46967" name="Line 39">
          <a:extLst>
            <a:ext uri="{FF2B5EF4-FFF2-40B4-BE49-F238E27FC236}">
              <a16:creationId xmlns:a16="http://schemas.microsoft.com/office/drawing/2014/main" id="{49C06B1F-738E-F3B7-95FD-7DF1229EEB0F}"/>
            </a:ext>
          </a:extLst>
        </xdr:cNvPr>
        <xdr:cNvSpPr>
          <a:spLocks noChangeShapeType="1"/>
        </xdr:cNvSpPr>
      </xdr:nvSpPr>
      <xdr:spPr bwMode="auto">
        <a:xfrm flipV="1">
          <a:off x="2095500" y="431800"/>
          <a:ext cx="0" cy="2413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342900</xdr:colOff>
      <xdr:row>2</xdr:row>
      <xdr:rowOff>101600</xdr:rowOff>
    </xdr:from>
    <xdr:to>
      <xdr:col>3</xdr:col>
      <xdr:colOff>406400</xdr:colOff>
      <xdr:row>2</xdr:row>
      <xdr:rowOff>101600</xdr:rowOff>
    </xdr:to>
    <xdr:sp macro="" textlink="">
      <xdr:nvSpPr>
        <xdr:cNvPr id="46968" name="Line 40">
          <a:extLst>
            <a:ext uri="{FF2B5EF4-FFF2-40B4-BE49-F238E27FC236}">
              <a16:creationId xmlns:a16="http://schemas.microsoft.com/office/drawing/2014/main" id="{8688FF90-64BC-2A09-FB3B-F666C06D18DA}"/>
            </a:ext>
          </a:extLst>
        </xdr:cNvPr>
        <xdr:cNvSpPr>
          <a:spLocks noChangeShapeType="1"/>
        </xdr:cNvSpPr>
      </xdr:nvSpPr>
      <xdr:spPr bwMode="auto">
        <a:xfrm>
          <a:off x="2095500" y="431800"/>
          <a:ext cx="635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4</xdr:col>
      <xdr:colOff>466090</xdr:colOff>
      <xdr:row>5</xdr:row>
      <xdr:rowOff>59055</xdr:rowOff>
    </xdr:from>
    <xdr:ext cx="147413" cy="204736"/>
    <xdr:sp macro="" textlink="">
      <xdr:nvSpPr>
        <xdr:cNvPr id="19497" name="Text Box 41">
          <a:extLst>
            <a:ext uri="{FF2B5EF4-FFF2-40B4-BE49-F238E27FC236}">
              <a16:creationId xmlns:a16="http://schemas.microsoft.com/office/drawing/2014/main" id="{9B7B64CD-0A4C-1904-077E-50CA99FB338D}"/>
            </a:ext>
          </a:extLst>
        </xdr:cNvPr>
        <xdr:cNvSpPr txBox="1">
          <a:spLocks noChangeArrowheads="1"/>
        </xdr:cNvSpPr>
      </xdr:nvSpPr>
      <xdr:spPr bwMode="auto">
        <a:xfrm>
          <a:off x="2891790" y="884555"/>
          <a:ext cx="147413" cy="204736"/>
        </a:xfrm>
        <a:prstGeom prst="rect">
          <a:avLst/>
        </a:prstGeom>
        <a:noFill/>
        <a:ln>
          <a:noFill/>
        </a:ln>
      </xdr:spPr>
      <xdr:txBody>
        <a:bodyPr wrap="none" lIns="27432" tIns="27432" rIns="0" bIns="0" anchor="t" upright="1">
          <a:spAutoFit/>
        </a:bodyPr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O</a:t>
          </a:r>
        </a:p>
      </xdr:txBody>
    </xdr:sp>
    <xdr:clientData/>
  </xdr:oneCellAnchor>
  <xdr:oneCellAnchor>
    <xdr:from>
      <xdr:col>3</xdr:col>
      <xdr:colOff>441960</xdr:colOff>
      <xdr:row>1</xdr:row>
      <xdr:rowOff>149225</xdr:rowOff>
    </xdr:from>
    <xdr:ext cx="151441" cy="218385"/>
    <xdr:sp macro="" textlink="">
      <xdr:nvSpPr>
        <xdr:cNvPr id="19498" name="Text Box 42">
          <a:extLst>
            <a:ext uri="{FF2B5EF4-FFF2-40B4-BE49-F238E27FC236}">
              <a16:creationId xmlns:a16="http://schemas.microsoft.com/office/drawing/2014/main" id="{09BB8F82-A803-4FDB-7A56-303CDA9E9146}"/>
            </a:ext>
          </a:extLst>
        </xdr:cNvPr>
        <xdr:cNvSpPr txBox="1">
          <a:spLocks noChangeArrowheads="1"/>
        </xdr:cNvSpPr>
      </xdr:nvSpPr>
      <xdr:spPr bwMode="auto">
        <a:xfrm>
          <a:off x="1981200" y="329565"/>
          <a:ext cx="138821" cy="204736"/>
        </a:xfrm>
        <a:prstGeom prst="rect">
          <a:avLst/>
        </a:prstGeom>
        <a:noFill/>
        <a:ln>
          <a:noFill/>
        </a:ln>
      </xdr:spPr>
      <xdr:txBody>
        <a:bodyPr wrap="none" lIns="27432" tIns="27432" rIns="0" bIns="0" anchor="t" upright="1">
          <a:spAutoFit/>
        </a:bodyPr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C</a:t>
          </a:r>
        </a:p>
      </xdr:txBody>
    </xdr:sp>
    <xdr:clientData/>
  </xdr:oneCellAnchor>
  <xdr:twoCellAnchor>
    <xdr:from>
      <xdr:col>5</xdr:col>
      <xdr:colOff>419100</xdr:colOff>
      <xdr:row>4</xdr:row>
      <xdr:rowOff>139700</xdr:rowOff>
    </xdr:from>
    <xdr:to>
      <xdr:col>6</xdr:col>
      <xdr:colOff>241300</xdr:colOff>
      <xdr:row>4</xdr:row>
      <xdr:rowOff>139700</xdr:rowOff>
    </xdr:to>
    <xdr:sp macro="" textlink="">
      <xdr:nvSpPr>
        <xdr:cNvPr id="46971" name="Line 43">
          <a:extLst>
            <a:ext uri="{FF2B5EF4-FFF2-40B4-BE49-F238E27FC236}">
              <a16:creationId xmlns:a16="http://schemas.microsoft.com/office/drawing/2014/main" id="{A97C6489-6270-E69A-C1A4-78E6546637DC}"/>
            </a:ext>
          </a:extLst>
        </xdr:cNvPr>
        <xdr:cNvSpPr>
          <a:spLocks noChangeShapeType="1"/>
        </xdr:cNvSpPr>
      </xdr:nvSpPr>
      <xdr:spPr bwMode="auto">
        <a:xfrm flipV="1">
          <a:off x="3416300" y="800100"/>
          <a:ext cx="4699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342900</xdr:colOff>
      <xdr:row>3</xdr:row>
      <xdr:rowOff>101600</xdr:rowOff>
    </xdr:from>
    <xdr:to>
      <xdr:col>6</xdr:col>
      <xdr:colOff>215900</xdr:colOff>
      <xdr:row>3</xdr:row>
      <xdr:rowOff>101600</xdr:rowOff>
    </xdr:to>
    <xdr:sp macro="" textlink="">
      <xdr:nvSpPr>
        <xdr:cNvPr id="46972" name="Line 44">
          <a:extLst>
            <a:ext uri="{FF2B5EF4-FFF2-40B4-BE49-F238E27FC236}">
              <a16:creationId xmlns:a16="http://schemas.microsoft.com/office/drawing/2014/main" id="{A3AADCBD-85BC-3850-E092-6F7AE35ABFC7}"/>
            </a:ext>
          </a:extLst>
        </xdr:cNvPr>
        <xdr:cNvSpPr>
          <a:spLocks noChangeShapeType="1"/>
        </xdr:cNvSpPr>
      </xdr:nvSpPr>
      <xdr:spPr bwMode="auto">
        <a:xfrm flipV="1">
          <a:off x="3340100" y="596900"/>
          <a:ext cx="5207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177800</xdr:colOff>
      <xdr:row>4</xdr:row>
      <xdr:rowOff>139700</xdr:rowOff>
    </xdr:from>
    <xdr:to>
      <xdr:col>6</xdr:col>
      <xdr:colOff>177800</xdr:colOff>
      <xdr:row>6</xdr:row>
      <xdr:rowOff>12700</xdr:rowOff>
    </xdr:to>
    <xdr:sp macro="" textlink="">
      <xdr:nvSpPr>
        <xdr:cNvPr id="46973" name="Line 45">
          <a:extLst>
            <a:ext uri="{FF2B5EF4-FFF2-40B4-BE49-F238E27FC236}">
              <a16:creationId xmlns:a16="http://schemas.microsoft.com/office/drawing/2014/main" id="{7CD0D33F-B78C-941B-7DE6-FEB9EF5BC68B}"/>
            </a:ext>
          </a:extLst>
        </xdr:cNvPr>
        <xdr:cNvSpPr>
          <a:spLocks noChangeShapeType="1"/>
        </xdr:cNvSpPr>
      </xdr:nvSpPr>
      <xdr:spPr bwMode="auto">
        <a:xfrm>
          <a:off x="3822700" y="800100"/>
          <a:ext cx="0" cy="203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177800</xdr:colOff>
      <xdr:row>2</xdr:row>
      <xdr:rowOff>38100</xdr:rowOff>
    </xdr:from>
    <xdr:to>
      <xdr:col>6</xdr:col>
      <xdr:colOff>177800</xdr:colOff>
      <xdr:row>3</xdr:row>
      <xdr:rowOff>101600</xdr:rowOff>
    </xdr:to>
    <xdr:sp macro="" textlink="">
      <xdr:nvSpPr>
        <xdr:cNvPr id="46974" name="Line 46">
          <a:extLst>
            <a:ext uri="{FF2B5EF4-FFF2-40B4-BE49-F238E27FC236}">
              <a16:creationId xmlns:a16="http://schemas.microsoft.com/office/drawing/2014/main" id="{A1004E76-9BCC-7F6F-05D4-58A51350F7B0}"/>
            </a:ext>
          </a:extLst>
        </xdr:cNvPr>
        <xdr:cNvSpPr>
          <a:spLocks noChangeShapeType="1"/>
        </xdr:cNvSpPr>
      </xdr:nvSpPr>
      <xdr:spPr bwMode="auto">
        <a:xfrm flipV="1">
          <a:off x="3822700" y="368300"/>
          <a:ext cx="0" cy="2286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6</xdr:col>
      <xdr:colOff>107950</xdr:colOff>
      <xdr:row>3</xdr:row>
      <xdr:rowOff>133350</xdr:rowOff>
    </xdr:from>
    <xdr:ext cx="104003" cy="170560"/>
    <xdr:sp macro="" textlink="">
      <xdr:nvSpPr>
        <xdr:cNvPr id="19503" name="Text Box 47">
          <a:extLst>
            <a:ext uri="{FF2B5EF4-FFF2-40B4-BE49-F238E27FC236}">
              <a16:creationId xmlns:a16="http://schemas.microsoft.com/office/drawing/2014/main" id="{5FE0C3F9-F9E3-CD52-4B8A-F658846F5978}"/>
            </a:ext>
          </a:extLst>
        </xdr:cNvPr>
        <xdr:cNvSpPr txBox="1">
          <a:spLocks noChangeArrowheads="1"/>
        </xdr:cNvSpPr>
      </xdr:nvSpPr>
      <xdr:spPr bwMode="auto">
        <a:xfrm>
          <a:off x="3371850" y="636270"/>
          <a:ext cx="104003" cy="170560"/>
        </a:xfrm>
        <a:prstGeom prst="rect">
          <a:avLst/>
        </a:prstGeom>
        <a:noFill/>
        <a:ln>
          <a:noFill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Y</a:t>
          </a:r>
        </a:p>
      </xdr:txBody>
    </xdr:sp>
    <xdr:clientData/>
  </xdr:oneCellAnchor>
  <xdr:twoCellAnchor editAs="oneCell">
    <xdr:from>
      <xdr:col>4</xdr:col>
      <xdr:colOff>66040</xdr:colOff>
      <xdr:row>7</xdr:row>
      <xdr:rowOff>30480</xdr:rowOff>
    </xdr:from>
    <xdr:to>
      <xdr:col>6</xdr:col>
      <xdr:colOff>69</xdr:colOff>
      <xdr:row>8</xdr:row>
      <xdr:rowOff>45720</xdr:rowOff>
    </xdr:to>
    <xdr:sp macro="" textlink="">
      <xdr:nvSpPr>
        <xdr:cNvPr id="19504" name="Text Box 48">
          <a:extLst>
            <a:ext uri="{FF2B5EF4-FFF2-40B4-BE49-F238E27FC236}">
              <a16:creationId xmlns:a16="http://schemas.microsoft.com/office/drawing/2014/main" id="{BDFBCE21-1FAE-27B7-B6E7-0FCB29B32167}"/>
            </a:ext>
          </a:extLst>
        </xdr:cNvPr>
        <xdr:cNvSpPr txBox="1">
          <a:spLocks noChangeArrowheads="1"/>
        </xdr:cNvSpPr>
      </xdr:nvSpPr>
      <xdr:spPr bwMode="auto">
        <a:xfrm>
          <a:off x="2200275" y="1171575"/>
          <a:ext cx="1000125" cy="180975"/>
        </a:xfrm>
        <a:prstGeom prst="rect">
          <a:avLst/>
        </a:prstGeom>
        <a:noFill/>
        <a:ln>
          <a:noFill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Slip-On Flange</a:t>
          </a:r>
        </a:p>
      </xdr:txBody>
    </xdr:sp>
    <xdr:clientData/>
  </xdr:twoCellAnchor>
  <xdr:twoCellAnchor>
    <xdr:from>
      <xdr:col>7</xdr:col>
      <xdr:colOff>495300</xdr:colOff>
      <xdr:row>4</xdr:row>
      <xdr:rowOff>101600</xdr:rowOff>
    </xdr:from>
    <xdr:to>
      <xdr:col>9</xdr:col>
      <xdr:colOff>342900</xdr:colOff>
      <xdr:row>4</xdr:row>
      <xdr:rowOff>139700</xdr:rowOff>
    </xdr:to>
    <xdr:sp macro="" textlink="">
      <xdr:nvSpPr>
        <xdr:cNvPr id="46977" name="Rectangle 49">
          <a:extLst>
            <a:ext uri="{FF2B5EF4-FFF2-40B4-BE49-F238E27FC236}">
              <a16:creationId xmlns:a16="http://schemas.microsoft.com/office/drawing/2014/main" id="{39E8E997-1708-B0BD-EAC9-52EEAA19C5BE}"/>
            </a:ext>
          </a:extLst>
        </xdr:cNvPr>
        <xdr:cNvSpPr>
          <a:spLocks noChangeArrowheads="1"/>
        </xdr:cNvSpPr>
      </xdr:nvSpPr>
      <xdr:spPr bwMode="auto">
        <a:xfrm>
          <a:off x="4813300" y="762000"/>
          <a:ext cx="711200" cy="381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905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12700</xdr:colOff>
      <xdr:row>2</xdr:row>
      <xdr:rowOff>114300</xdr:rowOff>
    </xdr:from>
    <xdr:to>
      <xdr:col>9</xdr:col>
      <xdr:colOff>12700</xdr:colOff>
      <xdr:row>5</xdr:row>
      <xdr:rowOff>25400</xdr:rowOff>
    </xdr:to>
    <xdr:sp macro="" textlink="">
      <xdr:nvSpPr>
        <xdr:cNvPr id="46978" name="Line 50">
          <a:extLst>
            <a:ext uri="{FF2B5EF4-FFF2-40B4-BE49-F238E27FC236}">
              <a16:creationId xmlns:a16="http://schemas.microsoft.com/office/drawing/2014/main" id="{47DE5B3A-63BE-1702-6887-075292423E0D}"/>
            </a:ext>
          </a:extLst>
        </xdr:cNvPr>
        <xdr:cNvSpPr>
          <a:spLocks noChangeShapeType="1"/>
        </xdr:cNvSpPr>
      </xdr:nvSpPr>
      <xdr:spPr bwMode="auto">
        <a:xfrm flipV="1">
          <a:off x="5194300" y="444500"/>
          <a:ext cx="0" cy="4064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533400</xdr:colOff>
      <xdr:row>3</xdr:row>
      <xdr:rowOff>101600</xdr:rowOff>
    </xdr:from>
    <xdr:to>
      <xdr:col>9</xdr:col>
      <xdr:colOff>342900</xdr:colOff>
      <xdr:row>3</xdr:row>
      <xdr:rowOff>101600</xdr:rowOff>
    </xdr:to>
    <xdr:sp macro="" textlink="">
      <xdr:nvSpPr>
        <xdr:cNvPr id="46979" name="Line 51">
          <a:extLst>
            <a:ext uri="{FF2B5EF4-FFF2-40B4-BE49-F238E27FC236}">
              <a16:creationId xmlns:a16="http://schemas.microsoft.com/office/drawing/2014/main" id="{8544EC30-65A1-6F89-161F-4186F1D343DA}"/>
            </a:ext>
          </a:extLst>
        </xdr:cNvPr>
        <xdr:cNvSpPr>
          <a:spLocks noChangeShapeType="1"/>
        </xdr:cNvSpPr>
      </xdr:nvSpPr>
      <xdr:spPr bwMode="auto">
        <a:xfrm>
          <a:off x="4851400" y="596900"/>
          <a:ext cx="6731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546100</xdr:colOff>
      <xdr:row>3</xdr:row>
      <xdr:rowOff>101600</xdr:rowOff>
    </xdr:from>
    <xdr:to>
      <xdr:col>7</xdr:col>
      <xdr:colOff>546100</xdr:colOff>
      <xdr:row>4</xdr:row>
      <xdr:rowOff>12700</xdr:rowOff>
    </xdr:to>
    <xdr:sp macro="" textlink="">
      <xdr:nvSpPr>
        <xdr:cNvPr id="46980" name="Line 52">
          <a:extLst>
            <a:ext uri="{FF2B5EF4-FFF2-40B4-BE49-F238E27FC236}">
              <a16:creationId xmlns:a16="http://schemas.microsoft.com/office/drawing/2014/main" id="{247EB9A9-BB08-0BC4-7B95-5A7E9E67D97E}"/>
            </a:ext>
          </a:extLst>
        </xdr:cNvPr>
        <xdr:cNvSpPr>
          <a:spLocks noChangeShapeType="1"/>
        </xdr:cNvSpPr>
      </xdr:nvSpPr>
      <xdr:spPr bwMode="auto">
        <a:xfrm>
          <a:off x="4864100" y="596900"/>
          <a:ext cx="0" cy="762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330200</xdr:colOff>
      <xdr:row>3</xdr:row>
      <xdr:rowOff>101600</xdr:rowOff>
    </xdr:from>
    <xdr:to>
      <xdr:col>9</xdr:col>
      <xdr:colOff>330200</xdr:colOff>
      <xdr:row>4</xdr:row>
      <xdr:rowOff>12700</xdr:rowOff>
    </xdr:to>
    <xdr:sp macro="" textlink="">
      <xdr:nvSpPr>
        <xdr:cNvPr id="46981" name="Line 53">
          <a:extLst>
            <a:ext uri="{FF2B5EF4-FFF2-40B4-BE49-F238E27FC236}">
              <a16:creationId xmlns:a16="http://schemas.microsoft.com/office/drawing/2014/main" id="{E2B6432D-FEDB-203D-89A5-2BD9CC6B0717}"/>
            </a:ext>
          </a:extLst>
        </xdr:cNvPr>
        <xdr:cNvSpPr>
          <a:spLocks noChangeShapeType="1"/>
        </xdr:cNvSpPr>
      </xdr:nvSpPr>
      <xdr:spPr bwMode="auto">
        <a:xfrm>
          <a:off x="5511800" y="596900"/>
          <a:ext cx="0" cy="762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368300</xdr:colOff>
      <xdr:row>4</xdr:row>
      <xdr:rowOff>139700</xdr:rowOff>
    </xdr:from>
    <xdr:to>
      <xdr:col>7</xdr:col>
      <xdr:colOff>368300</xdr:colOff>
      <xdr:row>6</xdr:row>
      <xdr:rowOff>139700</xdr:rowOff>
    </xdr:to>
    <xdr:sp macro="" textlink="">
      <xdr:nvSpPr>
        <xdr:cNvPr id="46982" name="Line 54">
          <a:extLst>
            <a:ext uri="{FF2B5EF4-FFF2-40B4-BE49-F238E27FC236}">
              <a16:creationId xmlns:a16="http://schemas.microsoft.com/office/drawing/2014/main" id="{CBFDA057-1897-5EB8-6900-D9E925EC1E43}"/>
            </a:ext>
          </a:extLst>
        </xdr:cNvPr>
        <xdr:cNvSpPr>
          <a:spLocks noChangeShapeType="1"/>
        </xdr:cNvSpPr>
      </xdr:nvSpPr>
      <xdr:spPr bwMode="auto">
        <a:xfrm>
          <a:off x="4686300" y="800100"/>
          <a:ext cx="0" cy="33020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508000</xdr:colOff>
      <xdr:row>4</xdr:row>
      <xdr:rowOff>139700</xdr:rowOff>
    </xdr:from>
    <xdr:to>
      <xdr:col>9</xdr:col>
      <xdr:colOff>508000</xdr:colOff>
      <xdr:row>6</xdr:row>
      <xdr:rowOff>139700</xdr:rowOff>
    </xdr:to>
    <xdr:sp macro="" textlink="">
      <xdr:nvSpPr>
        <xdr:cNvPr id="46983" name="Line 55">
          <a:extLst>
            <a:ext uri="{FF2B5EF4-FFF2-40B4-BE49-F238E27FC236}">
              <a16:creationId xmlns:a16="http://schemas.microsoft.com/office/drawing/2014/main" id="{16DB71B3-3A53-6395-AB42-F81354117F9E}"/>
            </a:ext>
          </a:extLst>
        </xdr:cNvPr>
        <xdr:cNvSpPr>
          <a:spLocks noChangeShapeType="1"/>
        </xdr:cNvSpPr>
      </xdr:nvSpPr>
      <xdr:spPr bwMode="auto">
        <a:xfrm>
          <a:off x="5689600" y="800100"/>
          <a:ext cx="0" cy="33020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368300</xdr:colOff>
      <xdr:row>6</xdr:row>
      <xdr:rowOff>101600</xdr:rowOff>
    </xdr:from>
    <xdr:to>
      <xdr:col>9</xdr:col>
      <xdr:colOff>495300</xdr:colOff>
      <xdr:row>6</xdr:row>
      <xdr:rowOff>101600</xdr:rowOff>
    </xdr:to>
    <xdr:sp macro="" textlink="">
      <xdr:nvSpPr>
        <xdr:cNvPr id="46984" name="Line 56">
          <a:extLst>
            <a:ext uri="{FF2B5EF4-FFF2-40B4-BE49-F238E27FC236}">
              <a16:creationId xmlns:a16="http://schemas.microsoft.com/office/drawing/2014/main" id="{54D635DE-FD4E-2E0F-E38E-7935A58D519A}"/>
            </a:ext>
          </a:extLst>
        </xdr:cNvPr>
        <xdr:cNvSpPr>
          <a:spLocks noChangeShapeType="1"/>
        </xdr:cNvSpPr>
      </xdr:nvSpPr>
      <xdr:spPr bwMode="auto">
        <a:xfrm flipV="1">
          <a:off x="4686300" y="1092200"/>
          <a:ext cx="9906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381000</xdr:colOff>
      <xdr:row>4</xdr:row>
      <xdr:rowOff>139700</xdr:rowOff>
    </xdr:from>
    <xdr:to>
      <xdr:col>10</xdr:col>
      <xdr:colOff>127000</xdr:colOff>
      <xdr:row>4</xdr:row>
      <xdr:rowOff>139700</xdr:rowOff>
    </xdr:to>
    <xdr:sp macro="" textlink="">
      <xdr:nvSpPr>
        <xdr:cNvPr id="46985" name="Line 57">
          <a:extLst>
            <a:ext uri="{FF2B5EF4-FFF2-40B4-BE49-F238E27FC236}">
              <a16:creationId xmlns:a16="http://schemas.microsoft.com/office/drawing/2014/main" id="{53254C1E-23DE-0BBA-BCF4-0A97D693CF8F}"/>
            </a:ext>
          </a:extLst>
        </xdr:cNvPr>
        <xdr:cNvSpPr>
          <a:spLocks noChangeShapeType="1"/>
        </xdr:cNvSpPr>
      </xdr:nvSpPr>
      <xdr:spPr bwMode="auto">
        <a:xfrm flipV="1">
          <a:off x="5562600" y="800100"/>
          <a:ext cx="4699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381000</xdr:colOff>
      <xdr:row>3</xdr:row>
      <xdr:rowOff>101600</xdr:rowOff>
    </xdr:from>
    <xdr:to>
      <xdr:col>10</xdr:col>
      <xdr:colOff>152400</xdr:colOff>
      <xdr:row>3</xdr:row>
      <xdr:rowOff>101600</xdr:rowOff>
    </xdr:to>
    <xdr:sp macro="" textlink="">
      <xdr:nvSpPr>
        <xdr:cNvPr id="46986" name="Line 58">
          <a:extLst>
            <a:ext uri="{FF2B5EF4-FFF2-40B4-BE49-F238E27FC236}">
              <a16:creationId xmlns:a16="http://schemas.microsoft.com/office/drawing/2014/main" id="{9947953D-E3BB-7228-F4C5-E7D6C35FBF77}"/>
            </a:ext>
          </a:extLst>
        </xdr:cNvPr>
        <xdr:cNvSpPr>
          <a:spLocks noChangeShapeType="1"/>
        </xdr:cNvSpPr>
      </xdr:nvSpPr>
      <xdr:spPr bwMode="auto">
        <a:xfrm flipV="1">
          <a:off x="5562600" y="596900"/>
          <a:ext cx="4953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88900</xdr:colOff>
      <xdr:row>4</xdr:row>
      <xdr:rowOff>139700</xdr:rowOff>
    </xdr:from>
    <xdr:to>
      <xdr:col>10</xdr:col>
      <xdr:colOff>88900</xdr:colOff>
      <xdr:row>6</xdr:row>
      <xdr:rowOff>12700</xdr:rowOff>
    </xdr:to>
    <xdr:sp macro="" textlink="">
      <xdr:nvSpPr>
        <xdr:cNvPr id="46987" name="Line 59">
          <a:extLst>
            <a:ext uri="{FF2B5EF4-FFF2-40B4-BE49-F238E27FC236}">
              <a16:creationId xmlns:a16="http://schemas.microsoft.com/office/drawing/2014/main" id="{84D8F0EA-FFF2-1EFC-12C0-EB075EF16C05}"/>
            </a:ext>
          </a:extLst>
        </xdr:cNvPr>
        <xdr:cNvSpPr>
          <a:spLocks noChangeShapeType="1"/>
        </xdr:cNvSpPr>
      </xdr:nvSpPr>
      <xdr:spPr bwMode="auto">
        <a:xfrm>
          <a:off x="5994400" y="800100"/>
          <a:ext cx="0" cy="203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76200</xdr:colOff>
      <xdr:row>2</xdr:row>
      <xdr:rowOff>38100</xdr:rowOff>
    </xdr:from>
    <xdr:to>
      <xdr:col>10</xdr:col>
      <xdr:colOff>76200</xdr:colOff>
      <xdr:row>3</xdr:row>
      <xdr:rowOff>101600</xdr:rowOff>
    </xdr:to>
    <xdr:sp macro="" textlink="">
      <xdr:nvSpPr>
        <xdr:cNvPr id="46988" name="Line 60">
          <a:extLst>
            <a:ext uri="{FF2B5EF4-FFF2-40B4-BE49-F238E27FC236}">
              <a16:creationId xmlns:a16="http://schemas.microsoft.com/office/drawing/2014/main" id="{E3C2B15E-3B7A-6B94-F7D4-ADE49E16A7D6}"/>
            </a:ext>
          </a:extLst>
        </xdr:cNvPr>
        <xdr:cNvSpPr>
          <a:spLocks noChangeShapeType="1"/>
        </xdr:cNvSpPr>
      </xdr:nvSpPr>
      <xdr:spPr bwMode="auto">
        <a:xfrm flipV="1">
          <a:off x="5981700" y="368300"/>
          <a:ext cx="0" cy="2286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38100</xdr:colOff>
      <xdr:row>4</xdr:row>
      <xdr:rowOff>139700</xdr:rowOff>
    </xdr:from>
    <xdr:to>
      <xdr:col>7</xdr:col>
      <xdr:colOff>444500</xdr:colOff>
      <xdr:row>4</xdr:row>
      <xdr:rowOff>139700</xdr:rowOff>
    </xdr:to>
    <xdr:sp macro="" textlink="">
      <xdr:nvSpPr>
        <xdr:cNvPr id="46989" name="Line 61">
          <a:extLst>
            <a:ext uri="{FF2B5EF4-FFF2-40B4-BE49-F238E27FC236}">
              <a16:creationId xmlns:a16="http://schemas.microsoft.com/office/drawing/2014/main" id="{2A865804-10A7-4B51-D05D-16DF7B739530}"/>
            </a:ext>
          </a:extLst>
        </xdr:cNvPr>
        <xdr:cNvSpPr>
          <a:spLocks noChangeShapeType="1"/>
        </xdr:cNvSpPr>
      </xdr:nvSpPr>
      <xdr:spPr bwMode="auto">
        <a:xfrm>
          <a:off x="4356100" y="800100"/>
          <a:ext cx="4064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38100</xdr:colOff>
      <xdr:row>4</xdr:row>
      <xdr:rowOff>25400</xdr:rowOff>
    </xdr:from>
    <xdr:to>
      <xdr:col>7</xdr:col>
      <xdr:colOff>342900</xdr:colOff>
      <xdr:row>4</xdr:row>
      <xdr:rowOff>25400</xdr:rowOff>
    </xdr:to>
    <xdr:sp macro="" textlink="">
      <xdr:nvSpPr>
        <xdr:cNvPr id="46990" name="Line 62">
          <a:extLst>
            <a:ext uri="{FF2B5EF4-FFF2-40B4-BE49-F238E27FC236}">
              <a16:creationId xmlns:a16="http://schemas.microsoft.com/office/drawing/2014/main" id="{EE00548A-303B-3FE7-B456-E5F7DA7C1CBA}"/>
            </a:ext>
          </a:extLst>
        </xdr:cNvPr>
        <xdr:cNvSpPr>
          <a:spLocks noChangeShapeType="1"/>
        </xdr:cNvSpPr>
      </xdr:nvSpPr>
      <xdr:spPr bwMode="auto">
        <a:xfrm>
          <a:off x="4356100" y="685800"/>
          <a:ext cx="3048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76200</xdr:colOff>
      <xdr:row>4</xdr:row>
      <xdr:rowOff>139700</xdr:rowOff>
    </xdr:from>
    <xdr:to>
      <xdr:col>7</xdr:col>
      <xdr:colOff>76200</xdr:colOff>
      <xdr:row>6</xdr:row>
      <xdr:rowOff>12700</xdr:rowOff>
    </xdr:to>
    <xdr:sp macro="" textlink="">
      <xdr:nvSpPr>
        <xdr:cNvPr id="46991" name="Line 63">
          <a:extLst>
            <a:ext uri="{FF2B5EF4-FFF2-40B4-BE49-F238E27FC236}">
              <a16:creationId xmlns:a16="http://schemas.microsoft.com/office/drawing/2014/main" id="{2DD152C5-7ADB-1A73-0388-49C654F6F8B8}"/>
            </a:ext>
          </a:extLst>
        </xdr:cNvPr>
        <xdr:cNvSpPr>
          <a:spLocks noChangeShapeType="1"/>
        </xdr:cNvSpPr>
      </xdr:nvSpPr>
      <xdr:spPr bwMode="auto">
        <a:xfrm>
          <a:off x="4394200" y="800100"/>
          <a:ext cx="0" cy="203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76200</xdr:colOff>
      <xdr:row>2</xdr:row>
      <xdr:rowOff>114300</xdr:rowOff>
    </xdr:from>
    <xdr:to>
      <xdr:col>7</xdr:col>
      <xdr:colOff>76200</xdr:colOff>
      <xdr:row>4</xdr:row>
      <xdr:rowOff>25400</xdr:rowOff>
    </xdr:to>
    <xdr:sp macro="" textlink="">
      <xdr:nvSpPr>
        <xdr:cNvPr id="46992" name="Line 64">
          <a:extLst>
            <a:ext uri="{FF2B5EF4-FFF2-40B4-BE49-F238E27FC236}">
              <a16:creationId xmlns:a16="http://schemas.microsoft.com/office/drawing/2014/main" id="{BAE2DBDA-365F-F0D7-3365-8AD8105F5DF2}"/>
            </a:ext>
          </a:extLst>
        </xdr:cNvPr>
        <xdr:cNvSpPr>
          <a:spLocks noChangeShapeType="1"/>
        </xdr:cNvSpPr>
      </xdr:nvSpPr>
      <xdr:spPr bwMode="auto">
        <a:xfrm flipV="1">
          <a:off x="4394200" y="444500"/>
          <a:ext cx="0" cy="2413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76200</xdr:colOff>
      <xdr:row>2</xdr:row>
      <xdr:rowOff>114300</xdr:rowOff>
    </xdr:from>
    <xdr:to>
      <xdr:col>7</xdr:col>
      <xdr:colOff>139700</xdr:colOff>
      <xdr:row>2</xdr:row>
      <xdr:rowOff>114300</xdr:rowOff>
    </xdr:to>
    <xdr:sp macro="" textlink="">
      <xdr:nvSpPr>
        <xdr:cNvPr id="46993" name="Line 65">
          <a:extLst>
            <a:ext uri="{FF2B5EF4-FFF2-40B4-BE49-F238E27FC236}">
              <a16:creationId xmlns:a16="http://schemas.microsoft.com/office/drawing/2014/main" id="{2126A659-C4F8-F317-4931-CB02562438D1}"/>
            </a:ext>
          </a:extLst>
        </xdr:cNvPr>
        <xdr:cNvSpPr>
          <a:spLocks noChangeShapeType="1"/>
        </xdr:cNvSpPr>
      </xdr:nvSpPr>
      <xdr:spPr bwMode="auto">
        <a:xfrm>
          <a:off x="4394200" y="444500"/>
          <a:ext cx="635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8</xdr:col>
      <xdr:colOff>104140</xdr:colOff>
      <xdr:row>5</xdr:row>
      <xdr:rowOff>68580</xdr:rowOff>
    </xdr:from>
    <xdr:ext cx="155172" cy="227484"/>
    <xdr:sp macro="" textlink="">
      <xdr:nvSpPr>
        <xdr:cNvPr id="19522" name="Text Box 66">
          <a:extLst>
            <a:ext uri="{FF2B5EF4-FFF2-40B4-BE49-F238E27FC236}">
              <a16:creationId xmlns:a16="http://schemas.microsoft.com/office/drawing/2014/main" id="{E93D171F-DFE8-42E3-0EE4-5DB1F07FE65E}"/>
            </a:ext>
          </a:extLst>
        </xdr:cNvPr>
        <xdr:cNvSpPr txBox="1">
          <a:spLocks noChangeArrowheads="1"/>
        </xdr:cNvSpPr>
      </xdr:nvSpPr>
      <xdr:spPr bwMode="auto">
        <a:xfrm>
          <a:off x="4572000" y="910590"/>
          <a:ext cx="147413" cy="204736"/>
        </a:xfrm>
        <a:prstGeom prst="rect">
          <a:avLst/>
        </a:prstGeom>
        <a:noFill/>
        <a:ln>
          <a:noFill/>
        </a:ln>
      </xdr:spPr>
      <xdr:txBody>
        <a:bodyPr wrap="none" lIns="27432" tIns="27432" rIns="0" bIns="0" anchor="t" upright="1">
          <a:spAutoFit/>
        </a:bodyPr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O</a:t>
          </a:r>
        </a:p>
      </xdr:txBody>
    </xdr:sp>
    <xdr:clientData/>
  </xdr:oneCellAnchor>
  <xdr:oneCellAnchor>
    <xdr:from>
      <xdr:col>10</xdr:col>
      <xdr:colOff>0</xdr:colOff>
      <xdr:row>3</xdr:row>
      <xdr:rowOff>107315</xdr:rowOff>
    </xdr:from>
    <xdr:ext cx="117003" cy="170560"/>
    <xdr:sp macro="" textlink="">
      <xdr:nvSpPr>
        <xdr:cNvPr id="19523" name="Text Box 67">
          <a:extLst>
            <a:ext uri="{FF2B5EF4-FFF2-40B4-BE49-F238E27FC236}">
              <a16:creationId xmlns:a16="http://schemas.microsoft.com/office/drawing/2014/main" id="{373DE843-4DAC-9357-4F69-5555329D2698}"/>
            </a:ext>
          </a:extLst>
        </xdr:cNvPr>
        <xdr:cNvSpPr txBox="1">
          <a:spLocks noChangeArrowheads="1"/>
        </xdr:cNvSpPr>
      </xdr:nvSpPr>
      <xdr:spPr bwMode="auto">
        <a:xfrm>
          <a:off x="5311140" y="622935"/>
          <a:ext cx="104003" cy="170560"/>
        </a:xfrm>
        <a:prstGeom prst="rect">
          <a:avLst/>
        </a:prstGeom>
        <a:noFill/>
        <a:ln>
          <a:noFill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Y</a:t>
          </a:r>
        </a:p>
      </xdr:txBody>
    </xdr:sp>
    <xdr:clientData/>
  </xdr:oneCellAnchor>
  <xdr:oneCellAnchor>
    <xdr:from>
      <xdr:col>7</xdr:col>
      <xdr:colOff>134620</xdr:colOff>
      <xdr:row>2</xdr:row>
      <xdr:rowOff>15240</xdr:rowOff>
    </xdr:from>
    <xdr:ext cx="166585" cy="227484"/>
    <xdr:sp macro="" textlink="">
      <xdr:nvSpPr>
        <xdr:cNvPr id="19524" name="Text Box 68">
          <a:extLst>
            <a:ext uri="{FF2B5EF4-FFF2-40B4-BE49-F238E27FC236}">
              <a16:creationId xmlns:a16="http://schemas.microsoft.com/office/drawing/2014/main" id="{41EE533D-C8AE-0ACD-3A1A-8A8F51BA965A}"/>
            </a:ext>
          </a:extLst>
        </xdr:cNvPr>
        <xdr:cNvSpPr txBox="1">
          <a:spLocks noChangeArrowheads="1"/>
        </xdr:cNvSpPr>
      </xdr:nvSpPr>
      <xdr:spPr bwMode="auto">
        <a:xfrm>
          <a:off x="4019550" y="354330"/>
          <a:ext cx="138821" cy="204736"/>
        </a:xfrm>
        <a:prstGeom prst="rect">
          <a:avLst/>
        </a:prstGeom>
        <a:noFill/>
        <a:ln>
          <a:noFill/>
        </a:ln>
      </xdr:spPr>
      <xdr:txBody>
        <a:bodyPr wrap="none" lIns="27432" tIns="27432" rIns="0" bIns="0" anchor="t" upright="1">
          <a:spAutoFit/>
        </a:bodyPr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C</a:t>
          </a:r>
        </a:p>
      </xdr:txBody>
    </xdr:sp>
    <xdr:clientData/>
  </xdr:oneCellAnchor>
  <xdr:oneCellAnchor>
    <xdr:from>
      <xdr:col>7</xdr:col>
      <xdr:colOff>238760</xdr:colOff>
      <xdr:row>7</xdr:row>
      <xdr:rowOff>26670</xdr:rowOff>
    </xdr:from>
    <xdr:ext cx="1068120" cy="170560"/>
    <xdr:sp macro="" textlink="">
      <xdr:nvSpPr>
        <xdr:cNvPr id="19525" name="Text Box 69">
          <a:extLst>
            <a:ext uri="{FF2B5EF4-FFF2-40B4-BE49-F238E27FC236}">
              <a16:creationId xmlns:a16="http://schemas.microsoft.com/office/drawing/2014/main" id="{F554C54E-319F-0188-1AEF-1FB36A0975E3}"/>
            </a:ext>
          </a:extLst>
        </xdr:cNvPr>
        <xdr:cNvSpPr txBox="1">
          <a:spLocks noChangeArrowheads="1"/>
        </xdr:cNvSpPr>
      </xdr:nvSpPr>
      <xdr:spPr bwMode="auto">
        <a:xfrm>
          <a:off x="4099560" y="1200150"/>
          <a:ext cx="1044645" cy="170560"/>
        </a:xfrm>
        <a:prstGeom prst="rect">
          <a:avLst/>
        </a:prstGeom>
        <a:noFill/>
        <a:ln>
          <a:noFill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Threaded Flange</a:t>
          </a:r>
        </a:p>
      </xdr:txBody>
    </xdr:sp>
    <xdr:clientData/>
  </xdr:oneCellAnchor>
  <xdr:twoCellAnchor>
    <xdr:from>
      <xdr:col>12</xdr:col>
      <xdr:colOff>88900</xdr:colOff>
      <xdr:row>3</xdr:row>
      <xdr:rowOff>12700</xdr:rowOff>
    </xdr:from>
    <xdr:to>
      <xdr:col>12</xdr:col>
      <xdr:colOff>88900</xdr:colOff>
      <xdr:row>5</xdr:row>
      <xdr:rowOff>101600</xdr:rowOff>
    </xdr:to>
    <xdr:sp macro="" textlink="">
      <xdr:nvSpPr>
        <xdr:cNvPr id="46998" name="Line 70">
          <a:extLst>
            <a:ext uri="{FF2B5EF4-FFF2-40B4-BE49-F238E27FC236}">
              <a16:creationId xmlns:a16="http://schemas.microsoft.com/office/drawing/2014/main" id="{B1D36958-CE2F-2495-7DD8-79FF7D27CE15}"/>
            </a:ext>
          </a:extLst>
        </xdr:cNvPr>
        <xdr:cNvSpPr>
          <a:spLocks noChangeShapeType="1"/>
        </xdr:cNvSpPr>
      </xdr:nvSpPr>
      <xdr:spPr bwMode="auto">
        <a:xfrm flipV="1">
          <a:off x="7150100" y="508000"/>
          <a:ext cx="0" cy="4191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469900</xdr:colOff>
      <xdr:row>4</xdr:row>
      <xdr:rowOff>25400</xdr:rowOff>
    </xdr:from>
    <xdr:to>
      <xdr:col>12</xdr:col>
      <xdr:colOff>381000</xdr:colOff>
      <xdr:row>4</xdr:row>
      <xdr:rowOff>25400</xdr:rowOff>
    </xdr:to>
    <xdr:sp macro="" textlink="">
      <xdr:nvSpPr>
        <xdr:cNvPr id="46999" name="Line 71">
          <a:extLst>
            <a:ext uri="{FF2B5EF4-FFF2-40B4-BE49-F238E27FC236}">
              <a16:creationId xmlns:a16="http://schemas.microsoft.com/office/drawing/2014/main" id="{AF4BEB7D-6B9F-E090-AF69-D6E55367CEE4}"/>
            </a:ext>
          </a:extLst>
        </xdr:cNvPr>
        <xdr:cNvSpPr>
          <a:spLocks noChangeShapeType="1"/>
        </xdr:cNvSpPr>
      </xdr:nvSpPr>
      <xdr:spPr bwMode="auto">
        <a:xfrm>
          <a:off x="6883400" y="685800"/>
          <a:ext cx="5588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469900</xdr:colOff>
      <xdr:row>4</xdr:row>
      <xdr:rowOff>25400</xdr:rowOff>
    </xdr:from>
    <xdr:to>
      <xdr:col>11</xdr:col>
      <xdr:colOff>469900</xdr:colOff>
      <xdr:row>4</xdr:row>
      <xdr:rowOff>76200</xdr:rowOff>
    </xdr:to>
    <xdr:sp macro="" textlink="">
      <xdr:nvSpPr>
        <xdr:cNvPr id="47000" name="Line 72">
          <a:extLst>
            <a:ext uri="{FF2B5EF4-FFF2-40B4-BE49-F238E27FC236}">
              <a16:creationId xmlns:a16="http://schemas.microsoft.com/office/drawing/2014/main" id="{66246D69-A7FC-27C2-D227-AACFD777712C}"/>
            </a:ext>
          </a:extLst>
        </xdr:cNvPr>
        <xdr:cNvSpPr>
          <a:spLocks noChangeShapeType="1"/>
        </xdr:cNvSpPr>
      </xdr:nvSpPr>
      <xdr:spPr bwMode="auto">
        <a:xfrm>
          <a:off x="6883400" y="685800"/>
          <a:ext cx="0" cy="508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381000</xdr:colOff>
      <xdr:row>4</xdr:row>
      <xdr:rowOff>25400</xdr:rowOff>
    </xdr:from>
    <xdr:to>
      <xdr:col>12</xdr:col>
      <xdr:colOff>381000</xdr:colOff>
      <xdr:row>4</xdr:row>
      <xdr:rowOff>76200</xdr:rowOff>
    </xdr:to>
    <xdr:sp macro="" textlink="">
      <xdr:nvSpPr>
        <xdr:cNvPr id="47001" name="Line 73">
          <a:extLst>
            <a:ext uri="{FF2B5EF4-FFF2-40B4-BE49-F238E27FC236}">
              <a16:creationId xmlns:a16="http://schemas.microsoft.com/office/drawing/2014/main" id="{C76B28BF-CD62-F117-21F5-5AA9A4092544}"/>
            </a:ext>
          </a:extLst>
        </xdr:cNvPr>
        <xdr:cNvSpPr>
          <a:spLocks noChangeShapeType="1"/>
        </xdr:cNvSpPr>
      </xdr:nvSpPr>
      <xdr:spPr bwMode="auto">
        <a:xfrm>
          <a:off x="7442200" y="685800"/>
          <a:ext cx="0" cy="508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317500</xdr:colOff>
      <xdr:row>5</xdr:row>
      <xdr:rowOff>12700</xdr:rowOff>
    </xdr:from>
    <xdr:to>
      <xdr:col>11</xdr:col>
      <xdr:colOff>317500</xdr:colOff>
      <xdr:row>7</xdr:row>
      <xdr:rowOff>12700</xdr:rowOff>
    </xdr:to>
    <xdr:sp macro="" textlink="">
      <xdr:nvSpPr>
        <xdr:cNvPr id="47002" name="Line 74">
          <a:extLst>
            <a:ext uri="{FF2B5EF4-FFF2-40B4-BE49-F238E27FC236}">
              <a16:creationId xmlns:a16="http://schemas.microsoft.com/office/drawing/2014/main" id="{79BA0FFE-6778-7619-2C62-7727F6B36175}"/>
            </a:ext>
          </a:extLst>
        </xdr:cNvPr>
        <xdr:cNvSpPr>
          <a:spLocks noChangeShapeType="1"/>
        </xdr:cNvSpPr>
      </xdr:nvSpPr>
      <xdr:spPr bwMode="auto">
        <a:xfrm>
          <a:off x="6731000" y="838200"/>
          <a:ext cx="0" cy="33020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533400</xdr:colOff>
      <xdr:row>5</xdr:row>
      <xdr:rowOff>25400</xdr:rowOff>
    </xdr:from>
    <xdr:to>
      <xdr:col>12</xdr:col>
      <xdr:colOff>533400</xdr:colOff>
      <xdr:row>7</xdr:row>
      <xdr:rowOff>12700</xdr:rowOff>
    </xdr:to>
    <xdr:sp macro="" textlink="">
      <xdr:nvSpPr>
        <xdr:cNvPr id="47003" name="Line 75">
          <a:extLst>
            <a:ext uri="{FF2B5EF4-FFF2-40B4-BE49-F238E27FC236}">
              <a16:creationId xmlns:a16="http://schemas.microsoft.com/office/drawing/2014/main" id="{F03CA55F-9E60-19B7-2BEE-0760EA72807E}"/>
            </a:ext>
          </a:extLst>
        </xdr:cNvPr>
        <xdr:cNvSpPr>
          <a:spLocks noChangeShapeType="1"/>
        </xdr:cNvSpPr>
      </xdr:nvSpPr>
      <xdr:spPr bwMode="auto">
        <a:xfrm>
          <a:off x="7556500" y="850900"/>
          <a:ext cx="0" cy="31750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317500</xdr:colOff>
      <xdr:row>6</xdr:row>
      <xdr:rowOff>139700</xdr:rowOff>
    </xdr:from>
    <xdr:to>
      <xdr:col>12</xdr:col>
      <xdr:colOff>533400</xdr:colOff>
      <xdr:row>6</xdr:row>
      <xdr:rowOff>139700</xdr:rowOff>
    </xdr:to>
    <xdr:sp macro="" textlink="">
      <xdr:nvSpPr>
        <xdr:cNvPr id="47004" name="Line 76">
          <a:extLst>
            <a:ext uri="{FF2B5EF4-FFF2-40B4-BE49-F238E27FC236}">
              <a16:creationId xmlns:a16="http://schemas.microsoft.com/office/drawing/2014/main" id="{3C6D90B4-71F9-9A2A-AB54-1B453305194C}"/>
            </a:ext>
          </a:extLst>
        </xdr:cNvPr>
        <xdr:cNvSpPr>
          <a:spLocks noChangeShapeType="1"/>
        </xdr:cNvSpPr>
      </xdr:nvSpPr>
      <xdr:spPr bwMode="auto">
        <a:xfrm flipV="1">
          <a:off x="6731000" y="1130300"/>
          <a:ext cx="8255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546100</xdr:colOff>
      <xdr:row>4</xdr:row>
      <xdr:rowOff>152400</xdr:rowOff>
    </xdr:from>
    <xdr:to>
      <xdr:col>13</xdr:col>
      <xdr:colOff>254000</xdr:colOff>
      <xdr:row>4</xdr:row>
      <xdr:rowOff>152400</xdr:rowOff>
    </xdr:to>
    <xdr:sp macro="" textlink="">
      <xdr:nvSpPr>
        <xdr:cNvPr id="47005" name="Line 77">
          <a:extLst>
            <a:ext uri="{FF2B5EF4-FFF2-40B4-BE49-F238E27FC236}">
              <a16:creationId xmlns:a16="http://schemas.microsoft.com/office/drawing/2014/main" id="{FF8E20E2-C4DB-79FB-AADA-FD692BC2B6EF}"/>
            </a:ext>
          </a:extLst>
        </xdr:cNvPr>
        <xdr:cNvSpPr>
          <a:spLocks noChangeShapeType="1"/>
        </xdr:cNvSpPr>
      </xdr:nvSpPr>
      <xdr:spPr bwMode="auto">
        <a:xfrm flipV="1">
          <a:off x="7556500" y="812800"/>
          <a:ext cx="2540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431800</xdr:colOff>
      <xdr:row>4</xdr:row>
      <xdr:rowOff>12700</xdr:rowOff>
    </xdr:from>
    <xdr:to>
      <xdr:col>13</xdr:col>
      <xdr:colOff>266700</xdr:colOff>
      <xdr:row>4</xdr:row>
      <xdr:rowOff>12700</xdr:rowOff>
    </xdr:to>
    <xdr:sp macro="" textlink="">
      <xdr:nvSpPr>
        <xdr:cNvPr id="47006" name="Line 78">
          <a:extLst>
            <a:ext uri="{FF2B5EF4-FFF2-40B4-BE49-F238E27FC236}">
              <a16:creationId xmlns:a16="http://schemas.microsoft.com/office/drawing/2014/main" id="{7DD16DC2-3647-A6D7-2FA3-52B859D7588B}"/>
            </a:ext>
          </a:extLst>
        </xdr:cNvPr>
        <xdr:cNvSpPr>
          <a:spLocks noChangeShapeType="1"/>
        </xdr:cNvSpPr>
      </xdr:nvSpPr>
      <xdr:spPr bwMode="auto">
        <a:xfrm flipV="1">
          <a:off x="7493000" y="673100"/>
          <a:ext cx="3302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165100</xdr:colOff>
      <xdr:row>5</xdr:row>
      <xdr:rowOff>0</xdr:rowOff>
    </xdr:from>
    <xdr:to>
      <xdr:col>13</xdr:col>
      <xdr:colOff>165100</xdr:colOff>
      <xdr:row>6</xdr:row>
      <xdr:rowOff>50800</xdr:rowOff>
    </xdr:to>
    <xdr:sp macro="" textlink="">
      <xdr:nvSpPr>
        <xdr:cNvPr id="47007" name="Line 79">
          <a:extLst>
            <a:ext uri="{FF2B5EF4-FFF2-40B4-BE49-F238E27FC236}">
              <a16:creationId xmlns:a16="http://schemas.microsoft.com/office/drawing/2014/main" id="{27BC6771-2BCD-DA6D-74EC-04723265DB8D}"/>
            </a:ext>
          </a:extLst>
        </xdr:cNvPr>
        <xdr:cNvSpPr>
          <a:spLocks noChangeShapeType="1"/>
        </xdr:cNvSpPr>
      </xdr:nvSpPr>
      <xdr:spPr bwMode="auto">
        <a:xfrm>
          <a:off x="7721600" y="825500"/>
          <a:ext cx="0" cy="2159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165100</xdr:colOff>
      <xdr:row>2</xdr:row>
      <xdr:rowOff>101600</xdr:rowOff>
    </xdr:from>
    <xdr:to>
      <xdr:col>13</xdr:col>
      <xdr:colOff>165100</xdr:colOff>
      <xdr:row>4</xdr:row>
      <xdr:rowOff>0</xdr:rowOff>
    </xdr:to>
    <xdr:sp macro="" textlink="">
      <xdr:nvSpPr>
        <xdr:cNvPr id="47008" name="Line 80">
          <a:extLst>
            <a:ext uri="{FF2B5EF4-FFF2-40B4-BE49-F238E27FC236}">
              <a16:creationId xmlns:a16="http://schemas.microsoft.com/office/drawing/2014/main" id="{12E4BB84-0386-10F3-163B-E08A6FCFEEBF}"/>
            </a:ext>
          </a:extLst>
        </xdr:cNvPr>
        <xdr:cNvSpPr>
          <a:spLocks noChangeShapeType="1"/>
        </xdr:cNvSpPr>
      </xdr:nvSpPr>
      <xdr:spPr bwMode="auto">
        <a:xfrm flipV="1">
          <a:off x="7721600" y="431800"/>
          <a:ext cx="0" cy="2286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533400</xdr:colOff>
      <xdr:row>5</xdr:row>
      <xdr:rowOff>0</xdr:rowOff>
    </xdr:from>
    <xdr:to>
      <xdr:col>11</xdr:col>
      <xdr:colOff>266700</xdr:colOff>
      <xdr:row>5</xdr:row>
      <xdr:rowOff>0</xdr:rowOff>
    </xdr:to>
    <xdr:sp macro="" textlink="">
      <xdr:nvSpPr>
        <xdr:cNvPr id="47009" name="Line 81">
          <a:extLst>
            <a:ext uri="{FF2B5EF4-FFF2-40B4-BE49-F238E27FC236}">
              <a16:creationId xmlns:a16="http://schemas.microsoft.com/office/drawing/2014/main" id="{6BBAB5DD-B49A-5E58-1657-950DBA44D39C}"/>
            </a:ext>
          </a:extLst>
        </xdr:cNvPr>
        <xdr:cNvSpPr>
          <a:spLocks noChangeShapeType="1"/>
        </xdr:cNvSpPr>
      </xdr:nvSpPr>
      <xdr:spPr bwMode="auto">
        <a:xfrm>
          <a:off x="6413500" y="825500"/>
          <a:ext cx="2667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546100</xdr:colOff>
      <xdr:row>4</xdr:row>
      <xdr:rowOff>101600</xdr:rowOff>
    </xdr:from>
    <xdr:to>
      <xdr:col>11</xdr:col>
      <xdr:colOff>266700</xdr:colOff>
      <xdr:row>4</xdr:row>
      <xdr:rowOff>101600</xdr:rowOff>
    </xdr:to>
    <xdr:sp macro="" textlink="">
      <xdr:nvSpPr>
        <xdr:cNvPr id="47010" name="Line 82">
          <a:extLst>
            <a:ext uri="{FF2B5EF4-FFF2-40B4-BE49-F238E27FC236}">
              <a16:creationId xmlns:a16="http://schemas.microsoft.com/office/drawing/2014/main" id="{4E23D17C-67DD-FB8F-4EC3-B4FEE7D902D6}"/>
            </a:ext>
          </a:extLst>
        </xdr:cNvPr>
        <xdr:cNvSpPr>
          <a:spLocks noChangeShapeType="1"/>
        </xdr:cNvSpPr>
      </xdr:nvSpPr>
      <xdr:spPr bwMode="auto">
        <a:xfrm>
          <a:off x="6413500" y="762000"/>
          <a:ext cx="2667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584200</xdr:colOff>
      <xdr:row>3</xdr:row>
      <xdr:rowOff>0</xdr:rowOff>
    </xdr:from>
    <xdr:to>
      <xdr:col>10</xdr:col>
      <xdr:colOff>584200</xdr:colOff>
      <xdr:row>4</xdr:row>
      <xdr:rowOff>76200</xdr:rowOff>
    </xdr:to>
    <xdr:sp macro="" textlink="">
      <xdr:nvSpPr>
        <xdr:cNvPr id="47011" name="Line 83">
          <a:extLst>
            <a:ext uri="{FF2B5EF4-FFF2-40B4-BE49-F238E27FC236}">
              <a16:creationId xmlns:a16="http://schemas.microsoft.com/office/drawing/2014/main" id="{309CF583-F76B-B53F-646F-C0666BFB88D9}"/>
            </a:ext>
          </a:extLst>
        </xdr:cNvPr>
        <xdr:cNvSpPr>
          <a:spLocks noChangeShapeType="1"/>
        </xdr:cNvSpPr>
      </xdr:nvSpPr>
      <xdr:spPr bwMode="auto">
        <a:xfrm flipV="1">
          <a:off x="6413500" y="495300"/>
          <a:ext cx="0" cy="2413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584200</xdr:colOff>
      <xdr:row>5</xdr:row>
      <xdr:rowOff>0</xdr:rowOff>
    </xdr:from>
    <xdr:to>
      <xdr:col>10</xdr:col>
      <xdr:colOff>584200</xdr:colOff>
      <xdr:row>6</xdr:row>
      <xdr:rowOff>50800</xdr:rowOff>
    </xdr:to>
    <xdr:sp macro="" textlink="">
      <xdr:nvSpPr>
        <xdr:cNvPr id="47012" name="Line 84">
          <a:extLst>
            <a:ext uri="{FF2B5EF4-FFF2-40B4-BE49-F238E27FC236}">
              <a16:creationId xmlns:a16="http://schemas.microsoft.com/office/drawing/2014/main" id="{329B7DD0-4BE0-27E6-4B0C-C4834427EA00}"/>
            </a:ext>
          </a:extLst>
        </xdr:cNvPr>
        <xdr:cNvSpPr>
          <a:spLocks noChangeShapeType="1"/>
        </xdr:cNvSpPr>
      </xdr:nvSpPr>
      <xdr:spPr bwMode="auto">
        <a:xfrm>
          <a:off x="6413500" y="825500"/>
          <a:ext cx="0" cy="2159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571500</xdr:colOff>
      <xdr:row>3</xdr:row>
      <xdr:rowOff>0</xdr:rowOff>
    </xdr:from>
    <xdr:to>
      <xdr:col>10</xdr:col>
      <xdr:colOff>508000</xdr:colOff>
      <xdr:row>3</xdr:row>
      <xdr:rowOff>0</xdr:rowOff>
    </xdr:to>
    <xdr:sp macro="" textlink="">
      <xdr:nvSpPr>
        <xdr:cNvPr id="47013" name="Line 85">
          <a:extLst>
            <a:ext uri="{FF2B5EF4-FFF2-40B4-BE49-F238E27FC236}">
              <a16:creationId xmlns:a16="http://schemas.microsoft.com/office/drawing/2014/main" id="{81EEAA89-0F43-2EB3-8E2B-D784F7CCCBC0}"/>
            </a:ext>
          </a:extLst>
        </xdr:cNvPr>
        <xdr:cNvSpPr>
          <a:spLocks noChangeShapeType="1"/>
        </xdr:cNvSpPr>
      </xdr:nvSpPr>
      <xdr:spPr bwMode="auto">
        <a:xfrm>
          <a:off x="6413500" y="4953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12</xdr:col>
      <xdr:colOff>0</xdr:colOff>
      <xdr:row>5</xdr:row>
      <xdr:rowOff>99060</xdr:rowOff>
    </xdr:from>
    <xdr:ext cx="168103" cy="235029"/>
    <xdr:sp macro="" textlink="">
      <xdr:nvSpPr>
        <xdr:cNvPr id="19542" name="Text Box 86">
          <a:extLst>
            <a:ext uri="{FF2B5EF4-FFF2-40B4-BE49-F238E27FC236}">
              <a16:creationId xmlns:a16="http://schemas.microsoft.com/office/drawing/2014/main" id="{40247EA1-BEEF-87A3-F4CA-6F9CAEA36BAC}"/>
            </a:ext>
          </a:extLst>
        </xdr:cNvPr>
        <xdr:cNvSpPr txBox="1">
          <a:spLocks noChangeArrowheads="1"/>
        </xdr:cNvSpPr>
      </xdr:nvSpPr>
      <xdr:spPr bwMode="auto">
        <a:xfrm>
          <a:off x="6355080" y="933450"/>
          <a:ext cx="147413" cy="204736"/>
        </a:xfrm>
        <a:prstGeom prst="rect">
          <a:avLst/>
        </a:prstGeom>
        <a:noFill/>
        <a:ln>
          <a:noFill/>
        </a:ln>
      </xdr:spPr>
      <xdr:txBody>
        <a:bodyPr wrap="none" lIns="27432" tIns="27432" rIns="0" bIns="0" anchor="t" upright="1">
          <a:spAutoFit/>
        </a:bodyPr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O</a:t>
          </a:r>
        </a:p>
      </xdr:txBody>
    </xdr:sp>
    <xdr:clientData/>
  </xdr:oneCellAnchor>
  <xdr:twoCellAnchor editAs="oneCell">
    <xdr:from>
      <xdr:col>11</xdr:col>
      <xdr:colOff>81280</xdr:colOff>
      <xdr:row>2</xdr:row>
      <xdr:rowOff>72390</xdr:rowOff>
    </xdr:from>
    <xdr:to>
      <xdr:col>11</xdr:col>
      <xdr:colOff>293807</xdr:colOff>
      <xdr:row>3</xdr:row>
      <xdr:rowOff>104782</xdr:rowOff>
    </xdr:to>
    <xdr:sp macro="" textlink="">
      <xdr:nvSpPr>
        <xdr:cNvPr id="19543" name="Text Box 87">
          <a:extLst>
            <a:ext uri="{FF2B5EF4-FFF2-40B4-BE49-F238E27FC236}">
              <a16:creationId xmlns:a16="http://schemas.microsoft.com/office/drawing/2014/main" id="{C9FEAFC4-C8C1-51F6-C72B-07D81A7FF17F}"/>
            </a:ext>
          </a:extLst>
        </xdr:cNvPr>
        <xdr:cNvSpPr txBox="1">
          <a:spLocks noChangeArrowheads="1"/>
        </xdr:cNvSpPr>
      </xdr:nvSpPr>
      <xdr:spPr bwMode="auto">
        <a:xfrm>
          <a:off x="5734050" y="390525"/>
          <a:ext cx="190500" cy="180975"/>
        </a:xfrm>
        <a:prstGeom prst="rect">
          <a:avLst/>
        </a:prstGeom>
        <a:noFill/>
        <a:ln>
          <a:noFill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C</a:t>
          </a:r>
        </a:p>
      </xdr:txBody>
    </xdr:sp>
    <xdr:clientData/>
  </xdr:twoCellAnchor>
  <xdr:twoCellAnchor>
    <xdr:from>
      <xdr:col>13</xdr:col>
      <xdr:colOff>38100</xdr:colOff>
      <xdr:row>2</xdr:row>
      <xdr:rowOff>101600</xdr:rowOff>
    </xdr:from>
    <xdr:to>
      <xdr:col>13</xdr:col>
      <xdr:colOff>139700</xdr:colOff>
      <xdr:row>2</xdr:row>
      <xdr:rowOff>101600</xdr:rowOff>
    </xdr:to>
    <xdr:sp macro="" textlink="">
      <xdr:nvSpPr>
        <xdr:cNvPr id="47016" name="Line 88">
          <a:extLst>
            <a:ext uri="{FF2B5EF4-FFF2-40B4-BE49-F238E27FC236}">
              <a16:creationId xmlns:a16="http://schemas.microsoft.com/office/drawing/2014/main" id="{674D0556-23CA-16BF-6B6F-5481747271CD}"/>
            </a:ext>
          </a:extLst>
        </xdr:cNvPr>
        <xdr:cNvSpPr>
          <a:spLocks noChangeShapeType="1"/>
        </xdr:cNvSpPr>
      </xdr:nvSpPr>
      <xdr:spPr bwMode="auto">
        <a:xfrm>
          <a:off x="7594600" y="431800"/>
          <a:ext cx="1016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12</xdr:col>
      <xdr:colOff>356235</xdr:colOff>
      <xdr:row>2</xdr:row>
      <xdr:rowOff>26670</xdr:rowOff>
    </xdr:from>
    <xdr:ext cx="130357" cy="204736"/>
    <xdr:sp macro="" textlink="">
      <xdr:nvSpPr>
        <xdr:cNvPr id="19545" name="Text Box 89">
          <a:extLst>
            <a:ext uri="{FF2B5EF4-FFF2-40B4-BE49-F238E27FC236}">
              <a16:creationId xmlns:a16="http://schemas.microsoft.com/office/drawing/2014/main" id="{D3A606BF-325B-19AF-6B3E-4267B8CCD7F8}"/>
            </a:ext>
          </a:extLst>
        </xdr:cNvPr>
        <xdr:cNvSpPr txBox="1">
          <a:spLocks noChangeArrowheads="1"/>
        </xdr:cNvSpPr>
      </xdr:nvSpPr>
      <xdr:spPr bwMode="auto">
        <a:xfrm>
          <a:off x="7417435" y="356870"/>
          <a:ext cx="130357" cy="204736"/>
        </a:xfrm>
        <a:prstGeom prst="rect">
          <a:avLst/>
        </a:prstGeom>
        <a:noFill/>
        <a:ln>
          <a:noFill/>
        </a:ln>
      </xdr:spPr>
      <xdr:txBody>
        <a:bodyPr wrap="none" lIns="27432" tIns="27432" rIns="0" bIns="0" anchor="t" upright="1">
          <a:spAutoFit/>
        </a:bodyPr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Y</a:t>
          </a:r>
        </a:p>
      </xdr:txBody>
    </xdr:sp>
    <xdr:clientData/>
  </xdr:oneCellAnchor>
  <xdr:oneCellAnchor>
    <xdr:from>
      <xdr:col>11</xdr:col>
      <xdr:colOff>140335</xdr:colOff>
      <xdr:row>7</xdr:row>
      <xdr:rowOff>26670</xdr:rowOff>
    </xdr:from>
    <xdr:ext cx="1037463" cy="170560"/>
    <xdr:sp macro="" textlink="">
      <xdr:nvSpPr>
        <xdr:cNvPr id="19546" name="Text Box 90">
          <a:extLst>
            <a:ext uri="{FF2B5EF4-FFF2-40B4-BE49-F238E27FC236}">
              <a16:creationId xmlns:a16="http://schemas.microsoft.com/office/drawing/2014/main" id="{2309469C-386A-F2D0-2F6E-6236DBCF7796}"/>
            </a:ext>
          </a:extLst>
        </xdr:cNvPr>
        <xdr:cNvSpPr txBox="1">
          <a:spLocks noChangeArrowheads="1"/>
        </xdr:cNvSpPr>
      </xdr:nvSpPr>
      <xdr:spPr bwMode="auto">
        <a:xfrm>
          <a:off x="5895975" y="1200150"/>
          <a:ext cx="1037463" cy="170560"/>
        </a:xfrm>
        <a:prstGeom prst="rect">
          <a:avLst/>
        </a:prstGeom>
        <a:noFill/>
        <a:ln>
          <a:noFill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Lap Joint Flange</a:t>
          </a:r>
        </a:p>
      </xdr:txBody>
    </xdr:sp>
    <xdr:clientData/>
  </xdr:oneCellAnchor>
  <xdr:twoCellAnchor>
    <xdr:from>
      <xdr:col>14</xdr:col>
      <xdr:colOff>546100</xdr:colOff>
      <xdr:row>4</xdr:row>
      <xdr:rowOff>139700</xdr:rowOff>
    </xdr:from>
    <xdr:to>
      <xdr:col>15</xdr:col>
      <xdr:colOff>495300</xdr:colOff>
      <xdr:row>4</xdr:row>
      <xdr:rowOff>152400</xdr:rowOff>
    </xdr:to>
    <xdr:sp macro="" textlink="">
      <xdr:nvSpPr>
        <xdr:cNvPr id="47019" name="Rectangle 91">
          <a:extLst>
            <a:ext uri="{FF2B5EF4-FFF2-40B4-BE49-F238E27FC236}">
              <a16:creationId xmlns:a16="http://schemas.microsoft.com/office/drawing/2014/main" id="{FBB6A68C-628E-06F7-5CE5-08FD79102035}"/>
            </a:ext>
          </a:extLst>
        </xdr:cNvPr>
        <xdr:cNvSpPr>
          <a:spLocks noChangeArrowheads="1"/>
        </xdr:cNvSpPr>
      </xdr:nvSpPr>
      <xdr:spPr bwMode="auto">
        <a:xfrm>
          <a:off x="8674100" y="800100"/>
          <a:ext cx="546100" cy="12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905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miter lim="800000"/>
          <a:headEnd/>
          <a:tailEnd/>
        </a:ln>
      </xdr:spPr>
    </xdr:sp>
    <xdr:clientData/>
  </xdr:twoCellAnchor>
  <xdr:twoCellAnchor>
    <xdr:from>
      <xdr:col>14</xdr:col>
      <xdr:colOff>431800</xdr:colOff>
      <xdr:row>4</xdr:row>
      <xdr:rowOff>152400</xdr:rowOff>
    </xdr:from>
    <xdr:to>
      <xdr:col>14</xdr:col>
      <xdr:colOff>431800</xdr:colOff>
      <xdr:row>6</xdr:row>
      <xdr:rowOff>139700</xdr:rowOff>
    </xdr:to>
    <xdr:sp macro="" textlink="">
      <xdr:nvSpPr>
        <xdr:cNvPr id="47020" name="Line 92">
          <a:extLst>
            <a:ext uri="{FF2B5EF4-FFF2-40B4-BE49-F238E27FC236}">
              <a16:creationId xmlns:a16="http://schemas.microsoft.com/office/drawing/2014/main" id="{2D51F85D-FF7C-EDD2-9427-79A65A487859}"/>
            </a:ext>
          </a:extLst>
        </xdr:cNvPr>
        <xdr:cNvSpPr>
          <a:spLocks noChangeShapeType="1"/>
        </xdr:cNvSpPr>
      </xdr:nvSpPr>
      <xdr:spPr bwMode="auto">
        <a:xfrm>
          <a:off x="8559800" y="812800"/>
          <a:ext cx="0" cy="31750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635000</xdr:colOff>
      <xdr:row>5</xdr:row>
      <xdr:rowOff>0</xdr:rowOff>
    </xdr:from>
    <xdr:to>
      <xdr:col>15</xdr:col>
      <xdr:colOff>635000</xdr:colOff>
      <xdr:row>6</xdr:row>
      <xdr:rowOff>152400</xdr:rowOff>
    </xdr:to>
    <xdr:sp macro="" textlink="">
      <xdr:nvSpPr>
        <xdr:cNvPr id="47021" name="Line 93">
          <a:extLst>
            <a:ext uri="{FF2B5EF4-FFF2-40B4-BE49-F238E27FC236}">
              <a16:creationId xmlns:a16="http://schemas.microsoft.com/office/drawing/2014/main" id="{4934D46C-B56C-DD30-9251-2148A81805FE}"/>
            </a:ext>
          </a:extLst>
        </xdr:cNvPr>
        <xdr:cNvSpPr>
          <a:spLocks noChangeShapeType="1"/>
        </xdr:cNvSpPr>
      </xdr:nvSpPr>
      <xdr:spPr bwMode="auto">
        <a:xfrm>
          <a:off x="9321800" y="825500"/>
          <a:ext cx="0" cy="31750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228600</xdr:colOff>
      <xdr:row>3</xdr:row>
      <xdr:rowOff>25400</xdr:rowOff>
    </xdr:from>
    <xdr:to>
      <xdr:col>15</xdr:col>
      <xdr:colOff>228600</xdr:colOff>
      <xdr:row>5</xdr:row>
      <xdr:rowOff>101600</xdr:rowOff>
    </xdr:to>
    <xdr:sp macro="" textlink="">
      <xdr:nvSpPr>
        <xdr:cNvPr id="47022" name="Line 94">
          <a:extLst>
            <a:ext uri="{FF2B5EF4-FFF2-40B4-BE49-F238E27FC236}">
              <a16:creationId xmlns:a16="http://schemas.microsoft.com/office/drawing/2014/main" id="{C25E6E08-A888-AB1F-280F-5EA379290940}"/>
            </a:ext>
          </a:extLst>
        </xdr:cNvPr>
        <xdr:cNvSpPr>
          <a:spLocks noChangeShapeType="1"/>
        </xdr:cNvSpPr>
      </xdr:nvSpPr>
      <xdr:spPr bwMode="auto">
        <a:xfrm flipV="1">
          <a:off x="8953500" y="520700"/>
          <a:ext cx="0" cy="4064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431800</xdr:colOff>
      <xdr:row>6</xdr:row>
      <xdr:rowOff>114300</xdr:rowOff>
    </xdr:from>
    <xdr:to>
      <xdr:col>15</xdr:col>
      <xdr:colOff>647700</xdr:colOff>
      <xdr:row>6</xdr:row>
      <xdr:rowOff>114300</xdr:rowOff>
    </xdr:to>
    <xdr:sp macro="" textlink="">
      <xdr:nvSpPr>
        <xdr:cNvPr id="47023" name="Line 95">
          <a:extLst>
            <a:ext uri="{FF2B5EF4-FFF2-40B4-BE49-F238E27FC236}">
              <a16:creationId xmlns:a16="http://schemas.microsoft.com/office/drawing/2014/main" id="{7EA95839-5A02-ED72-E798-5040B811896C}"/>
            </a:ext>
          </a:extLst>
        </xdr:cNvPr>
        <xdr:cNvSpPr>
          <a:spLocks noChangeShapeType="1"/>
        </xdr:cNvSpPr>
      </xdr:nvSpPr>
      <xdr:spPr bwMode="auto">
        <a:xfrm flipV="1">
          <a:off x="8559800" y="1104900"/>
          <a:ext cx="7620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558800</xdr:colOff>
      <xdr:row>4</xdr:row>
      <xdr:rowOff>152400</xdr:rowOff>
    </xdr:from>
    <xdr:to>
      <xdr:col>16</xdr:col>
      <xdr:colOff>266700</xdr:colOff>
      <xdr:row>4</xdr:row>
      <xdr:rowOff>152400</xdr:rowOff>
    </xdr:to>
    <xdr:sp macro="" textlink="">
      <xdr:nvSpPr>
        <xdr:cNvPr id="47024" name="Line 96">
          <a:extLst>
            <a:ext uri="{FF2B5EF4-FFF2-40B4-BE49-F238E27FC236}">
              <a16:creationId xmlns:a16="http://schemas.microsoft.com/office/drawing/2014/main" id="{229EAEBA-ECBC-50F6-26E2-C13D0ED3C002}"/>
            </a:ext>
          </a:extLst>
        </xdr:cNvPr>
        <xdr:cNvSpPr>
          <a:spLocks noChangeShapeType="1"/>
        </xdr:cNvSpPr>
      </xdr:nvSpPr>
      <xdr:spPr bwMode="auto">
        <a:xfrm flipV="1">
          <a:off x="9283700" y="812800"/>
          <a:ext cx="3048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685800</xdr:colOff>
      <xdr:row>4</xdr:row>
      <xdr:rowOff>38100</xdr:rowOff>
    </xdr:from>
    <xdr:to>
      <xdr:col>16</xdr:col>
      <xdr:colOff>254000</xdr:colOff>
      <xdr:row>4</xdr:row>
      <xdr:rowOff>38100</xdr:rowOff>
    </xdr:to>
    <xdr:sp macro="" textlink="">
      <xdr:nvSpPr>
        <xdr:cNvPr id="47025" name="Line 97">
          <a:extLst>
            <a:ext uri="{FF2B5EF4-FFF2-40B4-BE49-F238E27FC236}">
              <a16:creationId xmlns:a16="http://schemas.microsoft.com/office/drawing/2014/main" id="{1ACD3F5B-D6DE-3C4F-9A59-9E60F09BD120}"/>
            </a:ext>
          </a:extLst>
        </xdr:cNvPr>
        <xdr:cNvSpPr>
          <a:spLocks noChangeShapeType="1"/>
        </xdr:cNvSpPr>
      </xdr:nvSpPr>
      <xdr:spPr bwMode="auto">
        <a:xfrm flipV="1">
          <a:off x="9321800" y="698500"/>
          <a:ext cx="2540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177800</xdr:colOff>
      <xdr:row>5</xdr:row>
      <xdr:rowOff>0</xdr:rowOff>
    </xdr:from>
    <xdr:to>
      <xdr:col>16</xdr:col>
      <xdr:colOff>177800</xdr:colOff>
      <xdr:row>6</xdr:row>
      <xdr:rowOff>50800</xdr:rowOff>
    </xdr:to>
    <xdr:sp macro="" textlink="">
      <xdr:nvSpPr>
        <xdr:cNvPr id="47026" name="Line 98">
          <a:extLst>
            <a:ext uri="{FF2B5EF4-FFF2-40B4-BE49-F238E27FC236}">
              <a16:creationId xmlns:a16="http://schemas.microsoft.com/office/drawing/2014/main" id="{B62C5546-29CC-7EE2-509A-16D93A18B742}"/>
            </a:ext>
          </a:extLst>
        </xdr:cNvPr>
        <xdr:cNvSpPr>
          <a:spLocks noChangeShapeType="1"/>
        </xdr:cNvSpPr>
      </xdr:nvSpPr>
      <xdr:spPr bwMode="auto">
        <a:xfrm>
          <a:off x="9499600" y="825500"/>
          <a:ext cx="0" cy="2159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165100</xdr:colOff>
      <xdr:row>2</xdr:row>
      <xdr:rowOff>139700</xdr:rowOff>
    </xdr:from>
    <xdr:to>
      <xdr:col>16</xdr:col>
      <xdr:colOff>165100</xdr:colOff>
      <xdr:row>4</xdr:row>
      <xdr:rowOff>25400</xdr:rowOff>
    </xdr:to>
    <xdr:sp macro="" textlink="">
      <xdr:nvSpPr>
        <xdr:cNvPr id="47027" name="Line 99">
          <a:extLst>
            <a:ext uri="{FF2B5EF4-FFF2-40B4-BE49-F238E27FC236}">
              <a16:creationId xmlns:a16="http://schemas.microsoft.com/office/drawing/2014/main" id="{7F1B3218-4FBD-D8B3-03CF-91F5C4B5793B}"/>
            </a:ext>
          </a:extLst>
        </xdr:cNvPr>
        <xdr:cNvSpPr>
          <a:spLocks noChangeShapeType="1"/>
        </xdr:cNvSpPr>
      </xdr:nvSpPr>
      <xdr:spPr bwMode="auto">
        <a:xfrm flipV="1">
          <a:off x="9486900" y="469900"/>
          <a:ext cx="0" cy="2159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63500</xdr:colOff>
      <xdr:row>2</xdr:row>
      <xdr:rowOff>139700</xdr:rowOff>
    </xdr:from>
    <xdr:to>
      <xdr:col>16</xdr:col>
      <xdr:colOff>177800</xdr:colOff>
      <xdr:row>2</xdr:row>
      <xdr:rowOff>139700</xdr:rowOff>
    </xdr:to>
    <xdr:sp macro="" textlink="">
      <xdr:nvSpPr>
        <xdr:cNvPr id="47028" name="Line 100">
          <a:extLst>
            <a:ext uri="{FF2B5EF4-FFF2-40B4-BE49-F238E27FC236}">
              <a16:creationId xmlns:a16="http://schemas.microsoft.com/office/drawing/2014/main" id="{67E864B6-0604-4728-673C-B50CB6F30022}"/>
            </a:ext>
          </a:extLst>
        </xdr:cNvPr>
        <xdr:cNvSpPr>
          <a:spLocks noChangeShapeType="1"/>
        </xdr:cNvSpPr>
      </xdr:nvSpPr>
      <xdr:spPr bwMode="auto">
        <a:xfrm>
          <a:off x="9385300" y="469900"/>
          <a:ext cx="1143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15</xdr:col>
      <xdr:colOff>127000</xdr:colOff>
      <xdr:row>5</xdr:row>
      <xdr:rowOff>106680</xdr:rowOff>
    </xdr:from>
    <xdr:ext cx="160814" cy="227484"/>
    <xdr:sp macro="" textlink="">
      <xdr:nvSpPr>
        <xdr:cNvPr id="19557" name="Text Box 101">
          <a:extLst>
            <a:ext uri="{FF2B5EF4-FFF2-40B4-BE49-F238E27FC236}">
              <a16:creationId xmlns:a16="http://schemas.microsoft.com/office/drawing/2014/main" id="{A444451D-06F2-793C-819E-1D6AC8E476D4}"/>
            </a:ext>
          </a:extLst>
        </xdr:cNvPr>
        <xdr:cNvSpPr txBox="1">
          <a:spLocks noChangeArrowheads="1"/>
        </xdr:cNvSpPr>
      </xdr:nvSpPr>
      <xdr:spPr bwMode="auto">
        <a:xfrm>
          <a:off x="7949565" y="941070"/>
          <a:ext cx="147413" cy="204736"/>
        </a:xfrm>
        <a:prstGeom prst="rect">
          <a:avLst/>
        </a:prstGeom>
        <a:noFill/>
        <a:ln>
          <a:noFill/>
        </a:ln>
      </xdr:spPr>
      <xdr:txBody>
        <a:bodyPr wrap="none" lIns="27432" tIns="27432" rIns="0" bIns="0" anchor="t" upright="1">
          <a:spAutoFit/>
        </a:bodyPr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O</a:t>
          </a:r>
        </a:p>
      </xdr:txBody>
    </xdr:sp>
    <xdr:clientData/>
  </xdr:oneCellAnchor>
  <xdr:twoCellAnchor editAs="oneCell">
    <xdr:from>
      <xdr:col>15</xdr:col>
      <xdr:colOff>506095</xdr:colOff>
      <xdr:row>2</xdr:row>
      <xdr:rowOff>26670</xdr:rowOff>
    </xdr:from>
    <xdr:to>
      <xdr:col>16</xdr:col>
      <xdr:colOff>58754</xdr:colOff>
      <xdr:row>3</xdr:row>
      <xdr:rowOff>104840</xdr:rowOff>
    </xdr:to>
    <xdr:sp macro="" textlink="">
      <xdr:nvSpPr>
        <xdr:cNvPr id="19558" name="Text Box 102">
          <a:extLst>
            <a:ext uri="{FF2B5EF4-FFF2-40B4-BE49-F238E27FC236}">
              <a16:creationId xmlns:a16="http://schemas.microsoft.com/office/drawing/2014/main" id="{3A106AAC-AB91-3B15-C5D4-663EE9442B97}"/>
            </a:ext>
          </a:extLst>
        </xdr:cNvPr>
        <xdr:cNvSpPr txBox="1">
          <a:spLocks noChangeArrowheads="1"/>
        </xdr:cNvSpPr>
      </xdr:nvSpPr>
      <xdr:spPr bwMode="auto">
        <a:xfrm>
          <a:off x="8105775" y="352425"/>
          <a:ext cx="142875" cy="219075"/>
        </a:xfrm>
        <a:prstGeom prst="rect">
          <a:avLst/>
        </a:prstGeom>
        <a:noFill/>
        <a:ln>
          <a:noFill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C</a:t>
          </a:r>
        </a:p>
      </xdr:txBody>
    </xdr:sp>
    <xdr:clientData/>
  </xdr:twoCellAnchor>
  <xdr:oneCellAnchor>
    <xdr:from>
      <xdr:col>14</xdr:col>
      <xdr:colOff>398145</xdr:colOff>
      <xdr:row>7</xdr:row>
      <xdr:rowOff>30480</xdr:rowOff>
    </xdr:from>
    <xdr:ext cx="788036" cy="170560"/>
    <xdr:sp macro="" textlink="">
      <xdr:nvSpPr>
        <xdr:cNvPr id="19559" name="Text Box 103">
          <a:extLst>
            <a:ext uri="{FF2B5EF4-FFF2-40B4-BE49-F238E27FC236}">
              <a16:creationId xmlns:a16="http://schemas.microsoft.com/office/drawing/2014/main" id="{894E4C9A-E5DA-FB45-5682-61CF74A2DC24}"/>
            </a:ext>
          </a:extLst>
        </xdr:cNvPr>
        <xdr:cNvSpPr txBox="1">
          <a:spLocks noChangeArrowheads="1"/>
        </xdr:cNvSpPr>
      </xdr:nvSpPr>
      <xdr:spPr bwMode="auto">
        <a:xfrm>
          <a:off x="8526145" y="1186180"/>
          <a:ext cx="788036" cy="170560"/>
        </a:xfrm>
        <a:prstGeom prst="rect">
          <a:avLst/>
        </a:prstGeom>
        <a:noFill/>
        <a:ln>
          <a:noFill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Blind Flange</a:t>
          </a:r>
        </a:p>
      </xdr:txBody>
    </xdr:sp>
    <xdr:clientData/>
  </xdr:oneCellAnchor>
  <xdr:twoCellAnchor>
    <xdr:from>
      <xdr:col>10</xdr:col>
      <xdr:colOff>495300</xdr:colOff>
      <xdr:row>3</xdr:row>
      <xdr:rowOff>12700</xdr:rowOff>
    </xdr:from>
    <xdr:to>
      <xdr:col>11</xdr:col>
      <xdr:colOff>50800</xdr:colOff>
      <xdr:row>3</xdr:row>
      <xdr:rowOff>12700</xdr:rowOff>
    </xdr:to>
    <xdr:sp macro="" textlink="">
      <xdr:nvSpPr>
        <xdr:cNvPr id="47032" name="Line 104">
          <a:extLst>
            <a:ext uri="{FF2B5EF4-FFF2-40B4-BE49-F238E27FC236}">
              <a16:creationId xmlns:a16="http://schemas.microsoft.com/office/drawing/2014/main" id="{06B4B852-62C9-2B22-594F-358393CDD1E2}"/>
            </a:ext>
          </a:extLst>
        </xdr:cNvPr>
        <xdr:cNvSpPr>
          <a:spLocks noChangeShapeType="1"/>
        </xdr:cNvSpPr>
      </xdr:nvSpPr>
      <xdr:spPr bwMode="auto">
        <a:xfrm>
          <a:off x="6400800" y="508000"/>
          <a:ext cx="635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21</xdr:col>
      <xdr:colOff>292100</xdr:colOff>
      <xdr:row>32</xdr:row>
      <xdr:rowOff>76200</xdr:rowOff>
    </xdr:from>
    <xdr:to>
      <xdr:col>32</xdr:col>
      <xdr:colOff>660400</xdr:colOff>
      <xdr:row>38</xdr:row>
      <xdr:rowOff>151586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E55EC20-BE93-5CC0-634A-B8B571F3F4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979400" y="5638800"/>
          <a:ext cx="7772400" cy="112948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25400</xdr:colOff>
      <xdr:row>7</xdr:row>
      <xdr:rowOff>0</xdr:rowOff>
    </xdr:from>
    <xdr:to>
      <xdr:col>9</xdr:col>
      <xdr:colOff>12700</xdr:colOff>
      <xdr:row>7</xdr:row>
      <xdr:rowOff>0</xdr:rowOff>
    </xdr:to>
    <xdr:sp macro="" textlink="">
      <xdr:nvSpPr>
        <xdr:cNvPr id="4788" name="Line 2">
          <a:extLst>
            <a:ext uri="{FF2B5EF4-FFF2-40B4-BE49-F238E27FC236}">
              <a16:creationId xmlns:a16="http://schemas.microsoft.com/office/drawing/2014/main" id="{F232B9E1-3C6E-4198-8F6B-2BFF5D3B03D0}"/>
            </a:ext>
          </a:extLst>
        </xdr:cNvPr>
        <xdr:cNvSpPr>
          <a:spLocks noChangeShapeType="1"/>
        </xdr:cNvSpPr>
      </xdr:nvSpPr>
      <xdr:spPr bwMode="auto">
        <a:xfrm>
          <a:off x="4305300" y="1397000"/>
          <a:ext cx="12954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38100</xdr:colOff>
      <xdr:row>7</xdr:row>
      <xdr:rowOff>12700</xdr:rowOff>
    </xdr:from>
    <xdr:to>
      <xdr:col>7</xdr:col>
      <xdr:colOff>38100</xdr:colOff>
      <xdr:row>7</xdr:row>
      <xdr:rowOff>63500</xdr:rowOff>
    </xdr:to>
    <xdr:sp macro="" textlink="">
      <xdr:nvSpPr>
        <xdr:cNvPr id="4789" name="Line 3">
          <a:extLst>
            <a:ext uri="{FF2B5EF4-FFF2-40B4-BE49-F238E27FC236}">
              <a16:creationId xmlns:a16="http://schemas.microsoft.com/office/drawing/2014/main" id="{7D9FBDA0-D2C0-57AC-7288-3FC130867C4A}"/>
            </a:ext>
          </a:extLst>
        </xdr:cNvPr>
        <xdr:cNvSpPr>
          <a:spLocks noChangeShapeType="1"/>
        </xdr:cNvSpPr>
      </xdr:nvSpPr>
      <xdr:spPr bwMode="auto">
        <a:xfrm>
          <a:off x="4318000" y="1409700"/>
          <a:ext cx="0" cy="508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12700</xdr:colOff>
      <xdr:row>6</xdr:row>
      <xdr:rowOff>152400</xdr:rowOff>
    </xdr:from>
    <xdr:to>
      <xdr:col>9</xdr:col>
      <xdr:colOff>12700</xdr:colOff>
      <xdr:row>7</xdr:row>
      <xdr:rowOff>63500</xdr:rowOff>
    </xdr:to>
    <xdr:sp macro="" textlink="">
      <xdr:nvSpPr>
        <xdr:cNvPr id="4790" name="Line 4">
          <a:extLst>
            <a:ext uri="{FF2B5EF4-FFF2-40B4-BE49-F238E27FC236}">
              <a16:creationId xmlns:a16="http://schemas.microsoft.com/office/drawing/2014/main" id="{3539D73D-1B0F-B81E-9163-365DFDACD23E}"/>
            </a:ext>
          </a:extLst>
        </xdr:cNvPr>
        <xdr:cNvSpPr>
          <a:spLocks noChangeShapeType="1"/>
        </xdr:cNvSpPr>
      </xdr:nvSpPr>
      <xdr:spPr bwMode="auto">
        <a:xfrm>
          <a:off x="5600700" y="1384300"/>
          <a:ext cx="0" cy="762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38100</xdr:colOff>
      <xdr:row>7</xdr:row>
      <xdr:rowOff>63500</xdr:rowOff>
    </xdr:from>
    <xdr:to>
      <xdr:col>7</xdr:col>
      <xdr:colOff>622300</xdr:colOff>
      <xdr:row>7</xdr:row>
      <xdr:rowOff>127000</xdr:rowOff>
    </xdr:to>
    <xdr:sp macro="" textlink="">
      <xdr:nvSpPr>
        <xdr:cNvPr id="4791" name="Line 5">
          <a:extLst>
            <a:ext uri="{FF2B5EF4-FFF2-40B4-BE49-F238E27FC236}">
              <a16:creationId xmlns:a16="http://schemas.microsoft.com/office/drawing/2014/main" id="{BB295DAE-ADA9-4CF8-6A8F-91F33D176D4E}"/>
            </a:ext>
          </a:extLst>
        </xdr:cNvPr>
        <xdr:cNvSpPr>
          <a:spLocks noChangeShapeType="1"/>
        </xdr:cNvSpPr>
      </xdr:nvSpPr>
      <xdr:spPr bwMode="auto">
        <a:xfrm>
          <a:off x="4318000" y="1460500"/>
          <a:ext cx="584200" cy="63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38100</xdr:colOff>
      <xdr:row>7</xdr:row>
      <xdr:rowOff>63500</xdr:rowOff>
    </xdr:from>
    <xdr:to>
      <xdr:col>9</xdr:col>
      <xdr:colOff>12700</xdr:colOff>
      <xdr:row>7</xdr:row>
      <xdr:rowOff>114300</xdr:rowOff>
    </xdr:to>
    <xdr:sp macro="" textlink="">
      <xdr:nvSpPr>
        <xdr:cNvPr id="4792" name="Line 6">
          <a:extLst>
            <a:ext uri="{FF2B5EF4-FFF2-40B4-BE49-F238E27FC236}">
              <a16:creationId xmlns:a16="http://schemas.microsoft.com/office/drawing/2014/main" id="{0A49A0B0-9782-C826-E837-1041398F113D}"/>
            </a:ext>
          </a:extLst>
        </xdr:cNvPr>
        <xdr:cNvSpPr>
          <a:spLocks noChangeShapeType="1"/>
        </xdr:cNvSpPr>
      </xdr:nvSpPr>
      <xdr:spPr bwMode="auto">
        <a:xfrm flipH="1">
          <a:off x="4991100" y="1460500"/>
          <a:ext cx="609600" cy="508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25400</xdr:colOff>
      <xdr:row>14</xdr:row>
      <xdr:rowOff>139700</xdr:rowOff>
    </xdr:from>
    <xdr:to>
      <xdr:col>9</xdr:col>
      <xdr:colOff>12700</xdr:colOff>
      <xdr:row>14</xdr:row>
      <xdr:rowOff>139700</xdr:rowOff>
    </xdr:to>
    <xdr:sp macro="" textlink="">
      <xdr:nvSpPr>
        <xdr:cNvPr id="4793" name="Line 7">
          <a:extLst>
            <a:ext uri="{FF2B5EF4-FFF2-40B4-BE49-F238E27FC236}">
              <a16:creationId xmlns:a16="http://schemas.microsoft.com/office/drawing/2014/main" id="{301EC730-3981-2E4E-7D88-FF3035C2BC47}"/>
            </a:ext>
          </a:extLst>
        </xdr:cNvPr>
        <xdr:cNvSpPr>
          <a:spLocks noChangeShapeType="1"/>
        </xdr:cNvSpPr>
      </xdr:nvSpPr>
      <xdr:spPr bwMode="auto">
        <a:xfrm>
          <a:off x="4305300" y="2882900"/>
          <a:ext cx="12954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635000</xdr:colOff>
      <xdr:row>7</xdr:row>
      <xdr:rowOff>114300</xdr:rowOff>
    </xdr:from>
    <xdr:to>
      <xdr:col>7</xdr:col>
      <xdr:colOff>635000</xdr:colOff>
      <xdr:row>14</xdr:row>
      <xdr:rowOff>25400</xdr:rowOff>
    </xdr:to>
    <xdr:sp macro="" textlink="">
      <xdr:nvSpPr>
        <xdr:cNvPr id="4794" name="Line 8">
          <a:extLst>
            <a:ext uri="{FF2B5EF4-FFF2-40B4-BE49-F238E27FC236}">
              <a16:creationId xmlns:a16="http://schemas.microsoft.com/office/drawing/2014/main" id="{B51FB812-749D-4EB8-FB77-55EFF07391FA}"/>
            </a:ext>
          </a:extLst>
        </xdr:cNvPr>
        <xdr:cNvSpPr>
          <a:spLocks noChangeShapeType="1"/>
        </xdr:cNvSpPr>
      </xdr:nvSpPr>
      <xdr:spPr bwMode="auto">
        <a:xfrm>
          <a:off x="4914900" y="1511300"/>
          <a:ext cx="0" cy="12573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38100</xdr:colOff>
      <xdr:row>14</xdr:row>
      <xdr:rowOff>12700</xdr:rowOff>
    </xdr:from>
    <xdr:to>
      <xdr:col>7</xdr:col>
      <xdr:colOff>647700</xdr:colOff>
      <xdr:row>14</xdr:row>
      <xdr:rowOff>88900</xdr:rowOff>
    </xdr:to>
    <xdr:sp macro="" textlink="">
      <xdr:nvSpPr>
        <xdr:cNvPr id="4795" name="Line 9">
          <a:extLst>
            <a:ext uri="{FF2B5EF4-FFF2-40B4-BE49-F238E27FC236}">
              <a16:creationId xmlns:a16="http://schemas.microsoft.com/office/drawing/2014/main" id="{B5146E38-B859-7EE7-78F6-F56A62A95DCA}"/>
            </a:ext>
          </a:extLst>
        </xdr:cNvPr>
        <xdr:cNvSpPr>
          <a:spLocks noChangeShapeType="1"/>
        </xdr:cNvSpPr>
      </xdr:nvSpPr>
      <xdr:spPr bwMode="auto">
        <a:xfrm flipH="1">
          <a:off x="4318000" y="2755900"/>
          <a:ext cx="609600" cy="762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25400</xdr:colOff>
      <xdr:row>14</xdr:row>
      <xdr:rowOff>76200</xdr:rowOff>
    </xdr:from>
    <xdr:to>
      <xdr:col>7</xdr:col>
      <xdr:colOff>38100</xdr:colOff>
      <xdr:row>15</xdr:row>
      <xdr:rowOff>0</xdr:rowOff>
    </xdr:to>
    <xdr:sp macro="" textlink="">
      <xdr:nvSpPr>
        <xdr:cNvPr id="4796" name="Line 10">
          <a:extLst>
            <a:ext uri="{FF2B5EF4-FFF2-40B4-BE49-F238E27FC236}">
              <a16:creationId xmlns:a16="http://schemas.microsoft.com/office/drawing/2014/main" id="{8036BDD8-F3C7-88A4-96DA-BC4475063113}"/>
            </a:ext>
          </a:extLst>
        </xdr:cNvPr>
        <xdr:cNvSpPr>
          <a:spLocks noChangeShapeType="1"/>
        </xdr:cNvSpPr>
      </xdr:nvSpPr>
      <xdr:spPr bwMode="auto">
        <a:xfrm flipH="1">
          <a:off x="4305300" y="2819400"/>
          <a:ext cx="12700" cy="889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12700</xdr:colOff>
      <xdr:row>7</xdr:row>
      <xdr:rowOff>114300</xdr:rowOff>
    </xdr:from>
    <xdr:to>
      <xdr:col>8</xdr:col>
      <xdr:colOff>12700</xdr:colOff>
      <xdr:row>14</xdr:row>
      <xdr:rowOff>12700</xdr:rowOff>
    </xdr:to>
    <xdr:sp macro="" textlink="">
      <xdr:nvSpPr>
        <xdr:cNvPr id="4797" name="Line 12">
          <a:extLst>
            <a:ext uri="{FF2B5EF4-FFF2-40B4-BE49-F238E27FC236}">
              <a16:creationId xmlns:a16="http://schemas.microsoft.com/office/drawing/2014/main" id="{9D2C202D-023B-242C-3583-51517392BE4E}"/>
            </a:ext>
          </a:extLst>
        </xdr:cNvPr>
        <xdr:cNvSpPr>
          <a:spLocks noChangeShapeType="1"/>
        </xdr:cNvSpPr>
      </xdr:nvSpPr>
      <xdr:spPr bwMode="auto">
        <a:xfrm>
          <a:off x="4965700" y="1511300"/>
          <a:ext cx="0" cy="12446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12700</xdr:colOff>
      <xdr:row>14</xdr:row>
      <xdr:rowOff>12700</xdr:rowOff>
    </xdr:from>
    <xdr:to>
      <xdr:col>9</xdr:col>
      <xdr:colOff>12700</xdr:colOff>
      <xdr:row>14</xdr:row>
      <xdr:rowOff>63500</xdr:rowOff>
    </xdr:to>
    <xdr:sp macro="" textlink="">
      <xdr:nvSpPr>
        <xdr:cNvPr id="4798" name="Line 14">
          <a:extLst>
            <a:ext uri="{FF2B5EF4-FFF2-40B4-BE49-F238E27FC236}">
              <a16:creationId xmlns:a16="http://schemas.microsoft.com/office/drawing/2014/main" id="{474EE999-5DC7-471B-8A5D-D03967F820A2}"/>
            </a:ext>
          </a:extLst>
        </xdr:cNvPr>
        <xdr:cNvSpPr>
          <a:spLocks noChangeShapeType="1"/>
        </xdr:cNvSpPr>
      </xdr:nvSpPr>
      <xdr:spPr bwMode="auto">
        <a:xfrm>
          <a:off x="4965700" y="2755900"/>
          <a:ext cx="635000" cy="508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14</xdr:row>
      <xdr:rowOff>63500</xdr:rowOff>
    </xdr:from>
    <xdr:to>
      <xdr:col>9</xdr:col>
      <xdr:colOff>12700</xdr:colOff>
      <xdr:row>14</xdr:row>
      <xdr:rowOff>139700</xdr:rowOff>
    </xdr:to>
    <xdr:sp macro="" textlink="">
      <xdr:nvSpPr>
        <xdr:cNvPr id="4799" name="Line 15">
          <a:extLst>
            <a:ext uri="{FF2B5EF4-FFF2-40B4-BE49-F238E27FC236}">
              <a16:creationId xmlns:a16="http://schemas.microsoft.com/office/drawing/2014/main" id="{C68FBDA5-3B8D-5A51-4822-81E4C46A77CD}"/>
            </a:ext>
          </a:extLst>
        </xdr:cNvPr>
        <xdr:cNvSpPr>
          <a:spLocks noChangeShapeType="1"/>
        </xdr:cNvSpPr>
      </xdr:nvSpPr>
      <xdr:spPr bwMode="auto">
        <a:xfrm flipH="1">
          <a:off x="5588000" y="2806700"/>
          <a:ext cx="12700" cy="762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12700</xdr:colOff>
      <xdr:row>1</xdr:row>
      <xdr:rowOff>127000</xdr:rowOff>
    </xdr:from>
    <xdr:to>
      <xdr:col>7</xdr:col>
      <xdr:colOff>12700</xdr:colOff>
      <xdr:row>6</xdr:row>
      <xdr:rowOff>101600</xdr:rowOff>
    </xdr:to>
    <xdr:sp macro="" textlink="">
      <xdr:nvSpPr>
        <xdr:cNvPr id="4800" name="Line 16">
          <a:extLst>
            <a:ext uri="{FF2B5EF4-FFF2-40B4-BE49-F238E27FC236}">
              <a16:creationId xmlns:a16="http://schemas.microsoft.com/office/drawing/2014/main" id="{D103CAC5-137A-95FE-1B72-E27FA44CD6AC}"/>
            </a:ext>
          </a:extLst>
        </xdr:cNvPr>
        <xdr:cNvSpPr>
          <a:spLocks noChangeShapeType="1"/>
        </xdr:cNvSpPr>
      </xdr:nvSpPr>
      <xdr:spPr bwMode="auto">
        <a:xfrm flipV="1">
          <a:off x="4292600" y="292100"/>
          <a:ext cx="0" cy="10414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12700</xdr:colOff>
      <xdr:row>1</xdr:row>
      <xdr:rowOff>88900</xdr:rowOff>
    </xdr:from>
    <xdr:to>
      <xdr:col>9</xdr:col>
      <xdr:colOff>12700</xdr:colOff>
      <xdr:row>6</xdr:row>
      <xdr:rowOff>101600</xdr:rowOff>
    </xdr:to>
    <xdr:sp macro="" textlink="">
      <xdr:nvSpPr>
        <xdr:cNvPr id="4801" name="Line 17">
          <a:extLst>
            <a:ext uri="{FF2B5EF4-FFF2-40B4-BE49-F238E27FC236}">
              <a16:creationId xmlns:a16="http://schemas.microsoft.com/office/drawing/2014/main" id="{F54ADCF7-EFBE-1879-E760-62B67DB8C947}"/>
            </a:ext>
          </a:extLst>
        </xdr:cNvPr>
        <xdr:cNvSpPr>
          <a:spLocks noChangeShapeType="1"/>
        </xdr:cNvSpPr>
      </xdr:nvSpPr>
      <xdr:spPr bwMode="auto">
        <a:xfrm flipV="1">
          <a:off x="5600700" y="254000"/>
          <a:ext cx="0" cy="10795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2</xdr:row>
      <xdr:rowOff>12700</xdr:rowOff>
    </xdr:from>
    <xdr:to>
      <xdr:col>9</xdr:col>
      <xdr:colOff>50800</xdr:colOff>
      <xdr:row>2</xdr:row>
      <xdr:rowOff>12700</xdr:rowOff>
    </xdr:to>
    <xdr:sp macro="" textlink="">
      <xdr:nvSpPr>
        <xdr:cNvPr id="4802" name="Line 18">
          <a:extLst>
            <a:ext uri="{FF2B5EF4-FFF2-40B4-BE49-F238E27FC236}">
              <a16:creationId xmlns:a16="http://schemas.microsoft.com/office/drawing/2014/main" id="{6D75F6E7-E7A9-4731-2A51-85847F8D987D}"/>
            </a:ext>
          </a:extLst>
        </xdr:cNvPr>
        <xdr:cNvSpPr>
          <a:spLocks noChangeShapeType="1"/>
        </xdr:cNvSpPr>
      </xdr:nvSpPr>
      <xdr:spPr bwMode="auto">
        <a:xfrm>
          <a:off x="4279900" y="381000"/>
          <a:ext cx="13589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292100</xdr:colOff>
      <xdr:row>6</xdr:row>
      <xdr:rowOff>152400</xdr:rowOff>
    </xdr:from>
    <xdr:to>
      <xdr:col>7</xdr:col>
      <xdr:colOff>406400</xdr:colOff>
      <xdr:row>7</xdr:row>
      <xdr:rowOff>63500</xdr:rowOff>
    </xdr:to>
    <xdr:sp macro="" textlink="">
      <xdr:nvSpPr>
        <xdr:cNvPr id="4803" name="Rectangle 19">
          <a:extLst>
            <a:ext uri="{FF2B5EF4-FFF2-40B4-BE49-F238E27FC236}">
              <a16:creationId xmlns:a16="http://schemas.microsoft.com/office/drawing/2014/main" id="{D9CA3BCE-4075-EBCF-E5DA-ABDABBA7F656}"/>
            </a:ext>
          </a:extLst>
        </xdr:cNvPr>
        <xdr:cNvSpPr>
          <a:spLocks noChangeArrowheads="1"/>
        </xdr:cNvSpPr>
      </xdr:nvSpPr>
      <xdr:spPr bwMode="auto">
        <a:xfrm>
          <a:off x="4572000" y="1384300"/>
          <a:ext cx="114300" cy="76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FF" mc:Ignorable="a14" a14:legacySpreadsheetColorIndex="12"/>
        </a:solidFill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317500</xdr:colOff>
      <xdr:row>6</xdr:row>
      <xdr:rowOff>152400</xdr:rowOff>
    </xdr:from>
    <xdr:to>
      <xdr:col>8</xdr:col>
      <xdr:colOff>419100</xdr:colOff>
      <xdr:row>7</xdr:row>
      <xdr:rowOff>76200</xdr:rowOff>
    </xdr:to>
    <xdr:sp macro="" textlink="">
      <xdr:nvSpPr>
        <xdr:cNvPr id="4804" name="Rectangle 20">
          <a:extLst>
            <a:ext uri="{FF2B5EF4-FFF2-40B4-BE49-F238E27FC236}">
              <a16:creationId xmlns:a16="http://schemas.microsoft.com/office/drawing/2014/main" id="{2C1DFA2C-584F-8F92-4265-475532DC2999}"/>
            </a:ext>
          </a:extLst>
        </xdr:cNvPr>
        <xdr:cNvSpPr>
          <a:spLocks noChangeArrowheads="1"/>
        </xdr:cNvSpPr>
      </xdr:nvSpPr>
      <xdr:spPr bwMode="auto">
        <a:xfrm>
          <a:off x="5270500" y="1384300"/>
          <a:ext cx="101600" cy="88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FF" mc:Ignorable="a14" a14:legacySpreadsheetColorIndex="12"/>
        </a:solidFill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342900</xdr:colOff>
      <xdr:row>2</xdr:row>
      <xdr:rowOff>241300</xdr:rowOff>
    </xdr:from>
    <xdr:to>
      <xdr:col>7</xdr:col>
      <xdr:colOff>342900</xdr:colOff>
      <xdr:row>8</xdr:row>
      <xdr:rowOff>0</xdr:rowOff>
    </xdr:to>
    <xdr:sp macro="" textlink="">
      <xdr:nvSpPr>
        <xdr:cNvPr id="4805" name="Line 21">
          <a:extLst>
            <a:ext uri="{FF2B5EF4-FFF2-40B4-BE49-F238E27FC236}">
              <a16:creationId xmlns:a16="http://schemas.microsoft.com/office/drawing/2014/main" id="{8EB999D2-0A15-BFCD-9C6A-C7D9A239D4E6}"/>
            </a:ext>
          </a:extLst>
        </xdr:cNvPr>
        <xdr:cNvSpPr>
          <a:spLocks noChangeShapeType="1"/>
        </xdr:cNvSpPr>
      </xdr:nvSpPr>
      <xdr:spPr bwMode="auto">
        <a:xfrm flipV="1">
          <a:off x="4622800" y="609600"/>
          <a:ext cx="0" cy="9525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Dot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368300</xdr:colOff>
      <xdr:row>2</xdr:row>
      <xdr:rowOff>266700</xdr:rowOff>
    </xdr:from>
    <xdr:to>
      <xdr:col>8</xdr:col>
      <xdr:colOff>381000</xdr:colOff>
      <xdr:row>8</xdr:row>
      <xdr:rowOff>0</xdr:rowOff>
    </xdr:to>
    <xdr:sp macro="" textlink="">
      <xdr:nvSpPr>
        <xdr:cNvPr id="4806" name="Line 22">
          <a:extLst>
            <a:ext uri="{FF2B5EF4-FFF2-40B4-BE49-F238E27FC236}">
              <a16:creationId xmlns:a16="http://schemas.microsoft.com/office/drawing/2014/main" id="{AFDD407B-B008-FD83-8E5D-36DECFA77EEC}"/>
            </a:ext>
          </a:extLst>
        </xdr:cNvPr>
        <xdr:cNvSpPr>
          <a:spLocks noChangeShapeType="1"/>
        </xdr:cNvSpPr>
      </xdr:nvSpPr>
      <xdr:spPr bwMode="auto">
        <a:xfrm flipH="1" flipV="1">
          <a:off x="5321300" y="635000"/>
          <a:ext cx="12700" cy="9271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Dot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342900</xdr:colOff>
      <xdr:row>3</xdr:row>
      <xdr:rowOff>12700</xdr:rowOff>
    </xdr:from>
    <xdr:to>
      <xdr:col>8</xdr:col>
      <xdr:colOff>381000</xdr:colOff>
      <xdr:row>3</xdr:row>
      <xdr:rowOff>12700</xdr:rowOff>
    </xdr:to>
    <xdr:sp macro="" textlink="">
      <xdr:nvSpPr>
        <xdr:cNvPr id="4807" name="Line 23">
          <a:extLst>
            <a:ext uri="{FF2B5EF4-FFF2-40B4-BE49-F238E27FC236}">
              <a16:creationId xmlns:a16="http://schemas.microsoft.com/office/drawing/2014/main" id="{1646A7DC-5AB3-95BE-C246-B640EB898533}"/>
            </a:ext>
          </a:extLst>
        </xdr:cNvPr>
        <xdr:cNvSpPr>
          <a:spLocks noChangeShapeType="1"/>
        </xdr:cNvSpPr>
      </xdr:nvSpPr>
      <xdr:spPr bwMode="auto">
        <a:xfrm>
          <a:off x="4622800" y="673100"/>
          <a:ext cx="7112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469900</xdr:colOff>
      <xdr:row>7</xdr:row>
      <xdr:rowOff>0</xdr:rowOff>
    </xdr:from>
    <xdr:to>
      <xdr:col>6</xdr:col>
      <xdr:colOff>660400</xdr:colOff>
      <xdr:row>7</xdr:row>
      <xdr:rowOff>0</xdr:rowOff>
    </xdr:to>
    <xdr:sp macro="" textlink="">
      <xdr:nvSpPr>
        <xdr:cNvPr id="4808" name="Line 24">
          <a:extLst>
            <a:ext uri="{FF2B5EF4-FFF2-40B4-BE49-F238E27FC236}">
              <a16:creationId xmlns:a16="http://schemas.microsoft.com/office/drawing/2014/main" id="{AA141909-E02F-0B46-9F83-E7B89078B523}"/>
            </a:ext>
          </a:extLst>
        </xdr:cNvPr>
        <xdr:cNvSpPr>
          <a:spLocks noChangeShapeType="1"/>
        </xdr:cNvSpPr>
      </xdr:nvSpPr>
      <xdr:spPr bwMode="auto">
        <a:xfrm flipH="1">
          <a:off x="3416300" y="1397000"/>
          <a:ext cx="8636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520700</xdr:colOff>
      <xdr:row>14</xdr:row>
      <xdr:rowOff>152400</xdr:rowOff>
    </xdr:from>
    <xdr:to>
      <xdr:col>6</xdr:col>
      <xdr:colOff>673100</xdr:colOff>
      <xdr:row>14</xdr:row>
      <xdr:rowOff>152400</xdr:rowOff>
    </xdr:to>
    <xdr:sp macro="" textlink="">
      <xdr:nvSpPr>
        <xdr:cNvPr id="4809" name="Line 25">
          <a:extLst>
            <a:ext uri="{FF2B5EF4-FFF2-40B4-BE49-F238E27FC236}">
              <a16:creationId xmlns:a16="http://schemas.microsoft.com/office/drawing/2014/main" id="{4270CFC4-E838-8298-7E00-37DE5963E719}"/>
            </a:ext>
          </a:extLst>
        </xdr:cNvPr>
        <xdr:cNvSpPr>
          <a:spLocks noChangeShapeType="1"/>
        </xdr:cNvSpPr>
      </xdr:nvSpPr>
      <xdr:spPr bwMode="auto">
        <a:xfrm flipH="1">
          <a:off x="3467100" y="2895600"/>
          <a:ext cx="8128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596900</xdr:colOff>
      <xdr:row>6</xdr:row>
      <xdr:rowOff>152400</xdr:rowOff>
    </xdr:from>
    <xdr:to>
      <xdr:col>5</xdr:col>
      <xdr:colOff>596900</xdr:colOff>
      <xdr:row>14</xdr:row>
      <xdr:rowOff>139700</xdr:rowOff>
    </xdr:to>
    <xdr:sp macro="" textlink="">
      <xdr:nvSpPr>
        <xdr:cNvPr id="4810" name="Line 26">
          <a:extLst>
            <a:ext uri="{FF2B5EF4-FFF2-40B4-BE49-F238E27FC236}">
              <a16:creationId xmlns:a16="http://schemas.microsoft.com/office/drawing/2014/main" id="{8AC48A3C-8C4D-A6A0-75E0-F7C97E966F9C}"/>
            </a:ext>
          </a:extLst>
        </xdr:cNvPr>
        <xdr:cNvSpPr>
          <a:spLocks noChangeShapeType="1"/>
        </xdr:cNvSpPr>
      </xdr:nvSpPr>
      <xdr:spPr bwMode="auto">
        <a:xfrm flipV="1">
          <a:off x="3543300" y="1384300"/>
          <a:ext cx="0" cy="14986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203200</xdr:colOff>
      <xdr:row>12</xdr:row>
      <xdr:rowOff>88900</xdr:rowOff>
    </xdr:from>
    <xdr:to>
      <xdr:col>7</xdr:col>
      <xdr:colOff>622300</xdr:colOff>
      <xdr:row>12</xdr:row>
      <xdr:rowOff>88900</xdr:rowOff>
    </xdr:to>
    <xdr:sp macro="" textlink="">
      <xdr:nvSpPr>
        <xdr:cNvPr id="4811" name="Line 27">
          <a:extLst>
            <a:ext uri="{FF2B5EF4-FFF2-40B4-BE49-F238E27FC236}">
              <a16:creationId xmlns:a16="http://schemas.microsoft.com/office/drawing/2014/main" id="{B63D4B25-BA6B-48FC-29A2-49CE614A16F6}"/>
            </a:ext>
          </a:extLst>
        </xdr:cNvPr>
        <xdr:cNvSpPr>
          <a:spLocks noChangeShapeType="1"/>
        </xdr:cNvSpPr>
      </xdr:nvSpPr>
      <xdr:spPr bwMode="auto">
        <a:xfrm>
          <a:off x="4483100" y="2425700"/>
          <a:ext cx="4191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38100</xdr:colOff>
      <xdr:row>12</xdr:row>
      <xdr:rowOff>88900</xdr:rowOff>
    </xdr:from>
    <xdr:to>
      <xdr:col>8</xdr:col>
      <xdr:colOff>368300</xdr:colOff>
      <xdr:row>12</xdr:row>
      <xdr:rowOff>88900</xdr:rowOff>
    </xdr:to>
    <xdr:sp macro="" textlink="">
      <xdr:nvSpPr>
        <xdr:cNvPr id="4812" name="Line 28">
          <a:extLst>
            <a:ext uri="{FF2B5EF4-FFF2-40B4-BE49-F238E27FC236}">
              <a16:creationId xmlns:a16="http://schemas.microsoft.com/office/drawing/2014/main" id="{D19D90EB-92DA-C361-7BE3-6D3410BC6023}"/>
            </a:ext>
          </a:extLst>
        </xdr:cNvPr>
        <xdr:cNvSpPr>
          <a:spLocks noChangeShapeType="1"/>
        </xdr:cNvSpPr>
      </xdr:nvSpPr>
      <xdr:spPr bwMode="auto">
        <a:xfrm>
          <a:off x="4991100" y="2425700"/>
          <a:ext cx="3302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203200</xdr:colOff>
      <xdr:row>7</xdr:row>
      <xdr:rowOff>114300</xdr:rowOff>
    </xdr:from>
    <xdr:to>
      <xdr:col>7</xdr:col>
      <xdr:colOff>139700</xdr:colOff>
      <xdr:row>7</xdr:row>
      <xdr:rowOff>114300</xdr:rowOff>
    </xdr:to>
    <xdr:sp macro="" textlink="">
      <xdr:nvSpPr>
        <xdr:cNvPr id="4813" name="Line 29">
          <a:extLst>
            <a:ext uri="{FF2B5EF4-FFF2-40B4-BE49-F238E27FC236}">
              <a16:creationId xmlns:a16="http://schemas.microsoft.com/office/drawing/2014/main" id="{3543A840-A4DF-4255-37F6-E2A8E1ACFE22}"/>
            </a:ext>
          </a:extLst>
        </xdr:cNvPr>
        <xdr:cNvSpPr>
          <a:spLocks noChangeShapeType="1"/>
        </xdr:cNvSpPr>
      </xdr:nvSpPr>
      <xdr:spPr bwMode="auto">
        <a:xfrm flipH="1">
          <a:off x="3860800" y="1511300"/>
          <a:ext cx="5588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266700</xdr:colOff>
      <xdr:row>7</xdr:row>
      <xdr:rowOff>114300</xdr:rowOff>
    </xdr:from>
    <xdr:to>
      <xdr:col>6</xdr:col>
      <xdr:colOff>266700</xdr:colOff>
      <xdr:row>8</xdr:row>
      <xdr:rowOff>190500</xdr:rowOff>
    </xdr:to>
    <xdr:sp macro="" textlink="">
      <xdr:nvSpPr>
        <xdr:cNvPr id="4814" name="Line 30">
          <a:extLst>
            <a:ext uri="{FF2B5EF4-FFF2-40B4-BE49-F238E27FC236}">
              <a16:creationId xmlns:a16="http://schemas.microsoft.com/office/drawing/2014/main" id="{4D0C735D-7282-78DE-D73F-53D5B38A2D9A}"/>
            </a:ext>
          </a:extLst>
        </xdr:cNvPr>
        <xdr:cNvSpPr>
          <a:spLocks noChangeShapeType="1"/>
        </xdr:cNvSpPr>
      </xdr:nvSpPr>
      <xdr:spPr bwMode="auto">
        <a:xfrm>
          <a:off x="3924300" y="1511300"/>
          <a:ext cx="0" cy="2413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266700</xdr:colOff>
      <xdr:row>5</xdr:row>
      <xdr:rowOff>76200</xdr:rowOff>
    </xdr:from>
    <xdr:to>
      <xdr:col>6</xdr:col>
      <xdr:colOff>266700</xdr:colOff>
      <xdr:row>6</xdr:row>
      <xdr:rowOff>139700</xdr:rowOff>
    </xdr:to>
    <xdr:sp macro="" textlink="">
      <xdr:nvSpPr>
        <xdr:cNvPr id="4815" name="Line 31">
          <a:extLst>
            <a:ext uri="{FF2B5EF4-FFF2-40B4-BE49-F238E27FC236}">
              <a16:creationId xmlns:a16="http://schemas.microsoft.com/office/drawing/2014/main" id="{B29AF385-96C8-034E-3B8A-28DC330AAA69}"/>
            </a:ext>
          </a:extLst>
        </xdr:cNvPr>
        <xdr:cNvSpPr>
          <a:spLocks noChangeShapeType="1"/>
        </xdr:cNvSpPr>
      </xdr:nvSpPr>
      <xdr:spPr bwMode="auto">
        <a:xfrm flipV="1">
          <a:off x="3924300" y="1104900"/>
          <a:ext cx="0" cy="2667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368300</xdr:colOff>
      <xdr:row>5</xdr:row>
      <xdr:rowOff>88900</xdr:rowOff>
    </xdr:from>
    <xdr:to>
      <xdr:col>6</xdr:col>
      <xdr:colOff>241300</xdr:colOff>
      <xdr:row>5</xdr:row>
      <xdr:rowOff>88900</xdr:rowOff>
    </xdr:to>
    <xdr:sp macro="" textlink="">
      <xdr:nvSpPr>
        <xdr:cNvPr id="4816" name="Line 32">
          <a:extLst>
            <a:ext uri="{FF2B5EF4-FFF2-40B4-BE49-F238E27FC236}">
              <a16:creationId xmlns:a16="http://schemas.microsoft.com/office/drawing/2014/main" id="{13EC9CFA-78A6-B49A-2C4B-2EABB4B577A0}"/>
            </a:ext>
          </a:extLst>
        </xdr:cNvPr>
        <xdr:cNvSpPr>
          <a:spLocks noChangeShapeType="1"/>
        </xdr:cNvSpPr>
      </xdr:nvSpPr>
      <xdr:spPr bwMode="auto">
        <a:xfrm>
          <a:off x="3314700" y="1117600"/>
          <a:ext cx="5842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101600</xdr:colOff>
      <xdr:row>6</xdr:row>
      <xdr:rowOff>152400</xdr:rowOff>
    </xdr:from>
    <xdr:to>
      <xdr:col>10</xdr:col>
      <xdr:colOff>342900</xdr:colOff>
      <xdr:row>7</xdr:row>
      <xdr:rowOff>0</xdr:rowOff>
    </xdr:to>
    <xdr:sp macro="" textlink="">
      <xdr:nvSpPr>
        <xdr:cNvPr id="4817" name="Line 37">
          <a:extLst>
            <a:ext uri="{FF2B5EF4-FFF2-40B4-BE49-F238E27FC236}">
              <a16:creationId xmlns:a16="http://schemas.microsoft.com/office/drawing/2014/main" id="{D2EA3633-6D3D-DD89-0A53-D4251433ED6A}"/>
            </a:ext>
          </a:extLst>
        </xdr:cNvPr>
        <xdr:cNvSpPr>
          <a:spLocks noChangeShapeType="1"/>
        </xdr:cNvSpPr>
      </xdr:nvSpPr>
      <xdr:spPr bwMode="auto">
        <a:xfrm flipV="1">
          <a:off x="5689600" y="1384300"/>
          <a:ext cx="977900" cy="127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88900</xdr:colOff>
      <xdr:row>7</xdr:row>
      <xdr:rowOff>139700</xdr:rowOff>
    </xdr:from>
    <xdr:to>
      <xdr:col>9</xdr:col>
      <xdr:colOff>647700</xdr:colOff>
      <xdr:row>7</xdr:row>
      <xdr:rowOff>139700</xdr:rowOff>
    </xdr:to>
    <xdr:sp macro="" textlink="">
      <xdr:nvSpPr>
        <xdr:cNvPr id="4818" name="Line 38">
          <a:extLst>
            <a:ext uri="{FF2B5EF4-FFF2-40B4-BE49-F238E27FC236}">
              <a16:creationId xmlns:a16="http://schemas.microsoft.com/office/drawing/2014/main" id="{54436AD9-A50C-C80F-4A19-E3B971E2C7A3}"/>
            </a:ext>
          </a:extLst>
        </xdr:cNvPr>
        <xdr:cNvSpPr>
          <a:spLocks noChangeShapeType="1"/>
        </xdr:cNvSpPr>
      </xdr:nvSpPr>
      <xdr:spPr bwMode="auto">
        <a:xfrm>
          <a:off x="5041900" y="1536700"/>
          <a:ext cx="11938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596900</xdr:colOff>
      <xdr:row>5</xdr:row>
      <xdr:rowOff>114300</xdr:rowOff>
    </xdr:from>
    <xdr:to>
      <xdr:col>9</xdr:col>
      <xdr:colOff>596900</xdr:colOff>
      <xdr:row>6</xdr:row>
      <xdr:rowOff>152400</xdr:rowOff>
    </xdr:to>
    <xdr:sp macro="" textlink="">
      <xdr:nvSpPr>
        <xdr:cNvPr id="4819" name="Line 39">
          <a:extLst>
            <a:ext uri="{FF2B5EF4-FFF2-40B4-BE49-F238E27FC236}">
              <a16:creationId xmlns:a16="http://schemas.microsoft.com/office/drawing/2014/main" id="{4BC4C71A-B5B8-1F7F-22DA-8A3FD58B4656}"/>
            </a:ext>
          </a:extLst>
        </xdr:cNvPr>
        <xdr:cNvSpPr>
          <a:spLocks noChangeShapeType="1"/>
        </xdr:cNvSpPr>
      </xdr:nvSpPr>
      <xdr:spPr bwMode="auto">
        <a:xfrm flipV="1">
          <a:off x="6184900" y="1143000"/>
          <a:ext cx="0" cy="2413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596900</xdr:colOff>
      <xdr:row>7</xdr:row>
      <xdr:rowOff>139700</xdr:rowOff>
    </xdr:from>
    <xdr:to>
      <xdr:col>9</xdr:col>
      <xdr:colOff>596900</xdr:colOff>
      <xdr:row>9</xdr:row>
      <xdr:rowOff>0</xdr:rowOff>
    </xdr:to>
    <xdr:sp macro="" textlink="">
      <xdr:nvSpPr>
        <xdr:cNvPr id="4820" name="Line 40">
          <a:extLst>
            <a:ext uri="{FF2B5EF4-FFF2-40B4-BE49-F238E27FC236}">
              <a16:creationId xmlns:a16="http://schemas.microsoft.com/office/drawing/2014/main" id="{36E1AD85-75AA-DD43-C283-60882BD6B7B6}"/>
            </a:ext>
          </a:extLst>
        </xdr:cNvPr>
        <xdr:cNvSpPr>
          <a:spLocks noChangeShapeType="1"/>
        </xdr:cNvSpPr>
      </xdr:nvSpPr>
      <xdr:spPr bwMode="auto">
        <a:xfrm>
          <a:off x="6184900" y="1536700"/>
          <a:ext cx="0" cy="2286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596900</xdr:colOff>
      <xdr:row>5</xdr:row>
      <xdr:rowOff>114300</xdr:rowOff>
    </xdr:from>
    <xdr:to>
      <xdr:col>10</xdr:col>
      <xdr:colOff>76200</xdr:colOff>
      <xdr:row>5</xdr:row>
      <xdr:rowOff>114300</xdr:rowOff>
    </xdr:to>
    <xdr:sp macro="" textlink="">
      <xdr:nvSpPr>
        <xdr:cNvPr id="4821" name="Line 41">
          <a:extLst>
            <a:ext uri="{FF2B5EF4-FFF2-40B4-BE49-F238E27FC236}">
              <a16:creationId xmlns:a16="http://schemas.microsoft.com/office/drawing/2014/main" id="{70A19483-B98D-AB65-1B8B-A30DDBE8B5B7}"/>
            </a:ext>
          </a:extLst>
        </xdr:cNvPr>
        <xdr:cNvSpPr>
          <a:spLocks noChangeShapeType="1"/>
        </xdr:cNvSpPr>
      </xdr:nvSpPr>
      <xdr:spPr bwMode="auto">
        <a:xfrm>
          <a:off x="6184900" y="1143000"/>
          <a:ext cx="2159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508000</xdr:colOff>
      <xdr:row>9</xdr:row>
      <xdr:rowOff>152400</xdr:rowOff>
    </xdr:from>
    <xdr:to>
      <xdr:col>10</xdr:col>
      <xdr:colOff>342900</xdr:colOff>
      <xdr:row>9</xdr:row>
      <xdr:rowOff>152400</xdr:rowOff>
    </xdr:to>
    <xdr:sp macro="" textlink="">
      <xdr:nvSpPr>
        <xdr:cNvPr id="4822" name="Line 42">
          <a:extLst>
            <a:ext uri="{FF2B5EF4-FFF2-40B4-BE49-F238E27FC236}">
              <a16:creationId xmlns:a16="http://schemas.microsoft.com/office/drawing/2014/main" id="{4CF02D6B-EEC1-EBA3-C22B-DF411EE642C1}"/>
            </a:ext>
          </a:extLst>
        </xdr:cNvPr>
        <xdr:cNvSpPr>
          <a:spLocks noChangeShapeType="1"/>
        </xdr:cNvSpPr>
      </xdr:nvSpPr>
      <xdr:spPr bwMode="auto">
        <a:xfrm>
          <a:off x="4787900" y="1917700"/>
          <a:ext cx="18796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Dot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609600</xdr:colOff>
      <xdr:row>9</xdr:row>
      <xdr:rowOff>101600</xdr:rowOff>
    </xdr:from>
    <xdr:to>
      <xdr:col>8</xdr:col>
      <xdr:colOff>38100</xdr:colOff>
      <xdr:row>10</xdr:row>
      <xdr:rowOff>76200</xdr:rowOff>
    </xdr:to>
    <xdr:sp macro="" textlink="">
      <xdr:nvSpPr>
        <xdr:cNvPr id="4823" name="Rectangle 43">
          <a:extLst>
            <a:ext uri="{FF2B5EF4-FFF2-40B4-BE49-F238E27FC236}">
              <a16:creationId xmlns:a16="http://schemas.microsoft.com/office/drawing/2014/main" id="{4F34B1CC-3F4E-A56B-7CF3-91CAB09FC975}"/>
            </a:ext>
          </a:extLst>
        </xdr:cNvPr>
        <xdr:cNvSpPr>
          <a:spLocks noChangeArrowheads="1"/>
        </xdr:cNvSpPr>
      </xdr:nvSpPr>
      <xdr:spPr bwMode="auto">
        <a:xfrm>
          <a:off x="4889500" y="1866900"/>
          <a:ext cx="101600" cy="139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FF" mc:Ignorable="a14" a14:legacySpreadsheetColorIndex="1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241300</xdr:colOff>
      <xdr:row>9</xdr:row>
      <xdr:rowOff>25400</xdr:rowOff>
    </xdr:from>
    <xdr:to>
      <xdr:col>10</xdr:col>
      <xdr:colOff>241300</xdr:colOff>
      <xdr:row>9</xdr:row>
      <xdr:rowOff>165100</xdr:rowOff>
    </xdr:to>
    <xdr:sp macro="" textlink="">
      <xdr:nvSpPr>
        <xdr:cNvPr id="4824" name="Line 44">
          <a:extLst>
            <a:ext uri="{FF2B5EF4-FFF2-40B4-BE49-F238E27FC236}">
              <a16:creationId xmlns:a16="http://schemas.microsoft.com/office/drawing/2014/main" id="{AD29BCDE-FB5A-7785-37F5-57720871D25D}"/>
            </a:ext>
          </a:extLst>
        </xdr:cNvPr>
        <xdr:cNvSpPr>
          <a:spLocks noChangeShapeType="1"/>
        </xdr:cNvSpPr>
      </xdr:nvSpPr>
      <xdr:spPr bwMode="auto">
        <a:xfrm flipV="1">
          <a:off x="6565900" y="1790700"/>
          <a:ext cx="0" cy="1397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241300</xdr:colOff>
      <xdr:row>7</xdr:row>
      <xdr:rowOff>0</xdr:rowOff>
    </xdr:from>
    <xdr:to>
      <xdr:col>10</xdr:col>
      <xdr:colOff>241300</xdr:colOff>
      <xdr:row>7</xdr:row>
      <xdr:rowOff>139700</xdr:rowOff>
    </xdr:to>
    <xdr:sp macro="" textlink="">
      <xdr:nvSpPr>
        <xdr:cNvPr id="4825" name="Line 45">
          <a:extLst>
            <a:ext uri="{FF2B5EF4-FFF2-40B4-BE49-F238E27FC236}">
              <a16:creationId xmlns:a16="http://schemas.microsoft.com/office/drawing/2014/main" id="{3EFF3167-1D25-0DE7-D6C0-7EE9BB82FD63}"/>
            </a:ext>
          </a:extLst>
        </xdr:cNvPr>
        <xdr:cNvSpPr>
          <a:spLocks noChangeShapeType="1"/>
        </xdr:cNvSpPr>
      </xdr:nvSpPr>
      <xdr:spPr bwMode="auto">
        <a:xfrm>
          <a:off x="6565900" y="1397000"/>
          <a:ext cx="0" cy="1397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18</xdr:col>
      <xdr:colOff>53474</xdr:colOff>
      <xdr:row>27</xdr:row>
      <xdr:rowOff>147053</xdr:rowOff>
    </xdr:from>
    <xdr:to>
      <xdr:col>29</xdr:col>
      <xdr:colOff>219242</xdr:colOff>
      <xdr:row>44</xdr:row>
      <xdr:rowOff>137695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89EE82C-FEAB-78A6-CF13-4B1E54C992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777579" y="5039895"/>
          <a:ext cx="7518400" cy="27178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25400</xdr:colOff>
      <xdr:row>6</xdr:row>
      <xdr:rowOff>0</xdr:rowOff>
    </xdr:from>
    <xdr:to>
      <xdr:col>8</xdr:col>
      <xdr:colOff>12700</xdr:colOff>
      <xdr:row>6</xdr:row>
      <xdr:rowOff>0</xdr:rowOff>
    </xdr:to>
    <xdr:sp macro="" textlink="">
      <xdr:nvSpPr>
        <xdr:cNvPr id="3912" name="Line 48">
          <a:extLst>
            <a:ext uri="{FF2B5EF4-FFF2-40B4-BE49-F238E27FC236}">
              <a16:creationId xmlns:a16="http://schemas.microsoft.com/office/drawing/2014/main" id="{EEAC5922-AF13-9A03-8F6F-EB4D7C3F1F10}"/>
            </a:ext>
          </a:extLst>
        </xdr:cNvPr>
        <xdr:cNvSpPr>
          <a:spLocks noChangeShapeType="1"/>
        </xdr:cNvSpPr>
      </xdr:nvSpPr>
      <xdr:spPr bwMode="auto">
        <a:xfrm>
          <a:off x="3771900" y="1231900"/>
          <a:ext cx="13335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38100</xdr:colOff>
      <xdr:row>6</xdr:row>
      <xdr:rowOff>12700</xdr:rowOff>
    </xdr:from>
    <xdr:to>
      <xdr:col>6</xdr:col>
      <xdr:colOff>38100</xdr:colOff>
      <xdr:row>6</xdr:row>
      <xdr:rowOff>63500</xdr:rowOff>
    </xdr:to>
    <xdr:sp macro="" textlink="">
      <xdr:nvSpPr>
        <xdr:cNvPr id="3913" name="Line 49">
          <a:extLst>
            <a:ext uri="{FF2B5EF4-FFF2-40B4-BE49-F238E27FC236}">
              <a16:creationId xmlns:a16="http://schemas.microsoft.com/office/drawing/2014/main" id="{AC5ABDB7-EFAB-54F4-5419-BA954649267B}"/>
            </a:ext>
          </a:extLst>
        </xdr:cNvPr>
        <xdr:cNvSpPr>
          <a:spLocks noChangeShapeType="1"/>
        </xdr:cNvSpPr>
      </xdr:nvSpPr>
      <xdr:spPr bwMode="auto">
        <a:xfrm>
          <a:off x="3784600" y="1244600"/>
          <a:ext cx="0" cy="508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12700</xdr:colOff>
      <xdr:row>5</xdr:row>
      <xdr:rowOff>152400</xdr:rowOff>
    </xdr:from>
    <xdr:to>
      <xdr:col>8</xdr:col>
      <xdr:colOff>25400</xdr:colOff>
      <xdr:row>6</xdr:row>
      <xdr:rowOff>63500</xdr:rowOff>
    </xdr:to>
    <xdr:sp macro="" textlink="">
      <xdr:nvSpPr>
        <xdr:cNvPr id="3914" name="Line 50">
          <a:extLst>
            <a:ext uri="{FF2B5EF4-FFF2-40B4-BE49-F238E27FC236}">
              <a16:creationId xmlns:a16="http://schemas.microsoft.com/office/drawing/2014/main" id="{9F6B3E0B-9BC8-9AEC-F1FB-13D24F5D6218}"/>
            </a:ext>
          </a:extLst>
        </xdr:cNvPr>
        <xdr:cNvSpPr>
          <a:spLocks noChangeShapeType="1"/>
        </xdr:cNvSpPr>
      </xdr:nvSpPr>
      <xdr:spPr bwMode="auto">
        <a:xfrm>
          <a:off x="5105400" y="1219200"/>
          <a:ext cx="12700" cy="762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38100</xdr:colOff>
      <xdr:row>6</xdr:row>
      <xdr:rowOff>63500</xdr:rowOff>
    </xdr:from>
    <xdr:to>
      <xdr:col>6</xdr:col>
      <xdr:colOff>622300</xdr:colOff>
      <xdr:row>6</xdr:row>
      <xdr:rowOff>63500</xdr:rowOff>
    </xdr:to>
    <xdr:sp macro="" textlink="">
      <xdr:nvSpPr>
        <xdr:cNvPr id="3915" name="Line 51">
          <a:extLst>
            <a:ext uri="{FF2B5EF4-FFF2-40B4-BE49-F238E27FC236}">
              <a16:creationId xmlns:a16="http://schemas.microsoft.com/office/drawing/2014/main" id="{75A20C39-B6D1-BC0D-112B-6D1007740E21}"/>
            </a:ext>
          </a:extLst>
        </xdr:cNvPr>
        <xdr:cNvSpPr>
          <a:spLocks noChangeShapeType="1"/>
        </xdr:cNvSpPr>
      </xdr:nvSpPr>
      <xdr:spPr bwMode="auto">
        <a:xfrm flipV="1">
          <a:off x="3784600" y="1295400"/>
          <a:ext cx="5842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38100</xdr:colOff>
      <xdr:row>6</xdr:row>
      <xdr:rowOff>63500</xdr:rowOff>
    </xdr:from>
    <xdr:to>
      <xdr:col>8</xdr:col>
      <xdr:colOff>25400</xdr:colOff>
      <xdr:row>6</xdr:row>
      <xdr:rowOff>63500</xdr:rowOff>
    </xdr:to>
    <xdr:sp macro="" textlink="">
      <xdr:nvSpPr>
        <xdr:cNvPr id="3916" name="Line 52">
          <a:extLst>
            <a:ext uri="{FF2B5EF4-FFF2-40B4-BE49-F238E27FC236}">
              <a16:creationId xmlns:a16="http://schemas.microsoft.com/office/drawing/2014/main" id="{51D88248-77F3-A61C-CC5E-E866B44173AA}"/>
            </a:ext>
          </a:extLst>
        </xdr:cNvPr>
        <xdr:cNvSpPr>
          <a:spLocks noChangeShapeType="1"/>
        </xdr:cNvSpPr>
      </xdr:nvSpPr>
      <xdr:spPr bwMode="auto">
        <a:xfrm flipH="1">
          <a:off x="4457700" y="1295400"/>
          <a:ext cx="6604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25400</xdr:colOff>
      <xdr:row>13</xdr:row>
      <xdr:rowOff>139700</xdr:rowOff>
    </xdr:from>
    <xdr:to>
      <xdr:col>8</xdr:col>
      <xdr:colOff>25400</xdr:colOff>
      <xdr:row>13</xdr:row>
      <xdr:rowOff>139700</xdr:rowOff>
    </xdr:to>
    <xdr:sp macro="" textlink="">
      <xdr:nvSpPr>
        <xdr:cNvPr id="3917" name="Line 53">
          <a:extLst>
            <a:ext uri="{FF2B5EF4-FFF2-40B4-BE49-F238E27FC236}">
              <a16:creationId xmlns:a16="http://schemas.microsoft.com/office/drawing/2014/main" id="{8B7D1555-7241-6AB2-DF8B-A8DF8909979E}"/>
            </a:ext>
          </a:extLst>
        </xdr:cNvPr>
        <xdr:cNvSpPr>
          <a:spLocks noChangeShapeType="1"/>
        </xdr:cNvSpPr>
      </xdr:nvSpPr>
      <xdr:spPr bwMode="auto">
        <a:xfrm>
          <a:off x="3771900" y="2679700"/>
          <a:ext cx="13462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635000</xdr:colOff>
      <xdr:row>6</xdr:row>
      <xdr:rowOff>63500</xdr:rowOff>
    </xdr:from>
    <xdr:to>
      <xdr:col>6</xdr:col>
      <xdr:colOff>635000</xdr:colOff>
      <xdr:row>13</xdr:row>
      <xdr:rowOff>63500</xdr:rowOff>
    </xdr:to>
    <xdr:sp macro="" textlink="">
      <xdr:nvSpPr>
        <xdr:cNvPr id="3918" name="Line 54">
          <a:extLst>
            <a:ext uri="{FF2B5EF4-FFF2-40B4-BE49-F238E27FC236}">
              <a16:creationId xmlns:a16="http://schemas.microsoft.com/office/drawing/2014/main" id="{01737269-35AA-4906-F50E-0A0CD6733615}"/>
            </a:ext>
          </a:extLst>
        </xdr:cNvPr>
        <xdr:cNvSpPr>
          <a:spLocks noChangeShapeType="1"/>
        </xdr:cNvSpPr>
      </xdr:nvSpPr>
      <xdr:spPr bwMode="auto">
        <a:xfrm>
          <a:off x="4381500" y="1295400"/>
          <a:ext cx="0" cy="13081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25400</xdr:colOff>
      <xdr:row>13</xdr:row>
      <xdr:rowOff>76200</xdr:rowOff>
    </xdr:from>
    <xdr:to>
      <xdr:col>6</xdr:col>
      <xdr:colOff>609600</xdr:colOff>
      <xdr:row>13</xdr:row>
      <xdr:rowOff>76200</xdr:rowOff>
    </xdr:to>
    <xdr:sp macro="" textlink="">
      <xdr:nvSpPr>
        <xdr:cNvPr id="3919" name="Line 55">
          <a:extLst>
            <a:ext uri="{FF2B5EF4-FFF2-40B4-BE49-F238E27FC236}">
              <a16:creationId xmlns:a16="http://schemas.microsoft.com/office/drawing/2014/main" id="{283AB720-6D00-0B43-1DCD-C2E28DA20B7C}"/>
            </a:ext>
          </a:extLst>
        </xdr:cNvPr>
        <xdr:cNvSpPr>
          <a:spLocks noChangeShapeType="1"/>
        </xdr:cNvSpPr>
      </xdr:nvSpPr>
      <xdr:spPr bwMode="auto">
        <a:xfrm flipH="1">
          <a:off x="3771900" y="2616200"/>
          <a:ext cx="5842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25400</xdr:colOff>
      <xdr:row>13</xdr:row>
      <xdr:rowOff>76200</xdr:rowOff>
    </xdr:from>
    <xdr:to>
      <xdr:col>6</xdr:col>
      <xdr:colOff>38100</xdr:colOff>
      <xdr:row>14</xdr:row>
      <xdr:rowOff>0</xdr:rowOff>
    </xdr:to>
    <xdr:sp macro="" textlink="">
      <xdr:nvSpPr>
        <xdr:cNvPr id="3920" name="Line 56">
          <a:extLst>
            <a:ext uri="{FF2B5EF4-FFF2-40B4-BE49-F238E27FC236}">
              <a16:creationId xmlns:a16="http://schemas.microsoft.com/office/drawing/2014/main" id="{403620CD-6630-D1A1-D6BC-1561965B74A7}"/>
            </a:ext>
          </a:extLst>
        </xdr:cNvPr>
        <xdr:cNvSpPr>
          <a:spLocks noChangeShapeType="1"/>
        </xdr:cNvSpPr>
      </xdr:nvSpPr>
      <xdr:spPr bwMode="auto">
        <a:xfrm flipH="1">
          <a:off x="3771900" y="2616200"/>
          <a:ext cx="12700" cy="889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584200</xdr:colOff>
      <xdr:row>13</xdr:row>
      <xdr:rowOff>25400</xdr:rowOff>
    </xdr:from>
    <xdr:to>
      <xdr:col>6</xdr:col>
      <xdr:colOff>660400</xdr:colOff>
      <xdr:row>13</xdr:row>
      <xdr:rowOff>76200</xdr:rowOff>
    </xdr:to>
    <xdr:sp macro="" textlink="">
      <xdr:nvSpPr>
        <xdr:cNvPr id="3921" name="Line 57">
          <a:extLst>
            <a:ext uri="{FF2B5EF4-FFF2-40B4-BE49-F238E27FC236}">
              <a16:creationId xmlns:a16="http://schemas.microsoft.com/office/drawing/2014/main" id="{E1D4E180-D048-69A3-7CE6-1ECD2890D2DD}"/>
            </a:ext>
          </a:extLst>
        </xdr:cNvPr>
        <xdr:cNvSpPr>
          <a:spLocks noChangeShapeType="1"/>
        </xdr:cNvSpPr>
      </xdr:nvSpPr>
      <xdr:spPr bwMode="auto">
        <a:xfrm flipH="1">
          <a:off x="4330700" y="2565400"/>
          <a:ext cx="76200" cy="508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12700</xdr:colOff>
      <xdr:row>6</xdr:row>
      <xdr:rowOff>63500</xdr:rowOff>
    </xdr:from>
    <xdr:to>
      <xdr:col>7</xdr:col>
      <xdr:colOff>12700</xdr:colOff>
      <xdr:row>13</xdr:row>
      <xdr:rowOff>12700</xdr:rowOff>
    </xdr:to>
    <xdr:sp macro="" textlink="">
      <xdr:nvSpPr>
        <xdr:cNvPr id="3922" name="Line 58">
          <a:extLst>
            <a:ext uri="{FF2B5EF4-FFF2-40B4-BE49-F238E27FC236}">
              <a16:creationId xmlns:a16="http://schemas.microsoft.com/office/drawing/2014/main" id="{A2D7E2AA-A4ED-3768-F546-3AC33CA6D1FE}"/>
            </a:ext>
          </a:extLst>
        </xdr:cNvPr>
        <xdr:cNvSpPr>
          <a:spLocks noChangeShapeType="1"/>
        </xdr:cNvSpPr>
      </xdr:nvSpPr>
      <xdr:spPr bwMode="auto">
        <a:xfrm>
          <a:off x="4432300" y="1295400"/>
          <a:ext cx="0" cy="12573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38100</xdr:colOff>
      <xdr:row>13</xdr:row>
      <xdr:rowOff>12700</xdr:rowOff>
    </xdr:from>
    <xdr:to>
      <xdr:col>7</xdr:col>
      <xdr:colOff>76200</xdr:colOff>
      <xdr:row>13</xdr:row>
      <xdr:rowOff>63500</xdr:rowOff>
    </xdr:to>
    <xdr:sp macro="" textlink="">
      <xdr:nvSpPr>
        <xdr:cNvPr id="3923" name="Line 59">
          <a:extLst>
            <a:ext uri="{FF2B5EF4-FFF2-40B4-BE49-F238E27FC236}">
              <a16:creationId xmlns:a16="http://schemas.microsoft.com/office/drawing/2014/main" id="{B4279E46-A8E2-117D-9526-52C872B23C6F}"/>
            </a:ext>
          </a:extLst>
        </xdr:cNvPr>
        <xdr:cNvSpPr>
          <a:spLocks noChangeShapeType="1"/>
        </xdr:cNvSpPr>
      </xdr:nvSpPr>
      <xdr:spPr bwMode="auto">
        <a:xfrm>
          <a:off x="4457700" y="2552700"/>
          <a:ext cx="38100" cy="508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50800</xdr:colOff>
      <xdr:row>13</xdr:row>
      <xdr:rowOff>63500</xdr:rowOff>
    </xdr:from>
    <xdr:to>
      <xdr:col>8</xdr:col>
      <xdr:colOff>12700</xdr:colOff>
      <xdr:row>13</xdr:row>
      <xdr:rowOff>63500</xdr:rowOff>
    </xdr:to>
    <xdr:sp macro="" textlink="">
      <xdr:nvSpPr>
        <xdr:cNvPr id="3924" name="Line 60">
          <a:extLst>
            <a:ext uri="{FF2B5EF4-FFF2-40B4-BE49-F238E27FC236}">
              <a16:creationId xmlns:a16="http://schemas.microsoft.com/office/drawing/2014/main" id="{DBDD3798-22F5-C804-AF8E-3C9D2DE9DEA9}"/>
            </a:ext>
          </a:extLst>
        </xdr:cNvPr>
        <xdr:cNvSpPr>
          <a:spLocks noChangeShapeType="1"/>
        </xdr:cNvSpPr>
      </xdr:nvSpPr>
      <xdr:spPr bwMode="auto">
        <a:xfrm>
          <a:off x="4470400" y="2603500"/>
          <a:ext cx="6350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13</xdr:row>
      <xdr:rowOff>63500</xdr:rowOff>
    </xdr:from>
    <xdr:to>
      <xdr:col>8</xdr:col>
      <xdr:colOff>12700</xdr:colOff>
      <xdr:row>13</xdr:row>
      <xdr:rowOff>139700</xdr:rowOff>
    </xdr:to>
    <xdr:sp macro="" textlink="">
      <xdr:nvSpPr>
        <xdr:cNvPr id="3925" name="Line 61">
          <a:extLst>
            <a:ext uri="{FF2B5EF4-FFF2-40B4-BE49-F238E27FC236}">
              <a16:creationId xmlns:a16="http://schemas.microsoft.com/office/drawing/2014/main" id="{664705C3-74BD-8501-F380-B06F5471CB2B}"/>
            </a:ext>
          </a:extLst>
        </xdr:cNvPr>
        <xdr:cNvSpPr>
          <a:spLocks noChangeShapeType="1"/>
        </xdr:cNvSpPr>
      </xdr:nvSpPr>
      <xdr:spPr bwMode="auto">
        <a:xfrm flipH="1">
          <a:off x="5092700" y="2603500"/>
          <a:ext cx="12700" cy="762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12700</xdr:colOff>
      <xdr:row>0</xdr:row>
      <xdr:rowOff>127000</xdr:rowOff>
    </xdr:from>
    <xdr:to>
      <xdr:col>6</xdr:col>
      <xdr:colOff>12700</xdr:colOff>
      <xdr:row>5</xdr:row>
      <xdr:rowOff>101600</xdr:rowOff>
    </xdr:to>
    <xdr:sp macro="" textlink="">
      <xdr:nvSpPr>
        <xdr:cNvPr id="3926" name="Line 62">
          <a:extLst>
            <a:ext uri="{FF2B5EF4-FFF2-40B4-BE49-F238E27FC236}">
              <a16:creationId xmlns:a16="http://schemas.microsoft.com/office/drawing/2014/main" id="{7BB274C1-D35F-02F6-F591-93170F715687}"/>
            </a:ext>
          </a:extLst>
        </xdr:cNvPr>
        <xdr:cNvSpPr>
          <a:spLocks noChangeShapeType="1"/>
        </xdr:cNvSpPr>
      </xdr:nvSpPr>
      <xdr:spPr bwMode="auto">
        <a:xfrm flipV="1">
          <a:off x="3759200" y="127000"/>
          <a:ext cx="0" cy="10414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12700</xdr:colOff>
      <xdr:row>0</xdr:row>
      <xdr:rowOff>88900</xdr:rowOff>
    </xdr:from>
    <xdr:to>
      <xdr:col>8</xdr:col>
      <xdr:colOff>12700</xdr:colOff>
      <xdr:row>5</xdr:row>
      <xdr:rowOff>101600</xdr:rowOff>
    </xdr:to>
    <xdr:sp macro="" textlink="">
      <xdr:nvSpPr>
        <xdr:cNvPr id="3927" name="Line 63">
          <a:extLst>
            <a:ext uri="{FF2B5EF4-FFF2-40B4-BE49-F238E27FC236}">
              <a16:creationId xmlns:a16="http://schemas.microsoft.com/office/drawing/2014/main" id="{41072353-9B0F-3404-19EA-724299D7D49F}"/>
            </a:ext>
          </a:extLst>
        </xdr:cNvPr>
        <xdr:cNvSpPr>
          <a:spLocks noChangeShapeType="1"/>
        </xdr:cNvSpPr>
      </xdr:nvSpPr>
      <xdr:spPr bwMode="auto">
        <a:xfrm flipV="1">
          <a:off x="5105400" y="88900"/>
          <a:ext cx="0" cy="10795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1</xdr:row>
      <xdr:rowOff>25400</xdr:rowOff>
    </xdr:from>
    <xdr:to>
      <xdr:col>8</xdr:col>
      <xdr:colOff>50800</xdr:colOff>
      <xdr:row>1</xdr:row>
      <xdr:rowOff>25400</xdr:rowOff>
    </xdr:to>
    <xdr:sp macro="" textlink="">
      <xdr:nvSpPr>
        <xdr:cNvPr id="3928" name="Line 64">
          <a:extLst>
            <a:ext uri="{FF2B5EF4-FFF2-40B4-BE49-F238E27FC236}">
              <a16:creationId xmlns:a16="http://schemas.microsoft.com/office/drawing/2014/main" id="{97855984-4D7D-2AEC-EFDD-8D10C2AA4B6F}"/>
            </a:ext>
          </a:extLst>
        </xdr:cNvPr>
        <xdr:cNvSpPr>
          <a:spLocks noChangeShapeType="1"/>
        </xdr:cNvSpPr>
      </xdr:nvSpPr>
      <xdr:spPr bwMode="auto">
        <a:xfrm>
          <a:off x="3746500" y="228600"/>
          <a:ext cx="13970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292100</xdr:colOff>
      <xdr:row>5</xdr:row>
      <xdr:rowOff>152400</xdr:rowOff>
    </xdr:from>
    <xdr:to>
      <xdr:col>6</xdr:col>
      <xdr:colOff>406400</xdr:colOff>
      <xdr:row>6</xdr:row>
      <xdr:rowOff>63500</xdr:rowOff>
    </xdr:to>
    <xdr:sp macro="" textlink="">
      <xdr:nvSpPr>
        <xdr:cNvPr id="3929" name="Rectangle 65">
          <a:extLst>
            <a:ext uri="{FF2B5EF4-FFF2-40B4-BE49-F238E27FC236}">
              <a16:creationId xmlns:a16="http://schemas.microsoft.com/office/drawing/2014/main" id="{B319C6B3-C528-8E42-1D92-D48A75AC4E62}"/>
            </a:ext>
          </a:extLst>
        </xdr:cNvPr>
        <xdr:cNvSpPr>
          <a:spLocks noChangeArrowheads="1"/>
        </xdr:cNvSpPr>
      </xdr:nvSpPr>
      <xdr:spPr bwMode="auto">
        <a:xfrm>
          <a:off x="4038600" y="1219200"/>
          <a:ext cx="114300" cy="76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FF" mc:Ignorable="a14" a14:legacySpreadsheetColorIndex="12"/>
        </a:solidFill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304800</xdr:colOff>
      <xdr:row>5</xdr:row>
      <xdr:rowOff>152400</xdr:rowOff>
    </xdr:from>
    <xdr:to>
      <xdr:col>7</xdr:col>
      <xdr:colOff>406400</xdr:colOff>
      <xdr:row>6</xdr:row>
      <xdr:rowOff>76200</xdr:rowOff>
    </xdr:to>
    <xdr:sp macro="" textlink="">
      <xdr:nvSpPr>
        <xdr:cNvPr id="3930" name="Rectangle 66">
          <a:extLst>
            <a:ext uri="{FF2B5EF4-FFF2-40B4-BE49-F238E27FC236}">
              <a16:creationId xmlns:a16="http://schemas.microsoft.com/office/drawing/2014/main" id="{4878B182-139D-B4C3-6128-BBF66B09E773}"/>
            </a:ext>
          </a:extLst>
        </xdr:cNvPr>
        <xdr:cNvSpPr>
          <a:spLocks noChangeArrowheads="1"/>
        </xdr:cNvSpPr>
      </xdr:nvSpPr>
      <xdr:spPr bwMode="auto">
        <a:xfrm>
          <a:off x="4724400" y="1219200"/>
          <a:ext cx="101600" cy="88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FF" mc:Ignorable="a14" a14:legacySpreadsheetColorIndex="12"/>
        </a:solidFill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342900</xdr:colOff>
      <xdr:row>1</xdr:row>
      <xdr:rowOff>254000</xdr:rowOff>
    </xdr:from>
    <xdr:to>
      <xdr:col>6</xdr:col>
      <xdr:colOff>342900</xdr:colOff>
      <xdr:row>7</xdr:row>
      <xdr:rowOff>0</xdr:rowOff>
    </xdr:to>
    <xdr:sp macro="" textlink="">
      <xdr:nvSpPr>
        <xdr:cNvPr id="3931" name="Line 67">
          <a:extLst>
            <a:ext uri="{FF2B5EF4-FFF2-40B4-BE49-F238E27FC236}">
              <a16:creationId xmlns:a16="http://schemas.microsoft.com/office/drawing/2014/main" id="{6BABDA9D-D4A3-87CD-0C65-893B188791B2}"/>
            </a:ext>
          </a:extLst>
        </xdr:cNvPr>
        <xdr:cNvSpPr>
          <a:spLocks noChangeShapeType="1"/>
        </xdr:cNvSpPr>
      </xdr:nvSpPr>
      <xdr:spPr bwMode="auto">
        <a:xfrm flipV="1">
          <a:off x="4089400" y="406400"/>
          <a:ext cx="0" cy="9906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Dot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355600</xdr:colOff>
      <xdr:row>1</xdr:row>
      <xdr:rowOff>279400</xdr:rowOff>
    </xdr:from>
    <xdr:to>
      <xdr:col>7</xdr:col>
      <xdr:colOff>368300</xdr:colOff>
      <xdr:row>7</xdr:row>
      <xdr:rowOff>0</xdr:rowOff>
    </xdr:to>
    <xdr:sp macro="" textlink="">
      <xdr:nvSpPr>
        <xdr:cNvPr id="3932" name="Line 68">
          <a:extLst>
            <a:ext uri="{FF2B5EF4-FFF2-40B4-BE49-F238E27FC236}">
              <a16:creationId xmlns:a16="http://schemas.microsoft.com/office/drawing/2014/main" id="{9BC7F77E-7FF7-D839-25FE-A3A73536F455}"/>
            </a:ext>
          </a:extLst>
        </xdr:cNvPr>
        <xdr:cNvSpPr>
          <a:spLocks noChangeShapeType="1"/>
        </xdr:cNvSpPr>
      </xdr:nvSpPr>
      <xdr:spPr bwMode="auto">
        <a:xfrm flipH="1" flipV="1">
          <a:off x="4775200" y="406400"/>
          <a:ext cx="12700" cy="9906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Dot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342900</xdr:colOff>
      <xdr:row>1</xdr:row>
      <xdr:rowOff>279400</xdr:rowOff>
    </xdr:from>
    <xdr:to>
      <xdr:col>7</xdr:col>
      <xdr:colOff>368300</xdr:colOff>
      <xdr:row>1</xdr:row>
      <xdr:rowOff>279400</xdr:rowOff>
    </xdr:to>
    <xdr:sp macro="" textlink="">
      <xdr:nvSpPr>
        <xdr:cNvPr id="3933" name="Line 69">
          <a:extLst>
            <a:ext uri="{FF2B5EF4-FFF2-40B4-BE49-F238E27FC236}">
              <a16:creationId xmlns:a16="http://schemas.microsoft.com/office/drawing/2014/main" id="{FF3F1B28-02AD-DA9A-6777-D5AD94687FC2}"/>
            </a:ext>
          </a:extLst>
        </xdr:cNvPr>
        <xdr:cNvSpPr>
          <a:spLocks noChangeShapeType="1"/>
        </xdr:cNvSpPr>
      </xdr:nvSpPr>
      <xdr:spPr bwMode="auto">
        <a:xfrm>
          <a:off x="4089400" y="406400"/>
          <a:ext cx="6985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469900</xdr:colOff>
      <xdr:row>6</xdr:row>
      <xdr:rowOff>0</xdr:rowOff>
    </xdr:from>
    <xdr:to>
      <xdr:col>5</xdr:col>
      <xdr:colOff>635000</xdr:colOff>
      <xdr:row>6</xdr:row>
      <xdr:rowOff>0</xdr:rowOff>
    </xdr:to>
    <xdr:sp macro="" textlink="">
      <xdr:nvSpPr>
        <xdr:cNvPr id="3934" name="Line 70">
          <a:extLst>
            <a:ext uri="{FF2B5EF4-FFF2-40B4-BE49-F238E27FC236}">
              <a16:creationId xmlns:a16="http://schemas.microsoft.com/office/drawing/2014/main" id="{9225C91F-6C68-355D-034E-E45848222777}"/>
            </a:ext>
          </a:extLst>
        </xdr:cNvPr>
        <xdr:cNvSpPr>
          <a:spLocks noChangeShapeType="1"/>
        </xdr:cNvSpPr>
      </xdr:nvSpPr>
      <xdr:spPr bwMode="auto">
        <a:xfrm flipH="1">
          <a:off x="2806700" y="1231900"/>
          <a:ext cx="9017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520700</xdr:colOff>
      <xdr:row>13</xdr:row>
      <xdr:rowOff>152400</xdr:rowOff>
    </xdr:from>
    <xdr:to>
      <xdr:col>5</xdr:col>
      <xdr:colOff>660400</xdr:colOff>
      <xdr:row>13</xdr:row>
      <xdr:rowOff>152400</xdr:rowOff>
    </xdr:to>
    <xdr:sp macro="" textlink="">
      <xdr:nvSpPr>
        <xdr:cNvPr id="3935" name="Line 71">
          <a:extLst>
            <a:ext uri="{FF2B5EF4-FFF2-40B4-BE49-F238E27FC236}">
              <a16:creationId xmlns:a16="http://schemas.microsoft.com/office/drawing/2014/main" id="{FCEEC7FB-C2B1-5FA0-330C-C2C5799FC9A0}"/>
            </a:ext>
          </a:extLst>
        </xdr:cNvPr>
        <xdr:cNvSpPr>
          <a:spLocks noChangeShapeType="1"/>
        </xdr:cNvSpPr>
      </xdr:nvSpPr>
      <xdr:spPr bwMode="auto">
        <a:xfrm flipH="1">
          <a:off x="2857500" y="2692400"/>
          <a:ext cx="8763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546100</xdr:colOff>
      <xdr:row>5</xdr:row>
      <xdr:rowOff>152400</xdr:rowOff>
    </xdr:from>
    <xdr:to>
      <xdr:col>4</xdr:col>
      <xdr:colOff>546100</xdr:colOff>
      <xdr:row>13</xdr:row>
      <xdr:rowOff>139700</xdr:rowOff>
    </xdr:to>
    <xdr:sp macro="" textlink="">
      <xdr:nvSpPr>
        <xdr:cNvPr id="3936" name="Line 72">
          <a:extLst>
            <a:ext uri="{FF2B5EF4-FFF2-40B4-BE49-F238E27FC236}">
              <a16:creationId xmlns:a16="http://schemas.microsoft.com/office/drawing/2014/main" id="{92F516E0-63A5-D3C6-E4B9-C26B57DB5F18}"/>
            </a:ext>
          </a:extLst>
        </xdr:cNvPr>
        <xdr:cNvSpPr>
          <a:spLocks noChangeShapeType="1"/>
        </xdr:cNvSpPr>
      </xdr:nvSpPr>
      <xdr:spPr bwMode="auto">
        <a:xfrm flipV="1">
          <a:off x="2882900" y="1219200"/>
          <a:ext cx="0" cy="14605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203200</xdr:colOff>
      <xdr:row>11</xdr:row>
      <xdr:rowOff>88900</xdr:rowOff>
    </xdr:from>
    <xdr:to>
      <xdr:col>6</xdr:col>
      <xdr:colOff>622300</xdr:colOff>
      <xdr:row>11</xdr:row>
      <xdr:rowOff>88900</xdr:rowOff>
    </xdr:to>
    <xdr:sp macro="" textlink="">
      <xdr:nvSpPr>
        <xdr:cNvPr id="3937" name="Line 73">
          <a:extLst>
            <a:ext uri="{FF2B5EF4-FFF2-40B4-BE49-F238E27FC236}">
              <a16:creationId xmlns:a16="http://schemas.microsoft.com/office/drawing/2014/main" id="{126E58B6-317B-2E77-C356-2971E61788C9}"/>
            </a:ext>
          </a:extLst>
        </xdr:cNvPr>
        <xdr:cNvSpPr>
          <a:spLocks noChangeShapeType="1"/>
        </xdr:cNvSpPr>
      </xdr:nvSpPr>
      <xdr:spPr bwMode="auto">
        <a:xfrm>
          <a:off x="3949700" y="2260600"/>
          <a:ext cx="4191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38100</xdr:colOff>
      <xdr:row>11</xdr:row>
      <xdr:rowOff>88900</xdr:rowOff>
    </xdr:from>
    <xdr:to>
      <xdr:col>7</xdr:col>
      <xdr:colOff>355600</xdr:colOff>
      <xdr:row>11</xdr:row>
      <xdr:rowOff>88900</xdr:rowOff>
    </xdr:to>
    <xdr:sp macro="" textlink="">
      <xdr:nvSpPr>
        <xdr:cNvPr id="3938" name="Line 74">
          <a:extLst>
            <a:ext uri="{FF2B5EF4-FFF2-40B4-BE49-F238E27FC236}">
              <a16:creationId xmlns:a16="http://schemas.microsoft.com/office/drawing/2014/main" id="{6A7F8BFF-61C4-4ADB-E36D-8A37FAADE6F1}"/>
            </a:ext>
          </a:extLst>
        </xdr:cNvPr>
        <xdr:cNvSpPr>
          <a:spLocks noChangeShapeType="1"/>
        </xdr:cNvSpPr>
      </xdr:nvSpPr>
      <xdr:spPr bwMode="auto">
        <a:xfrm>
          <a:off x="4457700" y="2260600"/>
          <a:ext cx="3175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203200</xdr:colOff>
      <xdr:row>6</xdr:row>
      <xdr:rowOff>76200</xdr:rowOff>
    </xdr:from>
    <xdr:to>
      <xdr:col>5</xdr:col>
      <xdr:colOff>660400</xdr:colOff>
      <xdr:row>6</xdr:row>
      <xdr:rowOff>76200</xdr:rowOff>
    </xdr:to>
    <xdr:sp macro="" textlink="">
      <xdr:nvSpPr>
        <xdr:cNvPr id="3939" name="Line 75">
          <a:extLst>
            <a:ext uri="{FF2B5EF4-FFF2-40B4-BE49-F238E27FC236}">
              <a16:creationId xmlns:a16="http://schemas.microsoft.com/office/drawing/2014/main" id="{0C42ABAA-EA84-C48B-9CC7-34377B827E82}"/>
            </a:ext>
          </a:extLst>
        </xdr:cNvPr>
        <xdr:cNvSpPr>
          <a:spLocks noChangeShapeType="1"/>
        </xdr:cNvSpPr>
      </xdr:nvSpPr>
      <xdr:spPr bwMode="auto">
        <a:xfrm flipH="1">
          <a:off x="3276600" y="1308100"/>
          <a:ext cx="4572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266700</xdr:colOff>
      <xdr:row>6</xdr:row>
      <xdr:rowOff>63500</xdr:rowOff>
    </xdr:from>
    <xdr:to>
      <xdr:col>5</xdr:col>
      <xdr:colOff>266700</xdr:colOff>
      <xdr:row>7</xdr:row>
      <xdr:rowOff>139700</xdr:rowOff>
    </xdr:to>
    <xdr:sp macro="" textlink="">
      <xdr:nvSpPr>
        <xdr:cNvPr id="3940" name="Line 76">
          <a:extLst>
            <a:ext uri="{FF2B5EF4-FFF2-40B4-BE49-F238E27FC236}">
              <a16:creationId xmlns:a16="http://schemas.microsoft.com/office/drawing/2014/main" id="{7F361016-46BC-B3BE-E887-AB772829C8A6}"/>
            </a:ext>
          </a:extLst>
        </xdr:cNvPr>
        <xdr:cNvSpPr>
          <a:spLocks noChangeShapeType="1"/>
        </xdr:cNvSpPr>
      </xdr:nvSpPr>
      <xdr:spPr bwMode="auto">
        <a:xfrm>
          <a:off x="3340100" y="1295400"/>
          <a:ext cx="0" cy="2413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254000</xdr:colOff>
      <xdr:row>4</xdr:row>
      <xdr:rowOff>76200</xdr:rowOff>
    </xdr:from>
    <xdr:to>
      <xdr:col>5</xdr:col>
      <xdr:colOff>254000</xdr:colOff>
      <xdr:row>5</xdr:row>
      <xdr:rowOff>139700</xdr:rowOff>
    </xdr:to>
    <xdr:sp macro="" textlink="">
      <xdr:nvSpPr>
        <xdr:cNvPr id="3941" name="Line 77">
          <a:extLst>
            <a:ext uri="{FF2B5EF4-FFF2-40B4-BE49-F238E27FC236}">
              <a16:creationId xmlns:a16="http://schemas.microsoft.com/office/drawing/2014/main" id="{5BD3DDBF-7C95-5D5A-21FA-23A91E5772DD}"/>
            </a:ext>
          </a:extLst>
        </xdr:cNvPr>
        <xdr:cNvSpPr>
          <a:spLocks noChangeShapeType="1"/>
        </xdr:cNvSpPr>
      </xdr:nvSpPr>
      <xdr:spPr bwMode="auto">
        <a:xfrm flipV="1">
          <a:off x="3327400" y="939800"/>
          <a:ext cx="0" cy="2667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355600</xdr:colOff>
      <xdr:row>4</xdr:row>
      <xdr:rowOff>88900</xdr:rowOff>
    </xdr:from>
    <xdr:to>
      <xdr:col>5</xdr:col>
      <xdr:colOff>241300</xdr:colOff>
      <xdr:row>4</xdr:row>
      <xdr:rowOff>88900</xdr:rowOff>
    </xdr:to>
    <xdr:sp macro="" textlink="">
      <xdr:nvSpPr>
        <xdr:cNvPr id="3942" name="Line 78">
          <a:extLst>
            <a:ext uri="{FF2B5EF4-FFF2-40B4-BE49-F238E27FC236}">
              <a16:creationId xmlns:a16="http://schemas.microsoft.com/office/drawing/2014/main" id="{9EFBA6B8-3B49-72A0-159B-DE9ECEE1AB2F}"/>
            </a:ext>
          </a:extLst>
        </xdr:cNvPr>
        <xdr:cNvSpPr>
          <a:spLocks noChangeShapeType="1"/>
        </xdr:cNvSpPr>
      </xdr:nvSpPr>
      <xdr:spPr bwMode="auto">
        <a:xfrm>
          <a:off x="2692400" y="952500"/>
          <a:ext cx="6223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660400</xdr:colOff>
      <xdr:row>3</xdr:row>
      <xdr:rowOff>88900</xdr:rowOff>
    </xdr:from>
    <xdr:to>
      <xdr:col>6</xdr:col>
      <xdr:colOff>660400</xdr:colOff>
      <xdr:row>6</xdr:row>
      <xdr:rowOff>139700</xdr:rowOff>
    </xdr:to>
    <xdr:sp macro="" textlink="">
      <xdr:nvSpPr>
        <xdr:cNvPr id="3943" name="Line 79">
          <a:extLst>
            <a:ext uri="{FF2B5EF4-FFF2-40B4-BE49-F238E27FC236}">
              <a16:creationId xmlns:a16="http://schemas.microsoft.com/office/drawing/2014/main" id="{E33832A3-AB2E-5AAB-E8B0-47F01C1443DC}"/>
            </a:ext>
          </a:extLst>
        </xdr:cNvPr>
        <xdr:cNvSpPr>
          <a:spLocks noChangeShapeType="1"/>
        </xdr:cNvSpPr>
      </xdr:nvSpPr>
      <xdr:spPr bwMode="auto">
        <a:xfrm flipH="1" flipV="1">
          <a:off x="4406900" y="660400"/>
          <a:ext cx="0" cy="7112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339966" mc:Ignorable="a14" a14:legacySpreadsheetColorIndex="57"/>
          </a:solidFill>
          <a:prstDash val="lgDashDot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63500</xdr:colOff>
      <xdr:row>3</xdr:row>
      <xdr:rowOff>88900</xdr:rowOff>
    </xdr:from>
    <xdr:to>
      <xdr:col>7</xdr:col>
      <xdr:colOff>63500</xdr:colOff>
      <xdr:row>6</xdr:row>
      <xdr:rowOff>76200</xdr:rowOff>
    </xdr:to>
    <xdr:sp macro="" textlink="">
      <xdr:nvSpPr>
        <xdr:cNvPr id="3944" name="Line 80">
          <a:extLst>
            <a:ext uri="{FF2B5EF4-FFF2-40B4-BE49-F238E27FC236}">
              <a16:creationId xmlns:a16="http://schemas.microsoft.com/office/drawing/2014/main" id="{10FE8543-BE09-142C-0398-C9F44012709B}"/>
            </a:ext>
          </a:extLst>
        </xdr:cNvPr>
        <xdr:cNvSpPr>
          <a:spLocks noChangeShapeType="1"/>
        </xdr:cNvSpPr>
      </xdr:nvSpPr>
      <xdr:spPr bwMode="auto">
        <a:xfrm flipV="1">
          <a:off x="4483100" y="660400"/>
          <a:ext cx="0" cy="6477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406400</xdr:colOff>
      <xdr:row>4</xdr:row>
      <xdr:rowOff>25400</xdr:rowOff>
    </xdr:from>
    <xdr:to>
      <xdr:col>6</xdr:col>
      <xdr:colOff>647700</xdr:colOff>
      <xdr:row>4</xdr:row>
      <xdr:rowOff>25400</xdr:rowOff>
    </xdr:to>
    <xdr:sp macro="" textlink="">
      <xdr:nvSpPr>
        <xdr:cNvPr id="3945" name="Line 81">
          <a:extLst>
            <a:ext uri="{FF2B5EF4-FFF2-40B4-BE49-F238E27FC236}">
              <a16:creationId xmlns:a16="http://schemas.microsoft.com/office/drawing/2014/main" id="{AD3F5AE3-048D-298E-CAD7-E2F615461F9C}"/>
            </a:ext>
          </a:extLst>
        </xdr:cNvPr>
        <xdr:cNvSpPr>
          <a:spLocks noChangeShapeType="1"/>
        </xdr:cNvSpPr>
      </xdr:nvSpPr>
      <xdr:spPr bwMode="auto">
        <a:xfrm flipH="1">
          <a:off x="4152900" y="889000"/>
          <a:ext cx="2413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76200</xdr:colOff>
      <xdr:row>4</xdr:row>
      <xdr:rowOff>25400</xdr:rowOff>
    </xdr:from>
    <xdr:to>
      <xdr:col>7</xdr:col>
      <xdr:colOff>292100</xdr:colOff>
      <xdr:row>4</xdr:row>
      <xdr:rowOff>25400</xdr:rowOff>
    </xdr:to>
    <xdr:sp macro="" textlink="">
      <xdr:nvSpPr>
        <xdr:cNvPr id="3946" name="Line 82">
          <a:extLst>
            <a:ext uri="{FF2B5EF4-FFF2-40B4-BE49-F238E27FC236}">
              <a16:creationId xmlns:a16="http://schemas.microsoft.com/office/drawing/2014/main" id="{E0AAF8B0-04C1-DC5F-D60D-479CF3D77785}"/>
            </a:ext>
          </a:extLst>
        </xdr:cNvPr>
        <xdr:cNvSpPr>
          <a:spLocks noChangeShapeType="1"/>
        </xdr:cNvSpPr>
      </xdr:nvSpPr>
      <xdr:spPr bwMode="auto">
        <a:xfrm>
          <a:off x="4495800" y="889000"/>
          <a:ext cx="2159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114300</xdr:colOff>
      <xdr:row>5</xdr:row>
      <xdr:rowOff>152400</xdr:rowOff>
    </xdr:from>
    <xdr:to>
      <xdr:col>9</xdr:col>
      <xdr:colOff>368300</xdr:colOff>
      <xdr:row>6</xdr:row>
      <xdr:rowOff>0</xdr:rowOff>
    </xdr:to>
    <xdr:sp macro="" textlink="">
      <xdr:nvSpPr>
        <xdr:cNvPr id="3947" name="Line 83">
          <a:extLst>
            <a:ext uri="{FF2B5EF4-FFF2-40B4-BE49-F238E27FC236}">
              <a16:creationId xmlns:a16="http://schemas.microsoft.com/office/drawing/2014/main" id="{8ADAA13D-A409-6770-F52C-540C41DF57B9}"/>
            </a:ext>
          </a:extLst>
        </xdr:cNvPr>
        <xdr:cNvSpPr>
          <a:spLocks noChangeShapeType="1"/>
        </xdr:cNvSpPr>
      </xdr:nvSpPr>
      <xdr:spPr bwMode="auto">
        <a:xfrm flipV="1">
          <a:off x="5207000" y="1219200"/>
          <a:ext cx="1219200" cy="127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88900</xdr:colOff>
      <xdr:row>6</xdr:row>
      <xdr:rowOff>139700</xdr:rowOff>
    </xdr:from>
    <xdr:to>
      <xdr:col>8</xdr:col>
      <xdr:colOff>647700</xdr:colOff>
      <xdr:row>6</xdr:row>
      <xdr:rowOff>139700</xdr:rowOff>
    </xdr:to>
    <xdr:sp macro="" textlink="">
      <xdr:nvSpPr>
        <xdr:cNvPr id="3948" name="Line 84">
          <a:extLst>
            <a:ext uri="{FF2B5EF4-FFF2-40B4-BE49-F238E27FC236}">
              <a16:creationId xmlns:a16="http://schemas.microsoft.com/office/drawing/2014/main" id="{0C607A1A-8039-77E9-FA2D-91783E1220F3}"/>
            </a:ext>
          </a:extLst>
        </xdr:cNvPr>
        <xdr:cNvSpPr>
          <a:spLocks noChangeShapeType="1"/>
        </xdr:cNvSpPr>
      </xdr:nvSpPr>
      <xdr:spPr bwMode="auto">
        <a:xfrm>
          <a:off x="4508500" y="1371600"/>
          <a:ext cx="12319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584200</xdr:colOff>
      <xdr:row>4</xdr:row>
      <xdr:rowOff>114300</xdr:rowOff>
    </xdr:from>
    <xdr:to>
      <xdr:col>8</xdr:col>
      <xdr:colOff>584200</xdr:colOff>
      <xdr:row>5</xdr:row>
      <xdr:rowOff>152400</xdr:rowOff>
    </xdr:to>
    <xdr:sp macro="" textlink="">
      <xdr:nvSpPr>
        <xdr:cNvPr id="3949" name="Line 85">
          <a:extLst>
            <a:ext uri="{FF2B5EF4-FFF2-40B4-BE49-F238E27FC236}">
              <a16:creationId xmlns:a16="http://schemas.microsoft.com/office/drawing/2014/main" id="{BD3363CC-C1A2-4394-9340-C8B166B49AB3}"/>
            </a:ext>
          </a:extLst>
        </xdr:cNvPr>
        <xdr:cNvSpPr>
          <a:spLocks noChangeShapeType="1"/>
        </xdr:cNvSpPr>
      </xdr:nvSpPr>
      <xdr:spPr bwMode="auto">
        <a:xfrm flipV="1">
          <a:off x="5676900" y="977900"/>
          <a:ext cx="0" cy="2413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596900</xdr:colOff>
      <xdr:row>6</xdr:row>
      <xdr:rowOff>139700</xdr:rowOff>
    </xdr:from>
    <xdr:to>
      <xdr:col>8</xdr:col>
      <xdr:colOff>596900</xdr:colOff>
      <xdr:row>8</xdr:row>
      <xdr:rowOff>0</xdr:rowOff>
    </xdr:to>
    <xdr:sp macro="" textlink="">
      <xdr:nvSpPr>
        <xdr:cNvPr id="3950" name="Line 86">
          <a:extLst>
            <a:ext uri="{FF2B5EF4-FFF2-40B4-BE49-F238E27FC236}">
              <a16:creationId xmlns:a16="http://schemas.microsoft.com/office/drawing/2014/main" id="{7746A6DC-4465-04A5-A10A-AF92EDAFA810}"/>
            </a:ext>
          </a:extLst>
        </xdr:cNvPr>
        <xdr:cNvSpPr>
          <a:spLocks noChangeShapeType="1"/>
        </xdr:cNvSpPr>
      </xdr:nvSpPr>
      <xdr:spPr bwMode="auto">
        <a:xfrm>
          <a:off x="5689600" y="1371600"/>
          <a:ext cx="0" cy="2286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596900</xdr:colOff>
      <xdr:row>4</xdr:row>
      <xdr:rowOff>114300</xdr:rowOff>
    </xdr:from>
    <xdr:to>
      <xdr:col>9</xdr:col>
      <xdr:colOff>76200</xdr:colOff>
      <xdr:row>4</xdr:row>
      <xdr:rowOff>114300</xdr:rowOff>
    </xdr:to>
    <xdr:sp macro="" textlink="">
      <xdr:nvSpPr>
        <xdr:cNvPr id="3951" name="Line 87">
          <a:extLst>
            <a:ext uri="{FF2B5EF4-FFF2-40B4-BE49-F238E27FC236}">
              <a16:creationId xmlns:a16="http://schemas.microsoft.com/office/drawing/2014/main" id="{62B63EF2-9D41-B53C-F096-89B86BE0B213}"/>
            </a:ext>
          </a:extLst>
        </xdr:cNvPr>
        <xdr:cNvSpPr>
          <a:spLocks noChangeShapeType="1"/>
        </xdr:cNvSpPr>
      </xdr:nvSpPr>
      <xdr:spPr bwMode="auto">
        <a:xfrm>
          <a:off x="5689600" y="977900"/>
          <a:ext cx="4445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508000</xdr:colOff>
      <xdr:row>8</xdr:row>
      <xdr:rowOff>152400</xdr:rowOff>
    </xdr:from>
    <xdr:to>
      <xdr:col>9</xdr:col>
      <xdr:colOff>368300</xdr:colOff>
      <xdr:row>8</xdr:row>
      <xdr:rowOff>152400</xdr:rowOff>
    </xdr:to>
    <xdr:sp macro="" textlink="">
      <xdr:nvSpPr>
        <xdr:cNvPr id="3952" name="Line 88">
          <a:extLst>
            <a:ext uri="{FF2B5EF4-FFF2-40B4-BE49-F238E27FC236}">
              <a16:creationId xmlns:a16="http://schemas.microsoft.com/office/drawing/2014/main" id="{2AFA268A-16AF-F0A2-38FA-4C48EEC5FEB2}"/>
            </a:ext>
          </a:extLst>
        </xdr:cNvPr>
        <xdr:cNvSpPr>
          <a:spLocks noChangeShapeType="1"/>
        </xdr:cNvSpPr>
      </xdr:nvSpPr>
      <xdr:spPr bwMode="auto">
        <a:xfrm>
          <a:off x="4254500" y="1752600"/>
          <a:ext cx="21717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Dot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635000</xdr:colOff>
      <xdr:row>8</xdr:row>
      <xdr:rowOff>101600</xdr:rowOff>
    </xdr:from>
    <xdr:to>
      <xdr:col>7</xdr:col>
      <xdr:colOff>38100</xdr:colOff>
      <xdr:row>9</xdr:row>
      <xdr:rowOff>76200</xdr:rowOff>
    </xdr:to>
    <xdr:sp macro="" textlink="">
      <xdr:nvSpPr>
        <xdr:cNvPr id="3953" name="Rectangle 89">
          <a:extLst>
            <a:ext uri="{FF2B5EF4-FFF2-40B4-BE49-F238E27FC236}">
              <a16:creationId xmlns:a16="http://schemas.microsoft.com/office/drawing/2014/main" id="{98F7E364-08E6-4DFB-1E30-790EAAFDBD37}"/>
            </a:ext>
          </a:extLst>
        </xdr:cNvPr>
        <xdr:cNvSpPr>
          <a:spLocks noChangeArrowheads="1"/>
        </xdr:cNvSpPr>
      </xdr:nvSpPr>
      <xdr:spPr bwMode="auto">
        <a:xfrm>
          <a:off x="4381500" y="1701800"/>
          <a:ext cx="76200" cy="139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FF" mc:Ignorable="a14" a14:legacySpreadsheetColorIndex="1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254000</xdr:colOff>
      <xdr:row>8</xdr:row>
      <xdr:rowOff>25400</xdr:rowOff>
    </xdr:from>
    <xdr:to>
      <xdr:col>9</xdr:col>
      <xdr:colOff>254000</xdr:colOff>
      <xdr:row>8</xdr:row>
      <xdr:rowOff>165100</xdr:rowOff>
    </xdr:to>
    <xdr:sp macro="" textlink="">
      <xdr:nvSpPr>
        <xdr:cNvPr id="3954" name="Line 90">
          <a:extLst>
            <a:ext uri="{FF2B5EF4-FFF2-40B4-BE49-F238E27FC236}">
              <a16:creationId xmlns:a16="http://schemas.microsoft.com/office/drawing/2014/main" id="{6F433BCD-1231-AD7F-A463-9A66C06D9C86}"/>
            </a:ext>
          </a:extLst>
        </xdr:cNvPr>
        <xdr:cNvSpPr>
          <a:spLocks noChangeShapeType="1"/>
        </xdr:cNvSpPr>
      </xdr:nvSpPr>
      <xdr:spPr bwMode="auto">
        <a:xfrm flipV="1">
          <a:off x="6311900" y="1625600"/>
          <a:ext cx="0" cy="1397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254000</xdr:colOff>
      <xdr:row>6</xdr:row>
      <xdr:rowOff>0</xdr:rowOff>
    </xdr:from>
    <xdr:to>
      <xdr:col>9</xdr:col>
      <xdr:colOff>254000</xdr:colOff>
      <xdr:row>6</xdr:row>
      <xdr:rowOff>139700</xdr:rowOff>
    </xdr:to>
    <xdr:sp macro="" textlink="">
      <xdr:nvSpPr>
        <xdr:cNvPr id="3955" name="Line 91">
          <a:extLst>
            <a:ext uri="{FF2B5EF4-FFF2-40B4-BE49-F238E27FC236}">
              <a16:creationId xmlns:a16="http://schemas.microsoft.com/office/drawing/2014/main" id="{76672D4B-042D-C573-7DA4-7F540528C963}"/>
            </a:ext>
          </a:extLst>
        </xdr:cNvPr>
        <xdr:cNvSpPr>
          <a:spLocks noChangeShapeType="1"/>
        </xdr:cNvSpPr>
      </xdr:nvSpPr>
      <xdr:spPr bwMode="auto">
        <a:xfrm>
          <a:off x="6311900" y="1231900"/>
          <a:ext cx="0" cy="1397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14</xdr:col>
      <xdr:colOff>120316</xdr:colOff>
      <xdr:row>29</xdr:row>
      <xdr:rowOff>66842</xdr:rowOff>
    </xdr:from>
    <xdr:to>
      <xdr:col>25</xdr:col>
      <xdr:colOff>227263</xdr:colOff>
      <xdr:row>45</xdr:row>
      <xdr:rowOff>141705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FDF16CB-6820-863E-D32B-935E5D23CB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17263" y="5240421"/>
          <a:ext cx="7459579" cy="26416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457200</xdr:colOff>
      <xdr:row>7</xdr:row>
      <xdr:rowOff>0</xdr:rowOff>
    </xdr:from>
    <xdr:to>
      <xdr:col>9</xdr:col>
      <xdr:colOff>571500</xdr:colOff>
      <xdr:row>7</xdr:row>
      <xdr:rowOff>0</xdr:rowOff>
    </xdr:to>
    <xdr:sp macro="" textlink="">
      <xdr:nvSpPr>
        <xdr:cNvPr id="5757" name="Line 22">
          <a:extLst>
            <a:ext uri="{FF2B5EF4-FFF2-40B4-BE49-F238E27FC236}">
              <a16:creationId xmlns:a16="http://schemas.microsoft.com/office/drawing/2014/main" id="{47FDA807-E977-BA9A-E379-6157DB48D227}"/>
            </a:ext>
          </a:extLst>
        </xdr:cNvPr>
        <xdr:cNvSpPr>
          <a:spLocks noChangeShapeType="1"/>
        </xdr:cNvSpPr>
      </xdr:nvSpPr>
      <xdr:spPr bwMode="auto">
        <a:xfrm flipH="1">
          <a:off x="5181600" y="1371600"/>
          <a:ext cx="14605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635000</xdr:colOff>
      <xdr:row>7</xdr:row>
      <xdr:rowOff>0</xdr:rowOff>
    </xdr:from>
    <xdr:to>
      <xdr:col>9</xdr:col>
      <xdr:colOff>12700</xdr:colOff>
      <xdr:row>7</xdr:row>
      <xdr:rowOff>0</xdr:rowOff>
    </xdr:to>
    <xdr:sp macro="" textlink="">
      <xdr:nvSpPr>
        <xdr:cNvPr id="5758" name="Line 44">
          <a:extLst>
            <a:ext uri="{FF2B5EF4-FFF2-40B4-BE49-F238E27FC236}">
              <a16:creationId xmlns:a16="http://schemas.microsoft.com/office/drawing/2014/main" id="{E63C1696-71BD-2ECD-4E56-7B537CE0FDAC}"/>
            </a:ext>
          </a:extLst>
        </xdr:cNvPr>
        <xdr:cNvSpPr>
          <a:spLocks noChangeShapeType="1"/>
        </xdr:cNvSpPr>
      </xdr:nvSpPr>
      <xdr:spPr bwMode="auto">
        <a:xfrm>
          <a:off x="5359400" y="1371600"/>
          <a:ext cx="7239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12700</xdr:colOff>
      <xdr:row>6</xdr:row>
      <xdr:rowOff>152400</xdr:rowOff>
    </xdr:from>
    <xdr:to>
      <xdr:col>9</xdr:col>
      <xdr:colOff>25400</xdr:colOff>
      <xdr:row>7</xdr:row>
      <xdr:rowOff>63500</xdr:rowOff>
    </xdr:to>
    <xdr:sp macro="" textlink="">
      <xdr:nvSpPr>
        <xdr:cNvPr id="5759" name="Line 45">
          <a:extLst>
            <a:ext uri="{FF2B5EF4-FFF2-40B4-BE49-F238E27FC236}">
              <a16:creationId xmlns:a16="http://schemas.microsoft.com/office/drawing/2014/main" id="{82B73750-E405-AF7F-15B1-C317B18B2039}"/>
            </a:ext>
          </a:extLst>
        </xdr:cNvPr>
        <xdr:cNvSpPr>
          <a:spLocks noChangeShapeType="1"/>
        </xdr:cNvSpPr>
      </xdr:nvSpPr>
      <xdr:spPr bwMode="auto">
        <a:xfrm>
          <a:off x="6083300" y="1358900"/>
          <a:ext cx="12700" cy="762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685800</xdr:colOff>
      <xdr:row>7</xdr:row>
      <xdr:rowOff>63500</xdr:rowOff>
    </xdr:from>
    <xdr:to>
      <xdr:col>9</xdr:col>
      <xdr:colOff>25400</xdr:colOff>
      <xdr:row>8</xdr:row>
      <xdr:rowOff>0</xdr:rowOff>
    </xdr:to>
    <xdr:sp macro="" textlink="">
      <xdr:nvSpPr>
        <xdr:cNvPr id="5760" name="Line 46">
          <a:extLst>
            <a:ext uri="{FF2B5EF4-FFF2-40B4-BE49-F238E27FC236}">
              <a16:creationId xmlns:a16="http://schemas.microsoft.com/office/drawing/2014/main" id="{E82728FE-7343-00BA-DC32-F85D060C755E}"/>
            </a:ext>
          </a:extLst>
        </xdr:cNvPr>
        <xdr:cNvSpPr>
          <a:spLocks noChangeShapeType="1"/>
        </xdr:cNvSpPr>
      </xdr:nvSpPr>
      <xdr:spPr bwMode="auto">
        <a:xfrm flipH="1">
          <a:off x="5397500" y="1435100"/>
          <a:ext cx="698500" cy="1016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622300</xdr:colOff>
      <xdr:row>14</xdr:row>
      <xdr:rowOff>139700</xdr:rowOff>
    </xdr:from>
    <xdr:to>
      <xdr:col>9</xdr:col>
      <xdr:colOff>25400</xdr:colOff>
      <xdr:row>14</xdr:row>
      <xdr:rowOff>152400</xdr:rowOff>
    </xdr:to>
    <xdr:sp macro="" textlink="">
      <xdr:nvSpPr>
        <xdr:cNvPr id="5761" name="Line 47">
          <a:extLst>
            <a:ext uri="{FF2B5EF4-FFF2-40B4-BE49-F238E27FC236}">
              <a16:creationId xmlns:a16="http://schemas.microsoft.com/office/drawing/2014/main" id="{69BA597E-5986-9266-ED6E-81AA182D95F3}"/>
            </a:ext>
          </a:extLst>
        </xdr:cNvPr>
        <xdr:cNvSpPr>
          <a:spLocks noChangeShapeType="1"/>
        </xdr:cNvSpPr>
      </xdr:nvSpPr>
      <xdr:spPr bwMode="auto">
        <a:xfrm>
          <a:off x="5346700" y="3098800"/>
          <a:ext cx="749300" cy="127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635000</xdr:colOff>
      <xdr:row>7</xdr:row>
      <xdr:rowOff>12700</xdr:rowOff>
    </xdr:from>
    <xdr:to>
      <xdr:col>7</xdr:col>
      <xdr:colOff>635000</xdr:colOff>
      <xdr:row>14</xdr:row>
      <xdr:rowOff>152400</xdr:rowOff>
    </xdr:to>
    <xdr:sp macro="" textlink="">
      <xdr:nvSpPr>
        <xdr:cNvPr id="5762" name="Line 48">
          <a:extLst>
            <a:ext uri="{FF2B5EF4-FFF2-40B4-BE49-F238E27FC236}">
              <a16:creationId xmlns:a16="http://schemas.microsoft.com/office/drawing/2014/main" id="{FE5D7992-50AB-396D-4EBF-807254139B58}"/>
            </a:ext>
          </a:extLst>
        </xdr:cNvPr>
        <xdr:cNvSpPr>
          <a:spLocks noChangeShapeType="1"/>
        </xdr:cNvSpPr>
      </xdr:nvSpPr>
      <xdr:spPr bwMode="auto">
        <a:xfrm>
          <a:off x="5359400" y="1384300"/>
          <a:ext cx="0" cy="17272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711200</xdr:colOff>
      <xdr:row>7</xdr:row>
      <xdr:rowOff>139700</xdr:rowOff>
    </xdr:from>
    <xdr:to>
      <xdr:col>7</xdr:col>
      <xdr:colOff>711200</xdr:colOff>
      <xdr:row>14</xdr:row>
      <xdr:rowOff>0</xdr:rowOff>
    </xdr:to>
    <xdr:sp macro="" textlink="">
      <xdr:nvSpPr>
        <xdr:cNvPr id="5763" name="Line 49">
          <a:extLst>
            <a:ext uri="{FF2B5EF4-FFF2-40B4-BE49-F238E27FC236}">
              <a16:creationId xmlns:a16="http://schemas.microsoft.com/office/drawing/2014/main" id="{1183D9B6-8070-D0E2-D3AB-7510117F4D04}"/>
            </a:ext>
          </a:extLst>
        </xdr:cNvPr>
        <xdr:cNvSpPr>
          <a:spLocks noChangeShapeType="1"/>
        </xdr:cNvSpPr>
      </xdr:nvSpPr>
      <xdr:spPr bwMode="auto">
        <a:xfrm flipH="1">
          <a:off x="5397500" y="1511300"/>
          <a:ext cx="0" cy="14478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711200</xdr:colOff>
      <xdr:row>13</xdr:row>
      <xdr:rowOff>177800</xdr:rowOff>
    </xdr:from>
    <xdr:to>
      <xdr:col>9</xdr:col>
      <xdr:colOff>0</xdr:colOff>
      <xdr:row>14</xdr:row>
      <xdr:rowOff>76200</xdr:rowOff>
    </xdr:to>
    <xdr:sp macro="" textlink="">
      <xdr:nvSpPr>
        <xdr:cNvPr id="5764" name="Line 50">
          <a:extLst>
            <a:ext uri="{FF2B5EF4-FFF2-40B4-BE49-F238E27FC236}">
              <a16:creationId xmlns:a16="http://schemas.microsoft.com/office/drawing/2014/main" id="{E67ABE74-14AF-6B00-47E5-AD764583D46B}"/>
            </a:ext>
          </a:extLst>
        </xdr:cNvPr>
        <xdr:cNvSpPr>
          <a:spLocks noChangeShapeType="1"/>
        </xdr:cNvSpPr>
      </xdr:nvSpPr>
      <xdr:spPr bwMode="auto">
        <a:xfrm>
          <a:off x="5397500" y="2933700"/>
          <a:ext cx="673100" cy="1016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12700</xdr:colOff>
      <xdr:row>14</xdr:row>
      <xdr:rowOff>101600</xdr:rowOff>
    </xdr:from>
    <xdr:to>
      <xdr:col>9</xdr:col>
      <xdr:colOff>12700</xdr:colOff>
      <xdr:row>14</xdr:row>
      <xdr:rowOff>139700</xdr:rowOff>
    </xdr:to>
    <xdr:sp macro="" textlink="">
      <xdr:nvSpPr>
        <xdr:cNvPr id="5765" name="Line 51">
          <a:extLst>
            <a:ext uri="{FF2B5EF4-FFF2-40B4-BE49-F238E27FC236}">
              <a16:creationId xmlns:a16="http://schemas.microsoft.com/office/drawing/2014/main" id="{9D2B4B1E-AE16-0B3C-C4AC-9450B548F876}"/>
            </a:ext>
          </a:extLst>
        </xdr:cNvPr>
        <xdr:cNvSpPr>
          <a:spLocks noChangeShapeType="1"/>
        </xdr:cNvSpPr>
      </xdr:nvSpPr>
      <xdr:spPr bwMode="auto">
        <a:xfrm>
          <a:off x="6083300" y="3060700"/>
          <a:ext cx="0" cy="381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635000</xdr:colOff>
      <xdr:row>1</xdr:row>
      <xdr:rowOff>165100</xdr:rowOff>
    </xdr:from>
    <xdr:to>
      <xdr:col>7</xdr:col>
      <xdr:colOff>635000</xdr:colOff>
      <xdr:row>6</xdr:row>
      <xdr:rowOff>101600</xdr:rowOff>
    </xdr:to>
    <xdr:sp macro="" textlink="">
      <xdr:nvSpPr>
        <xdr:cNvPr id="5766" name="Line 52">
          <a:extLst>
            <a:ext uri="{FF2B5EF4-FFF2-40B4-BE49-F238E27FC236}">
              <a16:creationId xmlns:a16="http://schemas.microsoft.com/office/drawing/2014/main" id="{FA7A6778-2892-F7D7-5E0E-E7F01F54CC1F}"/>
            </a:ext>
          </a:extLst>
        </xdr:cNvPr>
        <xdr:cNvSpPr>
          <a:spLocks noChangeShapeType="1"/>
        </xdr:cNvSpPr>
      </xdr:nvSpPr>
      <xdr:spPr bwMode="auto">
        <a:xfrm flipV="1">
          <a:off x="5359400" y="330200"/>
          <a:ext cx="0" cy="9779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1</xdr:row>
      <xdr:rowOff>190500</xdr:rowOff>
    </xdr:from>
    <xdr:to>
      <xdr:col>9</xdr:col>
      <xdr:colOff>12700</xdr:colOff>
      <xdr:row>6</xdr:row>
      <xdr:rowOff>101600</xdr:rowOff>
    </xdr:to>
    <xdr:sp macro="" textlink="">
      <xdr:nvSpPr>
        <xdr:cNvPr id="5767" name="Line 53">
          <a:extLst>
            <a:ext uri="{FF2B5EF4-FFF2-40B4-BE49-F238E27FC236}">
              <a16:creationId xmlns:a16="http://schemas.microsoft.com/office/drawing/2014/main" id="{82B4266A-642F-B99F-6849-4F5449766802}"/>
            </a:ext>
          </a:extLst>
        </xdr:cNvPr>
        <xdr:cNvSpPr>
          <a:spLocks noChangeShapeType="1"/>
        </xdr:cNvSpPr>
      </xdr:nvSpPr>
      <xdr:spPr bwMode="auto">
        <a:xfrm flipH="1" flipV="1">
          <a:off x="6070600" y="355600"/>
          <a:ext cx="12700" cy="9525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635000</xdr:colOff>
      <xdr:row>2</xdr:row>
      <xdr:rowOff>50800</xdr:rowOff>
    </xdr:from>
    <xdr:to>
      <xdr:col>9</xdr:col>
      <xdr:colOff>12700</xdr:colOff>
      <xdr:row>2</xdr:row>
      <xdr:rowOff>63500</xdr:rowOff>
    </xdr:to>
    <xdr:sp macro="" textlink="">
      <xdr:nvSpPr>
        <xdr:cNvPr id="5768" name="Line 54">
          <a:extLst>
            <a:ext uri="{FF2B5EF4-FFF2-40B4-BE49-F238E27FC236}">
              <a16:creationId xmlns:a16="http://schemas.microsoft.com/office/drawing/2014/main" id="{56392655-3F1A-6BC3-1DB2-42F6F34C2DAD}"/>
            </a:ext>
          </a:extLst>
        </xdr:cNvPr>
        <xdr:cNvSpPr>
          <a:spLocks noChangeShapeType="1"/>
        </xdr:cNvSpPr>
      </xdr:nvSpPr>
      <xdr:spPr bwMode="auto">
        <a:xfrm>
          <a:off x="5359400" y="419100"/>
          <a:ext cx="723900" cy="127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292100</xdr:colOff>
      <xdr:row>6</xdr:row>
      <xdr:rowOff>152400</xdr:rowOff>
    </xdr:from>
    <xdr:to>
      <xdr:col>8</xdr:col>
      <xdr:colOff>406400</xdr:colOff>
      <xdr:row>7</xdr:row>
      <xdr:rowOff>101600</xdr:rowOff>
    </xdr:to>
    <xdr:sp macro="" textlink="">
      <xdr:nvSpPr>
        <xdr:cNvPr id="5769" name="Rectangle 55">
          <a:extLst>
            <a:ext uri="{FF2B5EF4-FFF2-40B4-BE49-F238E27FC236}">
              <a16:creationId xmlns:a16="http://schemas.microsoft.com/office/drawing/2014/main" id="{6EFA8009-84EF-9D6E-CA8C-26A53895E061}"/>
            </a:ext>
          </a:extLst>
        </xdr:cNvPr>
        <xdr:cNvSpPr>
          <a:spLocks noChangeArrowheads="1"/>
        </xdr:cNvSpPr>
      </xdr:nvSpPr>
      <xdr:spPr bwMode="auto">
        <a:xfrm>
          <a:off x="5689600" y="1358900"/>
          <a:ext cx="114300" cy="114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FF" mc:Ignorable="a14" a14:legacySpreadsheetColorIndex="12"/>
        </a:solidFill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355600</xdr:colOff>
      <xdr:row>4</xdr:row>
      <xdr:rowOff>12700</xdr:rowOff>
    </xdr:from>
    <xdr:to>
      <xdr:col>8</xdr:col>
      <xdr:colOff>368300</xdr:colOff>
      <xdr:row>8</xdr:row>
      <xdr:rowOff>0</xdr:rowOff>
    </xdr:to>
    <xdr:sp macro="" textlink="">
      <xdr:nvSpPr>
        <xdr:cNvPr id="5770" name="Line 56">
          <a:extLst>
            <a:ext uri="{FF2B5EF4-FFF2-40B4-BE49-F238E27FC236}">
              <a16:creationId xmlns:a16="http://schemas.microsoft.com/office/drawing/2014/main" id="{D80D7376-8285-97FF-E6DD-D47D7E231C51}"/>
            </a:ext>
          </a:extLst>
        </xdr:cNvPr>
        <xdr:cNvSpPr>
          <a:spLocks noChangeShapeType="1"/>
        </xdr:cNvSpPr>
      </xdr:nvSpPr>
      <xdr:spPr bwMode="auto">
        <a:xfrm flipH="1" flipV="1">
          <a:off x="5753100" y="787400"/>
          <a:ext cx="12700" cy="7493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Dot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622300</xdr:colOff>
      <xdr:row>4</xdr:row>
      <xdr:rowOff>38100</xdr:rowOff>
    </xdr:from>
    <xdr:to>
      <xdr:col>8</xdr:col>
      <xdr:colOff>342900</xdr:colOff>
      <xdr:row>4</xdr:row>
      <xdr:rowOff>38100</xdr:rowOff>
    </xdr:to>
    <xdr:sp macro="" textlink="">
      <xdr:nvSpPr>
        <xdr:cNvPr id="5771" name="Line 57">
          <a:extLst>
            <a:ext uri="{FF2B5EF4-FFF2-40B4-BE49-F238E27FC236}">
              <a16:creationId xmlns:a16="http://schemas.microsoft.com/office/drawing/2014/main" id="{A397F87D-32CC-DC31-0C2C-2A0E747827ED}"/>
            </a:ext>
          </a:extLst>
        </xdr:cNvPr>
        <xdr:cNvSpPr>
          <a:spLocks noChangeShapeType="1"/>
        </xdr:cNvSpPr>
      </xdr:nvSpPr>
      <xdr:spPr bwMode="auto">
        <a:xfrm>
          <a:off x="5346700" y="812800"/>
          <a:ext cx="3937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495300</xdr:colOff>
      <xdr:row>7</xdr:row>
      <xdr:rowOff>0</xdr:rowOff>
    </xdr:from>
    <xdr:to>
      <xdr:col>7</xdr:col>
      <xdr:colOff>533400</xdr:colOff>
      <xdr:row>7</xdr:row>
      <xdr:rowOff>0</xdr:rowOff>
    </xdr:to>
    <xdr:sp macro="" textlink="">
      <xdr:nvSpPr>
        <xdr:cNvPr id="5772" name="Line 58">
          <a:extLst>
            <a:ext uri="{FF2B5EF4-FFF2-40B4-BE49-F238E27FC236}">
              <a16:creationId xmlns:a16="http://schemas.microsoft.com/office/drawing/2014/main" id="{AAB3ABD1-F116-3C1F-9D9C-28DBF02F34FA}"/>
            </a:ext>
          </a:extLst>
        </xdr:cNvPr>
        <xdr:cNvSpPr>
          <a:spLocks noChangeShapeType="1"/>
        </xdr:cNvSpPr>
      </xdr:nvSpPr>
      <xdr:spPr bwMode="auto">
        <a:xfrm flipH="1">
          <a:off x="3530600" y="1371600"/>
          <a:ext cx="17272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520700</xdr:colOff>
      <xdr:row>14</xdr:row>
      <xdr:rowOff>152400</xdr:rowOff>
    </xdr:from>
    <xdr:to>
      <xdr:col>7</xdr:col>
      <xdr:colOff>508000</xdr:colOff>
      <xdr:row>14</xdr:row>
      <xdr:rowOff>152400</xdr:rowOff>
    </xdr:to>
    <xdr:sp macro="" textlink="">
      <xdr:nvSpPr>
        <xdr:cNvPr id="5773" name="Line 59">
          <a:extLst>
            <a:ext uri="{FF2B5EF4-FFF2-40B4-BE49-F238E27FC236}">
              <a16:creationId xmlns:a16="http://schemas.microsoft.com/office/drawing/2014/main" id="{396FC662-FCE6-D07D-A632-63566A6EA4F6}"/>
            </a:ext>
          </a:extLst>
        </xdr:cNvPr>
        <xdr:cNvSpPr>
          <a:spLocks noChangeShapeType="1"/>
        </xdr:cNvSpPr>
      </xdr:nvSpPr>
      <xdr:spPr bwMode="auto">
        <a:xfrm flipH="1">
          <a:off x="3556000" y="3111500"/>
          <a:ext cx="16764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622300</xdr:colOff>
      <xdr:row>6</xdr:row>
      <xdr:rowOff>152400</xdr:rowOff>
    </xdr:from>
    <xdr:to>
      <xdr:col>5</xdr:col>
      <xdr:colOff>622300</xdr:colOff>
      <xdr:row>14</xdr:row>
      <xdr:rowOff>139700</xdr:rowOff>
    </xdr:to>
    <xdr:sp macro="" textlink="">
      <xdr:nvSpPr>
        <xdr:cNvPr id="5774" name="Line 60">
          <a:extLst>
            <a:ext uri="{FF2B5EF4-FFF2-40B4-BE49-F238E27FC236}">
              <a16:creationId xmlns:a16="http://schemas.microsoft.com/office/drawing/2014/main" id="{EAF61387-3745-9624-636F-B99473748F0E}"/>
            </a:ext>
          </a:extLst>
        </xdr:cNvPr>
        <xdr:cNvSpPr>
          <a:spLocks noChangeShapeType="1"/>
        </xdr:cNvSpPr>
      </xdr:nvSpPr>
      <xdr:spPr bwMode="auto">
        <a:xfrm flipV="1">
          <a:off x="3657600" y="1358900"/>
          <a:ext cx="0" cy="17399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203200</xdr:colOff>
      <xdr:row>12</xdr:row>
      <xdr:rowOff>88900</xdr:rowOff>
    </xdr:from>
    <xdr:to>
      <xdr:col>7</xdr:col>
      <xdr:colOff>622300</xdr:colOff>
      <xdr:row>12</xdr:row>
      <xdr:rowOff>88900</xdr:rowOff>
    </xdr:to>
    <xdr:sp macro="" textlink="">
      <xdr:nvSpPr>
        <xdr:cNvPr id="5775" name="Line 61">
          <a:extLst>
            <a:ext uri="{FF2B5EF4-FFF2-40B4-BE49-F238E27FC236}">
              <a16:creationId xmlns:a16="http://schemas.microsoft.com/office/drawing/2014/main" id="{62E6BFFA-D95C-B9BB-77A0-E2CD5F2B4ACB}"/>
            </a:ext>
          </a:extLst>
        </xdr:cNvPr>
        <xdr:cNvSpPr>
          <a:spLocks noChangeShapeType="1"/>
        </xdr:cNvSpPr>
      </xdr:nvSpPr>
      <xdr:spPr bwMode="auto">
        <a:xfrm>
          <a:off x="4927600" y="2641600"/>
          <a:ext cx="4191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685800</xdr:colOff>
      <xdr:row>12</xdr:row>
      <xdr:rowOff>88900</xdr:rowOff>
    </xdr:from>
    <xdr:to>
      <xdr:col>8</xdr:col>
      <xdr:colOff>342900</xdr:colOff>
      <xdr:row>12</xdr:row>
      <xdr:rowOff>88900</xdr:rowOff>
    </xdr:to>
    <xdr:sp macro="" textlink="">
      <xdr:nvSpPr>
        <xdr:cNvPr id="5776" name="Line 62">
          <a:extLst>
            <a:ext uri="{FF2B5EF4-FFF2-40B4-BE49-F238E27FC236}">
              <a16:creationId xmlns:a16="http://schemas.microsoft.com/office/drawing/2014/main" id="{2769F611-33D6-85DF-71DC-9000B020BB6A}"/>
            </a:ext>
          </a:extLst>
        </xdr:cNvPr>
        <xdr:cNvSpPr>
          <a:spLocks noChangeShapeType="1"/>
        </xdr:cNvSpPr>
      </xdr:nvSpPr>
      <xdr:spPr bwMode="auto">
        <a:xfrm>
          <a:off x="5397500" y="2641600"/>
          <a:ext cx="3429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203200</xdr:colOff>
      <xdr:row>8</xdr:row>
      <xdr:rowOff>25400</xdr:rowOff>
    </xdr:from>
    <xdr:to>
      <xdr:col>7</xdr:col>
      <xdr:colOff>533400</xdr:colOff>
      <xdr:row>8</xdr:row>
      <xdr:rowOff>25400</xdr:rowOff>
    </xdr:to>
    <xdr:sp macro="" textlink="">
      <xdr:nvSpPr>
        <xdr:cNvPr id="5777" name="Line 63">
          <a:extLst>
            <a:ext uri="{FF2B5EF4-FFF2-40B4-BE49-F238E27FC236}">
              <a16:creationId xmlns:a16="http://schemas.microsoft.com/office/drawing/2014/main" id="{A653C90F-EB2C-45AA-308F-178DFA8E915D}"/>
            </a:ext>
          </a:extLst>
        </xdr:cNvPr>
        <xdr:cNvSpPr>
          <a:spLocks noChangeShapeType="1"/>
        </xdr:cNvSpPr>
      </xdr:nvSpPr>
      <xdr:spPr bwMode="auto">
        <a:xfrm flipH="1">
          <a:off x="4254500" y="1562100"/>
          <a:ext cx="10033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241300</xdr:colOff>
      <xdr:row>8</xdr:row>
      <xdr:rowOff>25400</xdr:rowOff>
    </xdr:from>
    <xdr:to>
      <xdr:col>6</xdr:col>
      <xdr:colOff>241300</xdr:colOff>
      <xdr:row>8</xdr:row>
      <xdr:rowOff>254000</xdr:rowOff>
    </xdr:to>
    <xdr:sp macro="" textlink="">
      <xdr:nvSpPr>
        <xdr:cNvPr id="5778" name="Line 64">
          <a:extLst>
            <a:ext uri="{FF2B5EF4-FFF2-40B4-BE49-F238E27FC236}">
              <a16:creationId xmlns:a16="http://schemas.microsoft.com/office/drawing/2014/main" id="{1F1D936B-24C2-0ECB-8C25-6307C39E6426}"/>
            </a:ext>
          </a:extLst>
        </xdr:cNvPr>
        <xdr:cNvSpPr>
          <a:spLocks noChangeShapeType="1"/>
        </xdr:cNvSpPr>
      </xdr:nvSpPr>
      <xdr:spPr bwMode="auto">
        <a:xfrm>
          <a:off x="4292600" y="1562100"/>
          <a:ext cx="0" cy="2286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254000</xdr:colOff>
      <xdr:row>5</xdr:row>
      <xdr:rowOff>76200</xdr:rowOff>
    </xdr:from>
    <xdr:to>
      <xdr:col>6</xdr:col>
      <xdr:colOff>254000</xdr:colOff>
      <xdr:row>6</xdr:row>
      <xdr:rowOff>139700</xdr:rowOff>
    </xdr:to>
    <xdr:sp macro="" textlink="">
      <xdr:nvSpPr>
        <xdr:cNvPr id="5779" name="Line 65">
          <a:extLst>
            <a:ext uri="{FF2B5EF4-FFF2-40B4-BE49-F238E27FC236}">
              <a16:creationId xmlns:a16="http://schemas.microsoft.com/office/drawing/2014/main" id="{9EF0226A-DF57-F8F3-36CE-17A429DFA7E2}"/>
            </a:ext>
          </a:extLst>
        </xdr:cNvPr>
        <xdr:cNvSpPr>
          <a:spLocks noChangeShapeType="1"/>
        </xdr:cNvSpPr>
      </xdr:nvSpPr>
      <xdr:spPr bwMode="auto">
        <a:xfrm flipV="1">
          <a:off x="4305300" y="1054100"/>
          <a:ext cx="0" cy="2921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12700</xdr:colOff>
      <xdr:row>5</xdr:row>
      <xdr:rowOff>76200</xdr:rowOff>
    </xdr:from>
    <xdr:to>
      <xdr:col>6</xdr:col>
      <xdr:colOff>254000</xdr:colOff>
      <xdr:row>5</xdr:row>
      <xdr:rowOff>88900</xdr:rowOff>
    </xdr:to>
    <xdr:sp macro="" textlink="">
      <xdr:nvSpPr>
        <xdr:cNvPr id="5780" name="Line 66">
          <a:extLst>
            <a:ext uri="{FF2B5EF4-FFF2-40B4-BE49-F238E27FC236}">
              <a16:creationId xmlns:a16="http://schemas.microsoft.com/office/drawing/2014/main" id="{5129F44C-A905-BA43-2EBE-D9AABB54AC77}"/>
            </a:ext>
          </a:extLst>
        </xdr:cNvPr>
        <xdr:cNvSpPr>
          <a:spLocks noChangeShapeType="1"/>
        </xdr:cNvSpPr>
      </xdr:nvSpPr>
      <xdr:spPr bwMode="auto">
        <a:xfrm>
          <a:off x="4064000" y="1054100"/>
          <a:ext cx="241300" cy="127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114300</xdr:colOff>
      <xdr:row>6</xdr:row>
      <xdr:rowOff>152400</xdr:rowOff>
    </xdr:from>
    <xdr:to>
      <xdr:col>10</xdr:col>
      <xdr:colOff>355600</xdr:colOff>
      <xdr:row>7</xdr:row>
      <xdr:rowOff>0</xdr:rowOff>
    </xdr:to>
    <xdr:sp macro="" textlink="">
      <xdr:nvSpPr>
        <xdr:cNvPr id="5781" name="Line 67">
          <a:extLst>
            <a:ext uri="{FF2B5EF4-FFF2-40B4-BE49-F238E27FC236}">
              <a16:creationId xmlns:a16="http://schemas.microsoft.com/office/drawing/2014/main" id="{72524540-F3F5-A736-410B-5CD8F503FA47}"/>
            </a:ext>
          </a:extLst>
        </xdr:cNvPr>
        <xdr:cNvSpPr>
          <a:spLocks noChangeShapeType="1"/>
        </xdr:cNvSpPr>
      </xdr:nvSpPr>
      <xdr:spPr bwMode="auto">
        <a:xfrm flipV="1">
          <a:off x="6184900" y="1358900"/>
          <a:ext cx="1028700" cy="127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304800</xdr:colOff>
      <xdr:row>7</xdr:row>
      <xdr:rowOff>139700</xdr:rowOff>
    </xdr:from>
    <xdr:to>
      <xdr:col>9</xdr:col>
      <xdr:colOff>711200</xdr:colOff>
      <xdr:row>7</xdr:row>
      <xdr:rowOff>139700</xdr:rowOff>
    </xdr:to>
    <xdr:sp macro="" textlink="">
      <xdr:nvSpPr>
        <xdr:cNvPr id="5782" name="Line 68">
          <a:extLst>
            <a:ext uri="{FF2B5EF4-FFF2-40B4-BE49-F238E27FC236}">
              <a16:creationId xmlns:a16="http://schemas.microsoft.com/office/drawing/2014/main" id="{B1812B5C-DB00-35C8-AFA7-1FA63CAD3E38}"/>
            </a:ext>
          </a:extLst>
        </xdr:cNvPr>
        <xdr:cNvSpPr>
          <a:spLocks noChangeShapeType="1"/>
        </xdr:cNvSpPr>
      </xdr:nvSpPr>
      <xdr:spPr bwMode="auto">
        <a:xfrm>
          <a:off x="5702300" y="1511300"/>
          <a:ext cx="10795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596900</xdr:colOff>
      <xdr:row>5</xdr:row>
      <xdr:rowOff>114300</xdr:rowOff>
    </xdr:from>
    <xdr:to>
      <xdr:col>9</xdr:col>
      <xdr:colOff>596900</xdr:colOff>
      <xdr:row>6</xdr:row>
      <xdr:rowOff>152400</xdr:rowOff>
    </xdr:to>
    <xdr:sp macro="" textlink="">
      <xdr:nvSpPr>
        <xdr:cNvPr id="5783" name="Line 69">
          <a:extLst>
            <a:ext uri="{FF2B5EF4-FFF2-40B4-BE49-F238E27FC236}">
              <a16:creationId xmlns:a16="http://schemas.microsoft.com/office/drawing/2014/main" id="{002B2A58-BA9E-9053-F1E2-9CA6E66D57E2}"/>
            </a:ext>
          </a:extLst>
        </xdr:cNvPr>
        <xdr:cNvSpPr>
          <a:spLocks noChangeShapeType="1"/>
        </xdr:cNvSpPr>
      </xdr:nvSpPr>
      <xdr:spPr bwMode="auto">
        <a:xfrm flipV="1">
          <a:off x="6667500" y="1092200"/>
          <a:ext cx="0" cy="2667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609600</xdr:colOff>
      <xdr:row>7</xdr:row>
      <xdr:rowOff>139700</xdr:rowOff>
    </xdr:from>
    <xdr:to>
      <xdr:col>9</xdr:col>
      <xdr:colOff>609600</xdr:colOff>
      <xdr:row>9</xdr:row>
      <xdr:rowOff>0</xdr:rowOff>
    </xdr:to>
    <xdr:sp macro="" textlink="">
      <xdr:nvSpPr>
        <xdr:cNvPr id="5784" name="Line 70">
          <a:extLst>
            <a:ext uri="{FF2B5EF4-FFF2-40B4-BE49-F238E27FC236}">
              <a16:creationId xmlns:a16="http://schemas.microsoft.com/office/drawing/2014/main" id="{08A2B362-4BE8-B0DB-F8FC-F0F601CBF589}"/>
            </a:ext>
          </a:extLst>
        </xdr:cNvPr>
        <xdr:cNvSpPr>
          <a:spLocks noChangeShapeType="1"/>
        </xdr:cNvSpPr>
      </xdr:nvSpPr>
      <xdr:spPr bwMode="auto">
        <a:xfrm>
          <a:off x="6680200" y="1511300"/>
          <a:ext cx="0" cy="3175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609600</xdr:colOff>
      <xdr:row>5</xdr:row>
      <xdr:rowOff>88900</xdr:rowOff>
    </xdr:from>
    <xdr:to>
      <xdr:col>10</xdr:col>
      <xdr:colOff>76200</xdr:colOff>
      <xdr:row>5</xdr:row>
      <xdr:rowOff>88900</xdr:rowOff>
    </xdr:to>
    <xdr:sp macro="" textlink="">
      <xdr:nvSpPr>
        <xdr:cNvPr id="5785" name="Line 71">
          <a:extLst>
            <a:ext uri="{FF2B5EF4-FFF2-40B4-BE49-F238E27FC236}">
              <a16:creationId xmlns:a16="http://schemas.microsoft.com/office/drawing/2014/main" id="{11DC8636-4877-D71B-5D54-090F87F773CC}"/>
            </a:ext>
          </a:extLst>
        </xdr:cNvPr>
        <xdr:cNvSpPr>
          <a:spLocks noChangeShapeType="1"/>
        </xdr:cNvSpPr>
      </xdr:nvSpPr>
      <xdr:spPr bwMode="auto">
        <a:xfrm>
          <a:off x="6680200" y="1066800"/>
          <a:ext cx="2540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508000</xdr:colOff>
      <xdr:row>9</xdr:row>
      <xdr:rowOff>152400</xdr:rowOff>
    </xdr:from>
    <xdr:to>
      <xdr:col>10</xdr:col>
      <xdr:colOff>355600</xdr:colOff>
      <xdr:row>9</xdr:row>
      <xdr:rowOff>152400</xdr:rowOff>
    </xdr:to>
    <xdr:sp macro="" textlink="">
      <xdr:nvSpPr>
        <xdr:cNvPr id="5786" name="Line 72">
          <a:extLst>
            <a:ext uri="{FF2B5EF4-FFF2-40B4-BE49-F238E27FC236}">
              <a16:creationId xmlns:a16="http://schemas.microsoft.com/office/drawing/2014/main" id="{2755DED4-EAE0-4BD8-1D41-90B7A150ED60}"/>
            </a:ext>
          </a:extLst>
        </xdr:cNvPr>
        <xdr:cNvSpPr>
          <a:spLocks noChangeShapeType="1"/>
        </xdr:cNvSpPr>
      </xdr:nvSpPr>
      <xdr:spPr bwMode="auto">
        <a:xfrm>
          <a:off x="5232400" y="1981200"/>
          <a:ext cx="19812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Dot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622300</xdr:colOff>
      <xdr:row>9</xdr:row>
      <xdr:rowOff>38100</xdr:rowOff>
    </xdr:from>
    <xdr:to>
      <xdr:col>8</xdr:col>
      <xdr:colOff>0</xdr:colOff>
      <xdr:row>9</xdr:row>
      <xdr:rowOff>241300</xdr:rowOff>
    </xdr:to>
    <xdr:sp macro="" textlink="">
      <xdr:nvSpPr>
        <xdr:cNvPr id="5787" name="Rectangle 73">
          <a:extLst>
            <a:ext uri="{FF2B5EF4-FFF2-40B4-BE49-F238E27FC236}">
              <a16:creationId xmlns:a16="http://schemas.microsoft.com/office/drawing/2014/main" id="{5A552686-7BCB-9441-3550-9ACAFA8E4D60}"/>
            </a:ext>
          </a:extLst>
        </xdr:cNvPr>
        <xdr:cNvSpPr>
          <a:spLocks noChangeArrowheads="1"/>
        </xdr:cNvSpPr>
      </xdr:nvSpPr>
      <xdr:spPr bwMode="auto">
        <a:xfrm>
          <a:off x="5346700" y="1866900"/>
          <a:ext cx="50800" cy="203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FF" mc:Ignorable="a14" a14:legacySpreadsheetColorIndex="1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254000</xdr:colOff>
      <xdr:row>9</xdr:row>
      <xdr:rowOff>25400</xdr:rowOff>
    </xdr:from>
    <xdr:to>
      <xdr:col>10</xdr:col>
      <xdr:colOff>254000</xdr:colOff>
      <xdr:row>9</xdr:row>
      <xdr:rowOff>152400</xdr:rowOff>
    </xdr:to>
    <xdr:sp macro="" textlink="">
      <xdr:nvSpPr>
        <xdr:cNvPr id="5788" name="Line 74">
          <a:extLst>
            <a:ext uri="{FF2B5EF4-FFF2-40B4-BE49-F238E27FC236}">
              <a16:creationId xmlns:a16="http://schemas.microsoft.com/office/drawing/2014/main" id="{474CF767-5667-B03B-2FFB-09EB0417D314}"/>
            </a:ext>
          </a:extLst>
        </xdr:cNvPr>
        <xdr:cNvSpPr>
          <a:spLocks noChangeShapeType="1"/>
        </xdr:cNvSpPr>
      </xdr:nvSpPr>
      <xdr:spPr bwMode="auto">
        <a:xfrm flipV="1">
          <a:off x="7112000" y="1854200"/>
          <a:ext cx="0" cy="1270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254000</xdr:colOff>
      <xdr:row>7</xdr:row>
      <xdr:rowOff>0</xdr:rowOff>
    </xdr:from>
    <xdr:to>
      <xdr:col>10</xdr:col>
      <xdr:colOff>254000</xdr:colOff>
      <xdr:row>8</xdr:row>
      <xdr:rowOff>63500</xdr:rowOff>
    </xdr:to>
    <xdr:sp macro="" textlink="">
      <xdr:nvSpPr>
        <xdr:cNvPr id="5789" name="Line 75">
          <a:extLst>
            <a:ext uri="{FF2B5EF4-FFF2-40B4-BE49-F238E27FC236}">
              <a16:creationId xmlns:a16="http://schemas.microsoft.com/office/drawing/2014/main" id="{A8A9E48A-81D9-4CAC-5C1F-43A9AAE96C21}"/>
            </a:ext>
          </a:extLst>
        </xdr:cNvPr>
        <xdr:cNvSpPr>
          <a:spLocks noChangeShapeType="1"/>
        </xdr:cNvSpPr>
      </xdr:nvSpPr>
      <xdr:spPr bwMode="auto">
        <a:xfrm>
          <a:off x="7112000" y="1371600"/>
          <a:ext cx="0" cy="2286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19</xdr:col>
      <xdr:colOff>0</xdr:colOff>
      <xdr:row>25</xdr:row>
      <xdr:rowOff>28222</xdr:rowOff>
    </xdr:from>
    <xdr:to>
      <xdr:col>30</xdr:col>
      <xdr:colOff>321733</xdr:colOff>
      <xdr:row>38</xdr:row>
      <xdr:rowOff>145502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B72D85C-B457-6296-FB7D-FBF79486C3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841111" y="4910666"/>
          <a:ext cx="7772400" cy="231861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457200</xdr:colOff>
      <xdr:row>7</xdr:row>
      <xdr:rowOff>0</xdr:rowOff>
    </xdr:from>
    <xdr:to>
      <xdr:col>9</xdr:col>
      <xdr:colOff>533400</xdr:colOff>
      <xdr:row>7</xdr:row>
      <xdr:rowOff>0</xdr:rowOff>
    </xdr:to>
    <xdr:sp macro="" textlink="">
      <xdr:nvSpPr>
        <xdr:cNvPr id="6740" name="Line 2">
          <a:extLst>
            <a:ext uri="{FF2B5EF4-FFF2-40B4-BE49-F238E27FC236}">
              <a16:creationId xmlns:a16="http://schemas.microsoft.com/office/drawing/2014/main" id="{C0BB0CAC-379F-EB54-4763-4320F2C0DDCE}"/>
            </a:ext>
          </a:extLst>
        </xdr:cNvPr>
        <xdr:cNvSpPr>
          <a:spLocks noChangeShapeType="1"/>
        </xdr:cNvSpPr>
      </xdr:nvSpPr>
      <xdr:spPr bwMode="auto">
        <a:xfrm flipH="1">
          <a:off x="5207000" y="1524000"/>
          <a:ext cx="14224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635000</xdr:colOff>
      <xdr:row>7</xdr:row>
      <xdr:rowOff>0</xdr:rowOff>
    </xdr:from>
    <xdr:to>
      <xdr:col>9</xdr:col>
      <xdr:colOff>12700</xdr:colOff>
      <xdr:row>7</xdr:row>
      <xdr:rowOff>0</xdr:rowOff>
    </xdr:to>
    <xdr:sp macro="" textlink="">
      <xdr:nvSpPr>
        <xdr:cNvPr id="6741" name="Line 3">
          <a:extLst>
            <a:ext uri="{FF2B5EF4-FFF2-40B4-BE49-F238E27FC236}">
              <a16:creationId xmlns:a16="http://schemas.microsoft.com/office/drawing/2014/main" id="{83EE51B3-7A4E-4FEB-5DDE-0220021FB347}"/>
            </a:ext>
          </a:extLst>
        </xdr:cNvPr>
        <xdr:cNvSpPr>
          <a:spLocks noChangeShapeType="1"/>
        </xdr:cNvSpPr>
      </xdr:nvSpPr>
      <xdr:spPr bwMode="auto">
        <a:xfrm>
          <a:off x="5384800" y="1524000"/>
          <a:ext cx="7239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12700</xdr:colOff>
      <xdr:row>6</xdr:row>
      <xdr:rowOff>152400</xdr:rowOff>
    </xdr:from>
    <xdr:to>
      <xdr:col>9</xdr:col>
      <xdr:colOff>25400</xdr:colOff>
      <xdr:row>7</xdr:row>
      <xdr:rowOff>63500</xdr:rowOff>
    </xdr:to>
    <xdr:sp macro="" textlink="">
      <xdr:nvSpPr>
        <xdr:cNvPr id="6742" name="Line 4">
          <a:extLst>
            <a:ext uri="{FF2B5EF4-FFF2-40B4-BE49-F238E27FC236}">
              <a16:creationId xmlns:a16="http://schemas.microsoft.com/office/drawing/2014/main" id="{F8A46933-6025-8BA0-3DC3-3C85DA104A31}"/>
            </a:ext>
          </a:extLst>
        </xdr:cNvPr>
        <xdr:cNvSpPr>
          <a:spLocks noChangeShapeType="1"/>
        </xdr:cNvSpPr>
      </xdr:nvSpPr>
      <xdr:spPr bwMode="auto">
        <a:xfrm>
          <a:off x="6108700" y="1511300"/>
          <a:ext cx="12700" cy="762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685800</xdr:colOff>
      <xdr:row>7</xdr:row>
      <xdr:rowOff>63500</xdr:rowOff>
    </xdr:from>
    <xdr:to>
      <xdr:col>9</xdr:col>
      <xdr:colOff>25400</xdr:colOff>
      <xdr:row>8</xdr:row>
      <xdr:rowOff>0</xdr:rowOff>
    </xdr:to>
    <xdr:sp macro="" textlink="">
      <xdr:nvSpPr>
        <xdr:cNvPr id="6743" name="Line 5">
          <a:extLst>
            <a:ext uri="{FF2B5EF4-FFF2-40B4-BE49-F238E27FC236}">
              <a16:creationId xmlns:a16="http://schemas.microsoft.com/office/drawing/2014/main" id="{F7F30840-1CBF-38D2-6963-5B16B4D4433C}"/>
            </a:ext>
          </a:extLst>
        </xdr:cNvPr>
        <xdr:cNvSpPr>
          <a:spLocks noChangeShapeType="1"/>
        </xdr:cNvSpPr>
      </xdr:nvSpPr>
      <xdr:spPr bwMode="auto">
        <a:xfrm flipH="1">
          <a:off x="5422900" y="1587500"/>
          <a:ext cx="698500" cy="1016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622300</xdr:colOff>
      <xdr:row>14</xdr:row>
      <xdr:rowOff>139700</xdr:rowOff>
    </xdr:from>
    <xdr:to>
      <xdr:col>9</xdr:col>
      <xdr:colOff>25400</xdr:colOff>
      <xdr:row>14</xdr:row>
      <xdr:rowOff>152400</xdr:rowOff>
    </xdr:to>
    <xdr:sp macro="" textlink="">
      <xdr:nvSpPr>
        <xdr:cNvPr id="6744" name="Line 6">
          <a:extLst>
            <a:ext uri="{FF2B5EF4-FFF2-40B4-BE49-F238E27FC236}">
              <a16:creationId xmlns:a16="http://schemas.microsoft.com/office/drawing/2014/main" id="{AE26289F-2FD4-4B85-6540-91E97FB181FE}"/>
            </a:ext>
          </a:extLst>
        </xdr:cNvPr>
        <xdr:cNvSpPr>
          <a:spLocks noChangeShapeType="1"/>
        </xdr:cNvSpPr>
      </xdr:nvSpPr>
      <xdr:spPr bwMode="auto">
        <a:xfrm>
          <a:off x="5372100" y="3009900"/>
          <a:ext cx="749300" cy="127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635000</xdr:colOff>
      <xdr:row>7</xdr:row>
      <xdr:rowOff>12700</xdr:rowOff>
    </xdr:from>
    <xdr:to>
      <xdr:col>7</xdr:col>
      <xdr:colOff>635000</xdr:colOff>
      <xdr:row>14</xdr:row>
      <xdr:rowOff>152400</xdr:rowOff>
    </xdr:to>
    <xdr:sp macro="" textlink="">
      <xdr:nvSpPr>
        <xdr:cNvPr id="6745" name="Line 7">
          <a:extLst>
            <a:ext uri="{FF2B5EF4-FFF2-40B4-BE49-F238E27FC236}">
              <a16:creationId xmlns:a16="http://schemas.microsoft.com/office/drawing/2014/main" id="{86F324BF-B689-2EEA-E2E2-8AD2765C1777}"/>
            </a:ext>
          </a:extLst>
        </xdr:cNvPr>
        <xdr:cNvSpPr>
          <a:spLocks noChangeShapeType="1"/>
        </xdr:cNvSpPr>
      </xdr:nvSpPr>
      <xdr:spPr bwMode="auto">
        <a:xfrm>
          <a:off x="5384800" y="1536700"/>
          <a:ext cx="0" cy="14859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711200</xdr:colOff>
      <xdr:row>7</xdr:row>
      <xdr:rowOff>139700</xdr:rowOff>
    </xdr:from>
    <xdr:to>
      <xdr:col>7</xdr:col>
      <xdr:colOff>711200</xdr:colOff>
      <xdr:row>14</xdr:row>
      <xdr:rowOff>0</xdr:rowOff>
    </xdr:to>
    <xdr:sp macro="" textlink="">
      <xdr:nvSpPr>
        <xdr:cNvPr id="6746" name="Line 8">
          <a:extLst>
            <a:ext uri="{FF2B5EF4-FFF2-40B4-BE49-F238E27FC236}">
              <a16:creationId xmlns:a16="http://schemas.microsoft.com/office/drawing/2014/main" id="{1292374A-99AB-2AE8-DAA2-D88BBB8C16D7}"/>
            </a:ext>
          </a:extLst>
        </xdr:cNvPr>
        <xdr:cNvSpPr>
          <a:spLocks noChangeShapeType="1"/>
        </xdr:cNvSpPr>
      </xdr:nvSpPr>
      <xdr:spPr bwMode="auto">
        <a:xfrm flipH="1">
          <a:off x="5422900" y="1663700"/>
          <a:ext cx="0" cy="1206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711200</xdr:colOff>
      <xdr:row>13</xdr:row>
      <xdr:rowOff>177800</xdr:rowOff>
    </xdr:from>
    <xdr:to>
      <xdr:col>9</xdr:col>
      <xdr:colOff>0</xdr:colOff>
      <xdr:row>14</xdr:row>
      <xdr:rowOff>76200</xdr:rowOff>
    </xdr:to>
    <xdr:sp macro="" textlink="">
      <xdr:nvSpPr>
        <xdr:cNvPr id="6747" name="Line 9">
          <a:extLst>
            <a:ext uri="{FF2B5EF4-FFF2-40B4-BE49-F238E27FC236}">
              <a16:creationId xmlns:a16="http://schemas.microsoft.com/office/drawing/2014/main" id="{3E4BCC21-C718-932E-AB89-C8E3416143E8}"/>
            </a:ext>
          </a:extLst>
        </xdr:cNvPr>
        <xdr:cNvSpPr>
          <a:spLocks noChangeShapeType="1"/>
        </xdr:cNvSpPr>
      </xdr:nvSpPr>
      <xdr:spPr bwMode="auto">
        <a:xfrm>
          <a:off x="5422900" y="2844800"/>
          <a:ext cx="673100" cy="1016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12700</xdr:colOff>
      <xdr:row>14</xdr:row>
      <xdr:rowOff>101600</xdr:rowOff>
    </xdr:from>
    <xdr:to>
      <xdr:col>9</xdr:col>
      <xdr:colOff>12700</xdr:colOff>
      <xdr:row>14</xdr:row>
      <xdr:rowOff>139700</xdr:rowOff>
    </xdr:to>
    <xdr:sp macro="" textlink="">
      <xdr:nvSpPr>
        <xdr:cNvPr id="6748" name="Line 10">
          <a:extLst>
            <a:ext uri="{FF2B5EF4-FFF2-40B4-BE49-F238E27FC236}">
              <a16:creationId xmlns:a16="http://schemas.microsoft.com/office/drawing/2014/main" id="{9C3CE96B-C8CF-0CB1-6AB6-5626040F7C85}"/>
            </a:ext>
          </a:extLst>
        </xdr:cNvPr>
        <xdr:cNvSpPr>
          <a:spLocks noChangeShapeType="1"/>
        </xdr:cNvSpPr>
      </xdr:nvSpPr>
      <xdr:spPr bwMode="auto">
        <a:xfrm>
          <a:off x="6108700" y="2971800"/>
          <a:ext cx="0" cy="381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635000</xdr:colOff>
      <xdr:row>1</xdr:row>
      <xdr:rowOff>165100</xdr:rowOff>
    </xdr:from>
    <xdr:to>
      <xdr:col>7</xdr:col>
      <xdr:colOff>635000</xdr:colOff>
      <xdr:row>6</xdr:row>
      <xdr:rowOff>101600</xdr:rowOff>
    </xdr:to>
    <xdr:sp macro="" textlink="">
      <xdr:nvSpPr>
        <xdr:cNvPr id="6749" name="Line 11">
          <a:extLst>
            <a:ext uri="{FF2B5EF4-FFF2-40B4-BE49-F238E27FC236}">
              <a16:creationId xmlns:a16="http://schemas.microsoft.com/office/drawing/2014/main" id="{95A92845-CA83-C533-CAB2-C6C4F91F38A8}"/>
            </a:ext>
          </a:extLst>
        </xdr:cNvPr>
        <xdr:cNvSpPr>
          <a:spLocks noChangeShapeType="1"/>
        </xdr:cNvSpPr>
      </xdr:nvSpPr>
      <xdr:spPr bwMode="auto">
        <a:xfrm flipV="1">
          <a:off x="5384800" y="330200"/>
          <a:ext cx="0" cy="11303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1</xdr:row>
      <xdr:rowOff>190500</xdr:rowOff>
    </xdr:from>
    <xdr:to>
      <xdr:col>9</xdr:col>
      <xdr:colOff>12700</xdr:colOff>
      <xdr:row>6</xdr:row>
      <xdr:rowOff>101600</xdr:rowOff>
    </xdr:to>
    <xdr:sp macro="" textlink="">
      <xdr:nvSpPr>
        <xdr:cNvPr id="6750" name="Line 12">
          <a:extLst>
            <a:ext uri="{FF2B5EF4-FFF2-40B4-BE49-F238E27FC236}">
              <a16:creationId xmlns:a16="http://schemas.microsoft.com/office/drawing/2014/main" id="{1A77070D-22D5-4827-0A96-787D68C5B40D}"/>
            </a:ext>
          </a:extLst>
        </xdr:cNvPr>
        <xdr:cNvSpPr>
          <a:spLocks noChangeShapeType="1"/>
        </xdr:cNvSpPr>
      </xdr:nvSpPr>
      <xdr:spPr bwMode="auto">
        <a:xfrm flipH="1" flipV="1">
          <a:off x="6096000" y="355600"/>
          <a:ext cx="12700" cy="11049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635000</xdr:colOff>
      <xdr:row>2</xdr:row>
      <xdr:rowOff>50800</xdr:rowOff>
    </xdr:from>
    <xdr:to>
      <xdr:col>9</xdr:col>
      <xdr:colOff>12700</xdr:colOff>
      <xdr:row>2</xdr:row>
      <xdr:rowOff>63500</xdr:rowOff>
    </xdr:to>
    <xdr:sp macro="" textlink="">
      <xdr:nvSpPr>
        <xdr:cNvPr id="6751" name="Line 13">
          <a:extLst>
            <a:ext uri="{FF2B5EF4-FFF2-40B4-BE49-F238E27FC236}">
              <a16:creationId xmlns:a16="http://schemas.microsoft.com/office/drawing/2014/main" id="{1BF9D953-EE31-8092-E52D-0531E9A7EE2C}"/>
            </a:ext>
          </a:extLst>
        </xdr:cNvPr>
        <xdr:cNvSpPr>
          <a:spLocks noChangeShapeType="1"/>
        </xdr:cNvSpPr>
      </xdr:nvSpPr>
      <xdr:spPr bwMode="auto">
        <a:xfrm>
          <a:off x="5384800" y="419100"/>
          <a:ext cx="723900" cy="127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292100</xdr:colOff>
      <xdr:row>6</xdr:row>
      <xdr:rowOff>152400</xdr:rowOff>
    </xdr:from>
    <xdr:to>
      <xdr:col>8</xdr:col>
      <xdr:colOff>406400</xdr:colOff>
      <xdr:row>7</xdr:row>
      <xdr:rowOff>101600</xdr:rowOff>
    </xdr:to>
    <xdr:sp macro="" textlink="">
      <xdr:nvSpPr>
        <xdr:cNvPr id="6752" name="Rectangle 14">
          <a:extLst>
            <a:ext uri="{FF2B5EF4-FFF2-40B4-BE49-F238E27FC236}">
              <a16:creationId xmlns:a16="http://schemas.microsoft.com/office/drawing/2014/main" id="{D4C0AFBD-C8C1-C220-C641-1D4A254F1B69}"/>
            </a:ext>
          </a:extLst>
        </xdr:cNvPr>
        <xdr:cNvSpPr>
          <a:spLocks noChangeArrowheads="1"/>
        </xdr:cNvSpPr>
      </xdr:nvSpPr>
      <xdr:spPr bwMode="auto">
        <a:xfrm>
          <a:off x="5715000" y="1511300"/>
          <a:ext cx="114300" cy="114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FF" mc:Ignorable="a14" a14:legacySpreadsheetColorIndex="12"/>
        </a:solidFill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355600</xdr:colOff>
      <xdr:row>4</xdr:row>
      <xdr:rowOff>12700</xdr:rowOff>
    </xdr:from>
    <xdr:to>
      <xdr:col>8</xdr:col>
      <xdr:colOff>368300</xdr:colOff>
      <xdr:row>8</xdr:row>
      <xdr:rowOff>0</xdr:rowOff>
    </xdr:to>
    <xdr:sp macro="" textlink="">
      <xdr:nvSpPr>
        <xdr:cNvPr id="6753" name="Line 15">
          <a:extLst>
            <a:ext uri="{FF2B5EF4-FFF2-40B4-BE49-F238E27FC236}">
              <a16:creationId xmlns:a16="http://schemas.microsoft.com/office/drawing/2014/main" id="{B61C8B7C-B7DB-87CD-BA44-82FB2E14A919}"/>
            </a:ext>
          </a:extLst>
        </xdr:cNvPr>
        <xdr:cNvSpPr>
          <a:spLocks noChangeShapeType="1"/>
        </xdr:cNvSpPr>
      </xdr:nvSpPr>
      <xdr:spPr bwMode="auto">
        <a:xfrm flipH="1" flipV="1">
          <a:off x="5778500" y="876300"/>
          <a:ext cx="12700" cy="8128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Dot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622300</xdr:colOff>
      <xdr:row>4</xdr:row>
      <xdr:rowOff>38100</xdr:rowOff>
    </xdr:from>
    <xdr:to>
      <xdr:col>8</xdr:col>
      <xdr:colOff>342900</xdr:colOff>
      <xdr:row>4</xdr:row>
      <xdr:rowOff>38100</xdr:rowOff>
    </xdr:to>
    <xdr:sp macro="" textlink="">
      <xdr:nvSpPr>
        <xdr:cNvPr id="6754" name="Line 16">
          <a:extLst>
            <a:ext uri="{FF2B5EF4-FFF2-40B4-BE49-F238E27FC236}">
              <a16:creationId xmlns:a16="http://schemas.microsoft.com/office/drawing/2014/main" id="{6CD14309-3D65-F3DE-6F11-F3A2315C70F4}"/>
            </a:ext>
          </a:extLst>
        </xdr:cNvPr>
        <xdr:cNvSpPr>
          <a:spLocks noChangeShapeType="1"/>
        </xdr:cNvSpPr>
      </xdr:nvSpPr>
      <xdr:spPr bwMode="auto">
        <a:xfrm>
          <a:off x="5372100" y="901700"/>
          <a:ext cx="3937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482600</xdr:colOff>
      <xdr:row>7</xdr:row>
      <xdr:rowOff>0</xdr:rowOff>
    </xdr:from>
    <xdr:to>
      <xdr:col>7</xdr:col>
      <xdr:colOff>533400</xdr:colOff>
      <xdr:row>7</xdr:row>
      <xdr:rowOff>0</xdr:rowOff>
    </xdr:to>
    <xdr:sp macro="" textlink="">
      <xdr:nvSpPr>
        <xdr:cNvPr id="6755" name="Line 17">
          <a:extLst>
            <a:ext uri="{FF2B5EF4-FFF2-40B4-BE49-F238E27FC236}">
              <a16:creationId xmlns:a16="http://schemas.microsoft.com/office/drawing/2014/main" id="{7B2B36B3-409A-D574-C65F-4F9C059F2669}"/>
            </a:ext>
          </a:extLst>
        </xdr:cNvPr>
        <xdr:cNvSpPr>
          <a:spLocks noChangeShapeType="1"/>
        </xdr:cNvSpPr>
      </xdr:nvSpPr>
      <xdr:spPr bwMode="auto">
        <a:xfrm flipH="1">
          <a:off x="3695700" y="1524000"/>
          <a:ext cx="15875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508000</xdr:colOff>
      <xdr:row>14</xdr:row>
      <xdr:rowOff>152400</xdr:rowOff>
    </xdr:from>
    <xdr:to>
      <xdr:col>7</xdr:col>
      <xdr:colOff>508000</xdr:colOff>
      <xdr:row>14</xdr:row>
      <xdr:rowOff>152400</xdr:rowOff>
    </xdr:to>
    <xdr:sp macro="" textlink="">
      <xdr:nvSpPr>
        <xdr:cNvPr id="6756" name="Line 18">
          <a:extLst>
            <a:ext uri="{FF2B5EF4-FFF2-40B4-BE49-F238E27FC236}">
              <a16:creationId xmlns:a16="http://schemas.microsoft.com/office/drawing/2014/main" id="{4E1D009F-E783-9287-010D-48EB4E79AF22}"/>
            </a:ext>
          </a:extLst>
        </xdr:cNvPr>
        <xdr:cNvSpPr>
          <a:spLocks noChangeShapeType="1"/>
        </xdr:cNvSpPr>
      </xdr:nvSpPr>
      <xdr:spPr bwMode="auto">
        <a:xfrm flipH="1">
          <a:off x="3721100" y="3022600"/>
          <a:ext cx="15367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609600</xdr:colOff>
      <xdr:row>6</xdr:row>
      <xdr:rowOff>152400</xdr:rowOff>
    </xdr:from>
    <xdr:to>
      <xdr:col>5</xdr:col>
      <xdr:colOff>609600</xdr:colOff>
      <xdr:row>14</xdr:row>
      <xdr:rowOff>139700</xdr:rowOff>
    </xdr:to>
    <xdr:sp macro="" textlink="">
      <xdr:nvSpPr>
        <xdr:cNvPr id="6757" name="Line 19">
          <a:extLst>
            <a:ext uri="{FF2B5EF4-FFF2-40B4-BE49-F238E27FC236}">
              <a16:creationId xmlns:a16="http://schemas.microsoft.com/office/drawing/2014/main" id="{2E8FD782-D5EA-BCC4-9E87-5E1DBA0650D0}"/>
            </a:ext>
          </a:extLst>
        </xdr:cNvPr>
        <xdr:cNvSpPr>
          <a:spLocks noChangeShapeType="1"/>
        </xdr:cNvSpPr>
      </xdr:nvSpPr>
      <xdr:spPr bwMode="auto">
        <a:xfrm flipV="1">
          <a:off x="3822700" y="1511300"/>
          <a:ext cx="0" cy="14986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203200</xdr:colOff>
      <xdr:row>12</xdr:row>
      <xdr:rowOff>88900</xdr:rowOff>
    </xdr:from>
    <xdr:to>
      <xdr:col>7</xdr:col>
      <xdr:colOff>622300</xdr:colOff>
      <xdr:row>12</xdr:row>
      <xdr:rowOff>88900</xdr:rowOff>
    </xdr:to>
    <xdr:sp macro="" textlink="">
      <xdr:nvSpPr>
        <xdr:cNvPr id="6758" name="Line 20">
          <a:extLst>
            <a:ext uri="{FF2B5EF4-FFF2-40B4-BE49-F238E27FC236}">
              <a16:creationId xmlns:a16="http://schemas.microsoft.com/office/drawing/2014/main" id="{AF40C46B-7A01-CA07-60D8-F9EFC0EDFAC3}"/>
            </a:ext>
          </a:extLst>
        </xdr:cNvPr>
        <xdr:cNvSpPr>
          <a:spLocks noChangeShapeType="1"/>
        </xdr:cNvSpPr>
      </xdr:nvSpPr>
      <xdr:spPr bwMode="auto">
        <a:xfrm>
          <a:off x="4953000" y="2552700"/>
          <a:ext cx="4191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685800</xdr:colOff>
      <xdr:row>12</xdr:row>
      <xdr:rowOff>88900</xdr:rowOff>
    </xdr:from>
    <xdr:to>
      <xdr:col>8</xdr:col>
      <xdr:colOff>342900</xdr:colOff>
      <xdr:row>12</xdr:row>
      <xdr:rowOff>88900</xdr:rowOff>
    </xdr:to>
    <xdr:sp macro="" textlink="">
      <xdr:nvSpPr>
        <xdr:cNvPr id="6759" name="Line 21">
          <a:extLst>
            <a:ext uri="{FF2B5EF4-FFF2-40B4-BE49-F238E27FC236}">
              <a16:creationId xmlns:a16="http://schemas.microsoft.com/office/drawing/2014/main" id="{5382847C-55CD-E807-3985-62E8038E469A}"/>
            </a:ext>
          </a:extLst>
        </xdr:cNvPr>
        <xdr:cNvSpPr>
          <a:spLocks noChangeShapeType="1"/>
        </xdr:cNvSpPr>
      </xdr:nvSpPr>
      <xdr:spPr bwMode="auto">
        <a:xfrm>
          <a:off x="5422900" y="2552700"/>
          <a:ext cx="3429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203200</xdr:colOff>
      <xdr:row>8</xdr:row>
      <xdr:rowOff>25400</xdr:rowOff>
    </xdr:from>
    <xdr:to>
      <xdr:col>7</xdr:col>
      <xdr:colOff>533400</xdr:colOff>
      <xdr:row>8</xdr:row>
      <xdr:rowOff>25400</xdr:rowOff>
    </xdr:to>
    <xdr:sp macro="" textlink="">
      <xdr:nvSpPr>
        <xdr:cNvPr id="6760" name="Line 22">
          <a:extLst>
            <a:ext uri="{FF2B5EF4-FFF2-40B4-BE49-F238E27FC236}">
              <a16:creationId xmlns:a16="http://schemas.microsoft.com/office/drawing/2014/main" id="{84019395-8963-CB49-6A25-E225F115C58C}"/>
            </a:ext>
          </a:extLst>
        </xdr:cNvPr>
        <xdr:cNvSpPr>
          <a:spLocks noChangeShapeType="1"/>
        </xdr:cNvSpPr>
      </xdr:nvSpPr>
      <xdr:spPr bwMode="auto">
        <a:xfrm flipH="1">
          <a:off x="4368800" y="1714500"/>
          <a:ext cx="9144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241300</xdr:colOff>
      <xdr:row>8</xdr:row>
      <xdr:rowOff>25400</xdr:rowOff>
    </xdr:from>
    <xdr:to>
      <xdr:col>6</xdr:col>
      <xdr:colOff>241300</xdr:colOff>
      <xdr:row>8</xdr:row>
      <xdr:rowOff>254000</xdr:rowOff>
    </xdr:to>
    <xdr:sp macro="" textlink="">
      <xdr:nvSpPr>
        <xdr:cNvPr id="6761" name="Line 23">
          <a:extLst>
            <a:ext uri="{FF2B5EF4-FFF2-40B4-BE49-F238E27FC236}">
              <a16:creationId xmlns:a16="http://schemas.microsoft.com/office/drawing/2014/main" id="{DAD24469-9462-B852-D4FC-1B5EF3F7AEC1}"/>
            </a:ext>
          </a:extLst>
        </xdr:cNvPr>
        <xdr:cNvSpPr>
          <a:spLocks noChangeShapeType="1"/>
        </xdr:cNvSpPr>
      </xdr:nvSpPr>
      <xdr:spPr bwMode="auto">
        <a:xfrm>
          <a:off x="4406900" y="1714500"/>
          <a:ext cx="0" cy="1778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266700</xdr:colOff>
      <xdr:row>5</xdr:row>
      <xdr:rowOff>76200</xdr:rowOff>
    </xdr:from>
    <xdr:to>
      <xdr:col>6</xdr:col>
      <xdr:colOff>266700</xdr:colOff>
      <xdr:row>6</xdr:row>
      <xdr:rowOff>139700</xdr:rowOff>
    </xdr:to>
    <xdr:sp macro="" textlink="">
      <xdr:nvSpPr>
        <xdr:cNvPr id="6762" name="Line 24">
          <a:extLst>
            <a:ext uri="{FF2B5EF4-FFF2-40B4-BE49-F238E27FC236}">
              <a16:creationId xmlns:a16="http://schemas.microsoft.com/office/drawing/2014/main" id="{6AC40FD0-957D-E2C4-9778-6A301F3ABCF6}"/>
            </a:ext>
          </a:extLst>
        </xdr:cNvPr>
        <xdr:cNvSpPr>
          <a:spLocks noChangeShapeType="1"/>
        </xdr:cNvSpPr>
      </xdr:nvSpPr>
      <xdr:spPr bwMode="auto">
        <a:xfrm flipV="1">
          <a:off x="4432300" y="1231900"/>
          <a:ext cx="0" cy="2667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863600</xdr:colOff>
      <xdr:row>5</xdr:row>
      <xdr:rowOff>76200</xdr:rowOff>
    </xdr:from>
    <xdr:to>
      <xdr:col>6</xdr:col>
      <xdr:colOff>241300</xdr:colOff>
      <xdr:row>5</xdr:row>
      <xdr:rowOff>88900</xdr:rowOff>
    </xdr:to>
    <xdr:sp macro="" textlink="">
      <xdr:nvSpPr>
        <xdr:cNvPr id="6763" name="Line 25">
          <a:extLst>
            <a:ext uri="{FF2B5EF4-FFF2-40B4-BE49-F238E27FC236}">
              <a16:creationId xmlns:a16="http://schemas.microsoft.com/office/drawing/2014/main" id="{E337868D-33B1-9C88-58C0-C0AAFED29947}"/>
            </a:ext>
          </a:extLst>
        </xdr:cNvPr>
        <xdr:cNvSpPr>
          <a:spLocks noChangeShapeType="1"/>
        </xdr:cNvSpPr>
      </xdr:nvSpPr>
      <xdr:spPr bwMode="auto">
        <a:xfrm>
          <a:off x="4076700" y="1231900"/>
          <a:ext cx="330200" cy="127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114300</xdr:colOff>
      <xdr:row>6</xdr:row>
      <xdr:rowOff>152400</xdr:rowOff>
    </xdr:from>
    <xdr:to>
      <xdr:col>10</xdr:col>
      <xdr:colOff>355600</xdr:colOff>
      <xdr:row>7</xdr:row>
      <xdr:rowOff>0</xdr:rowOff>
    </xdr:to>
    <xdr:sp macro="" textlink="">
      <xdr:nvSpPr>
        <xdr:cNvPr id="6764" name="Line 26">
          <a:extLst>
            <a:ext uri="{FF2B5EF4-FFF2-40B4-BE49-F238E27FC236}">
              <a16:creationId xmlns:a16="http://schemas.microsoft.com/office/drawing/2014/main" id="{D1600848-EBFF-447E-8301-4159B3B5DE94}"/>
            </a:ext>
          </a:extLst>
        </xdr:cNvPr>
        <xdr:cNvSpPr>
          <a:spLocks noChangeShapeType="1"/>
        </xdr:cNvSpPr>
      </xdr:nvSpPr>
      <xdr:spPr bwMode="auto">
        <a:xfrm flipV="1">
          <a:off x="6210300" y="1511300"/>
          <a:ext cx="914400" cy="127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304800</xdr:colOff>
      <xdr:row>7</xdr:row>
      <xdr:rowOff>139700</xdr:rowOff>
    </xdr:from>
    <xdr:to>
      <xdr:col>9</xdr:col>
      <xdr:colOff>685800</xdr:colOff>
      <xdr:row>7</xdr:row>
      <xdr:rowOff>139700</xdr:rowOff>
    </xdr:to>
    <xdr:sp macro="" textlink="">
      <xdr:nvSpPr>
        <xdr:cNvPr id="6765" name="Line 27">
          <a:extLst>
            <a:ext uri="{FF2B5EF4-FFF2-40B4-BE49-F238E27FC236}">
              <a16:creationId xmlns:a16="http://schemas.microsoft.com/office/drawing/2014/main" id="{08931F31-4889-2C1D-1D5B-F13BBA7998F3}"/>
            </a:ext>
          </a:extLst>
        </xdr:cNvPr>
        <xdr:cNvSpPr>
          <a:spLocks noChangeShapeType="1"/>
        </xdr:cNvSpPr>
      </xdr:nvSpPr>
      <xdr:spPr bwMode="auto">
        <a:xfrm>
          <a:off x="5727700" y="1663700"/>
          <a:ext cx="10414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571500</xdr:colOff>
      <xdr:row>5</xdr:row>
      <xdr:rowOff>114300</xdr:rowOff>
    </xdr:from>
    <xdr:to>
      <xdr:col>9</xdr:col>
      <xdr:colOff>571500</xdr:colOff>
      <xdr:row>6</xdr:row>
      <xdr:rowOff>152400</xdr:rowOff>
    </xdr:to>
    <xdr:sp macro="" textlink="">
      <xdr:nvSpPr>
        <xdr:cNvPr id="6766" name="Line 28">
          <a:extLst>
            <a:ext uri="{FF2B5EF4-FFF2-40B4-BE49-F238E27FC236}">
              <a16:creationId xmlns:a16="http://schemas.microsoft.com/office/drawing/2014/main" id="{B20B9929-0089-2657-4D50-9979F8D4C7BD}"/>
            </a:ext>
          </a:extLst>
        </xdr:cNvPr>
        <xdr:cNvSpPr>
          <a:spLocks noChangeShapeType="1"/>
        </xdr:cNvSpPr>
      </xdr:nvSpPr>
      <xdr:spPr bwMode="auto">
        <a:xfrm flipV="1">
          <a:off x="6667500" y="1270000"/>
          <a:ext cx="0" cy="2413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584200</xdr:colOff>
      <xdr:row>7</xdr:row>
      <xdr:rowOff>139700</xdr:rowOff>
    </xdr:from>
    <xdr:to>
      <xdr:col>9</xdr:col>
      <xdr:colOff>584200</xdr:colOff>
      <xdr:row>9</xdr:row>
      <xdr:rowOff>0</xdr:rowOff>
    </xdr:to>
    <xdr:sp macro="" textlink="">
      <xdr:nvSpPr>
        <xdr:cNvPr id="6767" name="Line 29">
          <a:extLst>
            <a:ext uri="{FF2B5EF4-FFF2-40B4-BE49-F238E27FC236}">
              <a16:creationId xmlns:a16="http://schemas.microsoft.com/office/drawing/2014/main" id="{30849185-8BF5-6EC6-03DB-4F99D668DF35}"/>
            </a:ext>
          </a:extLst>
        </xdr:cNvPr>
        <xdr:cNvSpPr>
          <a:spLocks noChangeShapeType="1"/>
        </xdr:cNvSpPr>
      </xdr:nvSpPr>
      <xdr:spPr bwMode="auto">
        <a:xfrm>
          <a:off x="6680200" y="1663700"/>
          <a:ext cx="0" cy="2286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584200</xdr:colOff>
      <xdr:row>5</xdr:row>
      <xdr:rowOff>114300</xdr:rowOff>
    </xdr:from>
    <xdr:to>
      <xdr:col>10</xdr:col>
      <xdr:colOff>76200</xdr:colOff>
      <xdr:row>5</xdr:row>
      <xdr:rowOff>114300</xdr:rowOff>
    </xdr:to>
    <xdr:sp macro="" textlink="">
      <xdr:nvSpPr>
        <xdr:cNvPr id="6768" name="Line 30">
          <a:extLst>
            <a:ext uri="{FF2B5EF4-FFF2-40B4-BE49-F238E27FC236}">
              <a16:creationId xmlns:a16="http://schemas.microsoft.com/office/drawing/2014/main" id="{9E249920-3721-3B73-4B83-E5B507120CBD}"/>
            </a:ext>
          </a:extLst>
        </xdr:cNvPr>
        <xdr:cNvSpPr>
          <a:spLocks noChangeShapeType="1"/>
        </xdr:cNvSpPr>
      </xdr:nvSpPr>
      <xdr:spPr bwMode="auto">
        <a:xfrm>
          <a:off x="6680200" y="1270000"/>
          <a:ext cx="1651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508000</xdr:colOff>
      <xdr:row>9</xdr:row>
      <xdr:rowOff>152400</xdr:rowOff>
    </xdr:from>
    <xdr:to>
      <xdr:col>10</xdr:col>
      <xdr:colOff>355600</xdr:colOff>
      <xdr:row>9</xdr:row>
      <xdr:rowOff>152400</xdr:rowOff>
    </xdr:to>
    <xdr:sp macro="" textlink="">
      <xdr:nvSpPr>
        <xdr:cNvPr id="6769" name="Line 31">
          <a:extLst>
            <a:ext uri="{FF2B5EF4-FFF2-40B4-BE49-F238E27FC236}">
              <a16:creationId xmlns:a16="http://schemas.microsoft.com/office/drawing/2014/main" id="{81F9C2C1-93FF-8EE6-13F5-9D5B0BCC1793}"/>
            </a:ext>
          </a:extLst>
        </xdr:cNvPr>
        <xdr:cNvSpPr>
          <a:spLocks noChangeShapeType="1"/>
        </xdr:cNvSpPr>
      </xdr:nvSpPr>
      <xdr:spPr bwMode="auto">
        <a:xfrm>
          <a:off x="5257800" y="2044700"/>
          <a:ext cx="18669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Dot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622300</xdr:colOff>
      <xdr:row>9</xdr:row>
      <xdr:rowOff>63500</xdr:rowOff>
    </xdr:from>
    <xdr:to>
      <xdr:col>8</xdr:col>
      <xdr:colOff>0</xdr:colOff>
      <xdr:row>10</xdr:row>
      <xdr:rowOff>76200</xdr:rowOff>
    </xdr:to>
    <xdr:sp macro="" textlink="">
      <xdr:nvSpPr>
        <xdr:cNvPr id="6770" name="Rectangle 32">
          <a:extLst>
            <a:ext uri="{FF2B5EF4-FFF2-40B4-BE49-F238E27FC236}">
              <a16:creationId xmlns:a16="http://schemas.microsoft.com/office/drawing/2014/main" id="{4607E5FE-AB88-67B3-76AE-125F2B173356}"/>
            </a:ext>
          </a:extLst>
        </xdr:cNvPr>
        <xdr:cNvSpPr>
          <a:spLocks noChangeArrowheads="1"/>
        </xdr:cNvSpPr>
      </xdr:nvSpPr>
      <xdr:spPr bwMode="auto">
        <a:xfrm>
          <a:off x="5372100" y="1955800"/>
          <a:ext cx="50800" cy="177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FF" mc:Ignorable="a14" a14:legacySpreadsheetColorIndex="1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254000</xdr:colOff>
      <xdr:row>9</xdr:row>
      <xdr:rowOff>25400</xdr:rowOff>
    </xdr:from>
    <xdr:to>
      <xdr:col>10</xdr:col>
      <xdr:colOff>254000</xdr:colOff>
      <xdr:row>9</xdr:row>
      <xdr:rowOff>165100</xdr:rowOff>
    </xdr:to>
    <xdr:sp macro="" textlink="">
      <xdr:nvSpPr>
        <xdr:cNvPr id="6771" name="Line 33">
          <a:extLst>
            <a:ext uri="{FF2B5EF4-FFF2-40B4-BE49-F238E27FC236}">
              <a16:creationId xmlns:a16="http://schemas.microsoft.com/office/drawing/2014/main" id="{B96C1995-A651-0D62-02E5-7CE09609B35F}"/>
            </a:ext>
          </a:extLst>
        </xdr:cNvPr>
        <xdr:cNvSpPr>
          <a:spLocks noChangeShapeType="1"/>
        </xdr:cNvSpPr>
      </xdr:nvSpPr>
      <xdr:spPr bwMode="auto">
        <a:xfrm flipV="1">
          <a:off x="7023100" y="1917700"/>
          <a:ext cx="0" cy="1397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254000</xdr:colOff>
      <xdr:row>7</xdr:row>
      <xdr:rowOff>0</xdr:rowOff>
    </xdr:from>
    <xdr:to>
      <xdr:col>10</xdr:col>
      <xdr:colOff>254000</xdr:colOff>
      <xdr:row>8</xdr:row>
      <xdr:rowOff>76200</xdr:rowOff>
    </xdr:to>
    <xdr:sp macro="" textlink="">
      <xdr:nvSpPr>
        <xdr:cNvPr id="6772" name="Line 34">
          <a:extLst>
            <a:ext uri="{FF2B5EF4-FFF2-40B4-BE49-F238E27FC236}">
              <a16:creationId xmlns:a16="http://schemas.microsoft.com/office/drawing/2014/main" id="{D4AA9A4C-2490-347D-EA6F-E50786273EBB}"/>
            </a:ext>
          </a:extLst>
        </xdr:cNvPr>
        <xdr:cNvSpPr>
          <a:spLocks noChangeShapeType="1"/>
        </xdr:cNvSpPr>
      </xdr:nvSpPr>
      <xdr:spPr bwMode="auto">
        <a:xfrm>
          <a:off x="7023100" y="1524000"/>
          <a:ext cx="0" cy="2413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19</xdr:col>
      <xdr:colOff>0</xdr:colOff>
      <xdr:row>26</xdr:row>
      <xdr:rowOff>0</xdr:rowOff>
    </xdr:from>
    <xdr:to>
      <xdr:col>30</xdr:col>
      <xdr:colOff>321733</xdr:colOff>
      <xdr:row>40</xdr:row>
      <xdr:rowOff>91875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7F4C870-0EBC-48CA-54A1-9F189FBAFF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869333" y="4967111"/>
          <a:ext cx="7772400" cy="2462542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5</xdr:row>
      <xdr:rowOff>0</xdr:rowOff>
    </xdr:from>
    <xdr:to>
      <xdr:col>7</xdr:col>
      <xdr:colOff>368300</xdr:colOff>
      <xdr:row>5</xdr:row>
      <xdr:rowOff>0</xdr:rowOff>
    </xdr:to>
    <xdr:sp macro="" textlink="">
      <xdr:nvSpPr>
        <xdr:cNvPr id="9574" name="Line 52">
          <a:extLst>
            <a:ext uri="{FF2B5EF4-FFF2-40B4-BE49-F238E27FC236}">
              <a16:creationId xmlns:a16="http://schemas.microsoft.com/office/drawing/2014/main" id="{E37F298E-93C1-AADE-7F36-F0DAE8622A56}"/>
            </a:ext>
          </a:extLst>
        </xdr:cNvPr>
        <xdr:cNvSpPr>
          <a:spLocks noChangeShapeType="1"/>
        </xdr:cNvSpPr>
      </xdr:nvSpPr>
      <xdr:spPr bwMode="auto">
        <a:xfrm>
          <a:off x="3708400" y="914400"/>
          <a:ext cx="11938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774700</xdr:colOff>
      <xdr:row>4</xdr:row>
      <xdr:rowOff>139700</xdr:rowOff>
    </xdr:from>
    <xdr:to>
      <xdr:col>5</xdr:col>
      <xdr:colOff>774700</xdr:colOff>
      <xdr:row>11</xdr:row>
      <xdr:rowOff>215900</xdr:rowOff>
    </xdr:to>
    <xdr:sp macro="" textlink="">
      <xdr:nvSpPr>
        <xdr:cNvPr id="9575" name="Line 53">
          <a:extLst>
            <a:ext uri="{FF2B5EF4-FFF2-40B4-BE49-F238E27FC236}">
              <a16:creationId xmlns:a16="http://schemas.microsoft.com/office/drawing/2014/main" id="{EF59CFEE-1947-2000-3244-3A6849605EE9}"/>
            </a:ext>
          </a:extLst>
        </xdr:cNvPr>
        <xdr:cNvSpPr>
          <a:spLocks noChangeShapeType="1"/>
        </xdr:cNvSpPr>
      </xdr:nvSpPr>
      <xdr:spPr bwMode="auto">
        <a:xfrm flipH="1">
          <a:off x="3695700" y="889000"/>
          <a:ext cx="0" cy="14859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774700</xdr:colOff>
      <xdr:row>11</xdr:row>
      <xdr:rowOff>215900</xdr:rowOff>
    </xdr:from>
    <xdr:to>
      <xdr:col>6</xdr:col>
      <xdr:colOff>177800</xdr:colOff>
      <xdr:row>11</xdr:row>
      <xdr:rowOff>215900</xdr:rowOff>
    </xdr:to>
    <xdr:sp macro="" textlink="">
      <xdr:nvSpPr>
        <xdr:cNvPr id="9576" name="Line 54">
          <a:extLst>
            <a:ext uri="{FF2B5EF4-FFF2-40B4-BE49-F238E27FC236}">
              <a16:creationId xmlns:a16="http://schemas.microsoft.com/office/drawing/2014/main" id="{68855294-2222-2B3F-13A2-7A4E7F291800}"/>
            </a:ext>
          </a:extLst>
        </xdr:cNvPr>
        <xdr:cNvSpPr>
          <a:spLocks noChangeShapeType="1"/>
        </xdr:cNvSpPr>
      </xdr:nvSpPr>
      <xdr:spPr bwMode="auto">
        <a:xfrm>
          <a:off x="3695700" y="2374900"/>
          <a:ext cx="1905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152400</xdr:colOff>
      <xdr:row>5</xdr:row>
      <xdr:rowOff>139700</xdr:rowOff>
    </xdr:from>
    <xdr:to>
      <xdr:col>6</xdr:col>
      <xdr:colOff>152400</xdr:colOff>
      <xdr:row>11</xdr:row>
      <xdr:rowOff>215900</xdr:rowOff>
    </xdr:to>
    <xdr:sp macro="" textlink="">
      <xdr:nvSpPr>
        <xdr:cNvPr id="9577" name="Line 55">
          <a:extLst>
            <a:ext uri="{FF2B5EF4-FFF2-40B4-BE49-F238E27FC236}">
              <a16:creationId xmlns:a16="http://schemas.microsoft.com/office/drawing/2014/main" id="{00258231-0844-7315-C1C2-C4B0BD685698}"/>
            </a:ext>
          </a:extLst>
        </xdr:cNvPr>
        <xdr:cNvSpPr>
          <a:spLocks noChangeShapeType="1"/>
        </xdr:cNvSpPr>
      </xdr:nvSpPr>
      <xdr:spPr bwMode="auto">
        <a:xfrm flipV="1">
          <a:off x="3860800" y="1054100"/>
          <a:ext cx="0" cy="13208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152400</xdr:colOff>
      <xdr:row>5</xdr:row>
      <xdr:rowOff>152400</xdr:rowOff>
    </xdr:from>
    <xdr:to>
      <xdr:col>7</xdr:col>
      <xdr:colOff>393700</xdr:colOff>
      <xdr:row>5</xdr:row>
      <xdr:rowOff>152400</xdr:rowOff>
    </xdr:to>
    <xdr:sp macro="" textlink="">
      <xdr:nvSpPr>
        <xdr:cNvPr id="9578" name="Line 56">
          <a:extLst>
            <a:ext uri="{FF2B5EF4-FFF2-40B4-BE49-F238E27FC236}">
              <a16:creationId xmlns:a16="http://schemas.microsoft.com/office/drawing/2014/main" id="{2E6B60D6-4E5E-A309-1B77-54B7B709583D}"/>
            </a:ext>
          </a:extLst>
        </xdr:cNvPr>
        <xdr:cNvSpPr>
          <a:spLocks noChangeShapeType="1"/>
        </xdr:cNvSpPr>
      </xdr:nvSpPr>
      <xdr:spPr bwMode="auto">
        <a:xfrm flipV="1">
          <a:off x="3860800" y="1066800"/>
          <a:ext cx="10668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381000</xdr:colOff>
      <xdr:row>4</xdr:row>
      <xdr:rowOff>152400</xdr:rowOff>
    </xdr:from>
    <xdr:to>
      <xdr:col>7</xdr:col>
      <xdr:colOff>381000</xdr:colOff>
      <xdr:row>5</xdr:row>
      <xdr:rowOff>139700</xdr:rowOff>
    </xdr:to>
    <xdr:sp macro="" textlink="">
      <xdr:nvSpPr>
        <xdr:cNvPr id="9579" name="Line 57">
          <a:extLst>
            <a:ext uri="{FF2B5EF4-FFF2-40B4-BE49-F238E27FC236}">
              <a16:creationId xmlns:a16="http://schemas.microsoft.com/office/drawing/2014/main" id="{D3B70D4F-BAD3-9D1E-9678-C48EE5C87C39}"/>
            </a:ext>
          </a:extLst>
        </xdr:cNvPr>
        <xdr:cNvSpPr>
          <a:spLocks noChangeShapeType="1"/>
        </xdr:cNvSpPr>
      </xdr:nvSpPr>
      <xdr:spPr bwMode="auto">
        <a:xfrm>
          <a:off x="4914900" y="901700"/>
          <a:ext cx="0" cy="1524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279400</xdr:colOff>
      <xdr:row>7</xdr:row>
      <xdr:rowOff>50800</xdr:rowOff>
    </xdr:from>
    <xdr:to>
      <xdr:col>6</xdr:col>
      <xdr:colOff>419100</xdr:colOff>
      <xdr:row>7</xdr:row>
      <xdr:rowOff>50800</xdr:rowOff>
    </xdr:to>
    <xdr:sp macro="" textlink="">
      <xdr:nvSpPr>
        <xdr:cNvPr id="9580" name="Line 58">
          <a:extLst>
            <a:ext uri="{FF2B5EF4-FFF2-40B4-BE49-F238E27FC236}">
              <a16:creationId xmlns:a16="http://schemas.microsoft.com/office/drawing/2014/main" id="{17CA9E94-5FEE-1CB9-ED52-28096F24D6F5}"/>
            </a:ext>
          </a:extLst>
        </xdr:cNvPr>
        <xdr:cNvSpPr>
          <a:spLocks noChangeShapeType="1"/>
        </xdr:cNvSpPr>
      </xdr:nvSpPr>
      <xdr:spPr bwMode="auto">
        <a:xfrm flipH="1" flipV="1">
          <a:off x="2311400" y="1358900"/>
          <a:ext cx="18161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Dot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228600</xdr:colOff>
      <xdr:row>4</xdr:row>
      <xdr:rowOff>152400</xdr:rowOff>
    </xdr:from>
    <xdr:to>
      <xdr:col>5</xdr:col>
      <xdr:colOff>673100</xdr:colOff>
      <xdr:row>4</xdr:row>
      <xdr:rowOff>152400</xdr:rowOff>
    </xdr:to>
    <xdr:sp macro="" textlink="">
      <xdr:nvSpPr>
        <xdr:cNvPr id="9581" name="Line 59">
          <a:extLst>
            <a:ext uri="{FF2B5EF4-FFF2-40B4-BE49-F238E27FC236}">
              <a16:creationId xmlns:a16="http://schemas.microsoft.com/office/drawing/2014/main" id="{3E36D1A9-2DEA-5986-1985-FE4407CEB35C}"/>
            </a:ext>
          </a:extLst>
        </xdr:cNvPr>
        <xdr:cNvSpPr>
          <a:spLocks noChangeShapeType="1"/>
        </xdr:cNvSpPr>
      </xdr:nvSpPr>
      <xdr:spPr bwMode="auto">
        <a:xfrm flipH="1">
          <a:off x="2260600" y="901700"/>
          <a:ext cx="13335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279400</xdr:colOff>
      <xdr:row>10</xdr:row>
      <xdr:rowOff>50800</xdr:rowOff>
    </xdr:from>
    <xdr:to>
      <xdr:col>6</xdr:col>
      <xdr:colOff>622300</xdr:colOff>
      <xdr:row>10</xdr:row>
      <xdr:rowOff>50800</xdr:rowOff>
    </xdr:to>
    <xdr:sp macro="" textlink="">
      <xdr:nvSpPr>
        <xdr:cNvPr id="9582" name="Line 60">
          <a:extLst>
            <a:ext uri="{FF2B5EF4-FFF2-40B4-BE49-F238E27FC236}">
              <a16:creationId xmlns:a16="http://schemas.microsoft.com/office/drawing/2014/main" id="{959EA3F3-1215-B9DB-861A-F54CE920B9B6}"/>
            </a:ext>
          </a:extLst>
        </xdr:cNvPr>
        <xdr:cNvSpPr>
          <a:spLocks noChangeShapeType="1"/>
        </xdr:cNvSpPr>
      </xdr:nvSpPr>
      <xdr:spPr bwMode="auto">
        <a:xfrm flipH="1" flipV="1">
          <a:off x="2311400" y="1981200"/>
          <a:ext cx="20193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Dot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317500</xdr:colOff>
      <xdr:row>7</xdr:row>
      <xdr:rowOff>50800</xdr:rowOff>
    </xdr:from>
    <xdr:to>
      <xdr:col>4</xdr:col>
      <xdr:colOff>317500</xdr:colOff>
      <xdr:row>10</xdr:row>
      <xdr:rowOff>50800</xdr:rowOff>
    </xdr:to>
    <xdr:sp macro="" textlink="">
      <xdr:nvSpPr>
        <xdr:cNvPr id="9583" name="Line 61">
          <a:extLst>
            <a:ext uri="{FF2B5EF4-FFF2-40B4-BE49-F238E27FC236}">
              <a16:creationId xmlns:a16="http://schemas.microsoft.com/office/drawing/2014/main" id="{7E071C63-8C45-3A1D-480B-8F8348521FC3}"/>
            </a:ext>
          </a:extLst>
        </xdr:cNvPr>
        <xdr:cNvSpPr>
          <a:spLocks noChangeShapeType="1"/>
        </xdr:cNvSpPr>
      </xdr:nvSpPr>
      <xdr:spPr bwMode="auto">
        <a:xfrm flipV="1">
          <a:off x="2349500" y="1358900"/>
          <a:ext cx="0" cy="6223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317500</xdr:colOff>
      <xdr:row>4</xdr:row>
      <xdr:rowOff>139700</xdr:rowOff>
    </xdr:from>
    <xdr:to>
      <xdr:col>4</xdr:col>
      <xdr:colOff>317500</xdr:colOff>
      <xdr:row>7</xdr:row>
      <xdr:rowOff>76200</xdr:rowOff>
    </xdr:to>
    <xdr:sp macro="" textlink="">
      <xdr:nvSpPr>
        <xdr:cNvPr id="9584" name="Line 62">
          <a:extLst>
            <a:ext uri="{FF2B5EF4-FFF2-40B4-BE49-F238E27FC236}">
              <a16:creationId xmlns:a16="http://schemas.microsoft.com/office/drawing/2014/main" id="{E202555C-E9AF-A4EA-5289-DC47BC53CAFA}"/>
            </a:ext>
          </a:extLst>
        </xdr:cNvPr>
        <xdr:cNvSpPr>
          <a:spLocks noChangeShapeType="1"/>
        </xdr:cNvSpPr>
      </xdr:nvSpPr>
      <xdr:spPr bwMode="auto">
        <a:xfrm flipV="1">
          <a:off x="2349500" y="889000"/>
          <a:ext cx="0" cy="4953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1</xdr:row>
      <xdr:rowOff>101600</xdr:rowOff>
    </xdr:from>
    <xdr:to>
      <xdr:col>6</xdr:col>
      <xdr:colOff>0</xdr:colOff>
      <xdr:row>4</xdr:row>
      <xdr:rowOff>101600</xdr:rowOff>
    </xdr:to>
    <xdr:sp macro="" textlink="">
      <xdr:nvSpPr>
        <xdr:cNvPr id="9585" name="Line 63">
          <a:extLst>
            <a:ext uri="{FF2B5EF4-FFF2-40B4-BE49-F238E27FC236}">
              <a16:creationId xmlns:a16="http://schemas.microsoft.com/office/drawing/2014/main" id="{CF5162CE-9113-8BFE-EBEB-08BCA18D4321}"/>
            </a:ext>
          </a:extLst>
        </xdr:cNvPr>
        <xdr:cNvSpPr>
          <a:spLocks noChangeShapeType="1"/>
        </xdr:cNvSpPr>
      </xdr:nvSpPr>
      <xdr:spPr bwMode="auto">
        <a:xfrm flipV="1">
          <a:off x="3708400" y="355600"/>
          <a:ext cx="0" cy="4953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635000</xdr:colOff>
      <xdr:row>1</xdr:row>
      <xdr:rowOff>63500</xdr:rowOff>
    </xdr:from>
    <xdr:to>
      <xdr:col>6</xdr:col>
      <xdr:colOff>635000</xdr:colOff>
      <xdr:row>7</xdr:row>
      <xdr:rowOff>25400</xdr:rowOff>
    </xdr:to>
    <xdr:sp macro="" textlink="">
      <xdr:nvSpPr>
        <xdr:cNvPr id="9586" name="Line 64">
          <a:extLst>
            <a:ext uri="{FF2B5EF4-FFF2-40B4-BE49-F238E27FC236}">
              <a16:creationId xmlns:a16="http://schemas.microsoft.com/office/drawing/2014/main" id="{3F5F4DE9-25EC-6F53-38CE-51221246B52B}"/>
            </a:ext>
          </a:extLst>
        </xdr:cNvPr>
        <xdr:cNvSpPr>
          <a:spLocks noChangeShapeType="1"/>
        </xdr:cNvSpPr>
      </xdr:nvSpPr>
      <xdr:spPr bwMode="auto">
        <a:xfrm flipH="1" flipV="1">
          <a:off x="4343400" y="317500"/>
          <a:ext cx="0" cy="10160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Dot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9</xdr:row>
      <xdr:rowOff>101600</xdr:rowOff>
    </xdr:from>
    <xdr:to>
      <xdr:col>6</xdr:col>
      <xdr:colOff>152400</xdr:colOff>
      <xdr:row>10</xdr:row>
      <xdr:rowOff>127000</xdr:rowOff>
    </xdr:to>
    <xdr:sp macro="" textlink="">
      <xdr:nvSpPr>
        <xdr:cNvPr id="9587" name="Rectangle 65">
          <a:extLst>
            <a:ext uri="{FF2B5EF4-FFF2-40B4-BE49-F238E27FC236}">
              <a16:creationId xmlns:a16="http://schemas.microsoft.com/office/drawing/2014/main" id="{17958D16-909A-6685-AD71-D4A3BC21470C}"/>
            </a:ext>
          </a:extLst>
        </xdr:cNvPr>
        <xdr:cNvSpPr>
          <a:spLocks noChangeArrowheads="1"/>
        </xdr:cNvSpPr>
      </xdr:nvSpPr>
      <xdr:spPr bwMode="auto">
        <a:xfrm>
          <a:off x="3708400" y="1866900"/>
          <a:ext cx="152400" cy="190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FF" mc:Ignorable="a14" a14:legacySpreadsheetColorIndex="12"/>
        </a:solidFill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12700</xdr:colOff>
      <xdr:row>6</xdr:row>
      <xdr:rowOff>165100</xdr:rowOff>
    </xdr:from>
    <xdr:to>
      <xdr:col>6</xdr:col>
      <xdr:colOff>152400</xdr:colOff>
      <xdr:row>7</xdr:row>
      <xdr:rowOff>190500</xdr:rowOff>
    </xdr:to>
    <xdr:sp macro="" textlink="">
      <xdr:nvSpPr>
        <xdr:cNvPr id="9588" name="Rectangle 66">
          <a:extLst>
            <a:ext uri="{FF2B5EF4-FFF2-40B4-BE49-F238E27FC236}">
              <a16:creationId xmlns:a16="http://schemas.microsoft.com/office/drawing/2014/main" id="{123AF76B-CC1E-530C-D311-E59EEE7F7D91}"/>
            </a:ext>
          </a:extLst>
        </xdr:cNvPr>
        <xdr:cNvSpPr>
          <a:spLocks noChangeArrowheads="1"/>
        </xdr:cNvSpPr>
      </xdr:nvSpPr>
      <xdr:spPr bwMode="auto">
        <a:xfrm>
          <a:off x="3721100" y="1244600"/>
          <a:ext cx="139700" cy="2540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FF" mc:Ignorable="a14" a14:legacySpreadsheetColorIndex="12"/>
        </a:solidFill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520700</xdr:colOff>
      <xdr:row>4</xdr:row>
      <xdr:rowOff>152400</xdr:rowOff>
    </xdr:from>
    <xdr:to>
      <xdr:col>6</xdr:col>
      <xdr:colOff>774700</xdr:colOff>
      <xdr:row>5</xdr:row>
      <xdr:rowOff>152400</xdr:rowOff>
    </xdr:to>
    <xdr:sp macro="" textlink="">
      <xdr:nvSpPr>
        <xdr:cNvPr id="9589" name="Rectangle 67">
          <a:extLst>
            <a:ext uri="{FF2B5EF4-FFF2-40B4-BE49-F238E27FC236}">
              <a16:creationId xmlns:a16="http://schemas.microsoft.com/office/drawing/2014/main" id="{35341107-E24F-0EA7-7201-FE0F7A648644}"/>
            </a:ext>
          </a:extLst>
        </xdr:cNvPr>
        <xdr:cNvSpPr>
          <a:spLocks noChangeArrowheads="1"/>
        </xdr:cNvSpPr>
      </xdr:nvSpPr>
      <xdr:spPr bwMode="auto">
        <a:xfrm>
          <a:off x="4229100" y="901700"/>
          <a:ext cx="254000" cy="1651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FF" mc:Ignorable="a14" a14:legacySpreadsheetColorIndex="12"/>
        </a:solidFill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0</xdr:colOff>
      <xdr:row>1</xdr:row>
      <xdr:rowOff>139700</xdr:rowOff>
    </xdr:from>
    <xdr:to>
      <xdr:col>6</xdr:col>
      <xdr:colOff>647700</xdr:colOff>
      <xdr:row>1</xdr:row>
      <xdr:rowOff>139700</xdr:rowOff>
    </xdr:to>
    <xdr:sp macro="" textlink="">
      <xdr:nvSpPr>
        <xdr:cNvPr id="9590" name="Line 68">
          <a:extLst>
            <a:ext uri="{FF2B5EF4-FFF2-40B4-BE49-F238E27FC236}">
              <a16:creationId xmlns:a16="http://schemas.microsoft.com/office/drawing/2014/main" id="{5B7167D9-E019-6FF2-8D0B-B7287EEE96CE}"/>
            </a:ext>
          </a:extLst>
        </xdr:cNvPr>
        <xdr:cNvSpPr>
          <a:spLocks noChangeShapeType="1"/>
        </xdr:cNvSpPr>
      </xdr:nvSpPr>
      <xdr:spPr bwMode="auto">
        <a:xfrm flipV="1">
          <a:off x="3708400" y="393700"/>
          <a:ext cx="6477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30</xdr:col>
      <xdr:colOff>564445</xdr:colOff>
      <xdr:row>27</xdr:row>
      <xdr:rowOff>112890</xdr:rowOff>
    </xdr:from>
    <xdr:to>
      <xdr:col>40</xdr:col>
      <xdr:colOff>651934</xdr:colOff>
      <xdr:row>40</xdr:row>
      <xdr:rowOff>95956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864545B-E94C-42ED-A291-03410D5128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566445" y="5249334"/>
          <a:ext cx="7340600" cy="21844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25400</xdr:colOff>
      <xdr:row>8</xdr:row>
      <xdr:rowOff>0</xdr:rowOff>
    </xdr:from>
    <xdr:to>
      <xdr:col>8</xdr:col>
      <xdr:colOff>12700</xdr:colOff>
      <xdr:row>8</xdr:row>
      <xdr:rowOff>0</xdr:rowOff>
    </xdr:to>
    <xdr:sp macro="" textlink="">
      <xdr:nvSpPr>
        <xdr:cNvPr id="7843" name="Line 2">
          <a:extLst>
            <a:ext uri="{FF2B5EF4-FFF2-40B4-BE49-F238E27FC236}">
              <a16:creationId xmlns:a16="http://schemas.microsoft.com/office/drawing/2014/main" id="{0AE1879F-74C4-CCB3-ED5C-CEFC1A70EDD0}"/>
            </a:ext>
          </a:extLst>
        </xdr:cNvPr>
        <xdr:cNvSpPr>
          <a:spLocks noChangeShapeType="1"/>
        </xdr:cNvSpPr>
      </xdr:nvSpPr>
      <xdr:spPr bwMode="auto">
        <a:xfrm>
          <a:off x="4292600" y="1600200"/>
          <a:ext cx="13335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38100</xdr:colOff>
      <xdr:row>8</xdr:row>
      <xdr:rowOff>25400</xdr:rowOff>
    </xdr:from>
    <xdr:to>
      <xdr:col>6</xdr:col>
      <xdr:colOff>38100</xdr:colOff>
      <xdr:row>8</xdr:row>
      <xdr:rowOff>76200</xdr:rowOff>
    </xdr:to>
    <xdr:sp macro="" textlink="">
      <xdr:nvSpPr>
        <xdr:cNvPr id="7844" name="Line 3">
          <a:extLst>
            <a:ext uri="{FF2B5EF4-FFF2-40B4-BE49-F238E27FC236}">
              <a16:creationId xmlns:a16="http://schemas.microsoft.com/office/drawing/2014/main" id="{A929A370-1F7E-CF32-D18C-AEE2FBB47574}"/>
            </a:ext>
          </a:extLst>
        </xdr:cNvPr>
        <xdr:cNvSpPr>
          <a:spLocks noChangeShapeType="1"/>
        </xdr:cNvSpPr>
      </xdr:nvSpPr>
      <xdr:spPr bwMode="auto">
        <a:xfrm>
          <a:off x="4305300" y="1625600"/>
          <a:ext cx="0" cy="508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12700</xdr:colOff>
      <xdr:row>7</xdr:row>
      <xdr:rowOff>152400</xdr:rowOff>
    </xdr:from>
    <xdr:to>
      <xdr:col>8</xdr:col>
      <xdr:colOff>12700</xdr:colOff>
      <xdr:row>8</xdr:row>
      <xdr:rowOff>76200</xdr:rowOff>
    </xdr:to>
    <xdr:sp macro="" textlink="">
      <xdr:nvSpPr>
        <xdr:cNvPr id="7845" name="Line 4">
          <a:extLst>
            <a:ext uri="{FF2B5EF4-FFF2-40B4-BE49-F238E27FC236}">
              <a16:creationId xmlns:a16="http://schemas.microsoft.com/office/drawing/2014/main" id="{18478808-823B-7F0F-6A33-80846FEBE071}"/>
            </a:ext>
          </a:extLst>
        </xdr:cNvPr>
        <xdr:cNvSpPr>
          <a:spLocks noChangeShapeType="1"/>
        </xdr:cNvSpPr>
      </xdr:nvSpPr>
      <xdr:spPr bwMode="auto">
        <a:xfrm>
          <a:off x="5626100" y="1549400"/>
          <a:ext cx="0" cy="1270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38100</xdr:colOff>
      <xdr:row>8</xdr:row>
      <xdr:rowOff>76200</xdr:rowOff>
    </xdr:from>
    <xdr:to>
      <xdr:col>6</xdr:col>
      <xdr:colOff>622300</xdr:colOff>
      <xdr:row>8</xdr:row>
      <xdr:rowOff>76200</xdr:rowOff>
    </xdr:to>
    <xdr:sp macro="" textlink="">
      <xdr:nvSpPr>
        <xdr:cNvPr id="7846" name="Line 5">
          <a:extLst>
            <a:ext uri="{FF2B5EF4-FFF2-40B4-BE49-F238E27FC236}">
              <a16:creationId xmlns:a16="http://schemas.microsoft.com/office/drawing/2014/main" id="{BB887A73-B76E-906F-005E-EBA57AF8E028}"/>
            </a:ext>
          </a:extLst>
        </xdr:cNvPr>
        <xdr:cNvSpPr>
          <a:spLocks noChangeShapeType="1"/>
        </xdr:cNvSpPr>
      </xdr:nvSpPr>
      <xdr:spPr bwMode="auto">
        <a:xfrm flipV="1">
          <a:off x="4305300" y="1676400"/>
          <a:ext cx="5842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38100</xdr:colOff>
      <xdr:row>8</xdr:row>
      <xdr:rowOff>76200</xdr:rowOff>
    </xdr:from>
    <xdr:to>
      <xdr:col>8</xdr:col>
      <xdr:colOff>12700</xdr:colOff>
      <xdr:row>8</xdr:row>
      <xdr:rowOff>76200</xdr:rowOff>
    </xdr:to>
    <xdr:sp macro="" textlink="">
      <xdr:nvSpPr>
        <xdr:cNvPr id="7847" name="Line 6">
          <a:extLst>
            <a:ext uri="{FF2B5EF4-FFF2-40B4-BE49-F238E27FC236}">
              <a16:creationId xmlns:a16="http://schemas.microsoft.com/office/drawing/2014/main" id="{3CE0B490-0A91-6B27-1C7C-09039DCA311A}"/>
            </a:ext>
          </a:extLst>
        </xdr:cNvPr>
        <xdr:cNvSpPr>
          <a:spLocks noChangeShapeType="1"/>
        </xdr:cNvSpPr>
      </xdr:nvSpPr>
      <xdr:spPr bwMode="auto">
        <a:xfrm flipH="1">
          <a:off x="4978400" y="1676400"/>
          <a:ext cx="6477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635000</xdr:colOff>
      <xdr:row>8</xdr:row>
      <xdr:rowOff>76200</xdr:rowOff>
    </xdr:from>
    <xdr:to>
      <xdr:col>6</xdr:col>
      <xdr:colOff>635000</xdr:colOff>
      <xdr:row>12</xdr:row>
      <xdr:rowOff>190500</xdr:rowOff>
    </xdr:to>
    <xdr:sp macro="" textlink="">
      <xdr:nvSpPr>
        <xdr:cNvPr id="7848" name="Line 8">
          <a:extLst>
            <a:ext uri="{FF2B5EF4-FFF2-40B4-BE49-F238E27FC236}">
              <a16:creationId xmlns:a16="http://schemas.microsoft.com/office/drawing/2014/main" id="{E676963F-79D1-2785-8149-C6BD2ECE60AD}"/>
            </a:ext>
          </a:extLst>
        </xdr:cNvPr>
        <xdr:cNvSpPr>
          <a:spLocks noChangeShapeType="1"/>
        </xdr:cNvSpPr>
      </xdr:nvSpPr>
      <xdr:spPr bwMode="auto">
        <a:xfrm>
          <a:off x="4902200" y="1676400"/>
          <a:ext cx="0" cy="11049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12700</xdr:colOff>
      <xdr:row>8</xdr:row>
      <xdr:rowOff>76200</xdr:rowOff>
    </xdr:from>
    <xdr:to>
      <xdr:col>7</xdr:col>
      <xdr:colOff>12700</xdr:colOff>
      <xdr:row>12</xdr:row>
      <xdr:rowOff>190500</xdr:rowOff>
    </xdr:to>
    <xdr:sp macro="" textlink="">
      <xdr:nvSpPr>
        <xdr:cNvPr id="7849" name="Line 12">
          <a:extLst>
            <a:ext uri="{FF2B5EF4-FFF2-40B4-BE49-F238E27FC236}">
              <a16:creationId xmlns:a16="http://schemas.microsoft.com/office/drawing/2014/main" id="{C6CB407F-8B7A-17F9-6C91-C1FD6A8F1602}"/>
            </a:ext>
          </a:extLst>
        </xdr:cNvPr>
        <xdr:cNvSpPr>
          <a:spLocks noChangeShapeType="1"/>
        </xdr:cNvSpPr>
      </xdr:nvSpPr>
      <xdr:spPr bwMode="auto">
        <a:xfrm>
          <a:off x="4953000" y="1676400"/>
          <a:ext cx="0" cy="11049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12700</xdr:colOff>
      <xdr:row>2</xdr:row>
      <xdr:rowOff>127000</xdr:rowOff>
    </xdr:from>
    <xdr:to>
      <xdr:col>6</xdr:col>
      <xdr:colOff>12700</xdr:colOff>
      <xdr:row>7</xdr:row>
      <xdr:rowOff>114300</xdr:rowOff>
    </xdr:to>
    <xdr:sp macro="" textlink="">
      <xdr:nvSpPr>
        <xdr:cNvPr id="7850" name="Line 16">
          <a:extLst>
            <a:ext uri="{FF2B5EF4-FFF2-40B4-BE49-F238E27FC236}">
              <a16:creationId xmlns:a16="http://schemas.microsoft.com/office/drawing/2014/main" id="{CFAEA85F-97FE-9393-821E-FB9FAC6D1DF3}"/>
            </a:ext>
          </a:extLst>
        </xdr:cNvPr>
        <xdr:cNvSpPr>
          <a:spLocks noChangeShapeType="1"/>
        </xdr:cNvSpPr>
      </xdr:nvSpPr>
      <xdr:spPr bwMode="auto">
        <a:xfrm flipV="1">
          <a:off x="4279900" y="457200"/>
          <a:ext cx="0" cy="10541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12700</xdr:colOff>
      <xdr:row>2</xdr:row>
      <xdr:rowOff>88900</xdr:rowOff>
    </xdr:from>
    <xdr:to>
      <xdr:col>8</xdr:col>
      <xdr:colOff>12700</xdr:colOff>
      <xdr:row>7</xdr:row>
      <xdr:rowOff>114300</xdr:rowOff>
    </xdr:to>
    <xdr:sp macro="" textlink="">
      <xdr:nvSpPr>
        <xdr:cNvPr id="7851" name="Line 17">
          <a:extLst>
            <a:ext uri="{FF2B5EF4-FFF2-40B4-BE49-F238E27FC236}">
              <a16:creationId xmlns:a16="http://schemas.microsoft.com/office/drawing/2014/main" id="{97E050E5-B921-E80C-209E-3878DEB6277B}"/>
            </a:ext>
          </a:extLst>
        </xdr:cNvPr>
        <xdr:cNvSpPr>
          <a:spLocks noChangeShapeType="1"/>
        </xdr:cNvSpPr>
      </xdr:nvSpPr>
      <xdr:spPr bwMode="auto">
        <a:xfrm flipV="1">
          <a:off x="5626100" y="419100"/>
          <a:ext cx="0" cy="10922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2</xdr:row>
      <xdr:rowOff>190500</xdr:rowOff>
    </xdr:from>
    <xdr:to>
      <xdr:col>7</xdr:col>
      <xdr:colOff>660400</xdr:colOff>
      <xdr:row>2</xdr:row>
      <xdr:rowOff>190500</xdr:rowOff>
    </xdr:to>
    <xdr:sp macro="" textlink="">
      <xdr:nvSpPr>
        <xdr:cNvPr id="7852" name="Line 18">
          <a:extLst>
            <a:ext uri="{FF2B5EF4-FFF2-40B4-BE49-F238E27FC236}">
              <a16:creationId xmlns:a16="http://schemas.microsoft.com/office/drawing/2014/main" id="{F3769119-24AE-AFD5-2B5C-592E35DE871B}"/>
            </a:ext>
          </a:extLst>
        </xdr:cNvPr>
        <xdr:cNvSpPr>
          <a:spLocks noChangeShapeType="1"/>
        </xdr:cNvSpPr>
      </xdr:nvSpPr>
      <xdr:spPr bwMode="auto">
        <a:xfrm>
          <a:off x="4267200" y="520700"/>
          <a:ext cx="13335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292100</xdr:colOff>
      <xdr:row>7</xdr:row>
      <xdr:rowOff>152400</xdr:rowOff>
    </xdr:from>
    <xdr:to>
      <xdr:col>6</xdr:col>
      <xdr:colOff>406400</xdr:colOff>
      <xdr:row>8</xdr:row>
      <xdr:rowOff>76200</xdr:rowOff>
    </xdr:to>
    <xdr:sp macro="" textlink="">
      <xdr:nvSpPr>
        <xdr:cNvPr id="7853" name="Rectangle 19">
          <a:extLst>
            <a:ext uri="{FF2B5EF4-FFF2-40B4-BE49-F238E27FC236}">
              <a16:creationId xmlns:a16="http://schemas.microsoft.com/office/drawing/2014/main" id="{E27432A0-9E20-AB95-F008-D46FF6EE31E6}"/>
            </a:ext>
          </a:extLst>
        </xdr:cNvPr>
        <xdr:cNvSpPr>
          <a:spLocks noChangeArrowheads="1"/>
        </xdr:cNvSpPr>
      </xdr:nvSpPr>
      <xdr:spPr bwMode="auto">
        <a:xfrm>
          <a:off x="4559300" y="1549400"/>
          <a:ext cx="114300" cy="1270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FF" mc:Ignorable="a14" a14:legacySpreadsheetColorIndex="12"/>
        </a:solidFill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304800</xdr:colOff>
      <xdr:row>7</xdr:row>
      <xdr:rowOff>152400</xdr:rowOff>
    </xdr:from>
    <xdr:to>
      <xdr:col>7</xdr:col>
      <xdr:colOff>406400</xdr:colOff>
      <xdr:row>8</xdr:row>
      <xdr:rowOff>76200</xdr:rowOff>
    </xdr:to>
    <xdr:sp macro="" textlink="">
      <xdr:nvSpPr>
        <xdr:cNvPr id="7854" name="Rectangle 20">
          <a:extLst>
            <a:ext uri="{FF2B5EF4-FFF2-40B4-BE49-F238E27FC236}">
              <a16:creationId xmlns:a16="http://schemas.microsoft.com/office/drawing/2014/main" id="{87EB418E-206B-286D-E272-FFD284596C78}"/>
            </a:ext>
          </a:extLst>
        </xdr:cNvPr>
        <xdr:cNvSpPr>
          <a:spLocks noChangeArrowheads="1"/>
        </xdr:cNvSpPr>
      </xdr:nvSpPr>
      <xdr:spPr bwMode="auto">
        <a:xfrm>
          <a:off x="5245100" y="1549400"/>
          <a:ext cx="101600" cy="1270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FF" mc:Ignorable="a14" a14:legacySpreadsheetColorIndex="12"/>
        </a:solidFill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342900</xdr:colOff>
      <xdr:row>4</xdr:row>
      <xdr:rowOff>0</xdr:rowOff>
    </xdr:from>
    <xdr:to>
      <xdr:col>6</xdr:col>
      <xdr:colOff>342900</xdr:colOff>
      <xdr:row>9</xdr:row>
      <xdr:rowOff>0</xdr:rowOff>
    </xdr:to>
    <xdr:sp macro="" textlink="">
      <xdr:nvSpPr>
        <xdr:cNvPr id="7855" name="Line 21">
          <a:extLst>
            <a:ext uri="{FF2B5EF4-FFF2-40B4-BE49-F238E27FC236}">
              <a16:creationId xmlns:a16="http://schemas.microsoft.com/office/drawing/2014/main" id="{7B1142B6-9983-B75D-C6C9-4B225DCB49F6}"/>
            </a:ext>
          </a:extLst>
        </xdr:cNvPr>
        <xdr:cNvSpPr>
          <a:spLocks noChangeShapeType="1"/>
        </xdr:cNvSpPr>
      </xdr:nvSpPr>
      <xdr:spPr bwMode="auto">
        <a:xfrm flipV="1">
          <a:off x="4610100" y="736600"/>
          <a:ext cx="0" cy="10668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Dot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355600</xdr:colOff>
      <xdr:row>4</xdr:row>
      <xdr:rowOff>0</xdr:rowOff>
    </xdr:from>
    <xdr:to>
      <xdr:col>7</xdr:col>
      <xdr:colOff>368300</xdr:colOff>
      <xdr:row>9</xdr:row>
      <xdr:rowOff>0</xdr:rowOff>
    </xdr:to>
    <xdr:sp macro="" textlink="">
      <xdr:nvSpPr>
        <xdr:cNvPr id="7856" name="Line 22">
          <a:extLst>
            <a:ext uri="{FF2B5EF4-FFF2-40B4-BE49-F238E27FC236}">
              <a16:creationId xmlns:a16="http://schemas.microsoft.com/office/drawing/2014/main" id="{F2AF9795-69EC-664E-0A6A-1598CD1508C1}"/>
            </a:ext>
          </a:extLst>
        </xdr:cNvPr>
        <xdr:cNvSpPr>
          <a:spLocks noChangeShapeType="1"/>
        </xdr:cNvSpPr>
      </xdr:nvSpPr>
      <xdr:spPr bwMode="auto">
        <a:xfrm flipH="1" flipV="1">
          <a:off x="5295900" y="736600"/>
          <a:ext cx="12700" cy="10668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Dot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342900</xdr:colOff>
      <xdr:row>3</xdr:row>
      <xdr:rowOff>279400</xdr:rowOff>
    </xdr:from>
    <xdr:to>
      <xdr:col>7</xdr:col>
      <xdr:colOff>368300</xdr:colOff>
      <xdr:row>3</xdr:row>
      <xdr:rowOff>279400</xdr:rowOff>
    </xdr:to>
    <xdr:sp macro="" textlink="">
      <xdr:nvSpPr>
        <xdr:cNvPr id="7857" name="Line 23">
          <a:extLst>
            <a:ext uri="{FF2B5EF4-FFF2-40B4-BE49-F238E27FC236}">
              <a16:creationId xmlns:a16="http://schemas.microsoft.com/office/drawing/2014/main" id="{ED1EF24D-9D27-00A8-BED2-D8539C523F29}"/>
            </a:ext>
          </a:extLst>
        </xdr:cNvPr>
        <xdr:cNvSpPr>
          <a:spLocks noChangeShapeType="1"/>
        </xdr:cNvSpPr>
      </xdr:nvSpPr>
      <xdr:spPr bwMode="auto">
        <a:xfrm>
          <a:off x="4610100" y="736600"/>
          <a:ext cx="6985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482600</xdr:colOff>
      <xdr:row>8</xdr:row>
      <xdr:rowOff>0</xdr:rowOff>
    </xdr:from>
    <xdr:to>
      <xdr:col>5</xdr:col>
      <xdr:colOff>635000</xdr:colOff>
      <xdr:row>8</xdr:row>
      <xdr:rowOff>0</xdr:rowOff>
    </xdr:to>
    <xdr:sp macro="" textlink="">
      <xdr:nvSpPr>
        <xdr:cNvPr id="7858" name="Line 24">
          <a:extLst>
            <a:ext uri="{FF2B5EF4-FFF2-40B4-BE49-F238E27FC236}">
              <a16:creationId xmlns:a16="http://schemas.microsoft.com/office/drawing/2014/main" id="{ACCAE420-B1D4-5D47-732F-C37719ABB97A}"/>
            </a:ext>
          </a:extLst>
        </xdr:cNvPr>
        <xdr:cNvSpPr>
          <a:spLocks noChangeShapeType="1"/>
        </xdr:cNvSpPr>
      </xdr:nvSpPr>
      <xdr:spPr bwMode="auto">
        <a:xfrm flipH="1">
          <a:off x="3289300" y="1600200"/>
          <a:ext cx="9398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571500</xdr:colOff>
      <xdr:row>13</xdr:row>
      <xdr:rowOff>0</xdr:rowOff>
    </xdr:from>
    <xdr:to>
      <xdr:col>6</xdr:col>
      <xdr:colOff>558800</xdr:colOff>
      <xdr:row>13</xdr:row>
      <xdr:rowOff>0</xdr:rowOff>
    </xdr:to>
    <xdr:sp macro="" textlink="">
      <xdr:nvSpPr>
        <xdr:cNvPr id="7859" name="Line 25">
          <a:extLst>
            <a:ext uri="{FF2B5EF4-FFF2-40B4-BE49-F238E27FC236}">
              <a16:creationId xmlns:a16="http://schemas.microsoft.com/office/drawing/2014/main" id="{4706EE50-F5ED-F1D9-6A3F-524CB42ED3CF}"/>
            </a:ext>
          </a:extLst>
        </xdr:cNvPr>
        <xdr:cNvSpPr>
          <a:spLocks noChangeShapeType="1"/>
        </xdr:cNvSpPr>
      </xdr:nvSpPr>
      <xdr:spPr bwMode="auto">
        <a:xfrm flipH="1">
          <a:off x="3378200" y="2794000"/>
          <a:ext cx="14478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8</xdr:row>
      <xdr:rowOff>25400</xdr:rowOff>
    </xdr:from>
    <xdr:to>
      <xdr:col>5</xdr:col>
      <xdr:colOff>0</xdr:colOff>
      <xdr:row>12</xdr:row>
      <xdr:rowOff>190500</xdr:rowOff>
    </xdr:to>
    <xdr:sp macro="" textlink="">
      <xdr:nvSpPr>
        <xdr:cNvPr id="7860" name="Line 26">
          <a:extLst>
            <a:ext uri="{FF2B5EF4-FFF2-40B4-BE49-F238E27FC236}">
              <a16:creationId xmlns:a16="http://schemas.microsoft.com/office/drawing/2014/main" id="{E1F0D765-DA65-B86E-AE04-DD4FFE730A69}"/>
            </a:ext>
          </a:extLst>
        </xdr:cNvPr>
        <xdr:cNvSpPr>
          <a:spLocks noChangeShapeType="1"/>
        </xdr:cNvSpPr>
      </xdr:nvSpPr>
      <xdr:spPr bwMode="auto">
        <a:xfrm flipV="1">
          <a:off x="3594100" y="1625600"/>
          <a:ext cx="0" cy="11557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215900</xdr:colOff>
      <xdr:row>11</xdr:row>
      <xdr:rowOff>165100</xdr:rowOff>
    </xdr:from>
    <xdr:to>
      <xdr:col>6</xdr:col>
      <xdr:colOff>635000</xdr:colOff>
      <xdr:row>11</xdr:row>
      <xdr:rowOff>165100</xdr:rowOff>
    </xdr:to>
    <xdr:sp macro="" textlink="">
      <xdr:nvSpPr>
        <xdr:cNvPr id="7861" name="Line 27">
          <a:extLst>
            <a:ext uri="{FF2B5EF4-FFF2-40B4-BE49-F238E27FC236}">
              <a16:creationId xmlns:a16="http://schemas.microsoft.com/office/drawing/2014/main" id="{1792BDD8-F329-888B-EA0E-3C629C011F65}"/>
            </a:ext>
          </a:extLst>
        </xdr:cNvPr>
        <xdr:cNvSpPr>
          <a:spLocks noChangeShapeType="1"/>
        </xdr:cNvSpPr>
      </xdr:nvSpPr>
      <xdr:spPr bwMode="auto">
        <a:xfrm>
          <a:off x="4483100" y="2463800"/>
          <a:ext cx="4191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38100</xdr:colOff>
      <xdr:row>11</xdr:row>
      <xdr:rowOff>190500</xdr:rowOff>
    </xdr:from>
    <xdr:to>
      <xdr:col>7</xdr:col>
      <xdr:colOff>355600</xdr:colOff>
      <xdr:row>11</xdr:row>
      <xdr:rowOff>190500</xdr:rowOff>
    </xdr:to>
    <xdr:sp macro="" textlink="">
      <xdr:nvSpPr>
        <xdr:cNvPr id="7862" name="Line 28">
          <a:extLst>
            <a:ext uri="{FF2B5EF4-FFF2-40B4-BE49-F238E27FC236}">
              <a16:creationId xmlns:a16="http://schemas.microsoft.com/office/drawing/2014/main" id="{2BAE74F8-8508-AE3B-5ABD-D9CD1DA64B4C}"/>
            </a:ext>
          </a:extLst>
        </xdr:cNvPr>
        <xdr:cNvSpPr>
          <a:spLocks noChangeShapeType="1"/>
        </xdr:cNvSpPr>
      </xdr:nvSpPr>
      <xdr:spPr bwMode="auto">
        <a:xfrm>
          <a:off x="4978400" y="2489200"/>
          <a:ext cx="3175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203200</xdr:colOff>
      <xdr:row>8</xdr:row>
      <xdr:rowOff>76200</xdr:rowOff>
    </xdr:from>
    <xdr:to>
      <xdr:col>5</xdr:col>
      <xdr:colOff>660400</xdr:colOff>
      <xdr:row>8</xdr:row>
      <xdr:rowOff>76200</xdr:rowOff>
    </xdr:to>
    <xdr:sp macro="" textlink="">
      <xdr:nvSpPr>
        <xdr:cNvPr id="7863" name="Line 29">
          <a:extLst>
            <a:ext uri="{FF2B5EF4-FFF2-40B4-BE49-F238E27FC236}">
              <a16:creationId xmlns:a16="http://schemas.microsoft.com/office/drawing/2014/main" id="{4B27A6F9-6E89-EF05-F98D-F44F4A9426B7}"/>
            </a:ext>
          </a:extLst>
        </xdr:cNvPr>
        <xdr:cNvSpPr>
          <a:spLocks noChangeShapeType="1"/>
        </xdr:cNvSpPr>
      </xdr:nvSpPr>
      <xdr:spPr bwMode="auto">
        <a:xfrm flipH="1">
          <a:off x="3797300" y="1676400"/>
          <a:ext cx="4572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266700</xdr:colOff>
      <xdr:row>8</xdr:row>
      <xdr:rowOff>76200</xdr:rowOff>
    </xdr:from>
    <xdr:to>
      <xdr:col>5</xdr:col>
      <xdr:colOff>266700</xdr:colOff>
      <xdr:row>9</xdr:row>
      <xdr:rowOff>139700</xdr:rowOff>
    </xdr:to>
    <xdr:sp macro="" textlink="">
      <xdr:nvSpPr>
        <xdr:cNvPr id="7864" name="Line 30">
          <a:extLst>
            <a:ext uri="{FF2B5EF4-FFF2-40B4-BE49-F238E27FC236}">
              <a16:creationId xmlns:a16="http://schemas.microsoft.com/office/drawing/2014/main" id="{6FC77829-6654-8ED0-1B15-0A88B46B2334}"/>
            </a:ext>
          </a:extLst>
        </xdr:cNvPr>
        <xdr:cNvSpPr>
          <a:spLocks noChangeShapeType="1"/>
        </xdr:cNvSpPr>
      </xdr:nvSpPr>
      <xdr:spPr bwMode="auto">
        <a:xfrm>
          <a:off x="3860800" y="1676400"/>
          <a:ext cx="0" cy="2667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254000</xdr:colOff>
      <xdr:row>6</xdr:row>
      <xdr:rowOff>76200</xdr:rowOff>
    </xdr:from>
    <xdr:to>
      <xdr:col>5</xdr:col>
      <xdr:colOff>254000</xdr:colOff>
      <xdr:row>7</xdr:row>
      <xdr:rowOff>152400</xdr:rowOff>
    </xdr:to>
    <xdr:sp macro="" textlink="">
      <xdr:nvSpPr>
        <xdr:cNvPr id="7865" name="Line 31">
          <a:extLst>
            <a:ext uri="{FF2B5EF4-FFF2-40B4-BE49-F238E27FC236}">
              <a16:creationId xmlns:a16="http://schemas.microsoft.com/office/drawing/2014/main" id="{8F8C08D3-2AB3-2370-EDBE-60EFDC3E2165}"/>
            </a:ext>
          </a:extLst>
        </xdr:cNvPr>
        <xdr:cNvSpPr>
          <a:spLocks noChangeShapeType="1"/>
        </xdr:cNvSpPr>
      </xdr:nvSpPr>
      <xdr:spPr bwMode="auto">
        <a:xfrm flipV="1">
          <a:off x="3848100" y="1270000"/>
          <a:ext cx="0" cy="2794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368300</xdr:colOff>
      <xdr:row>6</xdr:row>
      <xdr:rowOff>88900</xdr:rowOff>
    </xdr:from>
    <xdr:to>
      <xdr:col>5</xdr:col>
      <xdr:colOff>241300</xdr:colOff>
      <xdr:row>6</xdr:row>
      <xdr:rowOff>88900</xdr:rowOff>
    </xdr:to>
    <xdr:sp macro="" textlink="">
      <xdr:nvSpPr>
        <xdr:cNvPr id="7866" name="Line 32">
          <a:extLst>
            <a:ext uri="{FF2B5EF4-FFF2-40B4-BE49-F238E27FC236}">
              <a16:creationId xmlns:a16="http://schemas.microsoft.com/office/drawing/2014/main" id="{5B9AC79D-8CB5-46EC-62B9-1D2B5FB6A182}"/>
            </a:ext>
          </a:extLst>
        </xdr:cNvPr>
        <xdr:cNvSpPr>
          <a:spLocks noChangeShapeType="1"/>
        </xdr:cNvSpPr>
      </xdr:nvSpPr>
      <xdr:spPr bwMode="auto">
        <a:xfrm>
          <a:off x="3175000" y="1282700"/>
          <a:ext cx="6604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660400</xdr:colOff>
      <xdr:row>5</xdr:row>
      <xdr:rowOff>88900</xdr:rowOff>
    </xdr:from>
    <xdr:to>
      <xdr:col>6</xdr:col>
      <xdr:colOff>660400</xdr:colOff>
      <xdr:row>8</xdr:row>
      <xdr:rowOff>127000</xdr:rowOff>
    </xdr:to>
    <xdr:sp macro="" textlink="">
      <xdr:nvSpPr>
        <xdr:cNvPr id="7867" name="Line 33">
          <a:extLst>
            <a:ext uri="{FF2B5EF4-FFF2-40B4-BE49-F238E27FC236}">
              <a16:creationId xmlns:a16="http://schemas.microsoft.com/office/drawing/2014/main" id="{930463A3-5CE9-E19D-F37D-5445E4234E75}"/>
            </a:ext>
          </a:extLst>
        </xdr:cNvPr>
        <xdr:cNvSpPr>
          <a:spLocks noChangeShapeType="1"/>
        </xdr:cNvSpPr>
      </xdr:nvSpPr>
      <xdr:spPr bwMode="auto">
        <a:xfrm flipH="1" flipV="1">
          <a:off x="4927600" y="990600"/>
          <a:ext cx="0" cy="7366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339966" mc:Ignorable="a14" a14:legacySpreadsheetColorIndex="57"/>
          </a:solidFill>
          <a:prstDash val="lgDashDot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63500</xdr:colOff>
      <xdr:row>5</xdr:row>
      <xdr:rowOff>88900</xdr:rowOff>
    </xdr:from>
    <xdr:to>
      <xdr:col>7</xdr:col>
      <xdr:colOff>63500</xdr:colOff>
      <xdr:row>8</xdr:row>
      <xdr:rowOff>76200</xdr:rowOff>
    </xdr:to>
    <xdr:sp macro="" textlink="">
      <xdr:nvSpPr>
        <xdr:cNvPr id="7868" name="Line 34">
          <a:extLst>
            <a:ext uri="{FF2B5EF4-FFF2-40B4-BE49-F238E27FC236}">
              <a16:creationId xmlns:a16="http://schemas.microsoft.com/office/drawing/2014/main" id="{3D21B360-4F33-1360-ED44-C3061536193C}"/>
            </a:ext>
          </a:extLst>
        </xdr:cNvPr>
        <xdr:cNvSpPr>
          <a:spLocks noChangeShapeType="1"/>
        </xdr:cNvSpPr>
      </xdr:nvSpPr>
      <xdr:spPr bwMode="auto">
        <a:xfrm flipV="1">
          <a:off x="5003800" y="990600"/>
          <a:ext cx="0" cy="6858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406400</xdr:colOff>
      <xdr:row>6</xdr:row>
      <xdr:rowOff>25400</xdr:rowOff>
    </xdr:from>
    <xdr:to>
      <xdr:col>6</xdr:col>
      <xdr:colOff>647700</xdr:colOff>
      <xdr:row>6</xdr:row>
      <xdr:rowOff>25400</xdr:rowOff>
    </xdr:to>
    <xdr:sp macro="" textlink="">
      <xdr:nvSpPr>
        <xdr:cNvPr id="7869" name="Line 35">
          <a:extLst>
            <a:ext uri="{FF2B5EF4-FFF2-40B4-BE49-F238E27FC236}">
              <a16:creationId xmlns:a16="http://schemas.microsoft.com/office/drawing/2014/main" id="{6869A187-7FF0-0F7C-8A92-4FCA7C339F55}"/>
            </a:ext>
          </a:extLst>
        </xdr:cNvPr>
        <xdr:cNvSpPr>
          <a:spLocks noChangeShapeType="1"/>
        </xdr:cNvSpPr>
      </xdr:nvSpPr>
      <xdr:spPr bwMode="auto">
        <a:xfrm flipH="1">
          <a:off x="4673600" y="1219200"/>
          <a:ext cx="2413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76200</xdr:colOff>
      <xdr:row>6</xdr:row>
      <xdr:rowOff>25400</xdr:rowOff>
    </xdr:from>
    <xdr:to>
      <xdr:col>7</xdr:col>
      <xdr:colOff>292100</xdr:colOff>
      <xdr:row>6</xdr:row>
      <xdr:rowOff>25400</xdr:rowOff>
    </xdr:to>
    <xdr:sp macro="" textlink="">
      <xdr:nvSpPr>
        <xdr:cNvPr id="7870" name="Line 36">
          <a:extLst>
            <a:ext uri="{FF2B5EF4-FFF2-40B4-BE49-F238E27FC236}">
              <a16:creationId xmlns:a16="http://schemas.microsoft.com/office/drawing/2014/main" id="{1BBD88BC-5D20-C35E-316F-2870B807E577}"/>
            </a:ext>
          </a:extLst>
        </xdr:cNvPr>
        <xdr:cNvSpPr>
          <a:spLocks noChangeShapeType="1"/>
        </xdr:cNvSpPr>
      </xdr:nvSpPr>
      <xdr:spPr bwMode="auto">
        <a:xfrm>
          <a:off x="5016500" y="1219200"/>
          <a:ext cx="2159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114300</xdr:colOff>
      <xdr:row>8</xdr:row>
      <xdr:rowOff>0</xdr:rowOff>
    </xdr:from>
    <xdr:to>
      <xdr:col>9</xdr:col>
      <xdr:colOff>342900</xdr:colOff>
      <xdr:row>8</xdr:row>
      <xdr:rowOff>0</xdr:rowOff>
    </xdr:to>
    <xdr:sp macro="" textlink="">
      <xdr:nvSpPr>
        <xdr:cNvPr id="7871" name="Line 37">
          <a:extLst>
            <a:ext uri="{FF2B5EF4-FFF2-40B4-BE49-F238E27FC236}">
              <a16:creationId xmlns:a16="http://schemas.microsoft.com/office/drawing/2014/main" id="{67B14AFB-E3B3-8BA5-798E-B36C59E71865}"/>
            </a:ext>
          </a:extLst>
        </xdr:cNvPr>
        <xdr:cNvSpPr>
          <a:spLocks noChangeShapeType="1"/>
        </xdr:cNvSpPr>
      </xdr:nvSpPr>
      <xdr:spPr bwMode="auto">
        <a:xfrm flipV="1">
          <a:off x="5727700" y="1600200"/>
          <a:ext cx="10287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88900</xdr:colOff>
      <xdr:row>8</xdr:row>
      <xdr:rowOff>139700</xdr:rowOff>
    </xdr:from>
    <xdr:to>
      <xdr:col>8</xdr:col>
      <xdr:colOff>647700</xdr:colOff>
      <xdr:row>8</xdr:row>
      <xdr:rowOff>139700</xdr:rowOff>
    </xdr:to>
    <xdr:sp macro="" textlink="">
      <xdr:nvSpPr>
        <xdr:cNvPr id="7872" name="Line 38">
          <a:extLst>
            <a:ext uri="{FF2B5EF4-FFF2-40B4-BE49-F238E27FC236}">
              <a16:creationId xmlns:a16="http://schemas.microsoft.com/office/drawing/2014/main" id="{6DFBD824-F647-EE72-1978-359423B7FA2C}"/>
            </a:ext>
          </a:extLst>
        </xdr:cNvPr>
        <xdr:cNvSpPr>
          <a:spLocks noChangeShapeType="1"/>
        </xdr:cNvSpPr>
      </xdr:nvSpPr>
      <xdr:spPr bwMode="auto">
        <a:xfrm>
          <a:off x="5029200" y="1739900"/>
          <a:ext cx="12319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584200</xdr:colOff>
      <xdr:row>6</xdr:row>
      <xdr:rowOff>114300</xdr:rowOff>
    </xdr:from>
    <xdr:to>
      <xdr:col>8</xdr:col>
      <xdr:colOff>584200</xdr:colOff>
      <xdr:row>7</xdr:row>
      <xdr:rowOff>177800</xdr:rowOff>
    </xdr:to>
    <xdr:sp macro="" textlink="">
      <xdr:nvSpPr>
        <xdr:cNvPr id="7873" name="Line 39">
          <a:extLst>
            <a:ext uri="{FF2B5EF4-FFF2-40B4-BE49-F238E27FC236}">
              <a16:creationId xmlns:a16="http://schemas.microsoft.com/office/drawing/2014/main" id="{38C60F6E-247C-E382-89EB-2B95859BFA1C}"/>
            </a:ext>
          </a:extLst>
        </xdr:cNvPr>
        <xdr:cNvSpPr>
          <a:spLocks noChangeShapeType="1"/>
        </xdr:cNvSpPr>
      </xdr:nvSpPr>
      <xdr:spPr bwMode="auto">
        <a:xfrm flipV="1">
          <a:off x="6197600" y="1308100"/>
          <a:ext cx="0" cy="2667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609600</xdr:colOff>
      <xdr:row>8</xdr:row>
      <xdr:rowOff>139700</xdr:rowOff>
    </xdr:from>
    <xdr:to>
      <xdr:col>8</xdr:col>
      <xdr:colOff>609600</xdr:colOff>
      <xdr:row>10</xdr:row>
      <xdr:rowOff>0</xdr:rowOff>
    </xdr:to>
    <xdr:sp macro="" textlink="">
      <xdr:nvSpPr>
        <xdr:cNvPr id="7874" name="Line 40">
          <a:extLst>
            <a:ext uri="{FF2B5EF4-FFF2-40B4-BE49-F238E27FC236}">
              <a16:creationId xmlns:a16="http://schemas.microsoft.com/office/drawing/2014/main" id="{11158BBF-1509-FDF8-CD4C-1DCB08496926}"/>
            </a:ext>
          </a:extLst>
        </xdr:cNvPr>
        <xdr:cNvSpPr>
          <a:spLocks noChangeShapeType="1"/>
        </xdr:cNvSpPr>
      </xdr:nvSpPr>
      <xdr:spPr bwMode="auto">
        <a:xfrm>
          <a:off x="6223000" y="1739900"/>
          <a:ext cx="0" cy="2667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609600</xdr:colOff>
      <xdr:row>6</xdr:row>
      <xdr:rowOff>114300</xdr:rowOff>
    </xdr:from>
    <xdr:to>
      <xdr:col>9</xdr:col>
      <xdr:colOff>76200</xdr:colOff>
      <xdr:row>6</xdr:row>
      <xdr:rowOff>114300</xdr:rowOff>
    </xdr:to>
    <xdr:sp macro="" textlink="">
      <xdr:nvSpPr>
        <xdr:cNvPr id="7875" name="Line 41">
          <a:extLst>
            <a:ext uri="{FF2B5EF4-FFF2-40B4-BE49-F238E27FC236}">
              <a16:creationId xmlns:a16="http://schemas.microsoft.com/office/drawing/2014/main" id="{9F9C7C8C-93F1-D338-584B-FB1F7BD20629}"/>
            </a:ext>
          </a:extLst>
        </xdr:cNvPr>
        <xdr:cNvSpPr>
          <a:spLocks noChangeShapeType="1"/>
        </xdr:cNvSpPr>
      </xdr:nvSpPr>
      <xdr:spPr bwMode="auto">
        <a:xfrm>
          <a:off x="6223000" y="1308100"/>
          <a:ext cx="2667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508000</xdr:colOff>
      <xdr:row>10</xdr:row>
      <xdr:rowOff>152400</xdr:rowOff>
    </xdr:from>
    <xdr:to>
      <xdr:col>9</xdr:col>
      <xdr:colOff>342900</xdr:colOff>
      <xdr:row>10</xdr:row>
      <xdr:rowOff>152400</xdr:rowOff>
    </xdr:to>
    <xdr:sp macro="" textlink="">
      <xdr:nvSpPr>
        <xdr:cNvPr id="7876" name="Line 42">
          <a:extLst>
            <a:ext uri="{FF2B5EF4-FFF2-40B4-BE49-F238E27FC236}">
              <a16:creationId xmlns:a16="http://schemas.microsoft.com/office/drawing/2014/main" id="{9F81A0C2-003E-4C87-A695-C5A65114BB70}"/>
            </a:ext>
          </a:extLst>
        </xdr:cNvPr>
        <xdr:cNvSpPr>
          <a:spLocks noChangeShapeType="1"/>
        </xdr:cNvSpPr>
      </xdr:nvSpPr>
      <xdr:spPr bwMode="auto">
        <a:xfrm>
          <a:off x="4775200" y="2159000"/>
          <a:ext cx="19812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Dot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609600</xdr:colOff>
      <xdr:row>10</xdr:row>
      <xdr:rowOff>76200</xdr:rowOff>
    </xdr:from>
    <xdr:to>
      <xdr:col>7</xdr:col>
      <xdr:colOff>38100</xdr:colOff>
      <xdr:row>10</xdr:row>
      <xdr:rowOff>228600</xdr:rowOff>
    </xdr:to>
    <xdr:sp macro="" textlink="">
      <xdr:nvSpPr>
        <xdr:cNvPr id="7877" name="Rectangle 43">
          <a:extLst>
            <a:ext uri="{FF2B5EF4-FFF2-40B4-BE49-F238E27FC236}">
              <a16:creationId xmlns:a16="http://schemas.microsoft.com/office/drawing/2014/main" id="{77357637-7D9B-4E6A-E205-E33BD86C42F1}"/>
            </a:ext>
          </a:extLst>
        </xdr:cNvPr>
        <xdr:cNvSpPr>
          <a:spLocks noChangeArrowheads="1"/>
        </xdr:cNvSpPr>
      </xdr:nvSpPr>
      <xdr:spPr bwMode="auto">
        <a:xfrm>
          <a:off x="4876800" y="2082800"/>
          <a:ext cx="1016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FF" mc:Ignorable="a14" a14:legacySpreadsheetColorIndex="1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241300</xdr:colOff>
      <xdr:row>10</xdr:row>
      <xdr:rowOff>25400</xdr:rowOff>
    </xdr:from>
    <xdr:to>
      <xdr:col>9</xdr:col>
      <xdr:colOff>241300</xdr:colOff>
      <xdr:row>10</xdr:row>
      <xdr:rowOff>152400</xdr:rowOff>
    </xdr:to>
    <xdr:sp macro="" textlink="">
      <xdr:nvSpPr>
        <xdr:cNvPr id="7878" name="Line 44">
          <a:extLst>
            <a:ext uri="{FF2B5EF4-FFF2-40B4-BE49-F238E27FC236}">
              <a16:creationId xmlns:a16="http://schemas.microsoft.com/office/drawing/2014/main" id="{D3DDDEA6-EAD5-1EC9-1071-BAE228F0673E}"/>
            </a:ext>
          </a:extLst>
        </xdr:cNvPr>
        <xdr:cNvSpPr>
          <a:spLocks noChangeShapeType="1"/>
        </xdr:cNvSpPr>
      </xdr:nvSpPr>
      <xdr:spPr bwMode="auto">
        <a:xfrm flipV="1">
          <a:off x="6654800" y="2032000"/>
          <a:ext cx="0" cy="1270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241300</xdr:colOff>
      <xdr:row>8</xdr:row>
      <xdr:rowOff>0</xdr:rowOff>
    </xdr:from>
    <xdr:to>
      <xdr:col>9</xdr:col>
      <xdr:colOff>241300</xdr:colOff>
      <xdr:row>8</xdr:row>
      <xdr:rowOff>139700</xdr:rowOff>
    </xdr:to>
    <xdr:sp macro="" textlink="">
      <xdr:nvSpPr>
        <xdr:cNvPr id="7879" name="Line 45">
          <a:extLst>
            <a:ext uri="{FF2B5EF4-FFF2-40B4-BE49-F238E27FC236}">
              <a16:creationId xmlns:a16="http://schemas.microsoft.com/office/drawing/2014/main" id="{A19C2236-1A4C-E1BC-3C57-23F21AD10A59}"/>
            </a:ext>
          </a:extLst>
        </xdr:cNvPr>
        <xdr:cNvSpPr>
          <a:spLocks noChangeShapeType="1"/>
        </xdr:cNvSpPr>
      </xdr:nvSpPr>
      <xdr:spPr bwMode="auto">
        <a:xfrm>
          <a:off x="6654800" y="1600200"/>
          <a:ext cx="0" cy="1397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16</xdr:col>
      <xdr:colOff>663222</xdr:colOff>
      <xdr:row>238</xdr:row>
      <xdr:rowOff>70555</xdr:rowOff>
    </xdr:from>
    <xdr:to>
      <xdr:col>27</xdr:col>
      <xdr:colOff>527755</xdr:colOff>
      <xdr:row>253</xdr:row>
      <xdr:rowOff>57855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454815A-10AC-143F-95E1-C155950A34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726333" y="41063333"/>
          <a:ext cx="7315200" cy="252730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25400</xdr:colOff>
      <xdr:row>7</xdr:row>
      <xdr:rowOff>0</xdr:rowOff>
    </xdr:from>
    <xdr:to>
      <xdr:col>9</xdr:col>
      <xdr:colOff>12700</xdr:colOff>
      <xdr:row>7</xdr:row>
      <xdr:rowOff>0</xdr:rowOff>
    </xdr:to>
    <xdr:sp macro="" textlink="">
      <xdr:nvSpPr>
        <xdr:cNvPr id="8793" name="Line 2">
          <a:extLst>
            <a:ext uri="{FF2B5EF4-FFF2-40B4-BE49-F238E27FC236}">
              <a16:creationId xmlns:a16="http://schemas.microsoft.com/office/drawing/2014/main" id="{CE89AA1F-F06C-71A4-8EB1-C660052D0435}"/>
            </a:ext>
          </a:extLst>
        </xdr:cNvPr>
        <xdr:cNvSpPr>
          <a:spLocks noChangeShapeType="1"/>
        </xdr:cNvSpPr>
      </xdr:nvSpPr>
      <xdr:spPr bwMode="auto">
        <a:xfrm>
          <a:off x="4826000" y="1346200"/>
          <a:ext cx="13335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38100</xdr:colOff>
      <xdr:row>7</xdr:row>
      <xdr:rowOff>25400</xdr:rowOff>
    </xdr:from>
    <xdr:to>
      <xdr:col>7</xdr:col>
      <xdr:colOff>38100</xdr:colOff>
      <xdr:row>7</xdr:row>
      <xdr:rowOff>76200</xdr:rowOff>
    </xdr:to>
    <xdr:sp macro="" textlink="">
      <xdr:nvSpPr>
        <xdr:cNvPr id="8794" name="Line 3">
          <a:extLst>
            <a:ext uri="{FF2B5EF4-FFF2-40B4-BE49-F238E27FC236}">
              <a16:creationId xmlns:a16="http://schemas.microsoft.com/office/drawing/2014/main" id="{0F1F7F09-68FC-380B-4A66-247957BD5399}"/>
            </a:ext>
          </a:extLst>
        </xdr:cNvPr>
        <xdr:cNvSpPr>
          <a:spLocks noChangeShapeType="1"/>
        </xdr:cNvSpPr>
      </xdr:nvSpPr>
      <xdr:spPr bwMode="auto">
        <a:xfrm>
          <a:off x="4838700" y="1371600"/>
          <a:ext cx="0" cy="508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12700</xdr:colOff>
      <xdr:row>6</xdr:row>
      <xdr:rowOff>165100</xdr:rowOff>
    </xdr:from>
    <xdr:to>
      <xdr:col>9</xdr:col>
      <xdr:colOff>25400</xdr:colOff>
      <xdr:row>7</xdr:row>
      <xdr:rowOff>76200</xdr:rowOff>
    </xdr:to>
    <xdr:sp macro="" textlink="">
      <xdr:nvSpPr>
        <xdr:cNvPr id="8795" name="Line 4">
          <a:extLst>
            <a:ext uri="{FF2B5EF4-FFF2-40B4-BE49-F238E27FC236}">
              <a16:creationId xmlns:a16="http://schemas.microsoft.com/office/drawing/2014/main" id="{58BA4A14-9878-597A-DD57-8C40BC0714E8}"/>
            </a:ext>
          </a:extLst>
        </xdr:cNvPr>
        <xdr:cNvSpPr>
          <a:spLocks noChangeShapeType="1"/>
        </xdr:cNvSpPr>
      </xdr:nvSpPr>
      <xdr:spPr bwMode="auto">
        <a:xfrm>
          <a:off x="6159500" y="1308100"/>
          <a:ext cx="12700" cy="1143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38100</xdr:colOff>
      <xdr:row>7</xdr:row>
      <xdr:rowOff>76200</xdr:rowOff>
    </xdr:from>
    <xdr:to>
      <xdr:col>7</xdr:col>
      <xdr:colOff>622300</xdr:colOff>
      <xdr:row>7</xdr:row>
      <xdr:rowOff>139700</xdr:rowOff>
    </xdr:to>
    <xdr:sp macro="" textlink="">
      <xdr:nvSpPr>
        <xdr:cNvPr id="8796" name="Line 5">
          <a:extLst>
            <a:ext uri="{FF2B5EF4-FFF2-40B4-BE49-F238E27FC236}">
              <a16:creationId xmlns:a16="http://schemas.microsoft.com/office/drawing/2014/main" id="{3FF1EB65-48CE-4662-C61A-336CADB78E4F}"/>
            </a:ext>
          </a:extLst>
        </xdr:cNvPr>
        <xdr:cNvSpPr>
          <a:spLocks noChangeShapeType="1"/>
        </xdr:cNvSpPr>
      </xdr:nvSpPr>
      <xdr:spPr bwMode="auto">
        <a:xfrm>
          <a:off x="4838700" y="1422400"/>
          <a:ext cx="584200" cy="63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38100</xdr:colOff>
      <xdr:row>7</xdr:row>
      <xdr:rowOff>76200</xdr:rowOff>
    </xdr:from>
    <xdr:to>
      <xdr:col>9</xdr:col>
      <xdr:colOff>25400</xdr:colOff>
      <xdr:row>7</xdr:row>
      <xdr:rowOff>127000</xdr:rowOff>
    </xdr:to>
    <xdr:sp macro="" textlink="">
      <xdr:nvSpPr>
        <xdr:cNvPr id="8797" name="Line 6">
          <a:extLst>
            <a:ext uri="{FF2B5EF4-FFF2-40B4-BE49-F238E27FC236}">
              <a16:creationId xmlns:a16="http://schemas.microsoft.com/office/drawing/2014/main" id="{B29AFA77-B658-A2E4-0011-3DAC15FF2FFE}"/>
            </a:ext>
          </a:extLst>
        </xdr:cNvPr>
        <xdr:cNvSpPr>
          <a:spLocks noChangeShapeType="1"/>
        </xdr:cNvSpPr>
      </xdr:nvSpPr>
      <xdr:spPr bwMode="auto">
        <a:xfrm flipH="1">
          <a:off x="5511800" y="1422400"/>
          <a:ext cx="660400" cy="508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635000</xdr:colOff>
      <xdr:row>7</xdr:row>
      <xdr:rowOff>127000</xdr:rowOff>
    </xdr:from>
    <xdr:to>
      <xdr:col>7</xdr:col>
      <xdr:colOff>635000</xdr:colOff>
      <xdr:row>11</xdr:row>
      <xdr:rowOff>241300</xdr:rowOff>
    </xdr:to>
    <xdr:sp macro="" textlink="">
      <xdr:nvSpPr>
        <xdr:cNvPr id="8798" name="Line 8">
          <a:extLst>
            <a:ext uri="{FF2B5EF4-FFF2-40B4-BE49-F238E27FC236}">
              <a16:creationId xmlns:a16="http://schemas.microsoft.com/office/drawing/2014/main" id="{56175E22-DB2D-C2E2-DD6A-334BD436220C}"/>
            </a:ext>
          </a:extLst>
        </xdr:cNvPr>
        <xdr:cNvSpPr>
          <a:spLocks noChangeShapeType="1"/>
        </xdr:cNvSpPr>
      </xdr:nvSpPr>
      <xdr:spPr bwMode="auto">
        <a:xfrm>
          <a:off x="5435600" y="1473200"/>
          <a:ext cx="0" cy="10160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12700</xdr:colOff>
      <xdr:row>7</xdr:row>
      <xdr:rowOff>127000</xdr:rowOff>
    </xdr:from>
    <xdr:to>
      <xdr:col>8</xdr:col>
      <xdr:colOff>12700</xdr:colOff>
      <xdr:row>11</xdr:row>
      <xdr:rowOff>241300</xdr:rowOff>
    </xdr:to>
    <xdr:sp macro="" textlink="">
      <xdr:nvSpPr>
        <xdr:cNvPr id="8799" name="Line 11">
          <a:extLst>
            <a:ext uri="{FF2B5EF4-FFF2-40B4-BE49-F238E27FC236}">
              <a16:creationId xmlns:a16="http://schemas.microsoft.com/office/drawing/2014/main" id="{F911BEF3-0058-CE6D-3D35-35C6C0DDC4E3}"/>
            </a:ext>
          </a:extLst>
        </xdr:cNvPr>
        <xdr:cNvSpPr>
          <a:spLocks noChangeShapeType="1"/>
        </xdr:cNvSpPr>
      </xdr:nvSpPr>
      <xdr:spPr bwMode="auto">
        <a:xfrm>
          <a:off x="5486400" y="1473200"/>
          <a:ext cx="0" cy="10160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12700</xdr:colOff>
      <xdr:row>1</xdr:row>
      <xdr:rowOff>127000</xdr:rowOff>
    </xdr:from>
    <xdr:to>
      <xdr:col>7</xdr:col>
      <xdr:colOff>12700</xdr:colOff>
      <xdr:row>6</xdr:row>
      <xdr:rowOff>114300</xdr:rowOff>
    </xdr:to>
    <xdr:sp macro="" textlink="">
      <xdr:nvSpPr>
        <xdr:cNvPr id="8800" name="Line 14">
          <a:extLst>
            <a:ext uri="{FF2B5EF4-FFF2-40B4-BE49-F238E27FC236}">
              <a16:creationId xmlns:a16="http://schemas.microsoft.com/office/drawing/2014/main" id="{E827738C-B772-9601-4ADA-F30693E4BBB0}"/>
            </a:ext>
          </a:extLst>
        </xdr:cNvPr>
        <xdr:cNvSpPr>
          <a:spLocks noChangeShapeType="1"/>
        </xdr:cNvSpPr>
      </xdr:nvSpPr>
      <xdr:spPr bwMode="auto">
        <a:xfrm flipV="1">
          <a:off x="4813300" y="292100"/>
          <a:ext cx="0" cy="9652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12700</xdr:colOff>
      <xdr:row>1</xdr:row>
      <xdr:rowOff>88900</xdr:rowOff>
    </xdr:from>
    <xdr:to>
      <xdr:col>9</xdr:col>
      <xdr:colOff>12700</xdr:colOff>
      <xdr:row>6</xdr:row>
      <xdr:rowOff>114300</xdr:rowOff>
    </xdr:to>
    <xdr:sp macro="" textlink="">
      <xdr:nvSpPr>
        <xdr:cNvPr id="8801" name="Line 15">
          <a:extLst>
            <a:ext uri="{FF2B5EF4-FFF2-40B4-BE49-F238E27FC236}">
              <a16:creationId xmlns:a16="http://schemas.microsoft.com/office/drawing/2014/main" id="{AEC51D19-79E4-A005-0EE6-9E026315FFC2}"/>
            </a:ext>
          </a:extLst>
        </xdr:cNvPr>
        <xdr:cNvSpPr>
          <a:spLocks noChangeShapeType="1"/>
        </xdr:cNvSpPr>
      </xdr:nvSpPr>
      <xdr:spPr bwMode="auto">
        <a:xfrm flipV="1">
          <a:off x="6159500" y="254000"/>
          <a:ext cx="0" cy="10033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2</xdr:row>
      <xdr:rowOff>12700</xdr:rowOff>
    </xdr:from>
    <xdr:to>
      <xdr:col>9</xdr:col>
      <xdr:colOff>50800</xdr:colOff>
      <xdr:row>2</xdr:row>
      <xdr:rowOff>12700</xdr:rowOff>
    </xdr:to>
    <xdr:sp macro="" textlink="">
      <xdr:nvSpPr>
        <xdr:cNvPr id="8802" name="Line 16">
          <a:extLst>
            <a:ext uri="{FF2B5EF4-FFF2-40B4-BE49-F238E27FC236}">
              <a16:creationId xmlns:a16="http://schemas.microsoft.com/office/drawing/2014/main" id="{A12CD30E-6011-7E31-891E-6BAEA1F60640}"/>
            </a:ext>
          </a:extLst>
        </xdr:cNvPr>
        <xdr:cNvSpPr>
          <a:spLocks noChangeShapeType="1"/>
        </xdr:cNvSpPr>
      </xdr:nvSpPr>
      <xdr:spPr bwMode="auto">
        <a:xfrm>
          <a:off x="4800600" y="381000"/>
          <a:ext cx="13970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292100</xdr:colOff>
      <xdr:row>6</xdr:row>
      <xdr:rowOff>165100</xdr:rowOff>
    </xdr:from>
    <xdr:to>
      <xdr:col>7</xdr:col>
      <xdr:colOff>406400</xdr:colOff>
      <xdr:row>7</xdr:row>
      <xdr:rowOff>76200</xdr:rowOff>
    </xdr:to>
    <xdr:sp macro="" textlink="">
      <xdr:nvSpPr>
        <xdr:cNvPr id="8803" name="Rectangle 17">
          <a:extLst>
            <a:ext uri="{FF2B5EF4-FFF2-40B4-BE49-F238E27FC236}">
              <a16:creationId xmlns:a16="http://schemas.microsoft.com/office/drawing/2014/main" id="{CE8E54CC-A190-981C-1517-E2ECF027CDB3}"/>
            </a:ext>
          </a:extLst>
        </xdr:cNvPr>
        <xdr:cNvSpPr>
          <a:spLocks noChangeArrowheads="1"/>
        </xdr:cNvSpPr>
      </xdr:nvSpPr>
      <xdr:spPr bwMode="auto">
        <a:xfrm>
          <a:off x="5092700" y="1308100"/>
          <a:ext cx="114300" cy="114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FF" mc:Ignorable="a14" a14:legacySpreadsheetColorIndex="12"/>
        </a:solidFill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304800</xdr:colOff>
      <xdr:row>6</xdr:row>
      <xdr:rowOff>165100</xdr:rowOff>
    </xdr:from>
    <xdr:to>
      <xdr:col>8</xdr:col>
      <xdr:colOff>406400</xdr:colOff>
      <xdr:row>7</xdr:row>
      <xdr:rowOff>76200</xdr:rowOff>
    </xdr:to>
    <xdr:sp macro="" textlink="">
      <xdr:nvSpPr>
        <xdr:cNvPr id="8804" name="Rectangle 18">
          <a:extLst>
            <a:ext uri="{FF2B5EF4-FFF2-40B4-BE49-F238E27FC236}">
              <a16:creationId xmlns:a16="http://schemas.microsoft.com/office/drawing/2014/main" id="{426FA4B6-4961-361C-A3D0-6680E471D432}"/>
            </a:ext>
          </a:extLst>
        </xdr:cNvPr>
        <xdr:cNvSpPr>
          <a:spLocks noChangeArrowheads="1"/>
        </xdr:cNvSpPr>
      </xdr:nvSpPr>
      <xdr:spPr bwMode="auto">
        <a:xfrm>
          <a:off x="5778500" y="1308100"/>
          <a:ext cx="101600" cy="114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FF" mc:Ignorable="a14" a14:legacySpreadsheetColorIndex="12"/>
        </a:solidFill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342900</xdr:colOff>
      <xdr:row>2</xdr:row>
      <xdr:rowOff>254000</xdr:rowOff>
    </xdr:from>
    <xdr:to>
      <xdr:col>7</xdr:col>
      <xdr:colOff>342900</xdr:colOff>
      <xdr:row>8</xdr:row>
      <xdr:rowOff>0</xdr:rowOff>
    </xdr:to>
    <xdr:sp macro="" textlink="">
      <xdr:nvSpPr>
        <xdr:cNvPr id="8805" name="Line 19">
          <a:extLst>
            <a:ext uri="{FF2B5EF4-FFF2-40B4-BE49-F238E27FC236}">
              <a16:creationId xmlns:a16="http://schemas.microsoft.com/office/drawing/2014/main" id="{5C2E1124-2339-2014-3D21-2C81BAF08F95}"/>
            </a:ext>
          </a:extLst>
        </xdr:cNvPr>
        <xdr:cNvSpPr>
          <a:spLocks noChangeShapeType="1"/>
        </xdr:cNvSpPr>
      </xdr:nvSpPr>
      <xdr:spPr bwMode="auto">
        <a:xfrm flipV="1">
          <a:off x="5143500" y="571500"/>
          <a:ext cx="0" cy="9779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Dot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355600</xdr:colOff>
      <xdr:row>2</xdr:row>
      <xdr:rowOff>279400</xdr:rowOff>
    </xdr:from>
    <xdr:to>
      <xdr:col>8</xdr:col>
      <xdr:colOff>368300</xdr:colOff>
      <xdr:row>8</xdr:row>
      <xdr:rowOff>0</xdr:rowOff>
    </xdr:to>
    <xdr:sp macro="" textlink="">
      <xdr:nvSpPr>
        <xdr:cNvPr id="8806" name="Line 20">
          <a:extLst>
            <a:ext uri="{FF2B5EF4-FFF2-40B4-BE49-F238E27FC236}">
              <a16:creationId xmlns:a16="http://schemas.microsoft.com/office/drawing/2014/main" id="{73B30B22-5D29-4D76-36CC-E03D0C2AB5B5}"/>
            </a:ext>
          </a:extLst>
        </xdr:cNvPr>
        <xdr:cNvSpPr>
          <a:spLocks noChangeShapeType="1"/>
        </xdr:cNvSpPr>
      </xdr:nvSpPr>
      <xdr:spPr bwMode="auto">
        <a:xfrm flipH="1" flipV="1">
          <a:off x="5829300" y="571500"/>
          <a:ext cx="12700" cy="9779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Dot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342900</xdr:colOff>
      <xdr:row>3</xdr:row>
      <xdr:rowOff>12700</xdr:rowOff>
    </xdr:from>
    <xdr:to>
      <xdr:col>8</xdr:col>
      <xdr:colOff>368300</xdr:colOff>
      <xdr:row>3</xdr:row>
      <xdr:rowOff>12700</xdr:rowOff>
    </xdr:to>
    <xdr:sp macro="" textlink="">
      <xdr:nvSpPr>
        <xdr:cNvPr id="8807" name="Line 21">
          <a:extLst>
            <a:ext uri="{FF2B5EF4-FFF2-40B4-BE49-F238E27FC236}">
              <a16:creationId xmlns:a16="http://schemas.microsoft.com/office/drawing/2014/main" id="{E58836C6-32F4-7B2C-A498-D61B048A9351}"/>
            </a:ext>
          </a:extLst>
        </xdr:cNvPr>
        <xdr:cNvSpPr>
          <a:spLocks noChangeShapeType="1"/>
        </xdr:cNvSpPr>
      </xdr:nvSpPr>
      <xdr:spPr bwMode="auto">
        <a:xfrm>
          <a:off x="5143500" y="584200"/>
          <a:ext cx="6985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457200</xdr:colOff>
      <xdr:row>7</xdr:row>
      <xdr:rowOff>0</xdr:rowOff>
    </xdr:from>
    <xdr:to>
      <xdr:col>6</xdr:col>
      <xdr:colOff>635000</xdr:colOff>
      <xdr:row>7</xdr:row>
      <xdr:rowOff>0</xdr:rowOff>
    </xdr:to>
    <xdr:sp macro="" textlink="">
      <xdr:nvSpPr>
        <xdr:cNvPr id="8808" name="Line 22">
          <a:extLst>
            <a:ext uri="{FF2B5EF4-FFF2-40B4-BE49-F238E27FC236}">
              <a16:creationId xmlns:a16="http://schemas.microsoft.com/office/drawing/2014/main" id="{C77C6BA4-C2CE-681F-2A1C-F6E58AE508D5}"/>
            </a:ext>
          </a:extLst>
        </xdr:cNvPr>
        <xdr:cNvSpPr>
          <a:spLocks noChangeShapeType="1"/>
        </xdr:cNvSpPr>
      </xdr:nvSpPr>
      <xdr:spPr bwMode="auto">
        <a:xfrm flipH="1">
          <a:off x="3911600" y="1346200"/>
          <a:ext cx="8509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495300</xdr:colOff>
      <xdr:row>11</xdr:row>
      <xdr:rowOff>241300</xdr:rowOff>
    </xdr:from>
    <xdr:to>
      <xdr:col>7</xdr:col>
      <xdr:colOff>571500</xdr:colOff>
      <xdr:row>11</xdr:row>
      <xdr:rowOff>241300</xdr:rowOff>
    </xdr:to>
    <xdr:sp macro="" textlink="">
      <xdr:nvSpPr>
        <xdr:cNvPr id="8809" name="Line 23">
          <a:extLst>
            <a:ext uri="{FF2B5EF4-FFF2-40B4-BE49-F238E27FC236}">
              <a16:creationId xmlns:a16="http://schemas.microsoft.com/office/drawing/2014/main" id="{45D59484-2BED-ECCE-A1D8-6820CA4A188A}"/>
            </a:ext>
          </a:extLst>
        </xdr:cNvPr>
        <xdr:cNvSpPr>
          <a:spLocks noChangeShapeType="1"/>
        </xdr:cNvSpPr>
      </xdr:nvSpPr>
      <xdr:spPr bwMode="auto">
        <a:xfrm flipH="1">
          <a:off x="3949700" y="2489200"/>
          <a:ext cx="14224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609600</xdr:colOff>
      <xdr:row>7</xdr:row>
      <xdr:rowOff>12700</xdr:rowOff>
    </xdr:from>
    <xdr:to>
      <xdr:col>5</xdr:col>
      <xdr:colOff>609600</xdr:colOff>
      <xdr:row>11</xdr:row>
      <xdr:rowOff>266700</xdr:rowOff>
    </xdr:to>
    <xdr:sp macro="" textlink="">
      <xdr:nvSpPr>
        <xdr:cNvPr id="8810" name="Line 24">
          <a:extLst>
            <a:ext uri="{FF2B5EF4-FFF2-40B4-BE49-F238E27FC236}">
              <a16:creationId xmlns:a16="http://schemas.microsoft.com/office/drawing/2014/main" id="{DFC2A040-5876-FF8A-03C8-1FA82E69DC2B}"/>
            </a:ext>
          </a:extLst>
        </xdr:cNvPr>
        <xdr:cNvSpPr>
          <a:spLocks noChangeShapeType="1"/>
        </xdr:cNvSpPr>
      </xdr:nvSpPr>
      <xdr:spPr bwMode="auto">
        <a:xfrm flipV="1">
          <a:off x="4064000" y="1358900"/>
          <a:ext cx="0" cy="11557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215900</xdr:colOff>
      <xdr:row>10</xdr:row>
      <xdr:rowOff>203200</xdr:rowOff>
    </xdr:from>
    <xdr:to>
      <xdr:col>7</xdr:col>
      <xdr:colOff>635000</xdr:colOff>
      <xdr:row>10</xdr:row>
      <xdr:rowOff>203200</xdr:rowOff>
    </xdr:to>
    <xdr:sp macro="" textlink="">
      <xdr:nvSpPr>
        <xdr:cNvPr id="8811" name="Line 25">
          <a:extLst>
            <a:ext uri="{FF2B5EF4-FFF2-40B4-BE49-F238E27FC236}">
              <a16:creationId xmlns:a16="http://schemas.microsoft.com/office/drawing/2014/main" id="{326C19EC-9338-790F-34DD-C7A7F64FF3C1}"/>
            </a:ext>
          </a:extLst>
        </xdr:cNvPr>
        <xdr:cNvSpPr>
          <a:spLocks noChangeShapeType="1"/>
        </xdr:cNvSpPr>
      </xdr:nvSpPr>
      <xdr:spPr bwMode="auto">
        <a:xfrm>
          <a:off x="5016500" y="2159000"/>
          <a:ext cx="4191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25400</xdr:colOff>
      <xdr:row>10</xdr:row>
      <xdr:rowOff>190500</xdr:rowOff>
    </xdr:from>
    <xdr:to>
      <xdr:col>8</xdr:col>
      <xdr:colOff>342900</xdr:colOff>
      <xdr:row>10</xdr:row>
      <xdr:rowOff>190500</xdr:rowOff>
    </xdr:to>
    <xdr:sp macro="" textlink="">
      <xdr:nvSpPr>
        <xdr:cNvPr id="8812" name="Line 26">
          <a:extLst>
            <a:ext uri="{FF2B5EF4-FFF2-40B4-BE49-F238E27FC236}">
              <a16:creationId xmlns:a16="http://schemas.microsoft.com/office/drawing/2014/main" id="{81D75026-D6ED-2143-380E-B915DB077B6B}"/>
            </a:ext>
          </a:extLst>
        </xdr:cNvPr>
        <xdr:cNvSpPr>
          <a:spLocks noChangeShapeType="1"/>
        </xdr:cNvSpPr>
      </xdr:nvSpPr>
      <xdr:spPr bwMode="auto">
        <a:xfrm>
          <a:off x="5499100" y="2146300"/>
          <a:ext cx="3175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203200</xdr:colOff>
      <xdr:row>7</xdr:row>
      <xdr:rowOff>127000</xdr:rowOff>
    </xdr:from>
    <xdr:to>
      <xdr:col>7</xdr:col>
      <xdr:colOff>139700</xdr:colOff>
      <xdr:row>7</xdr:row>
      <xdr:rowOff>127000</xdr:rowOff>
    </xdr:to>
    <xdr:sp macro="" textlink="">
      <xdr:nvSpPr>
        <xdr:cNvPr id="8813" name="Line 27">
          <a:extLst>
            <a:ext uri="{FF2B5EF4-FFF2-40B4-BE49-F238E27FC236}">
              <a16:creationId xmlns:a16="http://schemas.microsoft.com/office/drawing/2014/main" id="{C4994000-320E-15F8-A4B5-C85D32BAA143}"/>
            </a:ext>
          </a:extLst>
        </xdr:cNvPr>
        <xdr:cNvSpPr>
          <a:spLocks noChangeShapeType="1"/>
        </xdr:cNvSpPr>
      </xdr:nvSpPr>
      <xdr:spPr bwMode="auto">
        <a:xfrm flipH="1">
          <a:off x="4330700" y="1473200"/>
          <a:ext cx="6096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254000</xdr:colOff>
      <xdr:row>7</xdr:row>
      <xdr:rowOff>127000</xdr:rowOff>
    </xdr:from>
    <xdr:to>
      <xdr:col>6</xdr:col>
      <xdr:colOff>254000</xdr:colOff>
      <xdr:row>8</xdr:row>
      <xdr:rowOff>190500</xdr:rowOff>
    </xdr:to>
    <xdr:sp macro="" textlink="">
      <xdr:nvSpPr>
        <xdr:cNvPr id="8814" name="Line 28">
          <a:extLst>
            <a:ext uri="{FF2B5EF4-FFF2-40B4-BE49-F238E27FC236}">
              <a16:creationId xmlns:a16="http://schemas.microsoft.com/office/drawing/2014/main" id="{22114C0B-CC39-00F2-CD77-57FD7362DA47}"/>
            </a:ext>
          </a:extLst>
        </xdr:cNvPr>
        <xdr:cNvSpPr>
          <a:spLocks noChangeShapeType="1"/>
        </xdr:cNvSpPr>
      </xdr:nvSpPr>
      <xdr:spPr bwMode="auto">
        <a:xfrm>
          <a:off x="4381500" y="1473200"/>
          <a:ext cx="0" cy="2667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254000</xdr:colOff>
      <xdr:row>5</xdr:row>
      <xdr:rowOff>76200</xdr:rowOff>
    </xdr:from>
    <xdr:to>
      <xdr:col>6</xdr:col>
      <xdr:colOff>254000</xdr:colOff>
      <xdr:row>6</xdr:row>
      <xdr:rowOff>177800</xdr:rowOff>
    </xdr:to>
    <xdr:sp macro="" textlink="">
      <xdr:nvSpPr>
        <xdr:cNvPr id="8815" name="Line 29">
          <a:extLst>
            <a:ext uri="{FF2B5EF4-FFF2-40B4-BE49-F238E27FC236}">
              <a16:creationId xmlns:a16="http://schemas.microsoft.com/office/drawing/2014/main" id="{1AFEEDBA-AE49-B6F2-9D45-55F8E4A0207E}"/>
            </a:ext>
          </a:extLst>
        </xdr:cNvPr>
        <xdr:cNvSpPr>
          <a:spLocks noChangeShapeType="1"/>
        </xdr:cNvSpPr>
      </xdr:nvSpPr>
      <xdr:spPr bwMode="auto">
        <a:xfrm flipV="1">
          <a:off x="4381500" y="1016000"/>
          <a:ext cx="0" cy="3048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342900</xdr:colOff>
      <xdr:row>5</xdr:row>
      <xdr:rowOff>88900</xdr:rowOff>
    </xdr:from>
    <xdr:to>
      <xdr:col>6</xdr:col>
      <xdr:colOff>241300</xdr:colOff>
      <xdr:row>5</xdr:row>
      <xdr:rowOff>88900</xdr:rowOff>
    </xdr:to>
    <xdr:sp macro="" textlink="">
      <xdr:nvSpPr>
        <xdr:cNvPr id="8816" name="Line 30">
          <a:extLst>
            <a:ext uri="{FF2B5EF4-FFF2-40B4-BE49-F238E27FC236}">
              <a16:creationId xmlns:a16="http://schemas.microsoft.com/office/drawing/2014/main" id="{C79D3390-327B-67B6-EF72-FC2AAB8854FE}"/>
            </a:ext>
          </a:extLst>
        </xdr:cNvPr>
        <xdr:cNvSpPr>
          <a:spLocks noChangeShapeType="1"/>
        </xdr:cNvSpPr>
      </xdr:nvSpPr>
      <xdr:spPr bwMode="auto">
        <a:xfrm>
          <a:off x="3797300" y="1028700"/>
          <a:ext cx="5715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114300</xdr:colOff>
      <xdr:row>7</xdr:row>
      <xdr:rowOff>0</xdr:rowOff>
    </xdr:from>
    <xdr:to>
      <xdr:col>10</xdr:col>
      <xdr:colOff>368300</xdr:colOff>
      <xdr:row>7</xdr:row>
      <xdr:rowOff>12700</xdr:rowOff>
    </xdr:to>
    <xdr:sp macro="" textlink="">
      <xdr:nvSpPr>
        <xdr:cNvPr id="8817" name="Line 31">
          <a:extLst>
            <a:ext uri="{FF2B5EF4-FFF2-40B4-BE49-F238E27FC236}">
              <a16:creationId xmlns:a16="http://schemas.microsoft.com/office/drawing/2014/main" id="{936AD647-8949-D9E9-AEE0-F364E744A657}"/>
            </a:ext>
          </a:extLst>
        </xdr:cNvPr>
        <xdr:cNvSpPr>
          <a:spLocks noChangeShapeType="1"/>
        </xdr:cNvSpPr>
      </xdr:nvSpPr>
      <xdr:spPr bwMode="auto">
        <a:xfrm>
          <a:off x="6261100" y="1346200"/>
          <a:ext cx="1041400" cy="127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88900</xdr:colOff>
      <xdr:row>7</xdr:row>
      <xdr:rowOff>139700</xdr:rowOff>
    </xdr:from>
    <xdr:to>
      <xdr:col>9</xdr:col>
      <xdr:colOff>647700</xdr:colOff>
      <xdr:row>7</xdr:row>
      <xdr:rowOff>139700</xdr:rowOff>
    </xdr:to>
    <xdr:sp macro="" textlink="">
      <xdr:nvSpPr>
        <xdr:cNvPr id="8818" name="Line 32">
          <a:extLst>
            <a:ext uri="{FF2B5EF4-FFF2-40B4-BE49-F238E27FC236}">
              <a16:creationId xmlns:a16="http://schemas.microsoft.com/office/drawing/2014/main" id="{BFE96899-4015-B4A6-79B7-40F4B4E21907}"/>
            </a:ext>
          </a:extLst>
        </xdr:cNvPr>
        <xdr:cNvSpPr>
          <a:spLocks noChangeShapeType="1"/>
        </xdr:cNvSpPr>
      </xdr:nvSpPr>
      <xdr:spPr bwMode="auto">
        <a:xfrm>
          <a:off x="5562600" y="1485900"/>
          <a:ext cx="12319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596900</xdr:colOff>
      <xdr:row>5</xdr:row>
      <xdr:rowOff>152400</xdr:rowOff>
    </xdr:from>
    <xdr:to>
      <xdr:col>9</xdr:col>
      <xdr:colOff>596900</xdr:colOff>
      <xdr:row>6</xdr:row>
      <xdr:rowOff>190500</xdr:rowOff>
    </xdr:to>
    <xdr:sp macro="" textlink="">
      <xdr:nvSpPr>
        <xdr:cNvPr id="8819" name="Line 33">
          <a:extLst>
            <a:ext uri="{FF2B5EF4-FFF2-40B4-BE49-F238E27FC236}">
              <a16:creationId xmlns:a16="http://schemas.microsoft.com/office/drawing/2014/main" id="{C5426A0D-F80A-7905-FB05-3DDF050F55C6}"/>
            </a:ext>
          </a:extLst>
        </xdr:cNvPr>
        <xdr:cNvSpPr>
          <a:spLocks noChangeShapeType="1"/>
        </xdr:cNvSpPr>
      </xdr:nvSpPr>
      <xdr:spPr bwMode="auto">
        <a:xfrm flipV="1">
          <a:off x="6743700" y="1092200"/>
          <a:ext cx="0" cy="2413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609600</xdr:colOff>
      <xdr:row>7</xdr:row>
      <xdr:rowOff>139700</xdr:rowOff>
    </xdr:from>
    <xdr:to>
      <xdr:col>9</xdr:col>
      <xdr:colOff>609600</xdr:colOff>
      <xdr:row>9</xdr:row>
      <xdr:rowOff>0</xdr:rowOff>
    </xdr:to>
    <xdr:sp macro="" textlink="">
      <xdr:nvSpPr>
        <xdr:cNvPr id="8820" name="Line 34">
          <a:extLst>
            <a:ext uri="{FF2B5EF4-FFF2-40B4-BE49-F238E27FC236}">
              <a16:creationId xmlns:a16="http://schemas.microsoft.com/office/drawing/2014/main" id="{8229C4F4-3A0A-8374-1070-6812584930D4}"/>
            </a:ext>
          </a:extLst>
        </xdr:cNvPr>
        <xdr:cNvSpPr>
          <a:spLocks noChangeShapeType="1"/>
        </xdr:cNvSpPr>
      </xdr:nvSpPr>
      <xdr:spPr bwMode="auto">
        <a:xfrm>
          <a:off x="6756400" y="1485900"/>
          <a:ext cx="0" cy="2667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609600</xdr:colOff>
      <xdr:row>5</xdr:row>
      <xdr:rowOff>139700</xdr:rowOff>
    </xdr:from>
    <xdr:to>
      <xdr:col>10</xdr:col>
      <xdr:colOff>76200</xdr:colOff>
      <xdr:row>5</xdr:row>
      <xdr:rowOff>139700</xdr:rowOff>
    </xdr:to>
    <xdr:sp macro="" textlink="">
      <xdr:nvSpPr>
        <xdr:cNvPr id="8821" name="Line 35">
          <a:extLst>
            <a:ext uri="{FF2B5EF4-FFF2-40B4-BE49-F238E27FC236}">
              <a16:creationId xmlns:a16="http://schemas.microsoft.com/office/drawing/2014/main" id="{9BD595BB-7D5A-E473-D7DD-FE7B84698CEA}"/>
            </a:ext>
          </a:extLst>
        </xdr:cNvPr>
        <xdr:cNvSpPr>
          <a:spLocks noChangeShapeType="1"/>
        </xdr:cNvSpPr>
      </xdr:nvSpPr>
      <xdr:spPr bwMode="auto">
        <a:xfrm>
          <a:off x="6756400" y="1079500"/>
          <a:ext cx="2540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508000</xdr:colOff>
      <xdr:row>9</xdr:row>
      <xdr:rowOff>152400</xdr:rowOff>
    </xdr:from>
    <xdr:to>
      <xdr:col>10</xdr:col>
      <xdr:colOff>368300</xdr:colOff>
      <xdr:row>9</xdr:row>
      <xdr:rowOff>152400</xdr:rowOff>
    </xdr:to>
    <xdr:sp macro="" textlink="">
      <xdr:nvSpPr>
        <xdr:cNvPr id="8822" name="Line 36">
          <a:extLst>
            <a:ext uri="{FF2B5EF4-FFF2-40B4-BE49-F238E27FC236}">
              <a16:creationId xmlns:a16="http://schemas.microsoft.com/office/drawing/2014/main" id="{13D95933-88B2-A376-FBAF-68C245D371B5}"/>
            </a:ext>
          </a:extLst>
        </xdr:cNvPr>
        <xdr:cNvSpPr>
          <a:spLocks noChangeShapeType="1"/>
        </xdr:cNvSpPr>
      </xdr:nvSpPr>
      <xdr:spPr bwMode="auto">
        <a:xfrm>
          <a:off x="5308600" y="1905000"/>
          <a:ext cx="19939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Dot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609600</xdr:colOff>
      <xdr:row>9</xdr:row>
      <xdr:rowOff>88900</xdr:rowOff>
    </xdr:from>
    <xdr:to>
      <xdr:col>8</xdr:col>
      <xdr:colOff>38100</xdr:colOff>
      <xdr:row>10</xdr:row>
      <xdr:rowOff>63500</xdr:rowOff>
    </xdr:to>
    <xdr:sp macro="" textlink="">
      <xdr:nvSpPr>
        <xdr:cNvPr id="8823" name="Rectangle 37">
          <a:extLst>
            <a:ext uri="{FF2B5EF4-FFF2-40B4-BE49-F238E27FC236}">
              <a16:creationId xmlns:a16="http://schemas.microsoft.com/office/drawing/2014/main" id="{6A0A4D9B-6968-BB30-2572-43B868BF60F6}"/>
            </a:ext>
          </a:extLst>
        </xdr:cNvPr>
        <xdr:cNvSpPr>
          <a:spLocks noChangeArrowheads="1"/>
        </xdr:cNvSpPr>
      </xdr:nvSpPr>
      <xdr:spPr bwMode="auto">
        <a:xfrm>
          <a:off x="5410200" y="1841500"/>
          <a:ext cx="101600" cy="177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FF" mc:Ignorable="a14" a14:legacySpreadsheetColorIndex="1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254000</xdr:colOff>
      <xdr:row>9</xdr:row>
      <xdr:rowOff>25400</xdr:rowOff>
    </xdr:from>
    <xdr:to>
      <xdr:col>10</xdr:col>
      <xdr:colOff>254000</xdr:colOff>
      <xdr:row>9</xdr:row>
      <xdr:rowOff>152400</xdr:rowOff>
    </xdr:to>
    <xdr:sp macro="" textlink="">
      <xdr:nvSpPr>
        <xdr:cNvPr id="8824" name="Line 38">
          <a:extLst>
            <a:ext uri="{FF2B5EF4-FFF2-40B4-BE49-F238E27FC236}">
              <a16:creationId xmlns:a16="http://schemas.microsoft.com/office/drawing/2014/main" id="{AA2DE1CA-B517-3B21-4485-8E7B78E8ECF3}"/>
            </a:ext>
          </a:extLst>
        </xdr:cNvPr>
        <xdr:cNvSpPr>
          <a:spLocks noChangeShapeType="1"/>
        </xdr:cNvSpPr>
      </xdr:nvSpPr>
      <xdr:spPr bwMode="auto">
        <a:xfrm flipV="1">
          <a:off x="7188200" y="1778000"/>
          <a:ext cx="0" cy="1270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254000</xdr:colOff>
      <xdr:row>7</xdr:row>
      <xdr:rowOff>0</xdr:rowOff>
    </xdr:from>
    <xdr:to>
      <xdr:col>10</xdr:col>
      <xdr:colOff>254000</xdr:colOff>
      <xdr:row>7</xdr:row>
      <xdr:rowOff>139700</xdr:rowOff>
    </xdr:to>
    <xdr:sp macro="" textlink="">
      <xdr:nvSpPr>
        <xdr:cNvPr id="8825" name="Line 39">
          <a:extLst>
            <a:ext uri="{FF2B5EF4-FFF2-40B4-BE49-F238E27FC236}">
              <a16:creationId xmlns:a16="http://schemas.microsoft.com/office/drawing/2014/main" id="{A30C1436-22A9-AB4D-C701-7880D419F56F}"/>
            </a:ext>
          </a:extLst>
        </xdr:cNvPr>
        <xdr:cNvSpPr>
          <a:spLocks noChangeShapeType="1"/>
        </xdr:cNvSpPr>
      </xdr:nvSpPr>
      <xdr:spPr bwMode="auto">
        <a:xfrm>
          <a:off x="7188200" y="1346200"/>
          <a:ext cx="0" cy="1397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20</xdr:col>
      <xdr:colOff>366889</xdr:colOff>
      <xdr:row>17</xdr:row>
      <xdr:rowOff>0</xdr:rowOff>
    </xdr:from>
    <xdr:to>
      <xdr:col>31</xdr:col>
      <xdr:colOff>472722</xdr:colOff>
      <xdr:row>31</xdr:row>
      <xdr:rowOff>93133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7DC0558-BC6E-2250-D419-7087C97C67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097000" y="3443111"/>
          <a:ext cx="7556500" cy="2463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C9305-3257-FA42-8175-BA9C240BDFAF}">
  <sheetPr codeName="Sheet1"/>
  <dimension ref="B1:N371"/>
  <sheetViews>
    <sheetView showGridLines="0" zoomScale="95" workbookViewId="0">
      <pane ySplit="19" topLeftCell="A215" activePane="bottomLeft" state="frozen"/>
      <selection pane="bottomLeft" activeCell="D13" sqref="D13"/>
    </sheetView>
  </sheetViews>
  <sheetFormatPr baseColWidth="10" defaultColWidth="8.83203125" defaultRowHeight="13" x14ac:dyDescent="0.15"/>
  <cols>
    <col min="1" max="1" width="2.5" customWidth="1"/>
    <col min="2" max="2" width="13.33203125" bestFit="1" customWidth="1"/>
    <col min="3" max="4" width="8.83203125" customWidth="1"/>
    <col min="5" max="5" width="9.83203125" customWidth="1"/>
    <col min="6" max="7" width="8.83203125" customWidth="1"/>
    <col min="8" max="8" width="9.33203125" customWidth="1"/>
    <col min="9" max="9" width="9.6640625" customWidth="1"/>
    <col min="10" max="10" width="10" customWidth="1"/>
    <col min="11" max="11" width="12.83203125" customWidth="1"/>
    <col min="12" max="12" width="13.33203125" customWidth="1"/>
    <col min="13" max="13" width="12" customWidth="1"/>
    <col min="14" max="14" width="0" hidden="1" customWidth="1"/>
  </cols>
  <sheetData>
    <row r="1" spans="2:14" x14ac:dyDescent="0.15">
      <c r="B1" s="112">
        <f ca="1">NOW()</f>
        <v>45636.449309606483</v>
      </c>
      <c r="M1" s="31" t="s">
        <v>1739</v>
      </c>
      <c r="N1" s="31"/>
    </row>
    <row r="2" spans="2:14" ht="16" x14ac:dyDescent="0.2">
      <c r="B2" s="117"/>
      <c r="H2" s="35" t="s">
        <v>1765</v>
      </c>
      <c r="M2" t="s">
        <v>1738</v>
      </c>
    </row>
    <row r="3" spans="2:14" ht="23" x14ac:dyDescent="0.25">
      <c r="D3" s="188" t="s">
        <v>1049</v>
      </c>
      <c r="H3" s="35" t="s">
        <v>1674</v>
      </c>
    </row>
    <row r="4" spans="2:14" x14ac:dyDescent="0.15">
      <c r="H4" s="187"/>
    </row>
    <row r="5" spans="2:14" ht="16" x14ac:dyDescent="0.2">
      <c r="H5" s="35" t="s">
        <v>1675</v>
      </c>
    </row>
    <row r="6" spans="2:14" ht="16" x14ac:dyDescent="0.2">
      <c r="E6" s="35" t="s">
        <v>1671</v>
      </c>
      <c r="F6" s="187"/>
      <c r="K6" s="35" t="s">
        <v>1676</v>
      </c>
    </row>
    <row r="9" spans="2:14" ht="16" x14ac:dyDescent="0.2">
      <c r="K9" s="35" t="s">
        <v>1677</v>
      </c>
    </row>
    <row r="11" spans="2:14" ht="16" x14ac:dyDescent="0.2">
      <c r="F11" s="35" t="s">
        <v>846</v>
      </c>
    </row>
    <row r="12" spans="2:14" ht="16" x14ac:dyDescent="0.2">
      <c r="F12" s="35" t="s">
        <v>1672</v>
      </c>
    </row>
    <row r="13" spans="2:14" ht="16" x14ac:dyDescent="0.2">
      <c r="I13" s="35" t="s">
        <v>1670</v>
      </c>
    </row>
    <row r="17" spans="2:14" ht="14" thickBot="1" x14ac:dyDescent="0.2">
      <c r="B17" s="284" t="s">
        <v>1516</v>
      </c>
      <c r="C17" s="133"/>
      <c r="D17" s="133"/>
      <c r="E17" s="133"/>
      <c r="F17" s="133"/>
      <c r="G17" s="133"/>
      <c r="H17" s="133"/>
    </row>
    <row r="18" spans="2:14" ht="16" x14ac:dyDescent="0.2">
      <c r="B18" s="361" t="s">
        <v>844</v>
      </c>
      <c r="C18" s="362" t="s">
        <v>846</v>
      </c>
      <c r="D18" s="362" t="s">
        <v>856</v>
      </c>
      <c r="E18" s="362" t="s">
        <v>858</v>
      </c>
      <c r="F18" s="362" t="s">
        <v>859</v>
      </c>
      <c r="G18" s="363" t="s">
        <v>860</v>
      </c>
      <c r="H18" s="364" t="s">
        <v>861</v>
      </c>
      <c r="I18" s="362" t="s">
        <v>847</v>
      </c>
      <c r="J18" s="365" t="s">
        <v>1047</v>
      </c>
      <c r="K18" s="365" t="s">
        <v>1514</v>
      </c>
      <c r="L18" s="365" t="s">
        <v>1743</v>
      </c>
      <c r="M18" s="365" t="s">
        <v>1435</v>
      </c>
    </row>
    <row r="19" spans="2:14" ht="19" thickBot="1" x14ac:dyDescent="0.25">
      <c r="B19" s="366" t="s">
        <v>845</v>
      </c>
      <c r="C19" s="367" t="s">
        <v>855</v>
      </c>
      <c r="D19" s="367" t="s">
        <v>857</v>
      </c>
      <c r="E19" s="367" t="s">
        <v>1046</v>
      </c>
      <c r="F19" s="368" t="s">
        <v>892</v>
      </c>
      <c r="G19" s="369"/>
      <c r="H19" s="370"/>
      <c r="I19" s="371" t="s">
        <v>848</v>
      </c>
      <c r="J19" s="370" t="s">
        <v>848</v>
      </c>
      <c r="K19" s="370" t="s">
        <v>1515</v>
      </c>
      <c r="L19" s="372" t="s">
        <v>1744</v>
      </c>
      <c r="M19" s="372" t="s">
        <v>1764</v>
      </c>
    </row>
    <row r="20" spans="2:14" x14ac:dyDescent="0.15">
      <c r="B20" s="140" t="s">
        <v>1517</v>
      </c>
      <c r="C20" s="141">
        <v>44</v>
      </c>
      <c r="D20" s="142">
        <v>1</v>
      </c>
      <c r="E20" s="141">
        <v>11.75</v>
      </c>
      <c r="F20" s="141">
        <v>1.75</v>
      </c>
      <c r="G20" s="143">
        <v>2.6875</v>
      </c>
      <c r="H20" s="141">
        <v>1.375</v>
      </c>
      <c r="I20" s="144"/>
      <c r="J20" s="144"/>
      <c r="K20" s="150">
        <f t="shared" ref="K20:K60" si="0">((C20-(F20*2))*2+(E20*4)+(F20*4)-(D20*2))*12/144</f>
        <v>11.083333333333334</v>
      </c>
      <c r="L20" s="269">
        <f>K20*3.2808399*0.09290304</f>
        <v>3.3782000051348642</v>
      </c>
      <c r="M20" s="269">
        <f>N20*3.2808399*0.4535924</f>
        <v>424.12675261317662</v>
      </c>
      <c r="N20" s="1">
        <v>285</v>
      </c>
    </row>
    <row r="21" spans="2:14" x14ac:dyDescent="0.15">
      <c r="B21" s="145" t="s">
        <v>1518</v>
      </c>
      <c r="C21" s="146">
        <v>43.625</v>
      </c>
      <c r="D21" s="146">
        <v>0.875</v>
      </c>
      <c r="E21" s="146">
        <v>11.75</v>
      </c>
      <c r="F21" s="146">
        <v>1.5625</v>
      </c>
      <c r="G21" s="147">
        <v>2.5</v>
      </c>
      <c r="H21" s="146">
        <v>1.3125</v>
      </c>
      <c r="I21" s="148"/>
      <c r="J21" s="148"/>
      <c r="K21" s="150">
        <f t="shared" si="0"/>
        <v>11.041666666666666</v>
      </c>
      <c r="L21" s="270">
        <f>K21*3.2808399*0.09290304</f>
        <v>3.3655000051155604</v>
      </c>
      <c r="M21" s="270">
        <f>N21*3.2808399*0.4535924</f>
        <v>369.06468297567648</v>
      </c>
      <c r="N21" s="1">
        <v>248</v>
      </c>
    </row>
    <row r="22" spans="2:14" x14ac:dyDescent="0.15">
      <c r="B22" s="145" t="s">
        <v>1519</v>
      </c>
      <c r="C22" s="146">
        <v>43.25</v>
      </c>
      <c r="D22" s="146">
        <v>0.8125</v>
      </c>
      <c r="E22" s="146">
        <v>11.75</v>
      </c>
      <c r="F22" s="146">
        <v>1.4375</v>
      </c>
      <c r="G22" s="147">
        <v>2.3125</v>
      </c>
      <c r="H22" s="146">
        <v>1.3125</v>
      </c>
      <c r="I22" s="148"/>
      <c r="J22" s="148"/>
      <c r="K22" s="150">
        <f t="shared" si="0"/>
        <v>10.989583333333334</v>
      </c>
      <c r="L22" s="271">
        <f>K22*3.2808399*0.09290304</f>
        <v>3.3496250050914305</v>
      </c>
      <c r="M22" s="271">
        <f>N22*3.2808399*0.4535924</f>
        <v>333.34874591351428</v>
      </c>
      <c r="N22" s="1">
        <v>224</v>
      </c>
    </row>
    <row r="23" spans="2:14" x14ac:dyDescent="0.15">
      <c r="B23" s="145" t="s">
        <v>1520</v>
      </c>
      <c r="C23" s="321">
        <v>42.875</v>
      </c>
      <c r="D23" s="321">
        <v>0.6875</v>
      </c>
      <c r="E23" s="321">
        <v>11.75</v>
      </c>
      <c r="F23" s="321">
        <v>1.25</v>
      </c>
      <c r="G23" s="322">
        <v>2.125</v>
      </c>
      <c r="H23" s="321">
        <v>1.25</v>
      </c>
      <c r="I23" s="323"/>
      <c r="J23" s="323"/>
      <c r="K23" s="324">
        <f t="shared" si="0"/>
        <v>10.947916666666666</v>
      </c>
      <c r="L23" s="304">
        <f>K23*3.2808399*0.09290304</f>
        <v>3.3369250050721266</v>
      </c>
      <c r="M23" s="270">
        <f>N23*3.2808399*0.4535924</f>
        <v>294.6564807628385</v>
      </c>
      <c r="N23" s="1">
        <v>198</v>
      </c>
    </row>
    <row r="24" spans="2:14" x14ac:dyDescent="0.15">
      <c r="B24" s="305"/>
      <c r="C24" s="320"/>
      <c r="D24" s="320"/>
      <c r="E24" s="320"/>
      <c r="F24" s="320"/>
      <c r="G24" s="320"/>
      <c r="H24" s="320"/>
      <c r="I24" s="80"/>
      <c r="J24" s="80"/>
      <c r="K24" s="80"/>
      <c r="L24" s="326"/>
      <c r="M24" s="312"/>
      <c r="N24" s="1"/>
    </row>
    <row r="25" spans="2:14" x14ac:dyDescent="0.15">
      <c r="B25" s="145" t="s">
        <v>1521</v>
      </c>
      <c r="C25" s="146">
        <v>40</v>
      </c>
      <c r="D25" s="146">
        <v>0.9375</v>
      </c>
      <c r="E25" s="146">
        <v>17.875</v>
      </c>
      <c r="F25" s="146">
        <v>1.75</v>
      </c>
      <c r="G25" s="147">
        <v>3.125</v>
      </c>
      <c r="H25" s="146">
        <v>1.6875</v>
      </c>
      <c r="I25" s="148"/>
      <c r="J25" s="148"/>
      <c r="K25" s="150">
        <f t="shared" si="0"/>
        <v>12.46875</v>
      </c>
      <c r="L25" s="270">
        <f>K25*3.2808399*0.09290304</f>
        <v>3.8004750057767223</v>
      </c>
      <c r="M25" s="270">
        <f t="shared" ref="M25:M30" si="1">N25*3.2808399*0.4535924</f>
        <v>488.11780651621729</v>
      </c>
      <c r="N25" s="1">
        <v>328</v>
      </c>
    </row>
    <row r="26" spans="2:14" x14ac:dyDescent="0.15">
      <c r="B26" s="145" t="s">
        <v>1522</v>
      </c>
      <c r="C26" s="146">
        <v>39.75</v>
      </c>
      <c r="D26" s="146">
        <v>0.8125</v>
      </c>
      <c r="E26" s="146">
        <v>17.875</v>
      </c>
      <c r="F26" s="146">
        <v>1.5625</v>
      </c>
      <c r="G26" s="147">
        <v>3</v>
      </c>
      <c r="H26" s="146">
        <v>1.625</v>
      </c>
      <c r="I26" s="148"/>
      <c r="J26" s="148"/>
      <c r="K26" s="150">
        <f t="shared" si="0"/>
        <v>12.447916666666666</v>
      </c>
      <c r="L26" s="271">
        <f>K26*3.2808399*0.09290304</f>
        <v>3.7941250057670706</v>
      </c>
      <c r="M26" s="271">
        <f t="shared" si="1"/>
        <v>443.47288518851451</v>
      </c>
      <c r="N26" s="1">
        <v>298</v>
      </c>
    </row>
    <row r="27" spans="2:14" x14ac:dyDescent="0.15">
      <c r="B27" s="145" t="s">
        <v>1524</v>
      </c>
      <c r="C27" s="146">
        <v>39.375</v>
      </c>
      <c r="D27" s="146">
        <v>0.75</v>
      </c>
      <c r="E27" s="146">
        <v>17.75</v>
      </c>
      <c r="F27" s="146">
        <v>1.4375</v>
      </c>
      <c r="G27" s="147">
        <v>2.8125</v>
      </c>
      <c r="H27" s="146">
        <v>1.5625</v>
      </c>
      <c r="I27" s="148"/>
      <c r="J27" s="148"/>
      <c r="K27" s="150">
        <f t="shared" si="0"/>
        <v>12.354166666666666</v>
      </c>
      <c r="L27" s="271">
        <f t="shared" ref="L27:L89" si="2">K27*3.2808399*0.09290304</f>
        <v>3.765550005723636</v>
      </c>
      <c r="M27" s="271">
        <f t="shared" si="1"/>
        <v>398.82796386081168</v>
      </c>
      <c r="N27" s="1">
        <v>268</v>
      </c>
    </row>
    <row r="28" spans="2:14" x14ac:dyDescent="0.15">
      <c r="B28" s="145" t="s">
        <v>1523</v>
      </c>
      <c r="C28" s="146">
        <v>39</v>
      </c>
      <c r="D28" s="146">
        <v>0.6875</v>
      </c>
      <c r="E28" s="146">
        <v>17.75</v>
      </c>
      <c r="F28" s="146">
        <v>1.25</v>
      </c>
      <c r="G28" s="147">
        <v>2.625</v>
      </c>
      <c r="H28" s="146">
        <v>1.5625</v>
      </c>
      <c r="I28" s="148"/>
      <c r="J28" s="148"/>
      <c r="K28" s="150">
        <f t="shared" si="0"/>
        <v>12.302083333333334</v>
      </c>
      <c r="L28" s="271">
        <f t="shared" si="2"/>
        <v>3.7496750056995065</v>
      </c>
      <c r="M28" s="270">
        <f t="shared" si="1"/>
        <v>363.11202679864948</v>
      </c>
      <c r="N28" s="1">
        <v>244</v>
      </c>
    </row>
    <row r="29" spans="2:14" x14ac:dyDescent="0.15">
      <c r="B29" s="145" t="s">
        <v>1525</v>
      </c>
      <c r="C29" s="146">
        <v>38.625</v>
      </c>
      <c r="D29" s="146">
        <v>0.6875</v>
      </c>
      <c r="E29" s="146">
        <v>17.75</v>
      </c>
      <c r="F29" s="146">
        <v>1.0625</v>
      </c>
      <c r="G29" s="147">
        <v>2.4375</v>
      </c>
      <c r="H29" s="146">
        <v>1.5625</v>
      </c>
      <c r="I29" s="148"/>
      <c r="J29" s="148"/>
      <c r="K29" s="150">
        <f t="shared" si="0"/>
        <v>12.239583333333334</v>
      </c>
      <c r="L29" s="271">
        <f t="shared" si="2"/>
        <v>3.730625005670551</v>
      </c>
      <c r="M29" s="271">
        <f t="shared" si="1"/>
        <v>328.88425378074396</v>
      </c>
      <c r="N29" s="1">
        <v>221</v>
      </c>
    </row>
    <row r="30" spans="2:14" x14ac:dyDescent="0.15">
      <c r="B30" s="145" t="s">
        <v>1526</v>
      </c>
      <c r="C30" s="321">
        <v>38.25</v>
      </c>
      <c r="D30" s="321">
        <v>0.6875</v>
      </c>
      <c r="E30" s="321">
        <v>17.75</v>
      </c>
      <c r="F30" s="321">
        <v>0.8125</v>
      </c>
      <c r="G30" s="322">
        <v>2.25</v>
      </c>
      <c r="H30" s="321">
        <v>1.5625</v>
      </c>
      <c r="I30" s="323"/>
      <c r="J30" s="323"/>
      <c r="K30" s="324">
        <f t="shared" si="0"/>
        <v>12.177083333333334</v>
      </c>
      <c r="L30" s="325">
        <f t="shared" si="2"/>
        <v>3.7115750056415946</v>
      </c>
      <c r="M30" s="270">
        <f t="shared" si="1"/>
        <v>285.72749649729792</v>
      </c>
      <c r="N30" s="1">
        <v>192</v>
      </c>
    </row>
    <row r="31" spans="2:14" x14ac:dyDescent="0.15">
      <c r="B31" s="305"/>
      <c r="C31" s="320"/>
      <c r="D31" s="320"/>
      <c r="E31" s="320"/>
      <c r="F31" s="320"/>
      <c r="G31" s="320"/>
      <c r="H31" s="320"/>
      <c r="I31" s="80"/>
      <c r="J31" s="80"/>
      <c r="K31" s="80"/>
      <c r="L31" s="317"/>
      <c r="M31" s="312"/>
      <c r="N31" s="1"/>
    </row>
    <row r="32" spans="2:14" x14ac:dyDescent="0.15">
      <c r="B32" s="145" t="s">
        <v>1527</v>
      </c>
      <c r="C32" s="146">
        <v>43.625</v>
      </c>
      <c r="D32" s="146">
        <v>2</v>
      </c>
      <c r="E32" s="146">
        <v>16.875</v>
      </c>
      <c r="F32" s="146">
        <v>3.5625</v>
      </c>
      <c r="G32" s="147">
        <v>4.9375</v>
      </c>
      <c r="H32" s="146">
        <v>2.25</v>
      </c>
      <c r="I32" s="148"/>
      <c r="J32" s="148"/>
      <c r="K32" s="150">
        <f t="shared" si="0"/>
        <v>12.5625</v>
      </c>
      <c r="L32" s="270">
        <f t="shared" si="2"/>
        <v>3.829050005820156</v>
      </c>
      <c r="M32" s="271">
        <f t="shared" ref="M32:M97" si="3">N32*3.2808399*0.4535924</f>
        <v>974.74744898817778</v>
      </c>
      <c r="N32" s="1">
        <v>655</v>
      </c>
    </row>
    <row r="33" spans="2:14" x14ac:dyDescent="0.15">
      <c r="B33" s="145" t="s">
        <v>1528</v>
      </c>
      <c r="C33" s="146">
        <v>43</v>
      </c>
      <c r="D33" s="146">
        <v>1.8125</v>
      </c>
      <c r="E33" s="146">
        <v>16.75</v>
      </c>
      <c r="F33" s="146">
        <v>3.25</v>
      </c>
      <c r="G33" s="147">
        <v>4.625</v>
      </c>
      <c r="H33" s="146">
        <v>2.125</v>
      </c>
      <c r="I33" s="148"/>
      <c r="J33" s="148"/>
      <c r="K33" s="150">
        <f t="shared" si="0"/>
        <v>12.447916666666666</v>
      </c>
      <c r="L33" s="271">
        <f t="shared" si="2"/>
        <v>3.7941250057670706</v>
      </c>
      <c r="M33" s="271">
        <f t="shared" si="3"/>
        <v>882.48127824425876</v>
      </c>
      <c r="N33" s="1">
        <v>593</v>
      </c>
    </row>
    <row r="34" spans="2:14" x14ac:dyDescent="0.15">
      <c r="B34" s="145" t="s">
        <v>1529</v>
      </c>
      <c r="C34" s="146">
        <v>42.375</v>
      </c>
      <c r="D34" s="146">
        <v>1.625</v>
      </c>
      <c r="E34" s="146">
        <v>16.5</v>
      </c>
      <c r="F34" s="146">
        <v>2.9375</v>
      </c>
      <c r="G34" s="147">
        <v>4.3125</v>
      </c>
      <c r="H34" s="146">
        <v>2</v>
      </c>
      <c r="I34" s="148"/>
      <c r="J34" s="148"/>
      <c r="K34" s="150">
        <f t="shared" si="0"/>
        <v>12.291666666666666</v>
      </c>
      <c r="L34" s="271">
        <f t="shared" si="2"/>
        <v>3.7465000056946804</v>
      </c>
      <c r="M34" s="271">
        <f t="shared" si="3"/>
        <v>790.21510750033963</v>
      </c>
      <c r="N34" s="1">
        <v>531</v>
      </c>
    </row>
    <row r="35" spans="2:14" x14ac:dyDescent="0.15">
      <c r="B35" s="145" t="s">
        <v>1530</v>
      </c>
      <c r="C35" s="146">
        <v>41.75</v>
      </c>
      <c r="D35" s="146">
        <v>1.4375</v>
      </c>
      <c r="E35" s="146">
        <v>16.375</v>
      </c>
      <c r="F35" s="146">
        <v>2.625</v>
      </c>
      <c r="G35" s="147">
        <v>4</v>
      </c>
      <c r="H35" s="146">
        <v>2</v>
      </c>
      <c r="I35" s="148"/>
      <c r="J35" s="148"/>
      <c r="K35" s="150">
        <f t="shared" si="0"/>
        <v>12.177083333333334</v>
      </c>
      <c r="L35" s="271">
        <f t="shared" si="2"/>
        <v>3.7115750056415946</v>
      </c>
      <c r="M35" s="271">
        <f t="shared" si="3"/>
        <v>714.31874124324474</v>
      </c>
      <c r="N35" s="1">
        <v>480</v>
      </c>
    </row>
    <row r="36" spans="2:14" x14ac:dyDescent="0.15">
      <c r="B36" s="145" t="s">
        <v>1531</v>
      </c>
      <c r="C36" s="146">
        <v>41.375</v>
      </c>
      <c r="D36" s="146">
        <v>1.3125</v>
      </c>
      <c r="E36" s="146">
        <v>16.25</v>
      </c>
      <c r="F36" s="146">
        <v>2.375</v>
      </c>
      <c r="G36" s="147">
        <v>3.8125</v>
      </c>
      <c r="H36" s="146">
        <v>1.9375</v>
      </c>
      <c r="I36" s="148"/>
      <c r="J36" s="148"/>
      <c r="K36" s="150">
        <f t="shared" si="0"/>
        <v>12.09375</v>
      </c>
      <c r="L36" s="271">
        <f t="shared" si="2"/>
        <v>3.6861750056029861</v>
      </c>
      <c r="M36" s="271">
        <f t="shared" si="3"/>
        <v>648.8395232959474</v>
      </c>
      <c r="N36" s="1">
        <v>436</v>
      </c>
    </row>
    <row r="37" spans="2:14" x14ac:dyDescent="0.15">
      <c r="B37" s="145" t="s">
        <v>1532</v>
      </c>
      <c r="C37" s="146">
        <v>41</v>
      </c>
      <c r="D37" s="146">
        <v>1.25</v>
      </c>
      <c r="E37" s="146">
        <v>16.125</v>
      </c>
      <c r="F37" s="146">
        <v>2.1875</v>
      </c>
      <c r="G37" s="147">
        <v>3.625</v>
      </c>
      <c r="H37" s="146">
        <v>1.875</v>
      </c>
      <c r="I37" s="148"/>
      <c r="J37" s="148"/>
      <c r="K37" s="150">
        <f t="shared" si="0"/>
        <v>12</v>
      </c>
      <c r="L37" s="271">
        <f t="shared" si="2"/>
        <v>3.6576000055595523</v>
      </c>
      <c r="M37" s="271">
        <f t="shared" si="3"/>
        <v>590.80112556993367</v>
      </c>
      <c r="N37" s="1">
        <v>397</v>
      </c>
    </row>
    <row r="38" spans="2:14" x14ac:dyDescent="0.15">
      <c r="B38" s="145" t="s">
        <v>1533</v>
      </c>
      <c r="C38" s="146">
        <v>40.5</v>
      </c>
      <c r="D38" s="146">
        <v>1.125</v>
      </c>
      <c r="E38" s="146">
        <v>16</v>
      </c>
      <c r="F38" s="146">
        <v>2</v>
      </c>
      <c r="G38" s="147">
        <v>3.375</v>
      </c>
      <c r="H38" s="146">
        <v>1.8125</v>
      </c>
      <c r="I38" s="148"/>
      <c r="J38" s="148"/>
      <c r="K38" s="150">
        <f t="shared" si="0"/>
        <v>11.895833333333334</v>
      </c>
      <c r="L38" s="271">
        <f t="shared" si="2"/>
        <v>3.6258500055112926</v>
      </c>
      <c r="M38" s="271">
        <f t="shared" si="3"/>
        <v>538.71538402094711</v>
      </c>
      <c r="N38" s="1">
        <v>362</v>
      </c>
    </row>
    <row r="39" spans="2:14" x14ac:dyDescent="0.15">
      <c r="B39" s="145" t="s">
        <v>1534</v>
      </c>
      <c r="C39" s="146">
        <v>40.125</v>
      </c>
      <c r="D39" s="146">
        <v>1</v>
      </c>
      <c r="E39" s="146">
        <v>15.875</v>
      </c>
      <c r="F39" s="146">
        <v>1.8125</v>
      </c>
      <c r="G39" s="147">
        <v>3.1875</v>
      </c>
      <c r="H39" s="146">
        <v>1.75</v>
      </c>
      <c r="I39" s="148"/>
      <c r="J39" s="148"/>
      <c r="K39" s="150">
        <f t="shared" si="0"/>
        <v>11.8125</v>
      </c>
      <c r="L39" s="271">
        <f t="shared" si="2"/>
        <v>3.6004500054726845</v>
      </c>
      <c r="M39" s="271">
        <f t="shared" si="3"/>
        <v>482.16515033919023</v>
      </c>
      <c r="N39" s="1">
        <v>324</v>
      </c>
    </row>
    <row r="40" spans="2:14" x14ac:dyDescent="0.15">
      <c r="B40" s="145" t="s">
        <v>1535</v>
      </c>
      <c r="C40" s="146">
        <v>39.875</v>
      </c>
      <c r="D40" s="146">
        <v>0.9375</v>
      </c>
      <c r="E40" s="146">
        <v>15.875</v>
      </c>
      <c r="F40" s="146">
        <v>1.625</v>
      </c>
      <c r="G40" s="147">
        <v>3.0625</v>
      </c>
      <c r="H40" s="146">
        <v>1.6875</v>
      </c>
      <c r="I40" s="148"/>
      <c r="J40" s="148"/>
      <c r="K40" s="150">
        <f t="shared" si="0"/>
        <v>11.78125</v>
      </c>
      <c r="L40" s="271">
        <f t="shared" si="2"/>
        <v>3.5909250054582063</v>
      </c>
      <c r="M40" s="271">
        <f t="shared" si="3"/>
        <v>441.98472114425772</v>
      </c>
      <c r="N40" s="1">
        <v>297</v>
      </c>
    </row>
    <row r="41" spans="2:14" x14ac:dyDescent="0.15">
      <c r="B41" s="145" t="s">
        <v>1536</v>
      </c>
      <c r="C41" s="146">
        <v>39.75</v>
      </c>
      <c r="D41" s="146">
        <v>0.8125</v>
      </c>
      <c r="E41" s="146">
        <v>15.875</v>
      </c>
      <c r="F41" s="146">
        <v>1.5625</v>
      </c>
      <c r="G41" s="147">
        <v>3</v>
      </c>
      <c r="H41" s="146">
        <v>1.625</v>
      </c>
      <c r="I41" s="148"/>
      <c r="J41" s="148"/>
      <c r="K41" s="150">
        <f t="shared" si="0"/>
        <v>11.78125</v>
      </c>
      <c r="L41" s="271">
        <f t="shared" si="2"/>
        <v>3.5909250054582063</v>
      </c>
      <c r="M41" s="271">
        <f t="shared" si="3"/>
        <v>412.22144025912252</v>
      </c>
      <c r="N41" s="1">
        <v>277</v>
      </c>
    </row>
    <row r="42" spans="2:14" x14ac:dyDescent="0.15">
      <c r="B42" s="145" t="s">
        <v>1537</v>
      </c>
      <c r="C42" s="146">
        <v>39.375</v>
      </c>
      <c r="D42" s="146">
        <v>0.75</v>
      </c>
      <c r="E42" s="146">
        <v>15.75</v>
      </c>
      <c r="F42" s="146">
        <v>1.4375</v>
      </c>
      <c r="G42" s="147">
        <v>2.8125</v>
      </c>
      <c r="H42" s="146">
        <v>1.5625</v>
      </c>
      <c r="I42" s="148"/>
      <c r="J42" s="148"/>
      <c r="K42" s="150">
        <f t="shared" si="0"/>
        <v>11.6875</v>
      </c>
      <c r="L42" s="271">
        <f t="shared" si="2"/>
        <v>3.5623500054147725</v>
      </c>
      <c r="M42" s="271">
        <f t="shared" si="3"/>
        <v>370.55284701993327</v>
      </c>
      <c r="N42" s="1">
        <v>249</v>
      </c>
    </row>
    <row r="43" spans="2:14" x14ac:dyDescent="0.15">
      <c r="B43" s="145" t="s">
        <v>1538</v>
      </c>
      <c r="C43" s="146">
        <v>39</v>
      </c>
      <c r="D43" s="146">
        <v>0.625</v>
      </c>
      <c r="E43" s="146">
        <v>15.75</v>
      </c>
      <c r="F43" s="146">
        <v>1.25</v>
      </c>
      <c r="G43" s="147">
        <v>2.625</v>
      </c>
      <c r="H43" s="146">
        <v>1.5625</v>
      </c>
      <c r="I43" s="148"/>
      <c r="J43" s="148"/>
      <c r="K43" s="150">
        <f t="shared" si="0"/>
        <v>11.645833333333334</v>
      </c>
      <c r="L43" s="271">
        <f t="shared" si="2"/>
        <v>3.5496500053954687</v>
      </c>
      <c r="M43" s="271">
        <f t="shared" si="3"/>
        <v>319.95526951520344</v>
      </c>
      <c r="N43" s="1">
        <v>215</v>
      </c>
    </row>
    <row r="44" spans="2:14" x14ac:dyDescent="0.15">
      <c r="B44" s="145" t="s">
        <v>1539</v>
      </c>
      <c r="C44" s="321">
        <v>38.625</v>
      </c>
      <c r="D44" s="321">
        <v>0.625</v>
      </c>
      <c r="E44" s="321">
        <v>15.75</v>
      </c>
      <c r="F44" s="321">
        <v>1.0625</v>
      </c>
      <c r="G44" s="322">
        <v>2.4375</v>
      </c>
      <c r="H44" s="321">
        <v>1.5625</v>
      </c>
      <c r="I44" s="323"/>
      <c r="J44" s="323"/>
      <c r="K44" s="324">
        <f t="shared" si="0"/>
        <v>11.583333333333334</v>
      </c>
      <c r="L44" s="325">
        <f t="shared" si="2"/>
        <v>3.5306000053665128</v>
      </c>
      <c r="M44" s="271">
        <f t="shared" si="3"/>
        <v>296.14464480709523</v>
      </c>
      <c r="N44" s="1">
        <v>199</v>
      </c>
    </row>
    <row r="45" spans="2:14" x14ac:dyDescent="0.15">
      <c r="B45" s="305"/>
      <c r="C45" s="320"/>
      <c r="D45" s="320"/>
      <c r="E45" s="320"/>
      <c r="F45" s="320"/>
      <c r="G45" s="320"/>
      <c r="H45" s="320"/>
      <c r="I45" s="80"/>
      <c r="J45" s="80"/>
      <c r="K45" s="80"/>
      <c r="L45" s="317"/>
      <c r="M45" s="312"/>
      <c r="N45" s="1"/>
    </row>
    <row r="46" spans="2:14" x14ac:dyDescent="0.15">
      <c r="B46" s="145" t="s">
        <v>1540</v>
      </c>
      <c r="C46" s="146">
        <v>39</v>
      </c>
      <c r="D46" s="146">
        <v>0.625</v>
      </c>
      <c r="E46" s="146">
        <v>11.75</v>
      </c>
      <c r="F46" s="146">
        <v>1.25</v>
      </c>
      <c r="G46" s="147">
        <v>2.625</v>
      </c>
      <c r="H46" s="146">
        <v>1.5625</v>
      </c>
      <c r="I46" s="148"/>
      <c r="J46" s="148"/>
      <c r="K46" s="150">
        <f t="shared" si="0"/>
        <v>10.3125</v>
      </c>
      <c r="L46" s="270">
        <f t="shared" si="2"/>
        <v>3.1432500047777405</v>
      </c>
      <c r="M46" s="271">
        <f t="shared" si="3"/>
        <v>272.33402009898714</v>
      </c>
      <c r="N46" s="1">
        <v>183</v>
      </c>
    </row>
    <row r="47" spans="2:14" x14ac:dyDescent="0.15">
      <c r="B47" s="145" t="s">
        <v>1541</v>
      </c>
      <c r="C47" s="146">
        <v>38.625</v>
      </c>
      <c r="D47" s="146">
        <v>0.625</v>
      </c>
      <c r="E47" s="146">
        <v>11.75</v>
      </c>
      <c r="F47" s="146">
        <v>1</v>
      </c>
      <c r="G47" s="147">
        <v>2.4375</v>
      </c>
      <c r="H47" s="146">
        <v>1.5625</v>
      </c>
      <c r="I47" s="148"/>
      <c r="J47" s="148"/>
      <c r="K47" s="150">
        <f t="shared" si="0"/>
        <v>10.25</v>
      </c>
      <c r="L47" s="271">
        <f t="shared" si="2"/>
        <v>3.1242000047487841</v>
      </c>
      <c r="M47" s="271">
        <f t="shared" si="3"/>
        <v>248.52339539087893</v>
      </c>
      <c r="N47" s="1">
        <v>167</v>
      </c>
    </row>
    <row r="48" spans="2:14" x14ac:dyDescent="0.15">
      <c r="B48" s="145" t="s">
        <v>1542</v>
      </c>
      <c r="C48" s="321">
        <v>38.25</v>
      </c>
      <c r="D48" s="321">
        <v>0.625</v>
      </c>
      <c r="E48" s="321">
        <v>11.75</v>
      </c>
      <c r="F48" s="321">
        <v>0.8125</v>
      </c>
      <c r="G48" s="322">
        <v>2.25</v>
      </c>
      <c r="H48" s="321">
        <v>1.5</v>
      </c>
      <c r="I48" s="323"/>
      <c r="J48" s="323"/>
      <c r="K48" s="324">
        <f t="shared" si="0"/>
        <v>10.1875</v>
      </c>
      <c r="L48" s="325">
        <f t="shared" si="2"/>
        <v>3.1051500047198286</v>
      </c>
      <c r="M48" s="271">
        <f t="shared" si="3"/>
        <v>221.73644259425726</v>
      </c>
      <c r="N48" s="1">
        <v>149</v>
      </c>
    </row>
    <row r="49" spans="2:14" x14ac:dyDescent="0.15">
      <c r="B49" s="305"/>
      <c r="C49" s="320"/>
      <c r="D49" s="80"/>
      <c r="E49" s="320"/>
      <c r="F49" s="320"/>
      <c r="G49" s="320"/>
      <c r="H49" s="320"/>
      <c r="I49" s="80"/>
      <c r="J49" s="80"/>
      <c r="K49" s="80"/>
      <c r="L49" s="317"/>
      <c r="M49" s="312"/>
      <c r="N49" s="1"/>
    </row>
    <row r="50" spans="2:14" x14ac:dyDescent="0.15">
      <c r="B50" s="145" t="s">
        <v>1553</v>
      </c>
      <c r="C50" s="146">
        <v>42.5</v>
      </c>
      <c r="D50" s="146">
        <v>2.5</v>
      </c>
      <c r="E50" s="146">
        <v>18.125</v>
      </c>
      <c r="F50" s="146">
        <v>4.5</v>
      </c>
      <c r="G50" s="147">
        <v>5.6875</v>
      </c>
      <c r="H50" s="146">
        <v>2.25</v>
      </c>
      <c r="I50" s="148"/>
      <c r="J50" s="148"/>
      <c r="K50" s="150">
        <f t="shared" si="0"/>
        <v>12.708333333333334</v>
      </c>
      <c r="L50" s="270">
        <f t="shared" si="2"/>
        <v>3.8735000058877209</v>
      </c>
      <c r="M50" s="271">
        <f t="shared" si="3"/>
        <v>1261.9631095297325</v>
      </c>
      <c r="N50" s="1">
        <v>848</v>
      </c>
    </row>
    <row r="51" spans="2:14" x14ac:dyDescent="0.15">
      <c r="B51" s="145" t="s">
        <v>1552</v>
      </c>
      <c r="C51" s="146">
        <v>42</v>
      </c>
      <c r="D51" s="146">
        <v>2.375</v>
      </c>
      <c r="E51" s="146">
        <v>18</v>
      </c>
      <c r="F51" s="146">
        <v>4.3125</v>
      </c>
      <c r="G51" s="147">
        <v>5.4375</v>
      </c>
      <c r="H51" s="146">
        <v>2.1875</v>
      </c>
      <c r="I51" s="148"/>
      <c r="J51" s="148"/>
      <c r="K51" s="150">
        <f t="shared" si="0"/>
        <v>12.604166666666666</v>
      </c>
      <c r="L51" s="271">
        <f t="shared" si="2"/>
        <v>3.8417500058394602</v>
      </c>
      <c r="M51" s="271">
        <f t="shared" si="3"/>
        <v>1187.5549073168945</v>
      </c>
      <c r="N51" s="1">
        <v>798</v>
      </c>
    </row>
    <row r="52" spans="2:14" x14ac:dyDescent="0.15">
      <c r="B52" s="145" t="s">
        <v>1551</v>
      </c>
      <c r="C52" s="146">
        <v>41.25</v>
      </c>
      <c r="D52" s="146">
        <v>2.1875</v>
      </c>
      <c r="E52" s="146">
        <v>17.75</v>
      </c>
      <c r="F52" s="146">
        <v>3.875</v>
      </c>
      <c r="G52" s="147">
        <v>5.0625</v>
      </c>
      <c r="H52" s="146">
        <v>2.0625</v>
      </c>
      <c r="I52" s="148"/>
      <c r="J52" s="148"/>
      <c r="K52" s="150">
        <f t="shared" si="0"/>
        <v>12.427083333333334</v>
      </c>
      <c r="L52" s="271">
        <f t="shared" si="2"/>
        <v>3.7877750057574184</v>
      </c>
      <c r="M52" s="271">
        <f t="shared" si="3"/>
        <v>1071.4781118648673</v>
      </c>
      <c r="N52" s="1">
        <v>720</v>
      </c>
    </row>
    <row r="53" spans="2:14" x14ac:dyDescent="0.15">
      <c r="B53" s="145" t="s">
        <v>1550</v>
      </c>
      <c r="C53" s="146">
        <v>40.5</v>
      </c>
      <c r="D53" s="146">
        <v>2</v>
      </c>
      <c r="E53" s="146">
        <v>17.625</v>
      </c>
      <c r="F53" s="146">
        <v>3.5625</v>
      </c>
      <c r="G53" s="147">
        <v>4.6875</v>
      </c>
      <c r="H53" s="146">
        <v>2</v>
      </c>
      <c r="I53" s="148"/>
      <c r="J53" s="148"/>
      <c r="K53" s="150">
        <f t="shared" si="0"/>
        <v>12.291666666666666</v>
      </c>
      <c r="L53" s="271">
        <f t="shared" si="2"/>
        <v>3.7465000056946804</v>
      </c>
      <c r="M53" s="271">
        <f t="shared" si="3"/>
        <v>967.30662876689405</v>
      </c>
      <c r="N53" s="1">
        <v>650</v>
      </c>
    </row>
    <row r="54" spans="2:14" x14ac:dyDescent="0.15">
      <c r="B54" s="145" t="s">
        <v>1549</v>
      </c>
      <c r="C54" s="146">
        <v>39.875</v>
      </c>
      <c r="D54" s="146">
        <v>1.8125</v>
      </c>
      <c r="E54" s="146">
        <v>17.375</v>
      </c>
      <c r="F54" s="146">
        <v>3.25</v>
      </c>
      <c r="G54" s="147">
        <v>4.375</v>
      </c>
      <c r="H54" s="146">
        <v>1.875</v>
      </c>
      <c r="I54" s="148"/>
      <c r="J54" s="148"/>
      <c r="K54" s="150">
        <f t="shared" si="0"/>
        <v>12.135416666666666</v>
      </c>
      <c r="L54" s="271">
        <f t="shared" si="2"/>
        <v>3.6988750056222903</v>
      </c>
      <c r="M54" s="271">
        <f t="shared" si="3"/>
        <v>875.04045802297503</v>
      </c>
      <c r="N54" s="1">
        <v>588</v>
      </c>
    </row>
    <row r="55" spans="2:14" x14ac:dyDescent="0.15">
      <c r="B55" s="145" t="s">
        <v>1548</v>
      </c>
      <c r="C55" s="146">
        <v>39.25</v>
      </c>
      <c r="D55" s="146">
        <v>1.625</v>
      </c>
      <c r="E55" s="146">
        <v>17.25</v>
      </c>
      <c r="F55" s="146">
        <v>2.9375</v>
      </c>
      <c r="G55" s="147">
        <v>4.0625</v>
      </c>
      <c r="H55" s="146">
        <v>1.75</v>
      </c>
      <c r="I55" s="148"/>
      <c r="J55" s="148"/>
      <c r="K55" s="150">
        <f t="shared" si="0"/>
        <v>12.020833333333334</v>
      </c>
      <c r="L55" s="271">
        <f t="shared" si="2"/>
        <v>3.6639500055692045</v>
      </c>
      <c r="M55" s="271">
        <f t="shared" si="3"/>
        <v>784.26245132331258</v>
      </c>
      <c r="N55" s="1">
        <v>527</v>
      </c>
    </row>
    <row r="56" spans="2:14" x14ac:dyDescent="0.15">
      <c r="B56" s="145" t="s">
        <v>1547</v>
      </c>
      <c r="C56" s="146">
        <v>38.75</v>
      </c>
      <c r="D56" s="146">
        <v>1.5</v>
      </c>
      <c r="E56" s="146">
        <v>17.125</v>
      </c>
      <c r="F56" s="146">
        <v>2.6875</v>
      </c>
      <c r="G56" s="147">
        <v>3.8125</v>
      </c>
      <c r="H56" s="146">
        <v>1.75</v>
      </c>
      <c r="I56" s="148"/>
      <c r="J56" s="148"/>
      <c r="K56" s="150">
        <f t="shared" si="0"/>
        <v>11.916666666666666</v>
      </c>
      <c r="L56" s="271">
        <f t="shared" si="2"/>
        <v>3.6322000055209442</v>
      </c>
      <c r="M56" s="271">
        <f t="shared" si="3"/>
        <v>721.75956146452859</v>
      </c>
      <c r="N56" s="1">
        <v>485</v>
      </c>
    </row>
    <row r="57" spans="2:14" x14ac:dyDescent="0.15">
      <c r="B57" s="145" t="s">
        <v>1546</v>
      </c>
      <c r="C57" s="146">
        <v>38.25</v>
      </c>
      <c r="D57" s="146">
        <v>1.375</v>
      </c>
      <c r="E57" s="146">
        <v>17</v>
      </c>
      <c r="F57" s="146">
        <v>2.4375</v>
      </c>
      <c r="G57" s="147">
        <v>3.5625</v>
      </c>
      <c r="H57" s="146">
        <v>1.625</v>
      </c>
      <c r="I57" s="148"/>
      <c r="J57" s="148"/>
      <c r="K57" s="150">
        <f t="shared" si="0"/>
        <v>11.8125</v>
      </c>
      <c r="L57" s="271">
        <f t="shared" si="2"/>
        <v>3.6004500054726845</v>
      </c>
      <c r="M57" s="271">
        <f t="shared" si="3"/>
        <v>653.30401542871766</v>
      </c>
      <c r="N57" s="1">
        <v>439</v>
      </c>
    </row>
    <row r="58" spans="2:14" x14ac:dyDescent="0.15">
      <c r="B58" s="134" t="s">
        <v>1545</v>
      </c>
      <c r="C58" s="136">
        <v>37.75</v>
      </c>
      <c r="D58" s="136">
        <v>1.25</v>
      </c>
      <c r="E58" s="136">
        <v>16.875</v>
      </c>
      <c r="F58" s="136">
        <v>2.1875</v>
      </c>
      <c r="G58" s="138">
        <v>3.3125</v>
      </c>
      <c r="H58" s="136">
        <v>1.625</v>
      </c>
      <c r="I58" s="125"/>
      <c r="J58" s="125"/>
      <c r="K58" s="119">
        <f t="shared" si="0"/>
        <v>11.708333333333334</v>
      </c>
      <c r="L58" s="272">
        <f t="shared" si="2"/>
        <v>3.5687000054244247</v>
      </c>
      <c r="M58" s="272">
        <f t="shared" si="3"/>
        <v>584.84846939290674</v>
      </c>
      <c r="N58" s="1">
        <v>393</v>
      </c>
    </row>
    <row r="59" spans="2:14" x14ac:dyDescent="0.15">
      <c r="B59" s="134" t="s">
        <v>1544</v>
      </c>
      <c r="C59" s="136">
        <v>37.375</v>
      </c>
      <c r="D59" s="136">
        <v>1.125</v>
      </c>
      <c r="E59" s="136">
        <v>16.75</v>
      </c>
      <c r="F59" s="136">
        <v>2</v>
      </c>
      <c r="G59" s="138">
        <v>3.125</v>
      </c>
      <c r="H59" s="136">
        <v>1.5625</v>
      </c>
      <c r="I59" s="125"/>
      <c r="J59" s="125"/>
      <c r="K59" s="119">
        <f t="shared" si="0"/>
        <v>11.625</v>
      </c>
      <c r="L59" s="272">
        <f t="shared" si="2"/>
        <v>3.5433000053858161</v>
      </c>
      <c r="M59" s="272">
        <f t="shared" si="3"/>
        <v>534.25089188817685</v>
      </c>
      <c r="N59" s="1">
        <v>359</v>
      </c>
    </row>
    <row r="60" spans="2:14" x14ac:dyDescent="0.15">
      <c r="B60" s="135" t="s">
        <v>1543</v>
      </c>
      <c r="C60" s="137">
        <v>37.125</v>
      </c>
      <c r="D60" s="137">
        <v>1</v>
      </c>
      <c r="E60" s="137">
        <v>16.625</v>
      </c>
      <c r="F60" s="137">
        <v>1.875</v>
      </c>
      <c r="G60" s="139">
        <v>3</v>
      </c>
      <c r="H60" s="137">
        <v>1.5</v>
      </c>
      <c r="I60" s="126"/>
      <c r="J60" s="126"/>
      <c r="K60" s="119">
        <f t="shared" si="0"/>
        <v>11.5625</v>
      </c>
      <c r="L60" s="272">
        <f t="shared" si="2"/>
        <v>3.5242500053568606</v>
      </c>
      <c r="M60" s="272">
        <f t="shared" si="3"/>
        <v>488.11780651621729</v>
      </c>
      <c r="N60" s="1">
        <v>328</v>
      </c>
    </row>
    <row r="61" spans="2:14" x14ac:dyDescent="0.15">
      <c r="B61" s="127" t="s">
        <v>849</v>
      </c>
      <c r="C61" s="128">
        <v>36.75</v>
      </c>
      <c r="D61" s="149">
        <v>0.9375</v>
      </c>
      <c r="E61" s="130">
        <v>16.625</v>
      </c>
      <c r="F61" s="129">
        <v>1.6875</v>
      </c>
      <c r="G61" s="129">
        <v>2.8125</v>
      </c>
      <c r="H61" s="129">
        <v>1.5</v>
      </c>
      <c r="I61" s="130">
        <v>5.5</v>
      </c>
      <c r="J61" s="131">
        <v>3.75</v>
      </c>
      <c r="K61" s="119">
        <f t="shared" ref="K61:K86" si="4">((C61-(F61*2))*2+(E61*4)+(F61*4)-(D61*2))*12/144</f>
        <v>11.510416666666666</v>
      </c>
      <c r="L61" s="272">
        <f t="shared" si="2"/>
        <v>3.5083750053327303</v>
      </c>
      <c r="M61" s="272">
        <f t="shared" si="3"/>
        <v>446.44921327702804</v>
      </c>
      <c r="N61" s="1">
        <v>300</v>
      </c>
    </row>
    <row r="62" spans="2:14" x14ac:dyDescent="0.15">
      <c r="B62" s="18" t="s">
        <v>851</v>
      </c>
      <c r="C62" s="20">
        <v>36.5</v>
      </c>
      <c r="D62" s="139">
        <v>0.875</v>
      </c>
      <c r="E62" s="20">
        <v>16.625</v>
      </c>
      <c r="F62" s="19">
        <v>1.5625</v>
      </c>
      <c r="G62" s="19">
        <v>2.6875</v>
      </c>
      <c r="H62" s="19">
        <v>1.5</v>
      </c>
      <c r="I62" s="20">
        <v>5.5</v>
      </c>
      <c r="J62" s="19">
        <v>3.75</v>
      </c>
      <c r="K62" s="132">
        <f t="shared" si="4"/>
        <v>11.479166666666666</v>
      </c>
      <c r="L62" s="272">
        <f t="shared" si="2"/>
        <v>3.4988500053182521</v>
      </c>
      <c r="M62" s="272">
        <f t="shared" si="3"/>
        <v>416.68593239189283</v>
      </c>
      <c r="N62" s="1">
        <v>280</v>
      </c>
    </row>
    <row r="63" spans="2:14" x14ac:dyDescent="0.15">
      <c r="B63" s="127" t="s">
        <v>852</v>
      </c>
      <c r="C63" s="130">
        <v>36.25</v>
      </c>
      <c r="D63" s="149">
        <v>0.81200000000000006</v>
      </c>
      <c r="E63" s="130">
        <v>16.5</v>
      </c>
      <c r="F63" s="129">
        <v>1.4375</v>
      </c>
      <c r="G63" s="129">
        <v>2.5625</v>
      </c>
      <c r="H63" s="129">
        <v>1.5</v>
      </c>
      <c r="I63" s="130">
        <v>5.5</v>
      </c>
      <c r="J63" s="129">
        <v>3.5</v>
      </c>
      <c r="K63" s="119">
        <f t="shared" si="4"/>
        <v>11.406333333333334</v>
      </c>
      <c r="L63" s="272">
        <f t="shared" si="2"/>
        <v>3.4766504052845093</v>
      </c>
      <c r="M63" s="272">
        <f t="shared" si="3"/>
        <v>386.92265150675763</v>
      </c>
      <c r="N63" s="1">
        <v>260</v>
      </c>
    </row>
    <row r="64" spans="2:14" x14ac:dyDescent="0.15">
      <c r="B64" s="18" t="s">
        <v>853</v>
      </c>
      <c r="C64" s="20">
        <v>36.125</v>
      </c>
      <c r="D64" s="139">
        <v>0.8125</v>
      </c>
      <c r="E64" s="20">
        <v>16.5</v>
      </c>
      <c r="F64" s="19">
        <v>1.375</v>
      </c>
      <c r="G64" s="19">
        <v>2.5</v>
      </c>
      <c r="H64" s="19">
        <v>1.4375</v>
      </c>
      <c r="I64" s="20">
        <v>5.5</v>
      </c>
      <c r="J64" s="19">
        <v>3.5</v>
      </c>
      <c r="K64" s="132">
        <f t="shared" si="4"/>
        <v>11.385416666666666</v>
      </c>
      <c r="L64" s="272">
        <f t="shared" si="2"/>
        <v>3.4702750052748184</v>
      </c>
      <c r="M64" s="272">
        <f t="shared" si="3"/>
        <v>364.60019084290622</v>
      </c>
      <c r="N64" s="1">
        <v>245</v>
      </c>
    </row>
    <row r="65" spans="2:14" x14ac:dyDescent="0.15">
      <c r="B65" s="18" t="s">
        <v>854</v>
      </c>
      <c r="C65" s="22">
        <v>35.875</v>
      </c>
      <c r="D65" s="319">
        <v>0.75</v>
      </c>
      <c r="E65" s="22">
        <v>16.5</v>
      </c>
      <c r="F65" s="21">
        <v>1.25</v>
      </c>
      <c r="G65" s="21">
        <v>2.375</v>
      </c>
      <c r="H65" s="21">
        <v>1.4375</v>
      </c>
      <c r="I65" s="22">
        <v>5.5</v>
      </c>
      <c r="J65" s="21">
        <v>3.5</v>
      </c>
      <c r="K65" s="318">
        <f t="shared" si="4"/>
        <v>11.354166666666666</v>
      </c>
      <c r="L65" s="314">
        <f t="shared" si="2"/>
        <v>3.4607500052603402</v>
      </c>
      <c r="M65" s="272">
        <f t="shared" si="3"/>
        <v>342.27773017905486</v>
      </c>
      <c r="N65" s="1">
        <v>230</v>
      </c>
    </row>
    <row r="66" spans="2:14" x14ac:dyDescent="0.15">
      <c r="B66" s="307"/>
      <c r="C66" s="315"/>
      <c r="D66" s="320"/>
      <c r="E66" s="315"/>
      <c r="F66" s="315"/>
      <c r="G66" s="315"/>
      <c r="H66" s="315"/>
      <c r="I66" s="315"/>
      <c r="J66" s="315"/>
      <c r="K66" s="316"/>
      <c r="L66" s="317"/>
      <c r="M66" s="312"/>
      <c r="N66" s="1"/>
    </row>
    <row r="67" spans="2:14" x14ac:dyDescent="0.15">
      <c r="B67" s="18" t="s">
        <v>1649</v>
      </c>
      <c r="C67" s="156">
        <v>37.375</v>
      </c>
      <c r="D67" s="138">
        <v>1</v>
      </c>
      <c r="E67" s="156">
        <v>12.25</v>
      </c>
      <c r="F67" s="131">
        <v>1.75</v>
      </c>
      <c r="G67" s="131">
        <v>2.625</v>
      </c>
      <c r="H67" s="131">
        <v>1.3125</v>
      </c>
      <c r="I67" s="156">
        <v>5.5</v>
      </c>
      <c r="J67" s="131"/>
      <c r="K67" s="119">
        <f t="shared" si="4"/>
        <v>10.145833333333334</v>
      </c>
      <c r="L67" s="274">
        <f t="shared" si="2"/>
        <v>3.0924500047005243</v>
      </c>
      <c r="M67" s="272">
        <f t="shared" si="3"/>
        <v>380.96999532973058</v>
      </c>
      <c r="N67" s="1">
        <v>256</v>
      </c>
    </row>
    <row r="68" spans="2:14" x14ac:dyDescent="0.15">
      <c r="B68" s="127" t="s">
        <v>1650</v>
      </c>
      <c r="C68" s="130">
        <v>37.125</v>
      </c>
      <c r="D68" s="149">
        <v>0.875</v>
      </c>
      <c r="E68" s="130">
        <v>12.125</v>
      </c>
      <c r="F68" s="129">
        <v>1.5625</v>
      </c>
      <c r="G68" s="129">
        <v>2.5</v>
      </c>
      <c r="H68" s="129">
        <v>1.25</v>
      </c>
      <c r="I68" s="20">
        <v>5.5</v>
      </c>
      <c r="J68" s="19"/>
      <c r="K68" s="132">
        <f t="shared" si="4"/>
        <v>10.083333333333334</v>
      </c>
      <c r="L68" s="272">
        <f t="shared" si="2"/>
        <v>3.0734000046715688</v>
      </c>
      <c r="M68" s="272">
        <f t="shared" si="3"/>
        <v>345.25405826756833</v>
      </c>
      <c r="N68" s="1">
        <v>232</v>
      </c>
    </row>
    <row r="69" spans="2:14" x14ac:dyDescent="0.15">
      <c r="B69" s="18" t="s">
        <v>862</v>
      </c>
      <c r="C69" s="20">
        <v>36.75</v>
      </c>
      <c r="D69" s="139">
        <v>0.8125</v>
      </c>
      <c r="E69" s="20">
        <v>12.125</v>
      </c>
      <c r="F69" s="19">
        <v>1.375</v>
      </c>
      <c r="G69" s="19">
        <v>2.3125</v>
      </c>
      <c r="H69" s="19">
        <v>1.25</v>
      </c>
      <c r="I69" s="20">
        <v>5.5</v>
      </c>
      <c r="J69" s="19">
        <v>3.5</v>
      </c>
      <c r="K69" s="132">
        <f t="shared" si="4"/>
        <v>10.03125</v>
      </c>
      <c r="L69" s="272">
        <f t="shared" si="2"/>
        <v>3.0575250046474385</v>
      </c>
      <c r="M69" s="272">
        <f t="shared" si="3"/>
        <v>312.51444929391965</v>
      </c>
      <c r="N69" s="1">
        <v>210</v>
      </c>
    </row>
    <row r="70" spans="2:14" x14ac:dyDescent="0.15">
      <c r="B70" s="127" t="s">
        <v>863</v>
      </c>
      <c r="C70" s="130">
        <v>36.5</v>
      </c>
      <c r="D70" s="129">
        <v>0.75</v>
      </c>
      <c r="E70" s="130">
        <v>12.125</v>
      </c>
      <c r="F70" s="129">
        <v>1.25</v>
      </c>
      <c r="G70" s="129">
        <v>2.1875</v>
      </c>
      <c r="H70" s="129">
        <v>1.1875</v>
      </c>
      <c r="I70" s="130">
        <v>5.5</v>
      </c>
      <c r="J70" s="129">
        <v>3.5</v>
      </c>
      <c r="K70" s="119">
        <f t="shared" si="4"/>
        <v>10</v>
      </c>
      <c r="L70" s="272">
        <f t="shared" si="2"/>
        <v>3.0480000046329603</v>
      </c>
      <c r="M70" s="272">
        <f t="shared" si="3"/>
        <v>288.70382458581145</v>
      </c>
      <c r="N70" s="1">
        <v>194</v>
      </c>
    </row>
    <row r="71" spans="2:14" x14ac:dyDescent="0.15">
      <c r="B71" s="18" t="s">
        <v>864</v>
      </c>
      <c r="C71" s="20">
        <v>36.375</v>
      </c>
      <c r="D71" s="19">
        <v>0.75</v>
      </c>
      <c r="E71" s="20">
        <v>12.125</v>
      </c>
      <c r="F71" s="19">
        <v>1.1875</v>
      </c>
      <c r="G71" s="19">
        <v>2.125</v>
      </c>
      <c r="H71" s="19">
        <v>1.1875</v>
      </c>
      <c r="I71" s="20">
        <v>5.5</v>
      </c>
      <c r="J71" s="19">
        <v>3.25</v>
      </c>
      <c r="K71" s="132">
        <f t="shared" si="4"/>
        <v>9.9791666666666661</v>
      </c>
      <c r="L71" s="272">
        <f t="shared" si="2"/>
        <v>3.0416500046233081</v>
      </c>
      <c r="M71" s="272">
        <f t="shared" si="3"/>
        <v>270.84585605473035</v>
      </c>
      <c r="N71" s="1">
        <v>182</v>
      </c>
    </row>
    <row r="72" spans="2:14" x14ac:dyDescent="0.15">
      <c r="B72" s="127" t="s">
        <v>865</v>
      </c>
      <c r="C72" s="130">
        <v>36.125</v>
      </c>
      <c r="D72" s="129">
        <v>0.6875</v>
      </c>
      <c r="E72" s="130">
        <v>12</v>
      </c>
      <c r="F72" s="129">
        <v>1.125</v>
      </c>
      <c r="G72" s="129">
        <v>2</v>
      </c>
      <c r="H72" s="129">
        <v>1.1875</v>
      </c>
      <c r="I72" s="130">
        <v>5.5</v>
      </c>
      <c r="J72" s="129">
        <v>3.25</v>
      </c>
      <c r="K72" s="119">
        <f t="shared" si="4"/>
        <v>9.90625</v>
      </c>
      <c r="L72" s="272">
        <f t="shared" si="2"/>
        <v>3.0194250045895266</v>
      </c>
      <c r="M72" s="272">
        <f t="shared" si="3"/>
        <v>252.98788752364922</v>
      </c>
      <c r="N72" s="1">
        <v>170</v>
      </c>
    </row>
    <row r="73" spans="2:14" x14ac:dyDescent="0.15">
      <c r="B73" s="18" t="s">
        <v>866</v>
      </c>
      <c r="C73" s="20">
        <v>36</v>
      </c>
      <c r="D73" s="19">
        <v>0.625</v>
      </c>
      <c r="E73" s="20">
        <v>12</v>
      </c>
      <c r="F73" s="19">
        <v>1</v>
      </c>
      <c r="G73" s="19">
        <v>1.9375</v>
      </c>
      <c r="H73" s="19">
        <v>1.125</v>
      </c>
      <c r="I73" s="20">
        <v>5.5</v>
      </c>
      <c r="J73" s="19">
        <v>3.25</v>
      </c>
      <c r="K73" s="132">
        <f t="shared" si="4"/>
        <v>9.8958333333333339</v>
      </c>
      <c r="L73" s="272">
        <f t="shared" si="2"/>
        <v>3.0162500045847005</v>
      </c>
      <c r="M73" s="272">
        <f t="shared" si="3"/>
        <v>238.10624708108162</v>
      </c>
      <c r="N73" s="1">
        <v>160</v>
      </c>
    </row>
    <row r="74" spans="2:14" x14ac:dyDescent="0.15">
      <c r="B74" s="127" t="s">
        <v>867</v>
      </c>
      <c r="C74" s="130">
        <v>35.875</v>
      </c>
      <c r="D74" s="129">
        <v>0.625</v>
      </c>
      <c r="E74" s="130">
        <v>12</v>
      </c>
      <c r="F74" s="129">
        <v>0.9375</v>
      </c>
      <c r="G74" s="129">
        <v>1.875</v>
      </c>
      <c r="H74" s="129">
        <v>1.125</v>
      </c>
      <c r="I74" s="130">
        <v>5.5</v>
      </c>
      <c r="J74" s="129">
        <v>3</v>
      </c>
      <c r="K74" s="119">
        <f t="shared" si="4"/>
        <v>9.875</v>
      </c>
      <c r="L74" s="272">
        <f t="shared" si="2"/>
        <v>3.0099000045750484</v>
      </c>
      <c r="M74" s="272">
        <f t="shared" si="3"/>
        <v>223.22460663851402</v>
      </c>
      <c r="N74" s="1">
        <v>150</v>
      </c>
    </row>
    <row r="75" spans="2:14" x14ac:dyDescent="0.15">
      <c r="B75" s="18" t="s">
        <v>868</v>
      </c>
      <c r="C75" s="22">
        <v>35.5</v>
      </c>
      <c r="D75" s="21">
        <v>0.625</v>
      </c>
      <c r="E75" s="22">
        <v>12</v>
      </c>
      <c r="F75" s="21">
        <v>0.8125</v>
      </c>
      <c r="G75" s="21">
        <v>1.6875</v>
      </c>
      <c r="H75" s="21">
        <v>1.125</v>
      </c>
      <c r="I75" s="22">
        <v>5.5</v>
      </c>
      <c r="J75" s="21">
        <v>3</v>
      </c>
      <c r="K75" s="318">
        <f t="shared" si="4"/>
        <v>9.8125</v>
      </c>
      <c r="L75" s="314">
        <f t="shared" si="2"/>
        <v>2.9908500045460924</v>
      </c>
      <c r="M75" s="272">
        <f t="shared" si="3"/>
        <v>200.9021459746626</v>
      </c>
      <c r="N75" s="1">
        <v>135</v>
      </c>
    </row>
    <row r="76" spans="2:14" x14ac:dyDescent="0.15">
      <c r="B76" s="307"/>
      <c r="C76" s="315"/>
      <c r="D76" s="315"/>
      <c r="E76" s="315"/>
      <c r="F76" s="315"/>
      <c r="G76" s="315"/>
      <c r="H76" s="315"/>
      <c r="I76" s="315"/>
      <c r="J76" s="315"/>
      <c r="K76" s="316"/>
      <c r="L76" s="317"/>
      <c r="M76" s="312"/>
      <c r="N76" s="1"/>
    </row>
    <row r="77" spans="2:14" x14ac:dyDescent="0.15">
      <c r="B77" s="151" t="s">
        <v>1563</v>
      </c>
      <c r="C77" s="158">
        <v>38.5</v>
      </c>
      <c r="D77" s="159">
        <v>2</v>
      </c>
      <c r="E77" s="158">
        <v>16.875</v>
      </c>
      <c r="F77" s="159">
        <v>3.5625</v>
      </c>
      <c r="G77" s="159">
        <v>4.375</v>
      </c>
      <c r="H77" s="159">
        <v>1.75</v>
      </c>
      <c r="I77" s="158"/>
      <c r="J77" s="159"/>
      <c r="K77" s="150">
        <f t="shared" si="4"/>
        <v>11.708333333333334</v>
      </c>
      <c r="L77" s="270">
        <f t="shared" si="2"/>
        <v>3.5687000054244247</v>
      </c>
      <c r="M77" s="271">
        <f t="shared" si="3"/>
        <v>921.17354339493443</v>
      </c>
      <c r="N77" s="1">
        <v>619</v>
      </c>
    </row>
    <row r="78" spans="2:14" x14ac:dyDescent="0.15">
      <c r="B78" s="151" t="s">
        <v>1562</v>
      </c>
      <c r="C78" s="152">
        <v>37.875</v>
      </c>
      <c r="D78" s="153">
        <v>1.8125</v>
      </c>
      <c r="E78" s="152">
        <v>16.75</v>
      </c>
      <c r="F78" s="153">
        <v>3.25</v>
      </c>
      <c r="G78" s="153">
        <v>4.0625</v>
      </c>
      <c r="H78" s="153">
        <v>1.6875</v>
      </c>
      <c r="I78" s="152"/>
      <c r="J78" s="153"/>
      <c r="K78" s="154">
        <f t="shared" si="4"/>
        <v>11.59375</v>
      </c>
      <c r="L78" s="271">
        <f t="shared" si="2"/>
        <v>3.5337750053713388</v>
      </c>
      <c r="M78" s="271">
        <f t="shared" si="3"/>
        <v>843.78901309358298</v>
      </c>
      <c r="N78" s="1">
        <v>567</v>
      </c>
    </row>
    <row r="79" spans="2:14" x14ac:dyDescent="0.15">
      <c r="B79" s="151" t="s">
        <v>1561</v>
      </c>
      <c r="C79" s="152">
        <v>37.375</v>
      </c>
      <c r="D79" s="153">
        <v>1.625</v>
      </c>
      <c r="E79" s="152">
        <v>16.625</v>
      </c>
      <c r="F79" s="153">
        <v>3</v>
      </c>
      <c r="G79" s="153">
        <v>3.8119999999999998</v>
      </c>
      <c r="H79" s="153">
        <v>1.625</v>
      </c>
      <c r="I79" s="152"/>
      <c r="J79" s="153"/>
      <c r="K79" s="154">
        <f t="shared" si="4"/>
        <v>11.5</v>
      </c>
      <c r="L79" s="271">
        <f t="shared" si="2"/>
        <v>3.5052000053279042</v>
      </c>
      <c r="M79" s="271">
        <f t="shared" si="3"/>
        <v>766.40448279223142</v>
      </c>
      <c r="N79" s="1">
        <v>515</v>
      </c>
    </row>
    <row r="80" spans="2:14" x14ac:dyDescent="0.15">
      <c r="B80" s="151" t="s">
        <v>1560</v>
      </c>
      <c r="C80" s="152">
        <v>36.75</v>
      </c>
      <c r="D80" s="153">
        <v>1.5</v>
      </c>
      <c r="E80" s="152">
        <v>16.5</v>
      </c>
      <c r="F80" s="153">
        <v>2.75</v>
      </c>
      <c r="G80" s="153">
        <v>3.5</v>
      </c>
      <c r="H80" s="153">
        <v>1.5625</v>
      </c>
      <c r="I80" s="152"/>
      <c r="J80" s="153"/>
      <c r="K80" s="154">
        <f t="shared" si="4"/>
        <v>11.375</v>
      </c>
      <c r="L80" s="271">
        <f t="shared" si="2"/>
        <v>3.4671000052699923</v>
      </c>
      <c r="M80" s="271">
        <f t="shared" si="3"/>
        <v>696.4607727121637</v>
      </c>
      <c r="N80" s="1">
        <v>468</v>
      </c>
    </row>
    <row r="81" spans="2:14" x14ac:dyDescent="0.15">
      <c r="B81" s="151" t="s">
        <v>1559</v>
      </c>
      <c r="C81" s="152">
        <v>36.375</v>
      </c>
      <c r="D81" s="153">
        <v>1.375</v>
      </c>
      <c r="E81" s="152">
        <v>16.375</v>
      </c>
      <c r="F81" s="153">
        <v>2.5</v>
      </c>
      <c r="G81" s="153">
        <v>3.3125</v>
      </c>
      <c r="H81" s="153">
        <v>1.4375</v>
      </c>
      <c r="I81" s="152"/>
      <c r="J81" s="153"/>
      <c r="K81" s="154">
        <f t="shared" si="4"/>
        <v>11.291666666666666</v>
      </c>
      <c r="L81" s="271">
        <f t="shared" si="2"/>
        <v>3.4417000052313842</v>
      </c>
      <c r="M81" s="271">
        <f t="shared" si="3"/>
        <v>630.98155476486625</v>
      </c>
      <c r="N81" s="1">
        <v>424</v>
      </c>
    </row>
    <row r="82" spans="2:14" x14ac:dyDescent="0.15">
      <c r="B82" s="151" t="s">
        <v>1558</v>
      </c>
      <c r="C82" s="152">
        <v>36</v>
      </c>
      <c r="D82" s="153">
        <v>1.25</v>
      </c>
      <c r="E82" s="152">
        <v>16.25</v>
      </c>
      <c r="F82" s="153">
        <v>2.25</v>
      </c>
      <c r="G82" s="153">
        <v>3.125</v>
      </c>
      <c r="H82" s="153">
        <v>1.375</v>
      </c>
      <c r="I82" s="152"/>
      <c r="J82" s="153"/>
      <c r="K82" s="154">
        <f t="shared" si="4"/>
        <v>11.208333333333334</v>
      </c>
      <c r="L82" s="271">
        <f t="shared" si="2"/>
        <v>3.4163000051927761</v>
      </c>
      <c r="M82" s="271">
        <f t="shared" si="3"/>
        <v>575.9194851273661</v>
      </c>
      <c r="N82" s="1">
        <v>387</v>
      </c>
    </row>
    <row r="83" spans="2:14" x14ac:dyDescent="0.15">
      <c r="B83" s="18" t="s">
        <v>1557</v>
      </c>
      <c r="C83" s="20">
        <v>35.5</v>
      </c>
      <c r="D83" s="19">
        <v>1.1875</v>
      </c>
      <c r="E83" s="20">
        <v>16.125</v>
      </c>
      <c r="F83" s="19">
        <v>2.0625</v>
      </c>
      <c r="G83" s="19">
        <v>2.875</v>
      </c>
      <c r="H83" s="19">
        <v>1.375</v>
      </c>
      <c r="I83" s="20"/>
      <c r="J83" s="19"/>
      <c r="K83" s="132">
        <f t="shared" si="4"/>
        <v>11.09375</v>
      </c>
      <c r="L83" s="272">
        <f t="shared" si="2"/>
        <v>3.3813750051396902</v>
      </c>
      <c r="M83" s="272">
        <f t="shared" si="3"/>
        <v>526.81007166689301</v>
      </c>
      <c r="N83" s="1">
        <v>354</v>
      </c>
    </row>
    <row r="84" spans="2:14" x14ac:dyDescent="0.15">
      <c r="B84" s="18" t="s">
        <v>1556</v>
      </c>
      <c r="C84" s="20">
        <v>35.125</v>
      </c>
      <c r="D84" s="19">
        <v>1.0625</v>
      </c>
      <c r="E84" s="20">
        <v>16</v>
      </c>
      <c r="F84" s="19">
        <v>1.875</v>
      </c>
      <c r="G84" s="19">
        <v>2.6875</v>
      </c>
      <c r="H84" s="19">
        <v>1.3125</v>
      </c>
      <c r="I84" s="20"/>
      <c r="J84" s="19"/>
      <c r="K84" s="132">
        <f t="shared" si="4"/>
        <v>11.010416666666666</v>
      </c>
      <c r="L84" s="272">
        <f t="shared" si="2"/>
        <v>3.3559750051010822</v>
      </c>
      <c r="M84" s="272">
        <f t="shared" si="3"/>
        <v>473.23616607364966</v>
      </c>
      <c r="N84" s="1">
        <v>318</v>
      </c>
    </row>
    <row r="85" spans="2:14" x14ac:dyDescent="0.15">
      <c r="B85" s="18" t="s">
        <v>1555</v>
      </c>
      <c r="C85" s="20">
        <v>34.875</v>
      </c>
      <c r="D85" s="19">
        <v>1</v>
      </c>
      <c r="E85" s="20">
        <v>15.875</v>
      </c>
      <c r="F85" s="19">
        <v>1.75</v>
      </c>
      <c r="G85" s="19">
        <v>2.5625</v>
      </c>
      <c r="H85" s="19">
        <v>1.25</v>
      </c>
      <c r="I85" s="20"/>
      <c r="J85" s="19"/>
      <c r="K85" s="132">
        <f t="shared" si="4"/>
        <v>10.9375</v>
      </c>
      <c r="L85" s="272">
        <f t="shared" si="2"/>
        <v>3.3337500050673006</v>
      </c>
      <c r="M85" s="272">
        <f t="shared" si="3"/>
        <v>433.0557368787172</v>
      </c>
      <c r="N85" s="1">
        <v>291</v>
      </c>
    </row>
    <row r="86" spans="2:14" x14ac:dyDescent="0.15">
      <c r="B86" s="127" t="s">
        <v>1554</v>
      </c>
      <c r="C86" s="130">
        <v>34.5</v>
      </c>
      <c r="D86" s="129">
        <v>0.875</v>
      </c>
      <c r="E86" s="130">
        <v>15.75</v>
      </c>
      <c r="F86" s="129">
        <v>1.5625</v>
      </c>
      <c r="G86" s="129">
        <v>2.375</v>
      </c>
      <c r="H86" s="129">
        <v>1.1875</v>
      </c>
      <c r="I86" s="130" t="s">
        <v>850</v>
      </c>
      <c r="J86" s="129" t="s">
        <v>850</v>
      </c>
      <c r="K86" s="132">
        <f t="shared" si="4"/>
        <v>10.854166666666666</v>
      </c>
      <c r="L86" s="272">
        <f t="shared" si="2"/>
        <v>3.308350005028692</v>
      </c>
      <c r="M86" s="272">
        <f t="shared" si="3"/>
        <v>391.38714363952789</v>
      </c>
      <c r="N86" s="1">
        <v>263</v>
      </c>
    </row>
    <row r="87" spans="2:14" x14ac:dyDescent="0.15">
      <c r="B87" s="18" t="s">
        <v>869</v>
      </c>
      <c r="C87" s="20">
        <v>34.125</v>
      </c>
      <c r="D87" s="19">
        <v>0.8125</v>
      </c>
      <c r="E87" s="20">
        <v>15.875</v>
      </c>
      <c r="F87" s="19">
        <v>1.375</v>
      </c>
      <c r="G87" s="19">
        <v>2.1875</v>
      </c>
      <c r="H87" s="19">
        <v>1.1875</v>
      </c>
      <c r="I87" s="20">
        <v>5.5</v>
      </c>
      <c r="J87" s="19">
        <v>3.5</v>
      </c>
      <c r="K87" s="132">
        <f t="shared" ref="K87:K106" si="5">((C87-(F87*2))*2+(E87*4)+(F87*4)-(D87*2))*12/144</f>
        <v>10.84375</v>
      </c>
      <c r="L87" s="272">
        <f t="shared" si="2"/>
        <v>3.3051750050238669</v>
      </c>
      <c r="M87" s="272">
        <f t="shared" si="3"/>
        <v>358.64753466587916</v>
      </c>
      <c r="N87" s="1">
        <v>241</v>
      </c>
    </row>
    <row r="88" spans="2:14" x14ac:dyDescent="0.15">
      <c r="B88" s="127" t="s">
        <v>870</v>
      </c>
      <c r="C88" s="130">
        <v>33.875</v>
      </c>
      <c r="D88" s="129">
        <v>0.75</v>
      </c>
      <c r="E88" s="130">
        <v>15.75</v>
      </c>
      <c r="F88" s="129">
        <v>1.25</v>
      </c>
      <c r="G88" s="129">
        <v>2.0625</v>
      </c>
      <c r="H88" s="129">
        <v>1.1875</v>
      </c>
      <c r="I88" s="130">
        <v>5.5</v>
      </c>
      <c r="J88" s="129">
        <v>3.5</v>
      </c>
      <c r="K88" s="119">
        <f t="shared" si="5"/>
        <v>10.770833333333334</v>
      </c>
      <c r="L88" s="272">
        <f t="shared" si="2"/>
        <v>3.2829500049900844</v>
      </c>
      <c r="M88" s="272">
        <f t="shared" si="3"/>
        <v>328.88425378074396</v>
      </c>
      <c r="N88" s="1">
        <v>221</v>
      </c>
    </row>
    <row r="89" spans="2:14" x14ac:dyDescent="0.15">
      <c r="B89" s="18" t="s">
        <v>871</v>
      </c>
      <c r="C89" s="22">
        <v>33.625</v>
      </c>
      <c r="D89" s="21">
        <v>0.6875</v>
      </c>
      <c r="E89" s="22">
        <v>15.75</v>
      </c>
      <c r="F89" s="21">
        <v>1.125</v>
      </c>
      <c r="G89" s="21">
        <v>1.9375</v>
      </c>
      <c r="H89" s="21">
        <v>1.125</v>
      </c>
      <c r="I89" s="22">
        <v>5.5</v>
      </c>
      <c r="J89" s="21">
        <v>3.25</v>
      </c>
      <c r="K89" s="318">
        <f t="shared" si="5"/>
        <v>10.739583333333334</v>
      </c>
      <c r="L89" s="314">
        <f t="shared" si="2"/>
        <v>3.2734250049756062</v>
      </c>
      <c r="M89" s="272">
        <f t="shared" si="3"/>
        <v>299.12097289560876</v>
      </c>
      <c r="N89" s="1">
        <v>201</v>
      </c>
    </row>
    <row r="90" spans="2:14" x14ac:dyDescent="0.15">
      <c r="B90" s="307"/>
      <c r="C90" s="315"/>
      <c r="D90" s="315"/>
      <c r="E90" s="315"/>
      <c r="F90" s="315"/>
      <c r="G90" s="315"/>
      <c r="H90" s="315"/>
      <c r="I90" s="315"/>
      <c r="J90" s="315"/>
      <c r="K90" s="316"/>
      <c r="L90" s="317"/>
      <c r="M90" s="312"/>
      <c r="N90" s="1"/>
    </row>
    <row r="91" spans="2:14" x14ac:dyDescent="0.15">
      <c r="B91" s="18" t="s">
        <v>1651</v>
      </c>
      <c r="C91" s="156">
        <v>33.875</v>
      </c>
      <c r="D91" s="131">
        <v>0.6875</v>
      </c>
      <c r="E91" s="156">
        <v>11.5</v>
      </c>
      <c r="F91" s="131">
        <v>1.25</v>
      </c>
      <c r="G91" s="131">
        <v>2.0625</v>
      </c>
      <c r="H91" s="131">
        <v>1.125</v>
      </c>
      <c r="I91" s="156"/>
      <c r="J91" s="131"/>
      <c r="K91" s="119">
        <f t="shared" si="5"/>
        <v>9.3645833333333339</v>
      </c>
      <c r="L91" s="274">
        <f t="shared" ref="L91:L154" si="6">K91*3.2808399*0.09290304</f>
        <v>2.8543250043385746</v>
      </c>
      <c r="M91" s="272">
        <f t="shared" si="3"/>
        <v>251.49972347939243</v>
      </c>
      <c r="N91" s="1">
        <v>169</v>
      </c>
    </row>
    <row r="92" spans="2:14" x14ac:dyDescent="0.15">
      <c r="B92" s="127" t="s">
        <v>872</v>
      </c>
      <c r="C92" s="130">
        <v>33.5</v>
      </c>
      <c r="D92" s="129">
        <v>0.625</v>
      </c>
      <c r="E92" s="130">
        <v>11.625</v>
      </c>
      <c r="F92" s="129">
        <v>1.0625</v>
      </c>
      <c r="G92" s="129">
        <v>1.875</v>
      </c>
      <c r="H92" s="129">
        <v>1.125</v>
      </c>
      <c r="I92" s="130">
        <v>5.5</v>
      </c>
      <c r="J92" s="129">
        <v>3.25</v>
      </c>
      <c r="K92" s="119">
        <f t="shared" si="5"/>
        <v>9.3541666666666661</v>
      </c>
      <c r="L92" s="272">
        <f t="shared" si="6"/>
        <v>2.8511500043337481</v>
      </c>
      <c r="M92" s="272">
        <f t="shared" si="3"/>
        <v>226.20093472702752</v>
      </c>
      <c r="N92" s="1">
        <v>152</v>
      </c>
    </row>
    <row r="93" spans="2:14" x14ac:dyDescent="0.15">
      <c r="B93" s="18" t="s">
        <v>873</v>
      </c>
      <c r="C93" s="20">
        <v>33.25</v>
      </c>
      <c r="D93" s="19">
        <v>0.625</v>
      </c>
      <c r="E93" s="20">
        <v>11.5</v>
      </c>
      <c r="F93" s="19">
        <v>0.9375</v>
      </c>
      <c r="G93" s="19">
        <v>1.75</v>
      </c>
      <c r="H93" s="19">
        <v>1.0625</v>
      </c>
      <c r="I93" s="20">
        <v>5.5</v>
      </c>
      <c r="J93" s="19">
        <v>3</v>
      </c>
      <c r="K93" s="132">
        <f t="shared" si="5"/>
        <v>9.2708333333333339</v>
      </c>
      <c r="L93" s="272">
        <f t="shared" si="6"/>
        <v>2.8257500042951404</v>
      </c>
      <c r="M93" s="272">
        <f t="shared" si="3"/>
        <v>209.83113024020315</v>
      </c>
      <c r="N93" s="1">
        <v>141</v>
      </c>
    </row>
    <row r="94" spans="2:14" x14ac:dyDescent="0.15">
      <c r="B94" s="127" t="s">
        <v>874</v>
      </c>
      <c r="C94" s="130">
        <v>33.125</v>
      </c>
      <c r="D94" s="129">
        <v>0.5625</v>
      </c>
      <c r="E94" s="130">
        <v>11.5</v>
      </c>
      <c r="F94" s="129">
        <v>0.875</v>
      </c>
      <c r="G94" s="129">
        <v>1.6875</v>
      </c>
      <c r="H94" s="129">
        <v>1.0625</v>
      </c>
      <c r="I94" s="130">
        <v>5.5</v>
      </c>
      <c r="J94" s="129">
        <v>3</v>
      </c>
      <c r="K94" s="119">
        <f t="shared" si="5"/>
        <v>9.2604166666666661</v>
      </c>
      <c r="L94" s="272">
        <f t="shared" si="6"/>
        <v>2.8225750042903139</v>
      </c>
      <c r="M94" s="272">
        <f t="shared" si="3"/>
        <v>193.46132575337882</v>
      </c>
      <c r="N94" s="1">
        <v>130</v>
      </c>
    </row>
    <row r="95" spans="2:14" x14ac:dyDescent="0.15">
      <c r="B95" s="18" t="s">
        <v>875</v>
      </c>
      <c r="C95" s="22">
        <v>32.875</v>
      </c>
      <c r="D95" s="21">
        <v>0.5625</v>
      </c>
      <c r="E95" s="22">
        <v>11.5</v>
      </c>
      <c r="F95" s="21">
        <v>0.75</v>
      </c>
      <c r="G95" s="21">
        <v>1.5625</v>
      </c>
      <c r="H95" s="21">
        <v>1.0625</v>
      </c>
      <c r="I95" s="22">
        <v>5.5</v>
      </c>
      <c r="J95" s="21">
        <v>2.75</v>
      </c>
      <c r="K95" s="318">
        <f t="shared" si="5"/>
        <v>9.21875</v>
      </c>
      <c r="L95" s="314">
        <f t="shared" si="6"/>
        <v>2.8098750042710101</v>
      </c>
      <c r="M95" s="272">
        <f t="shared" si="3"/>
        <v>175.60335722229769</v>
      </c>
      <c r="N95" s="1">
        <v>118</v>
      </c>
    </row>
    <row r="96" spans="2:14" x14ac:dyDescent="0.15">
      <c r="B96" s="307"/>
      <c r="C96" s="315"/>
      <c r="D96" s="315"/>
      <c r="E96" s="315"/>
      <c r="F96" s="315"/>
      <c r="G96" s="315"/>
      <c r="H96" s="315"/>
      <c r="I96" s="315"/>
      <c r="J96" s="315"/>
      <c r="K96" s="316"/>
      <c r="L96" s="317"/>
      <c r="M96" s="312"/>
      <c r="N96" s="1"/>
    </row>
    <row r="97" spans="2:14" x14ac:dyDescent="0.15">
      <c r="B97" s="151" t="s">
        <v>1573</v>
      </c>
      <c r="C97" s="158">
        <v>35.375</v>
      </c>
      <c r="D97" s="159">
        <v>2</v>
      </c>
      <c r="E97" s="158">
        <v>16.25</v>
      </c>
      <c r="F97" s="159">
        <v>3.5625</v>
      </c>
      <c r="G97" s="159">
        <v>4.3125</v>
      </c>
      <c r="H97" s="159">
        <v>1.6875</v>
      </c>
      <c r="I97" s="158"/>
      <c r="J97" s="159"/>
      <c r="K97" s="150">
        <f t="shared" si="5"/>
        <v>10.979166666666666</v>
      </c>
      <c r="L97" s="270">
        <f t="shared" si="6"/>
        <v>3.346450005086604</v>
      </c>
      <c r="M97" s="271">
        <f t="shared" si="3"/>
        <v>864.6233097131776</v>
      </c>
      <c r="N97" s="1">
        <v>581</v>
      </c>
    </row>
    <row r="98" spans="2:14" x14ac:dyDescent="0.15">
      <c r="B98" s="151" t="s">
        <v>1572</v>
      </c>
      <c r="C98" s="152">
        <v>34.75</v>
      </c>
      <c r="D98" s="153">
        <v>1.8125</v>
      </c>
      <c r="E98" s="152">
        <v>16</v>
      </c>
      <c r="F98" s="153">
        <v>3.25</v>
      </c>
      <c r="G98" s="153">
        <v>4</v>
      </c>
      <c r="H98" s="153">
        <v>1.625</v>
      </c>
      <c r="I98" s="152"/>
      <c r="J98" s="153"/>
      <c r="K98" s="154">
        <f t="shared" si="5"/>
        <v>10.822916666666666</v>
      </c>
      <c r="L98" s="271">
        <f t="shared" si="6"/>
        <v>3.2988250050142138</v>
      </c>
      <c r="M98" s="271">
        <f>N98*3.2808399*0.4535924</f>
        <v>782.77428727905578</v>
      </c>
      <c r="N98" s="1">
        <v>526</v>
      </c>
    </row>
    <row r="99" spans="2:14" x14ac:dyDescent="0.15">
      <c r="B99" s="151" t="s">
        <v>1571</v>
      </c>
      <c r="C99" s="152">
        <v>34.25</v>
      </c>
      <c r="D99" s="153">
        <v>1.625</v>
      </c>
      <c r="E99" s="152">
        <v>15.875</v>
      </c>
      <c r="F99" s="153">
        <v>3</v>
      </c>
      <c r="G99" s="153">
        <v>3.75</v>
      </c>
      <c r="H99" s="153">
        <v>1.5625</v>
      </c>
      <c r="I99" s="152"/>
      <c r="J99" s="153"/>
      <c r="K99" s="154">
        <f t="shared" si="5"/>
        <v>10.729166666666666</v>
      </c>
      <c r="L99" s="271">
        <f t="shared" si="6"/>
        <v>3.2702500049707801</v>
      </c>
      <c r="M99" s="271">
        <f>N99*3.2808399*0.4535924</f>
        <v>709.8542491104746</v>
      </c>
      <c r="N99" s="1">
        <v>477</v>
      </c>
    </row>
    <row r="100" spans="2:14" x14ac:dyDescent="0.15">
      <c r="B100" s="151" t="s">
        <v>1570</v>
      </c>
      <c r="C100" s="152">
        <v>33.625</v>
      </c>
      <c r="D100" s="153">
        <v>1.5</v>
      </c>
      <c r="E100" s="152">
        <v>15.75</v>
      </c>
      <c r="F100" s="153">
        <v>2.6875</v>
      </c>
      <c r="G100" s="153">
        <v>3.4375</v>
      </c>
      <c r="H100" s="153">
        <v>1.5</v>
      </c>
      <c r="I100" s="152"/>
      <c r="J100" s="153"/>
      <c r="K100" s="154">
        <f t="shared" si="5"/>
        <v>10.604166666666666</v>
      </c>
      <c r="L100" s="271">
        <f t="shared" si="6"/>
        <v>3.2321500049128682</v>
      </c>
      <c r="M100" s="271">
        <f>N100*3.2808399*0.4535924</f>
        <v>644.37503116317714</v>
      </c>
      <c r="N100" s="1">
        <v>433</v>
      </c>
    </row>
    <row r="101" spans="2:14" x14ac:dyDescent="0.15">
      <c r="B101" s="18" t="s">
        <v>1569</v>
      </c>
      <c r="C101" s="20">
        <v>33.25</v>
      </c>
      <c r="D101" s="19">
        <v>1.375</v>
      </c>
      <c r="E101" s="20">
        <v>15.625</v>
      </c>
      <c r="F101" s="19">
        <v>2.4375</v>
      </c>
      <c r="G101" s="19">
        <v>3.25</v>
      </c>
      <c r="H101" s="19">
        <v>1.4375</v>
      </c>
      <c r="I101" s="20"/>
      <c r="J101" s="19"/>
      <c r="K101" s="132">
        <f t="shared" si="5"/>
        <v>10.520833333333334</v>
      </c>
      <c r="L101" s="272">
        <f t="shared" si="6"/>
        <v>3.2067500048742605</v>
      </c>
      <c r="M101" s="272">
        <f t="shared" ref="M101:M117" si="7">N101*3.2808399*0.4535924</f>
        <v>581.87214130439327</v>
      </c>
      <c r="N101" s="1">
        <v>391</v>
      </c>
    </row>
    <row r="102" spans="2:14" x14ac:dyDescent="0.15">
      <c r="B102" s="18" t="s">
        <v>1568</v>
      </c>
      <c r="C102" s="20">
        <v>32.75</v>
      </c>
      <c r="D102" s="19">
        <v>1.25</v>
      </c>
      <c r="E102" s="20">
        <v>15.5</v>
      </c>
      <c r="F102" s="19">
        <v>2.25</v>
      </c>
      <c r="G102" s="19">
        <v>3</v>
      </c>
      <c r="H102" s="19">
        <v>1.375</v>
      </c>
      <c r="I102" s="20"/>
      <c r="J102" s="19"/>
      <c r="K102" s="132">
        <f t="shared" si="5"/>
        <v>10.416666666666666</v>
      </c>
      <c r="L102" s="272">
        <f t="shared" si="6"/>
        <v>3.1750000048260003</v>
      </c>
      <c r="M102" s="272">
        <f t="shared" si="7"/>
        <v>531.27456379966327</v>
      </c>
      <c r="N102" s="1">
        <v>357</v>
      </c>
    </row>
    <row r="103" spans="2:14" x14ac:dyDescent="0.15">
      <c r="B103" s="18" t="s">
        <v>1567</v>
      </c>
      <c r="C103" s="20">
        <v>32.375</v>
      </c>
      <c r="D103" s="19">
        <v>1.125</v>
      </c>
      <c r="E103" s="20">
        <v>15.375</v>
      </c>
      <c r="F103" s="19">
        <v>2.0625</v>
      </c>
      <c r="G103" s="19">
        <v>2.8125</v>
      </c>
      <c r="H103" s="19">
        <v>1.3125</v>
      </c>
      <c r="I103" s="20"/>
      <c r="J103" s="19"/>
      <c r="K103" s="132">
        <f t="shared" si="5"/>
        <v>10.333333333333334</v>
      </c>
      <c r="L103" s="272">
        <f t="shared" si="6"/>
        <v>3.1496000047873927</v>
      </c>
      <c r="M103" s="272">
        <f t="shared" si="7"/>
        <v>485.14147842770382</v>
      </c>
      <c r="N103" s="1">
        <v>326</v>
      </c>
    </row>
    <row r="104" spans="2:14" x14ac:dyDescent="0.15">
      <c r="B104" s="18" t="s">
        <v>1566</v>
      </c>
      <c r="C104" s="20">
        <v>32</v>
      </c>
      <c r="D104" s="19">
        <v>1</v>
      </c>
      <c r="E104" s="20">
        <v>15.25</v>
      </c>
      <c r="F104" s="19">
        <v>1.875</v>
      </c>
      <c r="G104" s="19">
        <v>2.625</v>
      </c>
      <c r="H104" s="19">
        <v>1.25</v>
      </c>
      <c r="I104" s="20"/>
      <c r="J104" s="19"/>
      <c r="K104" s="132">
        <f t="shared" si="5"/>
        <v>10.25</v>
      </c>
      <c r="L104" s="272">
        <f t="shared" si="6"/>
        <v>3.1242000047487841</v>
      </c>
      <c r="M104" s="272">
        <f t="shared" si="7"/>
        <v>434.54390092297393</v>
      </c>
      <c r="N104" s="1">
        <v>292</v>
      </c>
    </row>
    <row r="105" spans="2:14" x14ac:dyDescent="0.15">
      <c r="B105" s="18" t="s">
        <v>1565</v>
      </c>
      <c r="C105" s="20">
        <v>31.625</v>
      </c>
      <c r="D105" s="19">
        <v>0.9375</v>
      </c>
      <c r="E105" s="20">
        <v>15.125</v>
      </c>
      <c r="F105" s="19">
        <v>1.625</v>
      </c>
      <c r="G105" s="19">
        <v>2.4375</v>
      </c>
      <c r="H105" s="19">
        <v>1.1875</v>
      </c>
      <c r="I105" s="20"/>
      <c r="J105" s="19"/>
      <c r="K105" s="132">
        <f t="shared" si="5"/>
        <v>10.15625</v>
      </c>
      <c r="L105" s="272">
        <f t="shared" si="6"/>
        <v>3.0956250047053504</v>
      </c>
      <c r="M105" s="272">
        <f t="shared" si="7"/>
        <v>388.41081555101437</v>
      </c>
      <c r="N105" s="1">
        <v>261</v>
      </c>
    </row>
    <row r="106" spans="2:14" x14ac:dyDescent="0.15">
      <c r="B106" s="127" t="s">
        <v>1564</v>
      </c>
      <c r="C106" s="130">
        <v>31.25</v>
      </c>
      <c r="D106" s="129">
        <v>0.8125</v>
      </c>
      <c r="E106" s="130">
        <v>15</v>
      </c>
      <c r="F106" s="129">
        <v>1.5</v>
      </c>
      <c r="G106" s="129">
        <v>2.25</v>
      </c>
      <c r="H106" s="129">
        <v>1.125</v>
      </c>
      <c r="I106" s="130" t="s">
        <v>850</v>
      </c>
      <c r="J106" s="129" t="s">
        <v>850</v>
      </c>
      <c r="K106" s="132">
        <f t="shared" si="5"/>
        <v>10.072916666666666</v>
      </c>
      <c r="L106" s="272">
        <f t="shared" si="6"/>
        <v>3.0702250046667419</v>
      </c>
      <c r="M106" s="272">
        <f t="shared" si="7"/>
        <v>349.71855040033864</v>
      </c>
      <c r="N106" s="1">
        <v>235</v>
      </c>
    </row>
    <row r="107" spans="2:14" x14ac:dyDescent="0.15">
      <c r="B107" s="18" t="s">
        <v>876</v>
      </c>
      <c r="C107" s="20">
        <v>31</v>
      </c>
      <c r="D107" s="19">
        <v>0.75</v>
      </c>
      <c r="E107" s="20">
        <v>15.125</v>
      </c>
      <c r="F107" s="19">
        <v>1.3125</v>
      </c>
      <c r="G107" s="19">
        <v>2.125</v>
      </c>
      <c r="H107" s="19">
        <v>1.125</v>
      </c>
      <c r="I107" s="20">
        <v>5.5</v>
      </c>
      <c r="J107" s="19">
        <v>3.5</v>
      </c>
      <c r="K107" s="132">
        <f t="shared" ref="K107:K130" si="8">((C107-(F107*2))*2+(E107*4)+(F107*4)-(D107*2))*12/144</f>
        <v>10.083333333333334</v>
      </c>
      <c r="L107" s="272">
        <f t="shared" si="6"/>
        <v>3.0734000046715688</v>
      </c>
      <c r="M107" s="272">
        <f t="shared" si="7"/>
        <v>314.00261333817639</v>
      </c>
      <c r="N107" s="1">
        <v>211</v>
      </c>
    </row>
    <row r="108" spans="2:14" x14ac:dyDescent="0.15">
      <c r="B108" s="127" t="s">
        <v>877</v>
      </c>
      <c r="C108" s="130">
        <v>30.625</v>
      </c>
      <c r="D108" s="129">
        <v>0.6875</v>
      </c>
      <c r="E108" s="130">
        <v>15</v>
      </c>
      <c r="F108" s="129">
        <v>1.1875</v>
      </c>
      <c r="G108" s="129">
        <v>1.9375</v>
      </c>
      <c r="H108" s="129">
        <v>1.0625</v>
      </c>
      <c r="I108" s="130">
        <v>5.5</v>
      </c>
      <c r="J108" s="129">
        <v>3.25</v>
      </c>
      <c r="K108" s="119">
        <f t="shared" si="8"/>
        <v>9.9895833333333339</v>
      </c>
      <c r="L108" s="272">
        <f t="shared" si="6"/>
        <v>3.0448250046281342</v>
      </c>
      <c r="M108" s="272">
        <f t="shared" si="7"/>
        <v>284.23933245304113</v>
      </c>
      <c r="N108" s="1">
        <v>191</v>
      </c>
    </row>
    <row r="109" spans="2:14" x14ac:dyDescent="0.15">
      <c r="B109" s="18" t="s">
        <v>878</v>
      </c>
      <c r="C109" s="22">
        <v>30.5</v>
      </c>
      <c r="D109" s="21">
        <v>0.625</v>
      </c>
      <c r="E109" s="22">
        <v>15</v>
      </c>
      <c r="F109" s="21">
        <v>1.0625</v>
      </c>
      <c r="G109" s="21">
        <v>1.875</v>
      </c>
      <c r="H109" s="21">
        <v>1.0625</v>
      </c>
      <c r="I109" s="22">
        <v>5.5</v>
      </c>
      <c r="J109" s="21">
        <v>3.25</v>
      </c>
      <c r="K109" s="318">
        <f t="shared" si="8"/>
        <v>9.9791666666666661</v>
      </c>
      <c r="L109" s="314">
        <f t="shared" si="6"/>
        <v>3.0416500046233081</v>
      </c>
      <c r="M109" s="272">
        <f t="shared" si="7"/>
        <v>257.45237965641951</v>
      </c>
      <c r="N109" s="1">
        <v>173</v>
      </c>
    </row>
    <row r="110" spans="2:14" x14ac:dyDescent="0.15">
      <c r="B110" s="307"/>
      <c r="C110" s="315"/>
      <c r="D110" s="315"/>
      <c r="E110" s="315"/>
      <c r="F110" s="315"/>
      <c r="G110" s="315"/>
      <c r="H110" s="315"/>
      <c r="I110" s="315"/>
      <c r="J110" s="315"/>
      <c r="K110" s="316"/>
      <c r="L110" s="317"/>
      <c r="M110" s="312"/>
      <c r="N110" s="1"/>
    </row>
    <row r="111" spans="2:14" x14ac:dyDescent="0.15">
      <c r="B111" s="18" t="s">
        <v>1652</v>
      </c>
      <c r="C111" s="156">
        <v>30.625</v>
      </c>
      <c r="D111" s="131">
        <v>0.625</v>
      </c>
      <c r="E111" s="156">
        <v>10.5</v>
      </c>
      <c r="F111" s="131">
        <v>1.1875</v>
      </c>
      <c r="G111" s="131">
        <v>2</v>
      </c>
      <c r="H111" s="131">
        <v>1</v>
      </c>
      <c r="I111" s="156"/>
      <c r="J111" s="131"/>
      <c r="K111" s="119">
        <f t="shared" si="8"/>
        <v>8.5</v>
      </c>
      <c r="L111" s="274">
        <f t="shared" si="6"/>
        <v>2.5908000039380163</v>
      </c>
      <c r="M111" s="272">
        <f t="shared" si="7"/>
        <v>220.24827855000049</v>
      </c>
      <c r="N111" s="1">
        <v>148</v>
      </c>
    </row>
    <row r="112" spans="2:14" x14ac:dyDescent="0.15">
      <c r="B112" s="127" t="s">
        <v>879</v>
      </c>
      <c r="C112" s="130">
        <v>30.25</v>
      </c>
      <c r="D112" s="129">
        <v>0.625</v>
      </c>
      <c r="E112" s="130">
        <v>10.5</v>
      </c>
      <c r="F112" s="129">
        <v>1</v>
      </c>
      <c r="G112" s="129">
        <v>1.75</v>
      </c>
      <c r="H112" s="129">
        <v>1.0625</v>
      </c>
      <c r="I112" s="130">
        <v>5.5</v>
      </c>
      <c r="J112" s="129">
        <v>3</v>
      </c>
      <c r="K112" s="119">
        <f t="shared" si="8"/>
        <v>8.4375</v>
      </c>
      <c r="L112" s="272">
        <f t="shared" si="6"/>
        <v>2.5717500039090604</v>
      </c>
      <c r="M112" s="272">
        <f t="shared" si="7"/>
        <v>196.43765384189234</v>
      </c>
      <c r="N112" s="1">
        <v>132</v>
      </c>
    </row>
    <row r="113" spans="2:14" x14ac:dyDescent="0.15">
      <c r="B113" s="18" t="s">
        <v>880</v>
      </c>
      <c r="C113" s="20">
        <v>30.125</v>
      </c>
      <c r="D113" s="19">
        <v>0.5625</v>
      </c>
      <c r="E113" s="20">
        <v>10.5</v>
      </c>
      <c r="F113" s="19">
        <v>0.9375</v>
      </c>
      <c r="G113" s="19">
        <v>1.6875</v>
      </c>
      <c r="H113" s="19">
        <v>1</v>
      </c>
      <c r="I113" s="20">
        <v>5.5</v>
      </c>
      <c r="J113" s="19">
        <v>3</v>
      </c>
      <c r="K113" s="132">
        <f t="shared" si="8"/>
        <v>8.4270833333333339</v>
      </c>
      <c r="L113" s="272">
        <f t="shared" si="6"/>
        <v>2.5685750039042343</v>
      </c>
      <c r="M113" s="272">
        <f t="shared" si="7"/>
        <v>184.53234148783824</v>
      </c>
      <c r="N113" s="1">
        <v>124</v>
      </c>
    </row>
    <row r="114" spans="2:14" x14ac:dyDescent="0.15">
      <c r="B114" s="127" t="s">
        <v>881</v>
      </c>
      <c r="C114" s="130">
        <v>30</v>
      </c>
      <c r="D114" s="129">
        <v>0.5625</v>
      </c>
      <c r="E114" s="130">
        <v>10.5</v>
      </c>
      <c r="F114" s="129">
        <v>0.875</v>
      </c>
      <c r="G114" s="129">
        <v>1.625</v>
      </c>
      <c r="H114" s="129">
        <v>1</v>
      </c>
      <c r="I114" s="130">
        <v>5.5</v>
      </c>
      <c r="J114" s="129">
        <v>3</v>
      </c>
      <c r="K114" s="119">
        <f t="shared" si="8"/>
        <v>8.40625</v>
      </c>
      <c r="L114" s="272">
        <f t="shared" si="6"/>
        <v>2.5622250038945822</v>
      </c>
      <c r="M114" s="272">
        <f t="shared" si="7"/>
        <v>172.62702913378416</v>
      </c>
      <c r="N114" s="1">
        <v>116</v>
      </c>
    </row>
    <row r="115" spans="2:14" x14ac:dyDescent="0.15">
      <c r="B115" s="18" t="s">
        <v>882</v>
      </c>
      <c r="C115" s="20">
        <v>29.875</v>
      </c>
      <c r="D115" s="19">
        <v>0.5625</v>
      </c>
      <c r="E115" s="20">
        <v>10.5</v>
      </c>
      <c r="F115" s="19">
        <v>0.75</v>
      </c>
      <c r="G115" s="19">
        <v>1.5625</v>
      </c>
      <c r="H115" s="19">
        <v>1</v>
      </c>
      <c r="I115" s="20">
        <v>5.5</v>
      </c>
      <c r="J115" s="19">
        <v>3</v>
      </c>
      <c r="K115" s="132">
        <f t="shared" si="8"/>
        <v>8.3854166666666661</v>
      </c>
      <c r="L115" s="272">
        <f t="shared" si="6"/>
        <v>2.5558750038849301</v>
      </c>
      <c r="M115" s="272">
        <f t="shared" si="7"/>
        <v>160.72171677973009</v>
      </c>
      <c r="N115" s="1">
        <v>108</v>
      </c>
    </row>
    <row r="116" spans="2:14" x14ac:dyDescent="0.15">
      <c r="B116" s="18" t="s">
        <v>883</v>
      </c>
      <c r="C116" s="20">
        <v>29.625</v>
      </c>
      <c r="D116" s="19">
        <v>0.5</v>
      </c>
      <c r="E116" s="20">
        <v>10.5</v>
      </c>
      <c r="F116" s="19">
        <v>0.6875</v>
      </c>
      <c r="G116" s="19">
        <v>1.4375</v>
      </c>
      <c r="H116" s="19">
        <v>1</v>
      </c>
      <c r="I116" s="20">
        <v>5.5</v>
      </c>
      <c r="J116" s="19">
        <v>2.75</v>
      </c>
      <c r="K116" s="132">
        <f t="shared" si="8"/>
        <v>8.3541666666666661</v>
      </c>
      <c r="L116" s="272">
        <f t="shared" si="6"/>
        <v>2.5463500038704523</v>
      </c>
      <c r="M116" s="272">
        <f t="shared" si="7"/>
        <v>147.32824038141925</v>
      </c>
      <c r="N116" s="1">
        <v>99</v>
      </c>
    </row>
    <row r="117" spans="2:14" x14ac:dyDescent="0.15">
      <c r="B117" s="155" t="s">
        <v>1653</v>
      </c>
      <c r="C117" s="130">
        <v>29.5</v>
      </c>
      <c r="D117" s="129">
        <v>0.5</v>
      </c>
      <c r="E117" s="130">
        <v>10.375</v>
      </c>
      <c r="F117" s="129">
        <v>0.5625</v>
      </c>
      <c r="G117" s="129">
        <v>1.3125</v>
      </c>
      <c r="H117" s="129">
        <v>1</v>
      </c>
      <c r="I117" s="130"/>
      <c r="J117" s="129"/>
      <c r="K117" s="313">
        <f t="shared" si="8"/>
        <v>8.2916666666666661</v>
      </c>
      <c r="L117" s="314">
        <f t="shared" si="6"/>
        <v>2.5273000038414963</v>
      </c>
      <c r="M117" s="272">
        <f t="shared" si="7"/>
        <v>133.93476398310841</v>
      </c>
      <c r="N117" s="1">
        <v>90</v>
      </c>
    </row>
    <row r="118" spans="2:14" x14ac:dyDescent="0.15">
      <c r="B118" s="310"/>
      <c r="C118" s="315"/>
      <c r="D118" s="315"/>
      <c r="E118" s="315"/>
      <c r="F118" s="315"/>
      <c r="G118" s="315"/>
      <c r="H118" s="315"/>
      <c r="I118" s="315"/>
      <c r="J118" s="315"/>
      <c r="K118" s="316"/>
      <c r="L118" s="317"/>
      <c r="M118" s="312"/>
      <c r="N118" s="1"/>
    </row>
    <row r="119" spans="2:14" x14ac:dyDescent="0.15">
      <c r="B119" s="157" t="s">
        <v>1585</v>
      </c>
      <c r="C119" s="158">
        <v>32.5</v>
      </c>
      <c r="D119" s="159">
        <v>2</v>
      </c>
      <c r="E119" s="158">
        <v>15.25</v>
      </c>
      <c r="F119" s="159">
        <v>3.5625</v>
      </c>
      <c r="G119" s="159">
        <v>4.25</v>
      </c>
      <c r="H119" s="159">
        <v>1.625</v>
      </c>
      <c r="I119" s="158"/>
      <c r="J119" s="159"/>
      <c r="K119" s="150">
        <f t="shared" si="8"/>
        <v>10.166666666666666</v>
      </c>
      <c r="L119" s="270">
        <f t="shared" si="6"/>
        <v>3.0988000047101765</v>
      </c>
      <c r="M119" s="271">
        <f t="shared" ref="M119:M182" si="9">N119*3.2808399*0.4535924</f>
        <v>802.12041985439373</v>
      </c>
      <c r="N119" s="1">
        <v>539</v>
      </c>
    </row>
    <row r="120" spans="2:14" x14ac:dyDescent="0.15">
      <c r="B120" s="157" t="s">
        <v>1584</v>
      </c>
      <c r="C120" s="158">
        <v>32</v>
      </c>
      <c r="D120" s="159">
        <v>1.8125</v>
      </c>
      <c r="E120" s="158">
        <v>15.125</v>
      </c>
      <c r="F120" s="159">
        <v>3.25</v>
      </c>
      <c r="G120" s="159">
        <v>4</v>
      </c>
      <c r="H120" s="159">
        <v>1.5625</v>
      </c>
      <c r="I120" s="158"/>
      <c r="J120" s="159"/>
      <c r="K120" s="154">
        <f t="shared" si="8"/>
        <v>10.072916666666666</v>
      </c>
      <c r="L120" s="271">
        <f t="shared" si="6"/>
        <v>3.0702250046667419</v>
      </c>
      <c r="M120" s="271">
        <f t="shared" si="9"/>
        <v>735.15303786283948</v>
      </c>
      <c r="N120" s="1">
        <v>494</v>
      </c>
    </row>
    <row r="121" spans="2:14" x14ac:dyDescent="0.15">
      <c r="B121" s="155" t="s">
        <v>1583</v>
      </c>
      <c r="C121" s="156">
        <v>31.375</v>
      </c>
      <c r="D121" s="131">
        <v>1.625</v>
      </c>
      <c r="E121" s="156">
        <v>15</v>
      </c>
      <c r="F121" s="131">
        <v>3</v>
      </c>
      <c r="G121" s="131">
        <v>3.6875</v>
      </c>
      <c r="H121" s="131">
        <v>1.5</v>
      </c>
      <c r="I121" s="156"/>
      <c r="J121" s="131"/>
      <c r="K121" s="132">
        <f t="shared" si="8"/>
        <v>9.9583333333333339</v>
      </c>
      <c r="L121" s="272">
        <f t="shared" si="6"/>
        <v>3.0353000046136569</v>
      </c>
      <c r="M121" s="272">
        <f t="shared" si="9"/>
        <v>666.69749182702856</v>
      </c>
      <c r="N121" s="1">
        <v>448</v>
      </c>
    </row>
    <row r="122" spans="2:14" x14ac:dyDescent="0.15">
      <c r="B122" s="155" t="s">
        <v>1582</v>
      </c>
      <c r="C122" s="156">
        <v>30.875</v>
      </c>
      <c r="D122" s="131">
        <v>1.5</v>
      </c>
      <c r="E122" s="156">
        <v>14.75</v>
      </c>
      <c r="F122" s="131">
        <v>2.75</v>
      </c>
      <c r="G122" s="131">
        <v>3.4375</v>
      </c>
      <c r="H122" s="131">
        <v>1.4375</v>
      </c>
      <c r="I122" s="156"/>
      <c r="J122" s="131"/>
      <c r="K122" s="132">
        <f t="shared" si="8"/>
        <v>9.8125</v>
      </c>
      <c r="L122" s="272">
        <f t="shared" si="6"/>
        <v>2.9908500045460924</v>
      </c>
      <c r="M122" s="272">
        <f t="shared" si="9"/>
        <v>605.68276601250136</v>
      </c>
      <c r="N122" s="1">
        <v>407</v>
      </c>
    </row>
    <row r="123" spans="2:14" x14ac:dyDescent="0.15">
      <c r="B123" s="155" t="s">
        <v>1581</v>
      </c>
      <c r="C123" s="156">
        <v>30.375</v>
      </c>
      <c r="D123" s="131">
        <v>1.375</v>
      </c>
      <c r="E123" s="156">
        <v>14.625</v>
      </c>
      <c r="F123" s="131">
        <v>2.5</v>
      </c>
      <c r="G123" s="131">
        <v>3.1875</v>
      </c>
      <c r="H123" s="131">
        <v>1.3125</v>
      </c>
      <c r="I123" s="156"/>
      <c r="J123" s="131"/>
      <c r="K123" s="132">
        <f t="shared" si="8"/>
        <v>9.7083333333333339</v>
      </c>
      <c r="L123" s="272">
        <f t="shared" si="6"/>
        <v>2.9591000044978326</v>
      </c>
      <c r="M123" s="272">
        <f t="shared" si="9"/>
        <v>547.64436828648763</v>
      </c>
      <c r="N123" s="1">
        <v>368</v>
      </c>
    </row>
    <row r="124" spans="2:14" x14ac:dyDescent="0.15">
      <c r="B124" s="155" t="s">
        <v>1580</v>
      </c>
      <c r="C124" s="156">
        <v>30</v>
      </c>
      <c r="D124" s="131">
        <v>1.25</v>
      </c>
      <c r="E124" s="156">
        <v>14.5</v>
      </c>
      <c r="F124" s="131">
        <v>2.25</v>
      </c>
      <c r="G124" s="131">
        <v>3</v>
      </c>
      <c r="H124" s="131">
        <v>1.3125</v>
      </c>
      <c r="I124" s="156"/>
      <c r="J124" s="131"/>
      <c r="K124" s="132">
        <f t="shared" si="8"/>
        <v>9.625</v>
      </c>
      <c r="L124" s="272">
        <f t="shared" si="6"/>
        <v>2.9337000044592245</v>
      </c>
      <c r="M124" s="272">
        <f t="shared" si="9"/>
        <v>500.02311887027139</v>
      </c>
      <c r="N124" s="1">
        <v>336</v>
      </c>
    </row>
    <row r="125" spans="2:14" x14ac:dyDescent="0.15">
      <c r="B125" s="155" t="s">
        <v>1579</v>
      </c>
      <c r="C125" s="156">
        <v>29.625</v>
      </c>
      <c r="D125" s="131">
        <v>1.1875</v>
      </c>
      <c r="E125" s="156">
        <v>14.5</v>
      </c>
      <c r="F125" s="131">
        <v>2.0625</v>
      </c>
      <c r="G125" s="131">
        <v>2.8125</v>
      </c>
      <c r="H125" s="131">
        <v>1.25</v>
      </c>
      <c r="I125" s="156"/>
      <c r="J125" s="131"/>
      <c r="K125" s="132">
        <f t="shared" si="8"/>
        <v>9.5729166666666661</v>
      </c>
      <c r="L125" s="272">
        <f t="shared" si="6"/>
        <v>2.9178250044350942</v>
      </c>
      <c r="M125" s="272">
        <f t="shared" si="9"/>
        <v>575.9194851273661</v>
      </c>
      <c r="N125" s="1">
        <v>387</v>
      </c>
    </row>
    <row r="126" spans="2:14" x14ac:dyDescent="0.15">
      <c r="B126" s="155" t="s">
        <v>1578</v>
      </c>
      <c r="C126" s="156">
        <v>29.25</v>
      </c>
      <c r="D126" s="131">
        <v>1.0625</v>
      </c>
      <c r="E126" s="156">
        <v>14.375</v>
      </c>
      <c r="F126" s="131">
        <v>1.9375</v>
      </c>
      <c r="G126" s="131">
        <v>2.625</v>
      </c>
      <c r="H126" s="131">
        <v>1.1875</v>
      </c>
      <c r="I126" s="156"/>
      <c r="J126" s="131"/>
      <c r="K126" s="132">
        <f t="shared" si="8"/>
        <v>9.4895833333333339</v>
      </c>
      <c r="L126" s="272">
        <f t="shared" si="6"/>
        <v>2.8924250043964865</v>
      </c>
      <c r="M126" s="272">
        <f t="shared" si="9"/>
        <v>418.17409643614957</v>
      </c>
      <c r="N126" s="1">
        <v>281</v>
      </c>
    </row>
    <row r="127" spans="2:14" x14ac:dyDescent="0.15">
      <c r="B127" s="155" t="s">
        <v>1577</v>
      </c>
      <c r="C127" s="156">
        <v>29</v>
      </c>
      <c r="D127" s="131">
        <v>1</v>
      </c>
      <c r="E127" s="156">
        <v>14.25</v>
      </c>
      <c r="F127" s="131">
        <v>1.75</v>
      </c>
      <c r="G127" s="131">
        <v>2.5</v>
      </c>
      <c r="H127" s="131">
        <v>1.125</v>
      </c>
      <c r="I127" s="156"/>
      <c r="J127" s="131"/>
      <c r="K127" s="132">
        <f t="shared" si="8"/>
        <v>9.4166666666666661</v>
      </c>
      <c r="L127" s="272">
        <f t="shared" si="6"/>
        <v>2.8702000043627041</v>
      </c>
      <c r="M127" s="272">
        <f t="shared" si="9"/>
        <v>383.94632341824411</v>
      </c>
      <c r="N127" s="1">
        <v>258</v>
      </c>
    </row>
    <row r="128" spans="2:14" x14ac:dyDescent="0.15">
      <c r="B128" s="18" t="s">
        <v>1576</v>
      </c>
      <c r="C128" s="20">
        <v>28.625</v>
      </c>
      <c r="D128" s="19">
        <v>0.9375</v>
      </c>
      <c r="E128" s="20">
        <v>14.25</v>
      </c>
      <c r="F128" s="19">
        <v>1.625</v>
      </c>
      <c r="G128" s="19">
        <v>2.3125</v>
      </c>
      <c r="H128" s="19">
        <v>1.125</v>
      </c>
      <c r="I128" s="20"/>
      <c r="J128" s="19"/>
      <c r="K128" s="132">
        <f t="shared" si="8"/>
        <v>9.3645833333333339</v>
      </c>
      <c r="L128" s="272">
        <f t="shared" si="6"/>
        <v>2.8543250043385746</v>
      </c>
      <c r="M128" s="272">
        <f t="shared" si="9"/>
        <v>349.71855040033864</v>
      </c>
      <c r="N128" s="1">
        <v>235</v>
      </c>
    </row>
    <row r="129" spans="2:14" x14ac:dyDescent="0.15">
      <c r="B129" s="127" t="s">
        <v>1575</v>
      </c>
      <c r="C129" s="130">
        <v>28.375</v>
      </c>
      <c r="D129" s="129">
        <v>0.8125</v>
      </c>
      <c r="E129" s="130">
        <v>14.125</v>
      </c>
      <c r="F129" s="129">
        <v>1.5</v>
      </c>
      <c r="G129" s="129">
        <v>2.1875</v>
      </c>
      <c r="H129" s="129">
        <v>1.0625</v>
      </c>
      <c r="I129" s="130"/>
      <c r="J129" s="129"/>
      <c r="K129" s="132">
        <f t="shared" si="8"/>
        <v>9.3020833333333339</v>
      </c>
      <c r="L129" s="272">
        <f t="shared" si="6"/>
        <v>2.8352750043096187</v>
      </c>
      <c r="M129" s="272">
        <f t="shared" si="9"/>
        <v>322.93159760371697</v>
      </c>
      <c r="N129" s="1">
        <v>217</v>
      </c>
    </row>
    <row r="130" spans="2:14" x14ac:dyDescent="0.15">
      <c r="B130" s="18" t="s">
        <v>1574</v>
      </c>
      <c r="C130" s="20">
        <v>28.125</v>
      </c>
      <c r="D130" s="19">
        <v>0.75</v>
      </c>
      <c r="E130" s="20">
        <v>14</v>
      </c>
      <c r="F130" s="19">
        <v>1.3125</v>
      </c>
      <c r="G130" s="19">
        <v>2.0625</v>
      </c>
      <c r="H130" s="19">
        <v>1</v>
      </c>
      <c r="I130" s="20" t="s">
        <v>850</v>
      </c>
      <c r="J130" s="19" t="s">
        <v>850</v>
      </c>
      <c r="K130" s="132">
        <f t="shared" si="8"/>
        <v>9.2291666666666661</v>
      </c>
      <c r="L130" s="272">
        <f t="shared" si="6"/>
        <v>2.8130500042758362</v>
      </c>
      <c r="M130" s="272">
        <f t="shared" si="9"/>
        <v>288.70382458581145</v>
      </c>
      <c r="N130" s="1">
        <v>194</v>
      </c>
    </row>
    <row r="131" spans="2:14" x14ac:dyDescent="0.15">
      <c r="B131" s="127" t="s">
        <v>884</v>
      </c>
      <c r="C131" s="130">
        <v>27.75</v>
      </c>
      <c r="D131" s="129">
        <v>0.75</v>
      </c>
      <c r="E131" s="130">
        <v>14.125</v>
      </c>
      <c r="F131" s="129">
        <v>1.1875</v>
      </c>
      <c r="G131" s="129">
        <v>1.875</v>
      </c>
      <c r="H131" s="129">
        <v>1.0625</v>
      </c>
      <c r="I131" s="130">
        <v>5.5</v>
      </c>
      <c r="J131" s="129">
        <v>3.25</v>
      </c>
      <c r="K131" s="119">
        <f t="shared" ref="K131:K152" si="10">((C131-(F131*2))*2+(E131*4)+(F131*4)-(D131*2))*12/144</f>
        <v>9.2083333333333339</v>
      </c>
      <c r="L131" s="272">
        <f t="shared" si="6"/>
        <v>2.8067000042661845</v>
      </c>
      <c r="M131" s="272">
        <f t="shared" si="9"/>
        <v>264.8931998777033</v>
      </c>
      <c r="N131" s="1">
        <v>178</v>
      </c>
    </row>
    <row r="132" spans="2:14" x14ac:dyDescent="0.15">
      <c r="B132" s="18" t="s">
        <v>885</v>
      </c>
      <c r="C132" s="20">
        <v>27.625</v>
      </c>
      <c r="D132" s="19">
        <v>0.6875</v>
      </c>
      <c r="E132" s="20">
        <v>14</v>
      </c>
      <c r="F132" s="19">
        <v>1.0625</v>
      </c>
      <c r="G132" s="19">
        <v>1.8125</v>
      </c>
      <c r="H132" s="19">
        <v>1</v>
      </c>
      <c r="I132" s="20">
        <v>5.5</v>
      </c>
      <c r="J132" s="19">
        <v>3.25</v>
      </c>
      <c r="K132" s="132">
        <f t="shared" si="10"/>
        <v>9.15625</v>
      </c>
      <c r="L132" s="272">
        <f t="shared" si="6"/>
        <v>2.7908250042420542</v>
      </c>
      <c r="M132" s="272">
        <f t="shared" si="9"/>
        <v>239.59441112533838</v>
      </c>
      <c r="N132" s="1">
        <v>161</v>
      </c>
    </row>
    <row r="133" spans="2:14" x14ac:dyDescent="0.15">
      <c r="B133" s="18" t="s">
        <v>886</v>
      </c>
      <c r="C133" s="22">
        <v>27.375</v>
      </c>
      <c r="D133" s="21">
        <v>0.625</v>
      </c>
      <c r="E133" s="22">
        <v>14</v>
      </c>
      <c r="F133" s="21">
        <v>1</v>
      </c>
      <c r="G133" s="21">
        <v>1.6875</v>
      </c>
      <c r="H133" s="21">
        <v>1</v>
      </c>
      <c r="I133" s="22">
        <v>5.5</v>
      </c>
      <c r="J133" s="21">
        <v>3</v>
      </c>
      <c r="K133" s="313">
        <f t="shared" si="10"/>
        <v>9.125</v>
      </c>
      <c r="L133" s="314">
        <f t="shared" si="6"/>
        <v>2.7813000042275764</v>
      </c>
      <c r="M133" s="272">
        <f t="shared" si="9"/>
        <v>217.27195046148697</v>
      </c>
      <c r="N133" s="1">
        <v>146</v>
      </c>
    </row>
    <row r="134" spans="2:14" x14ac:dyDescent="0.15">
      <c r="B134" s="307"/>
      <c r="C134" s="315"/>
      <c r="D134" s="315"/>
      <c r="E134" s="315"/>
      <c r="F134" s="315"/>
      <c r="G134" s="315"/>
      <c r="H134" s="315"/>
      <c r="I134" s="315"/>
      <c r="J134" s="315"/>
      <c r="K134" s="316"/>
      <c r="L134" s="317"/>
      <c r="M134" s="312"/>
      <c r="N134" s="1"/>
    </row>
    <row r="135" spans="2:14" x14ac:dyDescent="0.15">
      <c r="B135" s="127" t="s">
        <v>1654</v>
      </c>
      <c r="C135" s="130">
        <v>27.625</v>
      </c>
      <c r="D135" s="129">
        <v>0.625</v>
      </c>
      <c r="E135" s="130">
        <v>10</v>
      </c>
      <c r="F135" s="129">
        <v>1.125</v>
      </c>
      <c r="G135" s="129">
        <v>1.8125</v>
      </c>
      <c r="H135" s="129">
        <v>0.9375</v>
      </c>
      <c r="I135" s="156">
        <v>5.5</v>
      </c>
      <c r="J135" s="129"/>
      <c r="K135" s="119">
        <f t="shared" si="10"/>
        <v>7.833333333333333</v>
      </c>
      <c r="L135" s="274">
        <f t="shared" si="6"/>
        <v>2.387600003629152</v>
      </c>
      <c r="M135" s="272">
        <f t="shared" si="9"/>
        <v>191.97316170912205</v>
      </c>
      <c r="N135" s="1">
        <v>129</v>
      </c>
    </row>
    <row r="136" spans="2:14" x14ac:dyDescent="0.15">
      <c r="B136" s="18" t="s">
        <v>887</v>
      </c>
      <c r="C136" s="20">
        <v>27.25</v>
      </c>
      <c r="D136" s="19">
        <v>0.5625</v>
      </c>
      <c r="E136" s="20">
        <v>10.125</v>
      </c>
      <c r="F136" s="19">
        <v>0.9375</v>
      </c>
      <c r="G136" s="19">
        <v>1.625</v>
      </c>
      <c r="H136" s="19">
        <v>0.9375</v>
      </c>
      <c r="I136" s="20">
        <v>5.5</v>
      </c>
      <c r="J136" s="19">
        <v>3</v>
      </c>
      <c r="K136" s="132">
        <f t="shared" si="10"/>
        <v>7.822916666666667</v>
      </c>
      <c r="L136" s="272">
        <f t="shared" si="6"/>
        <v>2.3844250036243264</v>
      </c>
      <c r="M136" s="272">
        <f t="shared" si="9"/>
        <v>169.65070104527064</v>
      </c>
      <c r="N136" s="1">
        <v>114</v>
      </c>
    </row>
    <row r="137" spans="2:14" x14ac:dyDescent="0.15">
      <c r="B137" s="127" t="s">
        <v>888</v>
      </c>
      <c r="C137" s="130">
        <v>27.125</v>
      </c>
      <c r="D137" s="129">
        <v>0.5</v>
      </c>
      <c r="E137" s="130">
        <v>10</v>
      </c>
      <c r="F137" s="129">
        <v>0.8125</v>
      </c>
      <c r="G137" s="129">
        <v>1.5625</v>
      </c>
      <c r="H137" s="129">
        <v>0.9375</v>
      </c>
      <c r="I137" s="130">
        <v>5.5</v>
      </c>
      <c r="J137" s="129">
        <v>3</v>
      </c>
      <c r="K137" s="119">
        <f t="shared" si="10"/>
        <v>7.770833333333333</v>
      </c>
      <c r="L137" s="272">
        <f t="shared" si="6"/>
        <v>2.3685500036001961</v>
      </c>
      <c r="M137" s="272">
        <f t="shared" si="9"/>
        <v>151.79273251418954</v>
      </c>
      <c r="N137" s="1">
        <v>102</v>
      </c>
    </row>
    <row r="138" spans="2:14" x14ac:dyDescent="0.15">
      <c r="B138" s="18" t="s">
        <v>889</v>
      </c>
      <c r="C138" s="20">
        <v>26.875</v>
      </c>
      <c r="D138" s="19">
        <v>0.5</v>
      </c>
      <c r="E138" s="20">
        <v>10</v>
      </c>
      <c r="F138" s="19">
        <v>0.75</v>
      </c>
      <c r="G138" s="19">
        <v>1.4375</v>
      </c>
      <c r="H138" s="19">
        <v>0.9375</v>
      </c>
      <c r="I138" s="20">
        <v>5.5</v>
      </c>
      <c r="J138" s="19">
        <v>2.75</v>
      </c>
      <c r="K138" s="132">
        <f t="shared" si="10"/>
        <v>7.729166666666667</v>
      </c>
      <c r="L138" s="272">
        <f t="shared" si="6"/>
        <v>2.3558500035808922</v>
      </c>
      <c r="M138" s="272">
        <f t="shared" si="9"/>
        <v>139.88742016013546</v>
      </c>
      <c r="N138" s="1">
        <v>94</v>
      </c>
    </row>
    <row r="139" spans="2:14" x14ac:dyDescent="0.15">
      <c r="B139" s="18" t="s">
        <v>890</v>
      </c>
      <c r="C139" s="22">
        <v>26.75</v>
      </c>
      <c r="D139" s="21">
        <v>0.4375</v>
      </c>
      <c r="E139" s="22">
        <v>10</v>
      </c>
      <c r="F139" s="21">
        <v>0.625</v>
      </c>
      <c r="G139" s="21">
        <v>1.375</v>
      </c>
      <c r="H139" s="21">
        <v>0.9375</v>
      </c>
      <c r="I139" s="22">
        <v>5.5</v>
      </c>
      <c r="J139" s="21">
        <v>2.75</v>
      </c>
      <c r="K139" s="318">
        <f t="shared" si="10"/>
        <v>7.71875</v>
      </c>
      <c r="L139" s="314">
        <f t="shared" si="6"/>
        <v>2.3526750035760662</v>
      </c>
      <c r="M139" s="272">
        <f t="shared" si="9"/>
        <v>125.00577971756785</v>
      </c>
      <c r="N139" s="1">
        <v>84</v>
      </c>
    </row>
    <row r="140" spans="2:14" x14ac:dyDescent="0.15">
      <c r="B140" s="307"/>
      <c r="C140" s="315"/>
      <c r="D140" s="315"/>
      <c r="E140" s="315"/>
      <c r="F140" s="315"/>
      <c r="G140" s="315"/>
      <c r="H140" s="315"/>
      <c r="I140" s="315"/>
      <c r="J140" s="315"/>
      <c r="K140" s="316"/>
      <c r="L140" s="317"/>
      <c r="M140" s="312"/>
      <c r="N140" s="1"/>
    </row>
    <row r="141" spans="2:14" x14ac:dyDescent="0.15">
      <c r="B141" s="18" t="s">
        <v>1597</v>
      </c>
      <c r="C141" s="156">
        <v>29.625</v>
      </c>
      <c r="D141" s="131">
        <v>2</v>
      </c>
      <c r="E141" s="156">
        <v>14.125</v>
      </c>
      <c r="F141" s="131">
        <v>3.5625</v>
      </c>
      <c r="G141" s="131">
        <v>4.3125</v>
      </c>
      <c r="H141" s="131">
        <v>1.5625</v>
      </c>
      <c r="I141" s="156"/>
      <c r="J141" s="131"/>
      <c r="K141" s="119">
        <f t="shared" si="10"/>
        <v>9.3125</v>
      </c>
      <c r="L141" s="274">
        <f t="shared" si="6"/>
        <v>2.8384500043144443</v>
      </c>
      <c r="M141" s="272">
        <f t="shared" si="9"/>
        <v>732.1767097743259</v>
      </c>
      <c r="N141" s="1">
        <v>492</v>
      </c>
    </row>
    <row r="142" spans="2:14" x14ac:dyDescent="0.15">
      <c r="B142" s="18" t="s">
        <v>1596</v>
      </c>
      <c r="C142" s="20">
        <v>29.125</v>
      </c>
      <c r="D142" s="19">
        <v>1.8125</v>
      </c>
      <c r="E142" s="20">
        <v>14</v>
      </c>
      <c r="F142" s="19">
        <v>3.25</v>
      </c>
      <c r="G142" s="19">
        <v>4.0625</v>
      </c>
      <c r="H142" s="19">
        <v>1.5</v>
      </c>
      <c r="I142" s="20"/>
      <c r="J142" s="19"/>
      <c r="K142" s="132">
        <f t="shared" si="10"/>
        <v>9.21875</v>
      </c>
      <c r="L142" s="272">
        <f t="shared" si="6"/>
        <v>2.8098750042710101</v>
      </c>
      <c r="M142" s="272">
        <f t="shared" si="9"/>
        <v>669.67381991554203</v>
      </c>
      <c r="N142" s="1">
        <v>450</v>
      </c>
    </row>
    <row r="143" spans="2:14" x14ac:dyDescent="0.15">
      <c r="B143" s="18" t="s">
        <v>1595</v>
      </c>
      <c r="C143" s="20">
        <v>28.5</v>
      </c>
      <c r="D143" s="19">
        <v>1.625</v>
      </c>
      <c r="E143" s="20">
        <v>13.75</v>
      </c>
      <c r="F143" s="19">
        <v>3</v>
      </c>
      <c r="G143" s="19">
        <v>3.75</v>
      </c>
      <c r="H143" s="19">
        <v>1.375</v>
      </c>
      <c r="I143" s="20"/>
      <c r="J143" s="19"/>
      <c r="K143" s="132">
        <f t="shared" si="10"/>
        <v>9.0625</v>
      </c>
      <c r="L143" s="272">
        <f t="shared" si="6"/>
        <v>2.7622500041986204</v>
      </c>
      <c r="M143" s="272">
        <f t="shared" si="9"/>
        <v>607.17093005675815</v>
      </c>
      <c r="N143" s="1">
        <v>408</v>
      </c>
    </row>
    <row r="144" spans="2:14" x14ac:dyDescent="0.15">
      <c r="B144" s="18" t="s">
        <v>1594</v>
      </c>
      <c r="C144" s="20">
        <v>28</v>
      </c>
      <c r="D144" s="19">
        <v>1.5</v>
      </c>
      <c r="E144" s="20">
        <v>13.625</v>
      </c>
      <c r="F144" s="19">
        <v>2.75</v>
      </c>
      <c r="G144" s="19">
        <v>3.5</v>
      </c>
      <c r="H144" s="19">
        <v>1.3125</v>
      </c>
      <c r="I144" s="20"/>
      <c r="J144" s="19"/>
      <c r="K144" s="132">
        <f t="shared" si="10"/>
        <v>8.9583333333333339</v>
      </c>
      <c r="L144" s="272">
        <f t="shared" si="6"/>
        <v>2.7305000041503606</v>
      </c>
      <c r="M144" s="272">
        <f t="shared" si="9"/>
        <v>550.62069637500122</v>
      </c>
      <c r="N144" s="1">
        <v>370</v>
      </c>
    </row>
    <row r="145" spans="2:14" x14ac:dyDescent="0.15">
      <c r="B145" s="18" t="s">
        <v>1593</v>
      </c>
      <c r="C145" s="20">
        <v>27.5</v>
      </c>
      <c r="D145" s="19">
        <v>1.375</v>
      </c>
      <c r="E145" s="20">
        <v>13.5</v>
      </c>
      <c r="F145" s="19">
        <v>2.5</v>
      </c>
      <c r="G145" s="19">
        <v>3.25</v>
      </c>
      <c r="H145" s="19">
        <v>1.25</v>
      </c>
      <c r="I145" s="20"/>
      <c r="J145" s="19"/>
      <c r="K145" s="132">
        <f t="shared" si="10"/>
        <v>8.8541666666666661</v>
      </c>
      <c r="L145" s="272">
        <f t="shared" si="6"/>
        <v>2.6987500041021</v>
      </c>
      <c r="M145" s="272">
        <f t="shared" si="9"/>
        <v>498.53495482601465</v>
      </c>
      <c r="N145" s="1">
        <v>335</v>
      </c>
    </row>
    <row r="146" spans="2:14" x14ac:dyDescent="0.15">
      <c r="B146" s="18" t="s">
        <v>1592</v>
      </c>
      <c r="C146" s="20">
        <v>27.125</v>
      </c>
      <c r="D146" s="19">
        <v>1.25</v>
      </c>
      <c r="E146" s="20">
        <v>13.375</v>
      </c>
      <c r="F146" s="19">
        <v>2.25</v>
      </c>
      <c r="G146" s="19">
        <v>3.0625</v>
      </c>
      <c r="H146" s="19">
        <v>1.1875</v>
      </c>
      <c r="I146" s="20"/>
      <c r="J146" s="19"/>
      <c r="K146" s="132">
        <f t="shared" si="10"/>
        <v>8.7708333333333339</v>
      </c>
      <c r="L146" s="272">
        <f t="shared" si="6"/>
        <v>2.6733500040634928</v>
      </c>
      <c r="M146" s="272">
        <f t="shared" si="9"/>
        <v>455.37819754256861</v>
      </c>
      <c r="N146" s="1">
        <v>306</v>
      </c>
    </row>
    <row r="147" spans="2:14" x14ac:dyDescent="0.15">
      <c r="B147" s="18" t="s">
        <v>1591</v>
      </c>
      <c r="C147" s="20">
        <v>26.75</v>
      </c>
      <c r="D147" s="19">
        <v>1.1875</v>
      </c>
      <c r="E147" s="20">
        <v>13.25</v>
      </c>
      <c r="F147" s="19">
        <v>2.0625</v>
      </c>
      <c r="G147" s="19">
        <v>2.875</v>
      </c>
      <c r="H147" s="19">
        <v>1.125</v>
      </c>
      <c r="I147" s="20"/>
      <c r="J147" s="19"/>
      <c r="K147" s="132">
        <f t="shared" si="10"/>
        <v>8.6770833333333339</v>
      </c>
      <c r="L147" s="272">
        <f t="shared" si="6"/>
        <v>2.6447750040200586</v>
      </c>
      <c r="M147" s="272">
        <f t="shared" si="9"/>
        <v>415.1977683476361</v>
      </c>
      <c r="N147" s="1">
        <v>279</v>
      </c>
    </row>
    <row r="148" spans="2:14" x14ac:dyDescent="0.15">
      <c r="B148" s="18" t="s">
        <v>1590</v>
      </c>
      <c r="C148" s="20">
        <v>26.375</v>
      </c>
      <c r="D148" s="19">
        <v>1.0625</v>
      </c>
      <c r="E148" s="20">
        <v>13.125</v>
      </c>
      <c r="F148" s="19">
        <v>1.875</v>
      </c>
      <c r="G148" s="19">
        <v>2.6875</v>
      </c>
      <c r="H148" s="19">
        <v>1.125</v>
      </c>
      <c r="I148" s="20"/>
      <c r="J148" s="19"/>
      <c r="K148" s="132">
        <f t="shared" si="10"/>
        <v>8.59375</v>
      </c>
      <c r="L148" s="272">
        <f t="shared" si="6"/>
        <v>2.6193750039814501</v>
      </c>
      <c r="M148" s="272">
        <f t="shared" si="9"/>
        <v>372.04101106419</v>
      </c>
      <c r="N148" s="1">
        <v>250</v>
      </c>
    </row>
    <row r="149" spans="2:14" x14ac:dyDescent="0.15">
      <c r="B149" s="18" t="s">
        <v>1589</v>
      </c>
      <c r="C149" s="20">
        <v>26</v>
      </c>
      <c r="D149" s="19">
        <v>1</v>
      </c>
      <c r="E149" s="20">
        <v>13.125</v>
      </c>
      <c r="F149" s="19">
        <v>1.75</v>
      </c>
      <c r="G149" s="19">
        <v>2.5</v>
      </c>
      <c r="H149" s="19">
        <v>1</v>
      </c>
      <c r="I149" s="20"/>
      <c r="J149" s="19"/>
      <c r="K149" s="132">
        <f t="shared" si="10"/>
        <v>8.5416666666666661</v>
      </c>
      <c r="L149" s="272">
        <f t="shared" si="6"/>
        <v>2.6035000039573202</v>
      </c>
      <c r="M149" s="272">
        <f t="shared" si="9"/>
        <v>340.78956613479806</v>
      </c>
      <c r="N149" s="1">
        <v>229</v>
      </c>
    </row>
    <row r="150" spans="2:14" x14ac:dyDescent="0.15">
      <c r="B150" s="18" t="s">
        <v>1588</v>
      </c>
      <c r="C150" s="20">
        <v>25.75</v>
      </c>
      <c r="D150" s="19">
        <v>0.875</v>
      </c>
      <c r="E150" s="20">
        <v>13</v>
      </c>
      <c r="F150" s="19">
        <v>1.5625</v>
      </c>
      <c r="G150" s="19">
        <v>2.375</v>
      </c>
      <c r="H150" s="19">
        <v>1</v>
      </c>
      <c r="I150" s="20"/>
      <c r="J150" s="19"/>
      <c r="K150" s="132">
        <f t="shared" si="10"/>
        <v>8.4791666666666661</v>
      </c>
      <c r="L150" s="272">
        <f t="shared" si="6"/>
        <v>2.5844500039283642</v>
      </c>
      <c r="M150" s="272">
        <f t="shared" si="9"/>
        <v>308.04995716114934</v>
      </c>
      <c r="N150" s="1">
        <v>207</v>
      </c>
    </row>
    <row r="151" spans="2:14" x14ac:dyDescent="0.15">
      <c r="B151" s="127" t="s">
        <v>1587</v>
      </c>
      <c r="C151" s="130">
        <v>25.5</v>
      </c>
      <c r="D151" s="129">
        <v>0.8125</v>
      </c>
      <c r="E151" s="130">
        <v>13</v>
      </c>
      <c r="F151" s="129">
        <v>1.4375</v>
      </c>
      <c r="G151" s="129">
        <v>2.25</v>
      </c>
      <c r="H151" s="129">
        <v>1</v>
      </c>
      <c r="I151" s="130"/>
      <c r="J151" s="129"/>
      <c r="K151" s="132">
        <f t="shared" si="10"/>
        <v>8.4479166666666661</v>
      </c>
      <c r="L151" s="272">
        <f t="shared" si="6"/>
        <v>2.574925003913886</v>
      </c>
      <c r="M151" s="272">
        <f t="shared" si="9"/>
        <v>285.72749649729792</v>
      </c>
      <c r="N151" s="1">
        <v>192</v>
      </c>
    </row>
    <row r="152" spans="2:14" x14ac:dyDescent="0.15">
      <c r="B152" s="18" t="s">
        <v>1586</v>
      </c>
      <c r="C152" s="20">
        <v>25.25</v>
      </c>
      <c r="D152" s="19">
        <v>0.75</v>
      </c>
      <c r="E152" s="20">
        <v>12.875</v>
      </c>
      <c r="F152" s="19">
        <v>1.3125</v>
      </c>
      <c r="G152" s="19">
        <v>2.125</v>
      </c>
      <c r="H152" s="19">
        <v>0.9375</v>
      </c>
      <c r="I152" s="20" t="s">
        <v>850</v>
      </c>
      <c r="J152" s="19" t="s">
        <v>850</v>
      </c>
      <c r="K152" s="132">
        <f t="shared" si="10"/>
        <v>8.375</v>
      </c>
      <c r="L152" s="272">
        <f t="shared" si="6"/>
        <v>2.5527000038801044</v>
      </c>
      <c r="M152" s="272">
        <f t="shared" si="9"/>
        <v>261.91687178918977</v>
      </c>
      <c r="N152" s="1">
        <v>176</v>
      </c>
    </row>
    <row r="153" spans="2:14" x14ac:dyDescent="0.15">
      <c r="B153" s="127" t="s">
        <v>891</v>
      </c>
      <c r="C153" s="130">
        <v>25</v>
      </c>
      <c r="D153" s="129">
        <v>0.6875</v>
      </c>
      <c r="E153" s="130">
        <v>13</v>
      </c>
      <c r="F153" s="129">
        <v>1.25</v>
      </c>
      <c r="G153" s="129">
        <v>2</v>
      </c>
      <c r="H153" s="129">
        <v>1.0625</v>
      </c>
      <c r="I153" s="130">
        <v>5.5</v>
      </c>
      <c r="J153" s="129">
        <v>3.25</v>
      </c>
      <c r="K153" s="132">
        <f t="shared" ref="K153:K177" si="11">((C153-(F153*2))*2+(E153*4)+(F153*4)-(D153*2))*12/144</f>
        <v>8.3854166666666661</v>
      </c>
      <c r="L153" s="272">
        <f t="shared" si="6"/>
        <v>2.5558750038849301</v>
      </c>
      <c r="M153" s="272">
        <f t="shared" si="9"/>
        <v>241.08257516959512</v>
      </c>
      <c r="N153" s="1">
        <v>162</v>
      </c>
    </row>
    <row r="154" spans="2:14" x14ac:dyDescent="0.15">
      <c r="B154" s="18" t="s">
        <v>893</v>
      </c>
      <c r="C154" s="20">
        <v>24.75</v>
      </c>
      <c r="D154" s="19">
        <v>0.625</v>
      </c>
      <c r="E154" s="20">
        <v>12.875</v>
      </c>
      <c r="F154" s="19">
        <v>1.0625</v>
      </c>
      <c r="G154" s="19">
        <v>1.875</v>
      </c>
      <c r="H154" s="19">
        <v>1.0625</v>
      </c>
      <c r="I154" s="20">
        <v>5.5</v>
      </c>
      <c r="J154" s="19">
        <v>3.25</v>
      </c>
      <c r="K154" s="132">
        <f t="shared" si="11"/>
        <v>8.3125</v>
      </c>
      <c r="L154" s="272">
        <f t="shared" si="6"/>
        <v>2.5336500038511485</v>
      </c>
      <c r="M154" s="272">
        <f t="shared" si="9"/>
        <v>217.27195046148697</v>
      </c>
      <c r="N154" s="1">
        <v>146</v>
      </c>
    </row>
    <row r="155" spans="2:14" x14ac:dyDescent="0.15">
      <c r="B155" s="127" t="s">
        <v>894</v>
      </c>
      <c r="C155" s="130">
        <v>24.5</v>
      </c>
      <c r="D155" s="129">
        <v>0.625</v>
      </c>
      <c r="E155" s="130">
        <v>12.875</v>
      </c>
      <c r="F155" s="129">
        <v>0.9375</v>
      </c>
      <c r="G155" s="129">
        <v>1.75</v>
      </c>
      <c r="H155" s="129">
        <v>1.0625</v>
      </c>
      <c r="I155" s="130">
        <v>5.5</v>
      </c>
      <c r="J155" s="129">
        <v>3</v>
      </c>
      <c r="K155" s="119">
        <f t="shared" si="11"/>
        <v>8.2708333333333339</v>
      </c>
      <c r="L155" s="272">
        <f t="shared" ref="L155:L218" si="12">K155*3.2808399*0.09290304</f>
        <v>2.5209500038318446</v>
      </c>
      <c r="M155" s="272">
        <f t="shared" si="9"/>
        <v>194.94948979763558</v>
      </c>
      <c r="N155" s="1">
        <v>131</v>
      </c>
    </row>
    <row r="156" spans="2:14" x14ac:dyDescent="0.15">
      <c r="B156" s="18" t="s">
        <v>895</v>
      </c>
      <c r="C156" s="20">
        <v>24.25</v>
      </c>
      <c r="D156" s="19">
        <v>0.5625</v>
      </c>
      <c r="E156" s="20">
        <v>12.75</v>
      </c>
      <c r="F156" s="19">
        <v>0.875</v>
      </c>
      <c r="G156" s="19">
        <v>1.625</v>
      </c>
      <c r="H156" s="19">
        <v>1</v>
      </c>
      <c r="I156" s="20">
        <v>5.5</v>
      </c>
      <c r="J156" s="19">
        <v>3</v>
      </c>
      <c r="K156" s="132">
        <f t="shared" si="11"/>
        <v>8.1979166666666661</v>
      </c>
      <c r="L156" s="272">
        <f t="shared" si="12"/>
        <v>2.4987250037980622</v>
      </c>
      <c r="M156" s="272">
        <f t="shared" si="9"/>
        <v>174.11519317804093</v>
      </c>
      <c r="N156" s="1">
        <v>117</v>
      </c>
    </row>
    <row r="157" spans="2:14" x14ac:dyDescent="0.15">
      <c r="B157" s="18" t="s">
        <v>896</v>
      </c>
      <c r="C157" s="22">
        <v>24</v>
      </c>
      <c r="D157" s="21">
        <v>0.5</v>
      </c>
      <c r="E157" s="22">
        <v>12.75</v>
      </c>
      <c r="F157" s="21">
        <v>0.75</v>
      </c>
      <c r="G157" s="21">
        <v>1.5</v>
      </c>
      <c r="H157" s="21">
        <v>1</v>
      </c>
      <c r="I157" s="22">
        <v>5.5</v>
      </c>
      <c r="J157" s="21">
        <v>2.75</v>
      </c>
      <c r="K157" s="313">
        <f t="shared" si="11"/>
        <v>8.1666666666666661</v>
      </c>
      <c r="L157" s="314">
        <f t="shared" si="12"/>
        <v>2.489200003783584</v>
      </c>
      <c r="M157" s="272">
        <f t="shared" si="9"/>
        <v>154.76906060270306</v>
      </c>
      <c r="N157" s="1">
        <v>104</v>
      </c>
    </row>
    <row r="158" spans="2:14" x14ac:dyDescent="0.15">
      <c r="B158" s="307"/>
      <c r="C158" s="315"/>
      <c r="D158" s="315"/>
      <c r="E158" s="315"/>
      <c r="F158" s="315"/>
      <c r="G158" s="315"/>
      <c r="H158" s="315"/>
      <c r="I158" s="315"/>
      <c r="J158" s="315"/>
      <c r="K158" s="316"/>
      <c r="L158" s="317"/>
      <c r="M158" s="312"/>
      <c r="N158" s="1"/>
    </row>
    <row r="159" spans="2:14" x14ac:dyDescent="0.15">
      <c r="B159" s="127" t="s">
        <v>1655</v>
      </c>
      <c r="C159" s="130">
        <v>24.5</v>
      </c>
      <c r="D159" s="129">
        <v>0.5625</v>
      </c>
      <c r="E159" s="130">
        <v>9</v>
      </c>
      <c r="F159" s="129">
        <v>1</v>
      </c>
      <c r="G159" s="129">
        <v>1.75</v>
      </c>
      <c r="H159" s="129">
        <v>0.8125</v>
      </c>
      <c r="I159" s="156">
        <v>5.5</v>
      </c>
      <c r="J159" s="129"/>
      <c r="K159" s="119">
        <f t="shared" si="11"/>
        <v>6.989583333333333</v>
      </c>
      <c r="L159" s="274">
        <f t="shared" si="12"/>
        <v>2.1304250032382464</v>
      </c>
      <c r="M159" s="272">
        <f t="shared" si="9"/>
        <v>153.28089655844627</v>
      </c>
      <c r="N159" s="1">
        <v>103</v>
      </c>
    </row>
    <row r="160" spans="2:14" x14ac:dyDescent="0.15">
      <c r="B160" s="18" t="s">
        <v>897</v>
      </c>
      <c r="C160" s="20">
        <v>24.25</v>
      </c>
      <c r="D160" s="19">
        <v>0.5</v>
      </c>
      <c r="E160" s="20">
        <v>9.125</v>
      </c>
      <c r="F160" s="19">
        <v>0.875</v>
      </c>
      <c r="G160" s="19">
        <v>1.625</v>
      </c>
      <c r="H160" s="19">
        <v>1</v>
      </c>
      <c r="I160" s="20">
        <v>5.5</v>
      </c>
      <c r="J160" s="19">
        <v>3</v>
      </c>
      <c r="K160" s="132">
        <f t="shared" si="11"/>
        <v>7</v>
      </c>
      <c r="L160" s="272">
        <f t="shared" si="12"/>
        <v>2.1336000032430724</v>
      </c>
      <c r="M160" s="272">
        <f t="shared" si="9"/>
        <v>139.88742016013546</v>
      </c>
      <c r="N160" s="1">
        <v>94</v>
      </c>
    </row>
    <row r="161" spans="2:14" x14ac:dyDescent="0.15">
      <c r="B161" s="127" t="s">
        <v>898</v>
      </c>
      <c r="C161" s="130">
        <v>24.125</v>
      </c>
      <c r="D161" s="129">
        <v>0.5</v>
      </c>
      <c r="E161" s="130">
        <v>9</v>
      </c>
      <c r="F161" s="129">
        <v>0.75</v>
      </c>
      <c r="G161" s="129">
        <v>1.5625</v>
      </c>
      <c r="H161" s="129">
        <v>0.9375</v>
      </c>
      <c r="I161" s="130">
        <v>5.5</v>
      </c>
      <c r="J161" s="129">
        <v>3</v>
      </c>
      <c r="K161" s="119">
        <f t="shared" si="11"/>
        <v>6.9375</v>
      </c>
      <c r="L161" s="272">
        <f t="shared" si="12"/>
        <v>2.1145500032141165</v>
      </c>
      <c r="M161" s="272">
        <f t="shared" si="9"/>
        <v>125.00577971756785</v>
      </c>
      <c r="N161" s="1">
        <v>84</v>
      </c>
    </row>
    <row r="162" spans="2:14" x14ac:dyDescent="0.15">
      <c r="B162" s="18" t="s">
        <v>899</v>
      </c>
      <c r="C162" s="20">
        <v>23.875</v>
      </c>
      <c r="D162" s="19">
        <v>0.4375</v>
      </c>
      <c r="E162" s="20">
        <v>9</v>
      </c>
      <c r="F162" s="19">
        <v>0.6875</v>
      </c>
      <c r="G162" s="19">
        <v>1.4375</v>
      </c>
      <c r="H162" s="19">
        <v>0.9375</v>
      </c>
      <c r="I162" s="20">
        <v>5.5</v>
      </c>
      <c r="J162" s="19">
        <v>2.75</v>
      </c>
      <c r="K162" s="132">
        <f t="shared" si="11"/>
        <v>6.90625</v>
      </c>
      <c r="L162" s="272">
        <f t="shared" si="12"/>
        <v>2.1050250031996383</v>
      </c>
      <c r="M162" s="272">
        <f t="shared" si="9"/>
        <v>113.10046736351376</v>
      </c>
      <c r="N162" s="1">
        <v>76</v>
      </c>
    </row>
    <row r="163" spans="2:14" x14ac:dyDescent="0.15">
      <c r="B163" s="18" t="s">
        <v>900</v>
      </c>
      <c r="C163" s="22">
        <v>23.75</v>
      </c>
      <c r="D163" s="21">
        <v>0.4375</v>
      </c>
      <c r="E163" s="22">
        <v>9</v>
      </c>
      <c r="F163" s="21">
        <v>0.5625</v>
      </c>
      <c r="G163" s="21">
        <v>1.375</v>
      </c>
      <c r="H163" s="21">
        <v>0.9375</v>
      </c>
      <c r="I163" s="22">
        <v>5.5</v>
      </c>
      <c r="J163" s="21">
        <v>2.75</v>
      </c>
      <c r="K163" s="313">
        <f t="shared" si="11"/>
        <v>6.885416666666667</v>
      </c>
      <c r="L163" s="314">
        <f t="shared" si="12"/>
        <v>2.0986750031899866</v>
      </c>
      <c r="M163" s="272">
        <f t="shared" si="9"/>
        <v>101.1951550094597</v>
      </c>
      <c r="N163" s="1">
        <v>68</v>
      </c>
    </row>
    <row r="164" spans="2:14" x14ac:dyDescent="0.15">
      <c r="B164" s="311"/>
      <c r="C164" s="315"/>
      <c r="D164" s="315"/>
      <c r="E164" s="315"/>
      <c r="F164" s="315"/>
      <c r="G164" s="315"/>
      <c r="H164" s="315"/>
      <c r="I164" s="315"/>
      <c r="J164" s="315"/>
      <c r="K164" s="316"/>
      <c r="L164" s="317"/>
      <c r="M164" s="312"/>
      <c r="N164" s="1"/>
    </row>
    <row r="165" spans="2:14" x14ac:dyDescent="0.15">
      <c r="B165" s="18" t="s">
        <v>901</v>
      </c>
      <c r="C165" s="156">
        <v>23.75</v>
      </c>
      <c r="D165" s="131">
        <v>0.4375</v>
      </c>
      <c r="E165" s="156">
        <v>7</v>
      </c>
      <c r="F165" s="131">
        <v>0.5625</v>
      </c>
      <c r="G165" s="131">
        <v>1.375</v>
      </c>
      <c r="H165" s="131">
        <v>0.9375</v>
      </c>
      <c r="I165" s="156">
        <v>3.5</v>
      </c>
      <c r="J165" s="131">
        <v>2.75</v>
      </c>
      <c r="K165" s="119">
        <f t="shared" si="11"/>
        <v>6.21875</v>
      </c>
      <c r="L165" s="274">
        <f t="shared" si="12"/>
        <v>1.8954750028811223</v>
      </c>
      <c r="M165" s="272">
        <f t="shared" si="9"/>
        <v>92.266170743919119</v>
      </c>
      <c r="N165" s="1">
        <v>62</v>
      </c>
    </row>
    <row r="166" spans="2:14" x14ac:dyDescent="0.15">
      <c r="B166" s="18" t="s">
        <v>902</v>
      </c>
      <c r="C166" s="22">
        <v>23.625</v>
      </c>
      <c r="D166" s="21">
        <v>0.375</v>
      </c>
      <c r="E166" s="22">
        <v>7</v>
      </c>
      <c r="F166" s="21">
        <v>0.5</v>
      </c>
      <c r="G166" s="21">
        <v>1.3125</v>
      </c>
      <c r="H166" s="21">
        <v>0.9375</v>
      </c>
      <c r="I166" s="22">
        <v>3.5</v>
      </c>
      <c r="J166" s="21">
        <v>2.75</v>
      </c>
      <c r="K166" s="318">
        <f t="shared" si="11"/>
        <v>6.208333333333333</v>
      </c>
      <c r="L166" s="314">
        <f t="shared" si="12"/>
        <v>1.8923000028762962</v>
      </c>
      <c r="M166" s="272">
        <f t="shared" si="9"/>
        <v>81.849022434121807</v>
      </c>
      <c r="N166" s="1">
        <v>55</v>
      </c>
    </row>
    <row r="167" spans="2:14" x14ac:dyDescent="0.15">
      <c r="B167" s="307"/>
      <c r="C167" s="315"/>
      <c r="D167" s="315"/>
      <c r="E167" s="315"/>
      <c r="F167" s="315"/>
      <c r="G167" s="315"/>
      <c r="H167" s="315"/>
      <c r="I167" s="315"/>
      <c r="J167" s="315"/>
      <c r="K167" s="316"/>
      <c r="L167" s="317"/>
      <c r="M167" s="312"/>
      <c r="N167" s="1"/>
    </row>
    <row r="168" spans="2:14" x14ac:dyDescent="0.15">
      <c r="B168" s="151" t="s">
        <v>1607</v>
      </c>
      <c r="C168" s="158">
        <v>26</v>
      </c>
      <c r="D168" s="159">
        <v>1.75</v>
      </c>
      <c r="E168" s="158">
        <v>13.375</v>
      </c>
      <c r="F168" s="159">
        <v>3.125</v>
      </c>
      <c r="G168" s="159">
        <v>3.875</v>
      </c>
      <c r="H168" s="159">
        <v>1.4375</v>
      </c>
      <c r="I168" s="158"/>
      <c r="J168" s="159"/>
      <c r="K168" s="150">
        <f t="shared" si="11"/>
        <v>8.5</v>
      </c>
      <c r="L168" s="270">
        <f t="shared" si="12"/>
        <v>2.5908000039380163</v>
      </c>
      <c r="M168" s="271">
        <f t="shared" si="9"/>
        <v>598.24194579121752</v>
      </c>
      <c r="N168" s="1">
        <v>402</v>
      </c>
    </row>
    <row r="169" spans="2:14" x14ac:dyDescent="0.15">
      <c r="B169" s="151" t="s">
        <v>1606</v>
      </c>
      <c r="C169" s="152">
        <v>25.5</v>
      </c>
      <c r="D169" s="153">
        <v>1.5625</v>
      </c>
      <c r="E169" s="152">
        <v>13.25</v>
      </c>
      <c r="F169" s="153">
        <v>2.875</v>
      </c>
      <c r="G169" s="153">
        <v>3.625</v>
      </c>
      <c r="H169" s="153">
        <v>1.375</v>
      </c>
      <c r="I169" s="152"/>
      <c r="J169" s="153"/>
      <c r="K169" s="154">
        <f t="shared" si="11"/>
        <v>8.40625</v>
      </c>
      <c r="L169" s="271">
        <f t="shared" si="12"/>
        <v>2.5622250038945822</v>
      </c>
      <c r="M169" s="271">
        <f t="shared" si="9"/>
        <v>541.6917121094607</v>
      </c>
      <c r="N169" s="1">
        <v>364</v>
      </c>
    </row>
    <row r="170" spans="2:14" x14ac:dyDescent="0.15">
      <c r="B170" s="151" t="s">
        <v>1605</v>
      </c>
      <c r="C170" s="152">
        <v>25</v>
      </c>
      <c r="D170" s="153">
        <v>1.4375</v>
      </c>
      <c r="E170" s="152">
        <v>13.125</v>
      </c>
      <c r="F170" s="153">
        <v>2.625</v>
      </c>
      <c r="G170" s="153">
        <v>3.375</v>
      </c>
      <c r="H170" s="153">
        <v>1.3125</v>
      </c>
      <c r="I170" s="152"/>
      <c r="J170" s="153"/>
      <c r="K170" s="154">
        <f t="shared" si="11"/>
        <v>8.3020833333333339</v>
      </c>
      <c r="L170" s="271">
        <f t="shared" si="12"/>
        <v>2.5304750038463224</v>
      </c>
      <c r="M170" s="271">
        <f t="shared" si="9"/>
        <v>495.55862673750107</v>
      </c>
      <c r="N170" s="1">
        <v>333</v>
      </c>
    </row>
    <row r="171" spans="2:14" x14ac:dyDescent="0.15">
      <c r="B171" s="151" t="s">
        <v>1604</v>
      </c>
      <c r="C171" s="152">
        <v>24.5</v>
      </c>
      <c r="D171" s="153">
        <v>1.3125</v>
      </c>
      <c r="E171" s="152">
        <v>13</v>
      </c>
      <c r="F171" s="153">
        <v>2.375</v>
      </c>
      <c r="G171" s="153">
        <v>3.125</v>
      </c>
      <c r="H171" s="153">
        <v>1.25</v>
      </c>
      <c r="I171" s="152"/>
      <c r="J171" s="153"/>
      <c r="K171" s="154">
        <f t="shared" si="11"/>
        <v>8.1979166666666661</v>
      </c>
      <c r="L171" s="271">
        <f t="shared" si="12"/>
        <v>2.4987250037980622</v>
      </c>
      <c r="M171" s="271">
        <f t="shared" si="9"/>
        <v>446.44921327702804</v>
      </c>
      <c r="N171" s="1">
        <v>300</v>
      </c>
    </row>
    <row r="172" spans="2:14" x14ac:dyDescent="0.15">
      <c r="B172" s="151" t="s">
        <v>1603</v>
      </c>
      <c r="C172" s="152">
        <v>24.125</v>
      </c>
      <c r="D172" s="153">
        <v>1.25</v>
      </c>
      <c r="E172" s="152">
        <v>12.875</v>
      </c>
      <c r="F172" s="153">
        <v>2.1875</v>
      </c>
      <c r="G172" s="153">
        <v>3</v>
      </c>
      <c r="H172" s="153">
        <v>1.1875</v>
      </c>
      <c r="I172" s="152"/>
      <c r="J172" s="153"/>
      <c r="K172" s="154">
        <f t="shared" si="11"/>
        <v>8.1041666666666661</v>
      </c>
      <c r="L172" s="271">
        <f t="shared" si="12"/>
        <v>2.470150003754628</v>
      </c>
      <c r="M172" s="271">
        <f t="shared" si="9"/>
        <v>409.24511217060899</v>
      </c>
      <c r="N172" s="1">
        <v>275</v>
      </c>
    </row>
    <row r="173" spans="2:14" x14ac:dyDescent="0.15">
      <c r="B173" s="151" t="s">
        <v>1602</v>
      </c>
      <c r="C173" s="152">
        <v>23.75</v>
      </c>
      <c r="D173" s="153">
        <v>1.125</v>
      </c>
      <c r="E173" s="152">
        <v>12.75</v>
      </c>
      <c r="F173" s="153">
        <v>2</v>
      </c>
      <c r="G173" s="153">
        <v>2.75</v>
      </c>
      <c r="H173" s="153">
        <v>1.125</v>
      </c>
      <c r="I173" s="152"/>
      <c r="J173" s="153"/>
      <c r="K173" s="154">
        <f t="shared" si="11"/>
        <v>8.0208333333333339</v>
      </c>
      <c r="L173" s="271">
        <f t="shared" si="12"/>
        <v>2.4447500037160204</v>
      </c>
      <c r="M173" s="271">
        <f t="shared" si="9"/>
        <v>369.06468297567648</v>
      </c>
      <c r="N173" s="1">
        <v>248</v>
      </c>
    </row>
    <row r="174" spans="2:14" x14ac:dyDescent="0.15">
      <c r="B174" s="151" t="s">
        <v>1601</v>
      </c>
      <c r="C174" s="152">
        <v>23.375</v>
      </c>
      <c r="D174" s="153">
        <v>1</v>
      </c>
      <c r="E174" s="152">
        <v>12.625</v>
      </c>
      <c r="F174" s="153">
        <v>1.8125</v>
      </c>
      <c r="G174" s="153">
        <v>2.5625</v>
      </c>
      <c r="H174" s="153">
        <v>1.0625</v>
      </c>
      <c r="I174" s="152"/>
      <c r="J174" s="153"/>
      <c r="K174" s="154">
        <f t="shared" si="11"/>
        <v>7.9375</v>
      </c>
      <c r="L174" s="271">
        <f t="shared" si="12"/>
        <v>2.4193500036774123</v>
      </c>
      <c r="M174" s="271">
        <f t="shared" si="9"/>
        <v>331.86058186925749</v>
      </c>
      <c r="N174" s="1">
        <v>223</v>
      </c>
    </row>
    <row r="175" spans="2:14" x14ac:dyDescent="0.15">
      <c r="B175" s="151" t="s">
        <v>1600</v>
      </c>
      <c r="C175" s="152">
        <v>23</v>
      </c>
      <c r="D175" s="153">
        <v>0.9375</v>
      </c>
      <c r="E175" s="152">
        <v>12.625</v>
      </c>
      <c r="F175" s="153">
        <v>1.625</v>
      </c>
      <c r="G175" s="153">
        <v>2.375</v>
      </c>
      <c r="H175" s="153">
        <v>1</v>
      </c>
      <c r="I175" s="152"/>
      <c r="J175" s="153"/>
      <c r="K175" s="154">
        <f t="shared" si="11"/>
        <v>7.885416666666667</v>
      </c>
      <c r="L175" s="271">
        <f t="shared" si="12"/>
        <v>2.4034750036532824</v>
      </c>
      <c r="M175" s="271">
        <f t="shared" si="9"/>
        <v>299.12097289560876</v>
      </c>
      <c r="N175" s="1">
        <v>201</v>
      </c>
    </row>
    <row r="176" spans="2:14" x14ac:dyDescent="0.15">
      <c r="B176" s="167" t="s">
        <v>1599</v>
      </c>
      <c r="C176" s="168">
        <v>22.75</v>
      </c>
      <c r="D176" s="169">
        <v>0.8125</v>
      </c>
      <c r="E176" s="168">
        <v>12.5</v>
      </c>
      <c r="F176" s="169">
        <v>1.5</v>
      </c>
      <c r="G176" s="169">
        <v>2.25</v>
      </c>
      <c r="H176" s="169">
        <v>1</v>
      </c>
      <c r="I176" s="168"/>
      <c r="J176" s="169"/>
      <c r="K176" s="154">
        <f t="shared" si="11"/>
        <v>7.822916666666667</v>
      </c>
      <c r="L176" s="271">
        <f t="shared" si="12"/>
        <v>2.3844250036243264</v>
      </c>
      <c r="M176" s="271">
        <f t="shared" si="9"/>
        <v>270.84585605473035</v>
      </c>
      <c r="N176" s="1">
        <v>182</v>
      </c>
    </row>
    <row r="177" spans="2:14" x14ac:dyDescent="0.15">
      <c r="B177" s="18" t="s">
        <v>1598</v>
      </c>
      <c r="C177" s="20">
        <v>22.5</v>
      </c>
      <c r="D177" s="19">
        <v>0.75</v>
      </c>
      <c r="E177" s="20">
        <v>12.375</v>
      </c>
      <c r="F177" s="19">
        <v>1.375</v>
      </c>
      <c r="G177" s="19">
        <v>2.125</v>
      </c>
      <c r="H177" s="19">
        <v>0.9375</v>
      </c>
      <c r="I177" s="20" t="s">
        <v>850</v>
      </c>
      <c r="J177" s="19" t="s">
        <v>850</v>
      </c>
      <c r="K177" s="132">
        <f t="shared" si="11"/>
        <v>7.75</v>
      </c>
      <c r="L177" s="272">
        <f t="shared" si="12"/>
        <v>2.3622000035905444</v>
      </c>
      <c r="M177" s="272">
        <f t="shared" si="9"/>
        <v>247.0352313466222</v>
      </c>
      <c r="N177" s="1">
        <v>166</v>
      </c>
    </row>
    <row r="178" spans="2:14" x14ac:dyDescent="0.15">
      <c r="B178" s="127" t="s">
        <v>903</v>
      </c>
      <c r="C178" s="130">
        <v>22</v>
      </c>
      <c r="D178" s="129">
        <v>0.75</v>
      </c>
      <c r="E178" s="130">
        <v>12.5</v>
      </c>
      <c r="F178" s="129">
        <v>1.125</v>
      </c>
      <c r="G178" s="129">
        <v>1.875</v>
      </c>
      <c r="H178" s="129">
        <v>1.0625</v>
      </c>
      <c r="I178" s="130">
        <v>5.5</v>
      </c>
      <c r="J178" s="129">
        <v>3.25</v>
      </c>
      <c r="K178" s="119">
        <f t="shared" ref="K178:K203" si="13">((C178-(F178*2))*2+(E178*4)+(F178*4)-(D178*2))*12/144</f>
        <v>7.708333333333333</v>
      </c>
      <c r="L178" s="272">
        <f t="shared" si="12"/>
        <v>2.3495000035712401</v>
      </c>
      <c r="M178" s="272">
        <f t="shared" si="9"/>
        <v>218.76011450574376</v>
      </c>
      <c r="N178" s="1">
        <v>147</v>
      </c>
    </row>
    <row r="179" spans="2:14" x14ac:dyDescent="0.15">
      <c r="B179" s="18" t="s">
        <v>904</v>
      </c>
      <c r="C179" s="20">
        <v>21.875</v>
      </c>
      <c r="D179" s="19">
        <v>0.625</v>
      </c>
      <c r="E179" s="20">
        <v>12.5</v>
      </c>
      <c r="F179" s="19">
        <v>1.0625</v>
      </c>
      <c r="G179" s="19">
        <v>1.8125</v>
      </c>
      <c r="H179" s="19">
        <v>1</v>
      </c>
      <c r="I179" s="20">
        <v>5.5</v>
      </c>
      <c r="J179" s="19">
        <v>3</v>
      </c>
      <c r="K179" s="132">
        <f t="shared" si="13"/>
        <v>7.708333333333333</v>
      </c>
      <c r="L179" s="272">
        <f t="shared" si="12"/>
        <v>2.3495000035712401</v>
      </c>
      <c r="M179" s="272">
        <f t="shared" si="9"/>
        <v>196.43765384189234</v>
      </c>
      <c r="N179" s="1">
        <v>132</v>
      </c>
    </row>
    <row r="180" spans="2:14" x14ac:dyDescent="0.15">
      <c r="B180" s="127" t="s">
        <v>905</v>
      </c>
      <c r="C180" s="130">
        <v>21.625</v>
      </c>
      <c r="D180" s="129">
        <v>0.625</v>
      </c>
      <c r="E180" s="130">
        <v>12.375</v>
      </c>
      <c r="F180" s="129">
        <v>0.9375</v>
      </c>
      <c r="G180" s="129">
        <v>1.6875</v>
      </c>
      <c r="H180" s="129">
        <v>1</v>
      </c>
      <c r="I180" s="130">
        <v>5.5</v>
      </c>
      <c r="J180" s="129">
        <v>3</v>
      </c>
      <c r="K180" s="119">
        <f t="shared" si="13"/>
        <v>7.625</v>
      </c>
      <c r="L180" s="272">
        <f t="shared" si="12"/>
        <v>2.3241000035326325</v>
      </c>
      <c r="M180" s="272">
        <f t="shared" si="9"/>
        <v>181.55601339932474</v>
      </c>
      <c r="N180" s="1">
        <v>122</v>
      </c>
    </row>
    <row r="181" spans="2:14" x14ac:dyDescent="0.15">
      <c r="B181" s="18" t="s">
        <v>906</v>
      </c>
      <c r="C181" s="20">
        <v>21.5</v>
      </c>
      <c r="D181" s="19">
        <v>0.5625</v>
      </c>
      <c r="E181" s="20">
        <v>12.375</v>
      </c>
      <c r="F181" s="19">
        <v>0.875</v>
      </c>
      <c r="G181" s="19">
        <v>1.625</v>
      </c>
      <c r="H181" s="19">
        <v>0.9375</v>
      </c>
      <c r="I181" s="20">
        <v>5.5</v>
      </c>
      <c r="J181" s="19">
        <v>2.75</v>
      </c>
      <c r="K181" s="132">
        <f t="shared" si="13"/>
        <v>7.614583333333333</v>
      </c>
      <c r="L181" s="272">
        <f t="shared" si="12"/>
        <v>2.3209250035278064</v>
      </c>
      <c r="M181" s="272">
        <f t="shared" si="9"/>
        <v>165.18620891250038</v>
      </c>
      <c r="N181" s="1">
        <v>111</v>
      </c>
    </row>
    <row r="182" spans="2:14" x14ac:dyDescent="0.15">
      <c r="B182" s="18" t="s">
        <v>907</v>
      </c>
      <c r="C182" s="22">
        <v>21.375</v>
      </c>
      <c r="D182" s="21">
        <v>0.5</v>
      </c>
      <c r="E182" s="22">
        <v>12.25</v>
      </c>
      <c r="F182" s="21">
        <v>0.8125</v>
      </c>
      <c r="G182" s="21">
        <v>1.5625</v>
      </c>
      <c r="H182" s="21">
        <v>0.9375</v>
      </c>
      <c r="I182" s="22">
        <v>5.5</v>
      </c>
      <c r="J182" s="21">
        <v>2.75</v>
      </c>
      <c r="K182" s="313">
        <f t="shared" si="13"/>
        <v>7.5625</v>
      </c>
      <c r="L182" s="314">
        <f t="shared" si="12"/>
        <v>2.3050500035036765</v>
      </c>
      <c r="M182" s="272">
        <f t="shared" si="9"/>
        <v>150.30456846993278</v>
      </c>
      <c r="N182" s="1">
        <v>101</v>
      </c>
    </row>
    <row r="183" spans="2:14" x14ac:dyDescent="0.15">
      <c r="B183" s="311"/>
      <c r="C183" s="315"/>
      <c r="D183" s="315"/>
      <c r="E183" s="315"/>
      <c r="F183" s="315"/>
      <c r="G183" s="315"/>
      <c r="H183" s="315"/>
      <c r="I183" s="315"/>
      <c r="J183" s="315"/>
      <c r="K183" s="316"/>
      <c r="L183" s="317"/>
      <c r="M183" s="312"/>
      <c r="N183" s="1"/>
    </row>
    <row r="184" spans="2:14" x14ac:dyDescent="0.15">
      <c r="B184" s="18" t="s">
        <v>908</v>
      </c>
      <c r="C184" s="156">
        <v>21.625</v>
      </c>
      <c r="D184" s="131">
        <v>0.5625</v>
      </c>
      <c r="E184" s="156">
        <v>8.375</v>
      </c>
      <c r="F184" s="131">
        <v>0.9375</v>
      </c>
      <c r="G184" s="131">
        <v>1.6875</v>
      </c>
      <c r="H184" s="131">
        <v>1</v>
      </c>
      <c r="I184" s="156">
        <v>5.5</v>
      </c>
      <c r="J184" s="131">
        <v>3</v>
      </c>
      <c r="K184" s="119">
        <f t="shared" si="13"/>
        <v>6.302083333333333</v>
      </c>
      <c r="L184" s="274">
        <f t="shared" si="12"/>
        <v>1.9208750029197301</v>
      </c>
      <c r="M184" s="272">
        <f t="shared" ref="M184:M246" si="14">N184*3.2808399*0.4535924</f>
        <v>138.39925611587867</v>
      </c>
      <c r="N184" s="1">
        <v>93</v>
      </c>
    </row>
    <row r="185" spans="2:14" x14ac:dyDescent="0.15">
      <c r="B185" s="127" t="s">
        <v>915</v>
      </c>
      <c r="C185" s="130">
        <v>21.375</v>
      </c>
      <c r="D185" s="129">
        <v>0.5</v>
      </c>
      <c r="E185" s="130">
        <v>8.375</v>
      </c>
      <c r="F185" s="129">
        <v>0.8125</v>
      </c>
      <c r="G185" s="129">
        <v>1.5625</v>
      </c>
      <c r="H185" s="129">
        <v>0.9375</v>
      </c>
      <c r="I185" s="130">
        <v>5.5</v>
      </c>
      <c r="J185" s="129">
        <v>2.75</v>
      </c>
      <c r="K185" s="119">
        <f t="shared" si="13"/>
        <v>6.270833333333333</v>
      </c>
      <c r="L185" s="272">
        <f t="shared" si="12"/>
        <v>1.9113500029052521</v>
      </c>
      <c r="M185" s="272">
        <f t="shared" si="14"/>
        <v>123.5176156733111</v>
      </c>
      <c r="N185" s="1">
        <v>83</v>
      </c>
    </row>
    <row r="186" spans="2:14" x14ac:dyDescent="0.15">
      <c r="B186" s="18" t="s">
        <v>909</v>
      </c>
      <c r="C186" s="20">
        <v>21.25</v>
      </c>
      <c r="D186" s="19">
        <v>0.4375</v>
      </c>
      <c r="E186" s="20">
        <v>8.25</v>
      </c>
      <c r="F186" s="19">
        <v>0.75</v>
      </c>
      <c r="G186" s="19">
        <v>1.5</v>
      </c>
      <c r="H186" s="19">
        <v>0.9375</v>
      </c>
      <c r="I186" s="20">
        <v>5.5</v>
      </c>
      <c r="J186" s="19">
        <v>2.75</v>
      </c>
      <c r="K186" s="132">
        <f t="shared" si="13"/>
        <v>6.21875</v>
      </c>
      <c r="L186" s="272">
        <f t="shared" si="12"/>
        <v>1.8954750028811223</v>
      </c>
      <c r="M186" s="272">
        <f t="shared" si="14"/>
        <v>108.63597523074348</v>
      </c>
      <c r="N186" s="1">
        <v>73</v>
      </c>
    </row>
    <row r="187" spans="2:14" x14ac:dyDescent="0.15">
      <c r="B187" s="127" t="s">
        <v>910</v>
      </c>
      <c r="C187" s="130">
        <v>21.125</v>
      </c>
      <c r="D187" s="129">
        <v>0.4375</v>
      </c>
      <c r="E187" s="130">
        <v>8.25</v>
      </c>
      <c r="F187" s="129">
        <v>0.6875</v>
      </c>
      <c r="G187" s="129">
        <v>1.4375</v>
      </c>
      <c r="H187" s="129">
        <v>0.875</v>
      </c>
      <c r="I187" s="130">
        <v>5.5</v>
      </c>
      <c r="J187" s="129">
        <v>2.75</v>
      </c>
      <c r="K187" s="119">
        <f t="shared" si="13"/>
        <v>6.197916666666667</v>
      </c>
      <c r="L187" s="272">
        <f t="shared" si="12"/>
        <v>1.8891250028714703</v>
      </c>
      <c r="M187" s="272">
        <f t="shared" si="14"/>
        <v>101.1951550094597</v>
      </c>
      <c r="N187" s="1">
        <v>68</v>
      </c>
    </row>
    <row r="188" spans="2:14" x14ac:dyDescent="0.15">
      <c r="B188" s="18" t="s">
        <v>911</v>
      </c>
      <c r="C188" s="22">
        <v>21</v>
      </c>
      <c r="D188" s="21">
        <v>0.375</v>
      </c>
      <c r="E188" s="22">
        <v>8.25</v>
      </c>
      <c r="F188" s="21">
        <v>0.625</v>
      </c>
      <c r="G188" s="21">
        <v>1.375</v>
      </c>
      <c r="H188" s="21">
        <v>0.875</v>
      </c>
      <c r="I188" s="22">
        <v>5.5</v>
      </c>
      <c r="J188" s="21">
        <v>2.5</v>
      </c>
      <c r="K188" s="318">
        <f t="shared" si="13"/>
        <v>6.1875</v>
      </c>
      <c r="L188" s="314">
        <f t="shared" si="12"/>
        <v>1.8859500028666443</v>
      </c>
      <c r="M188" s="272">
        <f t="shared" si="14"/>
        <v>92.266170743919119</v>
      </c>
      <c r="N188" s="1">
        <v>62</v>
      </c>
    </row>
    <row r="189" spans="2:14" x14ac:dyDescent="0.15">
      <c r="B189" s="307"/>
      <c r="C189" s="315"/>
      <c r="D189" s="315"/>
      <c r="E189" s="315"/>
      <c r="F189" s="315"/>
      <c r="G189" s="315"/>
      <c r="H189" s="315"/>
      <c r="I189" s="315"/>
      <c r="J189" s="315"/>
      <c r="K189" s="316"/>
      <c r="L189" s="317"/>
      <c r="M189" s="312"/>
      <c r="N189" s="1"/>
    </row>
    <row r="190" spans="2:14" x14ac:dyDescent="0.15">
      <c r="B190" s="127" t="s">
        <v>912</v>
      </c>
      <c r="C190" s="130">
        <v>21</v>
      </c>
      <c r="D190" s="129">
        <v>0.375</v>
      </c>
      <c r="E190" s="130">
        <v>6.5</v>
      </c>
      <c r="F190" s="129">
        <v>0.625</v>
      </c>
      <c r="G190" s="129">
        <v>1.375</v>
      </c>
      <c r="H190" s="129">
        <v>0.875</v>
      </c>
      <c r="I190" s="130">
        <v>3.5</v>
      </c>
      <c r="J190" s="129">
        <v>2.75</v>
      </c>
      <c r="K190" s="119">
        <f t="shared" si="13"/>
        <v>5.604166666666667</v>
      </c>
      <c r="L190" s="274">
        <f t="shared" si="12"/>
        <v>1.7081500025963881</v>
      </c>
      <c r="M190" s="272">
        <f t="shared" si="14"/>
        <v>84.825350522635318</v>
      </c>
      <c r="N190" s="1">
        <v>57</v>
      </c>
    </row>
    <row r="191" spans="2:14" x14ac:dyDescent="0.15">
      <c r="B191" s="18" t="s">
        <v>913</v>
      </c>
      <c r="C191" s="20">
        <v>20.875</v>
      </c>
      <c r="D191" s="19">
        <v>0.375</v>
      </c>
      <c r="E191" s="20">
        <v>6.5</v>
      </c>
      <c r="F191" s="19">
        <v>0.5625</v>
      </c>
      <c r="G191" s="19">
        <v>1.3125</v>
      </c>
      <c r="H191" s="19">
        <v>0.875</v>
      </c>
      <c r="I191" s="20">
        <v>3.5</v>
      </c>
      <c r="J191" s="19">
        <v>2.5</v>
      </c>
      <c r="K191" s="132">
        <f t="shared" si="13"/>
        <v>5.583333333333333</v>
      </c>
      <c r="L191" s="272">
        <f t="shared" si="12"/>
        <v>1.7018000025867361</v>
      </c>
      <c r="M191" s="272">
        <f t="shared" si="14"/>
        <v>74.408202212838006</v>
      </c>
      <c r="N191" s="1">
        <v>50</v>
      </c>
    </row>
    <row r="192" spans="2:14" x14ac:dyDescent="0.15">
      <c r="B192" s="18" t="s">
        <v>914</v>
      </c>
      <c r="C192" s="22">
        <v>20.625</v>
      </c>
      <c r="D192" s="21">
        <v>0.375</v>
      </c>
      <c r="E192" s="22">
        <v>6.5</v>
      </c>
      <c r="F192" s="21">
        <v>0.4375</v>
      </c>
      <c r="G192" s="21">
        <v>1.1875</v>
      </c>
      <c r="H192" s="21">
        <v>0.875</v>
      </c>
      <c r="I192" s="22">
        <v>3.5</v>
      </c>
      <c r="J192" s="21">
        <v>2.5</v>
      </c>
      <c r="K192" s="313">
        <f t="shared" si="13"/>
        <v>5.541666666666667</v>
      </c>
      <c r="L192" s="314">
        <f t="shared" si="12"/>
        <v>1.6891000025674321</v>
      </c>
      <c r="M192" s="272">
        <f t="shared" si="14"/>
        <v>65.479217947297442</v>
      </c>
      <c r="N192" s="1">
        <v>44</v>
      </c>
    </row>
    <row r="193" spans="2:14" x14ac:dyDescent="0.15">
      <c r="B193" s="307"/>
      <c r="C193" s="315"/>
      <c r="D193" s="315"/>
      <c r="E193" s="315"/>
      <c r="F193" s="315"/>
      <c r="G193" s="315"/>
      <c r="H193" s="315"/>
      <c r="I193" s="315"/>
      <c r="J193" s="315"/>
      <c r="K193" s="316"/>
      <c r="L193" s="317"/>
      <c r="M193" s="312"/>
      <c r="N193" s="1"/>
    </row>
    <row r="194" spans="2:14" x14ac:dyDescent="0.15">
      <c r="B194" s="18" t="s">
        <v>1617</v>
      </c>
      <c r="C194" s="156">
        <v>22.375</v>
      </c>
      <c r="D194" s="131">
        <v>1.5</v>
      </c>
      <c r="E194" s="156">
        <v>12</v>
      </c>
      <c r="F194" s="131">
        <v>2.75</v>
      </c>
      <c r="G194" s="131">
        <v>3.4375</v>
      </c>
      <c r="H194" s="131">
        <v>1.1875</v>
      </c>
      <c r="I194" s="156"/>
      <c r="J194" s="131"/>
      <c r="K194" s="119">
        <f t="shared" si="13"/>
        <v>7.479166666666667</v>
      </c>
      <c r="L194" s="274">
        <f t="shared" si="12"/>
        <v>2.2796500034650684</v>
      </c>
      <c r="M194" s="272">
        <f t="shared" si="14"/>
        <v>462.8190177638524</v>
      </c>
      <c r="N194" s="1">
        <v>311</v>
      </c>
    </row>
    <row r="195" spans="2:14" x14ac:dyDescent="0.15">
      <c r="B195" s="18" t="s">
        <v>1616</v>
      </c>
      <c r="C195" s="20">
        <v>21.875</v>
      </c>
      <c r="D195" s="19">
        <v>1.375</v>
      </c>
      <c r="E195" s="20">
        <v>11.875</v>
      </c>
      <c r="F195" s="19">
        <v>2.5</v>
      </c>
      <c r="G195" s="19">
        <v>3.1875</v>
      </c>
      <c r="H195" s="19">
        <v>1.1875</v>
      </c>
      <c r="I195" s="20"/>
      <c r="J195" s="19"/>
      <c r="K195" s="119">
        <f t="shared" si="13"/>
        <v>7.375</v>
      </c>
      <c r="L195" s="272">
        <f t="shared" si="12"/>
        <v>2.2479000034168082</v>
      </c>
      <c r="M195" s="272">
        <f t="shared" si="14"/>
        <v>421.15042452466309</v>
      </c>
      <c r="N195" s="1">
        <v>283</v>
      </c>
    </row>
    <row r="196" spans="2:14" x14ac:dyDescent="0.15">
      <c r="B196" s="18" t="s">
        <v>1615</v>
      </c>
      <c r="C196" s="20">
        <v>21.5</v>
      </c>
      <c r="D196" s="19">
        <v>1.25</v>
      </c>
      <c r="E196" s="20">
        <v>11.75</v>
      </c>
      <c r="F196" s="19">
        <v>2.3125</v>
      </c>
      <c r="G196" s="19">
        <v>3</v>
      </c>
      <c r="H196" s="19">
        <v>1.125</v>
      </c>
      <c r="I196" s="20"/>
      <c r="J196" s="19"/>
      <c r="K196" s="119">
        <f t="shared" si="13"/>
        <v>7.291666666666667</v>
      </c>
      <c r="L196" s="272">
        <f t="shared" si="12"/>
        <v>2.2225000033782001</v>
      </c>
      <c r="M196" s="272">
        <f t="shared" si="14"/>
        <v>383.94632341824411</v>
      </c>
      <c r="N196" s="1">
        <v>258</v>
      </c>
    </row>
    <row r="197" spans="2:14" x14ac:dyDescent="0.15">
      <c r="B197" s="18" t="s">
        <v>1614</v>
      </c>
      <c r="C197" s="20">
        <v>21</v>
      </c>
      <c r="D197" s="19">
        <v>1.1875</v>
      </c>
      <c r="E197" s="20">
        <v>11.625</v>
      </c>
      <c r="F197" s="19">
        <v>2.125</v>
      </c>
      <c r="G197" s="19">
        <v>2.75</v>
      </c>
      <c r="H197" s="19">
        <v>1</v>
      </c>
      <c r="I197" s="20"/>
      <c r="J197" s="19"/>
      <c r="K197" s="119">
        <f t="shared" si="13"/>
        <v>7.177083333333333</v>
      </c>
      <c r="L197" s="272">
        <f t="shared" si="12"/>
        <v>2.1875750033251142</v>
      </c>
      <c r="M197" s="272">
        <f t="shared" si="14"/>
        <v>348.23038635608185</v>
      </c>
      <c r="N197" s="1">
        <v>234</v>
      </c>
    </row>
    <row r="198" spans="2:14" x14ac:dyDescent="0.15">
      <c r="B198" s="18" t="s">
        <v>1613</v>
      </c>
      <c r="C198" s="20">
        <v>20.625</v>
      </c>
      <c r="D198" s="19">
        <v>1.0625</v>
      </c>
      <c r="E198" s="20">
        <v>11.5</v>
      </c>
      <c r="F198" s="19">
        <v>1.9375</v>
      </c>
      <c r="G198" s="19">
        <v>2.5625</v>
      </c>
      <c r="H198" s="19">
        <v>1</v>
      </c>
      <c r="I198" s="20"/>
      <c r="J198" s="19"/>
      <c r="K198" s="119">
        <f t="shared" si="13"/>
        <v>7.09375</v>
      </c>
      <c r="L198" s="272">
        <f t="shared" si="12"/>
        <v>2.1621750032865061</v>
      </c>
      <c r="M198" s="272">
        <f t="shared" si="14"/>
        <v>314.00261333817639</v>
      </c>
      <c r="N198" s="1">
        <v>211</v>
      </c>
    </row>
    <row r="199" spans="2:14" x14ac:dyDescent="0.15">
      <c r="B199" s="18" t="s">
        <v>1612</v>
      </c>
      <c r="C199" s="20">
        <v>20.375</v>
      </c>
      <c r="D199" s="19">
        <v>1</v>
      </c>
      <c r="E199" s="20">
        <v>11.5</v>
      </c>
      <c r="F199" s="19">
        <v>1.75</v>
      </c>
      <c r="G199" s="19">
        <v>2.4375</v>
      </c>
      <c r="H199" s="19">
        <v>0.9375</v>
      </c>
      <c r="I199" s="20"/>
      <c r="J199" s="19"/>
      <c r="K199" s="119">
        <f t="shared" si="13"/>
        <v>7.0625</v>
      </c>
      <c r="L199" s="272">
        <f t="shared" si="12"/>
        <v>2.1526500032720284</v>
      </c>
      <c r="M199" s="272">
        <f t="shared" si="14"/>
        <v>285.72749649729792</v>
      </c>
      <c r="N199" s="1">
        <v>192</v>
      </c>
    </row>
    <row r="200" spans="2:14" x14ac:dyDescent="0.15">
      <c r="B200" s="18" t="s">
        <v>1611</v>
      </c>
      <c r="C200" s="20">
        <v>20</v>
      </c>
      <c r="D200" s="19">
        <v>0.875</v>
      </c>
      <c r="E200" s="20">
        <v>11.375</v>
      </c>
      <c r="F200" s="19">
        <v>1.5625</v>
      </c>
      <c r="G200" s="19">
        <v>2.25</v>
      </c>
      <c r="H200" s="19">
        <v>0.875</v>
      </c>
      <c r="I200" s="20"/>
      <c r="J200" s="19"/>
      <c r="K200" s="119">
        <f t="shared" si="13"/>
        <v>6.979166666666667</v>
      </c>
      <c r="L200" s="272">
        <f t="shared" si="12"/>
        <v>2.1272500032334203</v>
      </c>
      <c r="M200" s="272">
        <f t="shared" si="14"/>
        <v>260.42870774493304</v>
      </c>
      <c r="N200" s="1">
        <v>175</v>
      </c>
    </row>
    <row r="201" spans="2:14" x14ac:dyDescent="0.15">
      <c r="B201" s="18" t="s">
        <v>1610</v>
      </c>
      <c r="C201" s="20">
        <v>19.75</v>
      </c>
      <c r="D201" s="19">
        <v>0.8125</v>
      </c>
      <c r="E201" s="20">
        <v>11.25</v>
      </c>
      <c r="F201" s="19">
        <v>1.4375</v>
      </c>
      <c r="G201" s="19">
        <v>2.125</v>
      </c>
      <c r="H201" s="19">
        <v>0.875</v>
      </c>
      <c r="I201" s="20"/>
      <c r="J201" s="19"/>
      <c r="K201" s="119">
        <f t="shared" si="13"/>
        <v>6.90625</v>
      </c>
      <c r="L201" s="272">
        <f t="shared" si="12"/>
        <v>2.1050250031996383</v>
      </c>
      <c r="M201" s="272">
        <f t="shared" si="14"/>
        <v>235.12991899256809</v>
      </c>
      <c r="N201" s="1">
        <v>158</v>
      </c>
    </row>
    <row r="202" spans="2:14" x14ac:dyDescent="0.15">
      <c r="B202" s="18" t="s">
        <v>1609</v>
      </c>
      <c r="C202" s="20">
        <v>19.5</v>
      </c>
      <c r="D202" s="19">
        <v>0.75</v>
      </c>
      <c r="E202" s="20">
        <v>11.25</v>
      </c>
      <c r="F202" s="19">
        <v>1.3125</v>
      </c>
      <c r="G202" s="19">
        <v>2</v>
      </c>
      <c r="H202" s="19">
        <v>0.8125</v>
      </c>
      <c r="I202" s="20"/>
      <c r="J202" s="19"/>
      <c r="K202" s="119">
        <f t="shared" si="13"/>
        <v>6.875</v>
      </c>
      <c r="L202" s="272">
        <f t="shared" si="12"/>
        <v>2.0955000031851605</v>
      </c>
      <c r="M202" s="272">
        <f t="shared" si="14"/>
        <v>212.80745832871671</v>
      </c>
      <c r="N202" s="1">
        <v>143</v>
      </c>
    </row>
    <row r="203" spans="2:14" x14ac:dyDescent="0.15">
      <c r="B203" s="127" t="s">
        <v>1608</v>
      </c>
      <c r="C203" s="130">
        <v>19.25</v>
      </c>
      <c r="D203" s="129">
        <v>0.6875</v>
      </c>
      <c r="E203" s="130">
        <v>11.125</v>
      </c>
      <c r="F203" s="129">
        <v>1.1875</v>
      </c>
      <c r="G203" s="129">
        <v>1.875</v>
      </c>
      <c r="H203" s="129">
        <v>0.8125</v>
      </c>
      <c r="I203" s="130"/>
      <c r="J203" s="129"/>
      <c r="K203" s="313">
        <f t="shared" si="13"/>
        <v>6.802083333333333</v>
      </c>
      <c r="L203" s="314">
        <f t="shared" si="12"/>
        <v>2.073275003151378</v>
      </c>
      <c r="M203" s="272">
        <f t="shared" si="14"/>
        <v>193.46132575337882</v>
      </c>
      <c r="N203" s="1">
        <v>130</v>
      </c>
    </row>
    <row r="204" spans="2:14" x14ac:dyDescent="0.15">
      <c r="B204" s="307" t="s">
        <v>850</v>
      </c>
      <c r="C204" s="315" t="s">
        <v>850</v>
      </c>
      <c r="D204" s="315" t="s">
        <v>850</v>
      </c>
      <c r="E204" s="315" t="s">
        <v>850</v>
      </c>
      <c r="F204" s="315" t="s">
        <v>850</v>
      </c>
      <c r="G204" s="315" t="s">
        <v>850</v>
      </c>
      <c r="H204" s="315" t="s">
        <v>850</v>
      </c>
      <c r="I204" s="315" t="s">
        <v>850</v>
      </c>
      <c r="J204" s="315" t="s">
        <v>850</v>
      </c>
      <c r="K204" s="316"/>
      <c r="L204" s="317"/>
      <c r="M204" s="312"/>
      <c r="N204" s="1"/>
    </row>
    <row r="205" spans="2:14" x14ac:dyDescent="0.15">
      <c r="B205" s="127" t="s">
        <v>916</v>
      </c>
      <c r="C205" s="130">
        <v>19</v>
      </c>
      <c r="D205" s="129">
        <v>0.625</v>
      </c>
      <c r="E205" s="130">
        <v>11.25</v>
      </c>
      <c r="F205" s="129">
        <v>1.0625</v>
      </c>
      <c r="G205" s="129">
        <v>1.75</v>
      </c>
      <c r="H205" s="129">
        <v>0.9375</v>
      </c>
      <c r="I205" s="130">
        <v>5.5</v>
      </c>
      <c r="J205" s="129">
        <v>3</v>
      </c>
      <c r="K205" s="119">
        <f t="shared" ref="K205:K219" si="15">((C205-(F205*2))*2+(E205*4)+(F205*4)-(D205*2))*12/144</f>
        <v>6.8125</v>
      </c>
      <c r="L205" s="274">
        <f t="shared" si="12"/>
        <v>2.0764500031562041</v>
      </c>
      <c r="M205" s="272">
        <f t="shared" si="14"/>
        <v>177.09152126655445</v>
      </c>
      <c r="N205" s="1">
        <v>119</v>
      </c>
    </row>
    <row r="206" spans="2:14" x14ac:dyDescent="0.15">
      <c r="B206" s="18" t="s">
        <v>917</v>
      </c>
      <c r="C206" s="20">
        <v>18.75</v>
      </c>
      <c r="D206" s="19">
        <v>0.5625</v>
      </c>
      <c r="E206" s="20">
        <v>11.25</v>
      </c>
      <c r="F206" s="19">
        <v>0.9375</v>
      </c>
      <c r="G206" s="19">
        <v>1.625</v>
      </c>
      <c r="H206" s="19">
        <v>0.9375</v>
      </c>
      <c r="I206" s="20">
        <v>5.5</v>
      </c>
      <c r="J206" s="19">
        <v>3</v>
      </c>
      <c r="K206" s="132">
        <f t="shared" si="15"/>
        <v>6.78125</v>
      </c>
      <c r="L206" s="272">
        <f t="shared" si="12"/>
        <v>2.0669250031417263</v>
      </c>
      <c r="M206" s="272">
        <f t="shared" si="14"/>
        <v>157.74538869121656</v>
      </c>
      <c r="N206" s="1">
        <v>106</v>
      </c>
    </row>
    <row r="207" spans="2:14" x14ac:dyDescent="0.15">
      <c r="B207" s="127" t="s">
        <v>918</v>
      </c>
      <c r="C207" s="130">
        <v>18.625</v>
      </c>
      <c r="D207" s="129">
        <v>0.5625</v>
      </c>
      <c r="E207" s="130">
        <v>11.125</v>
      </c>
      <c r="F207" s="129">
        <v>0.875</v>
      </c>
      <c r="G207" s="129">
        <v>1.5625</v>
      </c>
      <c r="H207" s="129">
        <v>0.875</v>
      </c>
      <c r="I207" s="130">
        <v>5.5</v>
      </c>
      <c r="J207" s="129">
        <v>2.75</v>
      </c>
      <c r="K207" s="119">
        <f t="shared" si="15"/>
        <v>6.71875</v>
      </c>
      <c r="L207" s="272">
        <f t="shared" si="12"/>
        <v>2.0478750031127704</v>
      </c>
      <c r="M207" s="272">
        <f t="shared" si="14"/>
        <v>144.35191229290572</v>
      </c>
      <c r="N207" s="1">
        <v>97</v>
      </c>
    </row>
    <row r="208" spans="2:14" x14ac:dyDescent="0.15">
      <c r="B208" s="18" t="s">
        <v>919</v>
      </c>
      <c r="C208" s="20">
        <v>18.375</v>
      </c>
      <c r="D208" s="19">
        <v>0.5</v>
      </c>
      <c r="E208" s="20">
        <v>11.125</v>
      </c>
      <c r="F208" s="19">
        <v>0.75</v>
      </c>
      <c r="G208" s="19">
        <v>1.4375</v>
      </c>
      <c r="H208" s="19">
        <v>0.875</v>
      </c>
      <c r="I208" s="20">
        <v>5.5</v>
      </c>
      <c r="J208" s="19">
        <v>2.75</v>
      </c>
      <c r="K208" s="132">
        <f t="shared" si="15"/>
        <v>6.6875</v>
      </c>
      <c r="L208" s="272">
        <f t="shared" si="12"/>
        <v>2.0383500030982922</v>
      </c>
      <c r="M208" s="272">
        <f t="shared" si="14"/>
        <v>127.98210780608136</v>
      </c>
      <c r="N208" s="1">
        <v>86</v>
      </c>
    </row>
    <row r="209" spans="2:14" x14ac:dyDescent="0.15">
      <c r="B209" s="18" t="s">
        <v>920</v>
      </c>
      <c r="C209" s="22">
        <v>18.25</v>
      </c>
      <c r="D209" s="21">
        <v>0.4375</v>
      </c>
      <c r="E209" s="22">
        <v>11</v>
      </c>
      <c r="F209" s="21">
        <v>0.6875</v>
      </c>
      <c r="G209" s="21">
        <v>1.375</v>
      </c>
      <c r="H209" s="21">
        <v>0.8125</v>
      </c>
      <c r="I209" s="22">
        <v>5.5</v>
      </c>
      <c r="J209" s="21">
        <v>2.75</v>
      </c>
      <c r="K209" s="313">
        <f t="shared" si="15"/>
        <v>6.635416666666667</v>
      </c>
      <c r="L209" s="314">
        <f t="shared" si="12"/>
        <v>2.0224750030741623</v>
      </c>
      <c r="M209" s="272">
        <f t="shared" si="14"/>
        <v>113.10046736351376</v>
      </c>
      <c r="N209" s="1">
        <v>76</v>
      </c>
    </row>
    <row r="210" spans="2:14" x14ac:dyDescent="0.15">
      <c r="B210" s="311"/>
      <c r="C210" s="315"/>
      <c r="D210" s="315"/>
      <c r="E210" s="315"/>
      <c r="F210" s="315"/>
      <c r="G210" s="315"/>
      <c r="H210" s="315"/>
      <c r="I210" s="315"/>
      <c r="J210" s="315"/>
      <c r="K210" s="316"/>
      <c r="L210" s="317"/>
      <c r="M210" s="312"/>
      <c r="N210" s="1"/>
    </row>
    <row r="211" spans="2:14" x14ac:dyDescent="0.15">
      <c r="B211" s="18" t="s">
        <v>921</v>
      </c>
      <c r="C211" s="156">
        <v>18.5</v>
      </c>
      <c r="D211" s="131">
        <v>0.5</v>
      </c>
      <c r="E211" s="156">
        <v>7.625</v>
      </c>
      <c r="F211" s="131">
        <v>0.8125</v>
      </c>
      <c r="G211" s="131">
        <v>1.5</v>
      </c>
      <c r="H211" s="131">
        <v>0.875</v>
      </c>
      <c r="I211" s="156">
        <v>3.5</v>
      </c>
      <c r="J211" s="131">
        <v>2.75</v>
      </c>
      <c r="K211" s="119">
        <f t="shared" si="15"/>
        <v>5.541666666666667</v>
      </c>
      <c r="L211" s="274">
        <f t="shared" si="12"/>
        <v>1.6891000025674321</v>
      </c>
      <c r="M211" s="272">
        <f t="shared" si="14"/>
        <v>105.65964714222997</v>
      </c>
      <c r="N211" s="1">
        <v>71</v>
      </c>
    </row>
    <row r="212" spans="2:14" x14ac:dyDescent="0.15">
      <c r="B212" s="127" t="s">
        <v>922</v>
      </c>
      <c r="C212" s="130">
        <v>18.375</v>
      </c>
      <c r="D212" s="129">
        <v>0.4375</v>
      </c>
      <c r="E212" s="130">
        <v>7.625</v>
      </c>
      <c r="F212" s="129">
        <v>0.75</v>
      </c>
      <c r="G212" s="129">
        <v>1.4375</v>
      </c>
      <c r="H212" s="129">
        <v>0.875</v>
      </c>
      <c r="I212" s="130">
        <v>3.5</v>
      </c>
      <c r="J212" s="129">
        <v>2.75</v>
      </c>
      <c r="K212" s="119">
        <f t="shared" si="15"/>
        <v>5.53125</v>
      </c>
      <c r="L212" s="272">
        <f t="shared" si="12"/>
        <v>1.6859250025626062</v>
      </c>
      <c r="M212" s="272">
        <f t="shared" si="14"/>
        <v>96.730662876689408</v>
      </c>
      <c r="N212" s="1">
        <v>65</v>
      </c>
    </row>
    <row r="213" spans="2:14" x14ac:dyDescent="0.15">
      <c r="B213" s="18" t="s">
        <v>923</v>
      </c>
      <c r="C213" s="20">
        <v>18.25</v>
      </c>
      <c r="D213" s="19">
        <v>0.4375</v>
      </c>
      <c r="E213" s="20">
        <v>7.5</v>
      </c>
      <c r="F213" s="19">
        <v>0.6875</v>
      </c>
      <c r="G213" s="19">
        <v>1.375</v>
      </c>
      <c r="H213" s="19">
        <v>0.8125</v>
      </c>
      <c r="I213" s="20">
        <v>3.5</v>
      </c>
      <c r="J213" s="19">
        <v>2.75</v>
      </c>
      <c r="K213" s="132">
        <f t="shared" si="15"/>
        <v>5.46875</v>
      </c>
      <c r="L213" s="272">
        <f t="shared" si="12"/>
        <v>1.6668750025336503</v>
      </c>
      <c r="M213" s="272">
        <f t="shared" si="14"/>
        <v>89.289842655405593</v>
      </c>
      <c r="N213" s="1">
        <v>60</v>
      </c>
    </row>
    <row r="214" spans="2:14" x14ac:dyDescent="0.15">
      <c r="B214" s="127" t="s">
        <v>924</v>
      </c>
      <c r="C214" s="130">
        <v>18.125</v>
      </c>
      <c r="D214" s="129">
        <v>0.375</v>
      </c>
      <c r="E214" s="130">
        <v>7.5</v>
      </c>
      <c r="F214" s="129">
        <v>0.625</v>
      </c>
      <c r="G214" s="129">
        <v>1.3125</v>
      </c>
      <c r="H214" s="129">
        <v>0.8125</v>
      </c>
      <c r="I214" s="130">
        <v>3.5</v>
      </c>
      <c r="J214" s="129">
        <v>2.75</v>
      </c>
      <c r="K214" s="119">
        <f t="shared" si="15"/>
        <v>5.458333333333333</v>
      </c>
      <c r="L214" s="272">
        <f t="shared" si="12"/>
        <v>1.6637000025288242</v>
      </c>
      <c r="M214" s="272">
        <f t="shared" si="14"/>
        <v>81.849022434121807</v>
      </c>
      <c r="N214" s="1">
        <v>55</v>
      </c>
    </row>
    <row r="215" spans="2:14" x14ac:dyDescent="0.15">
      <c r="B215" s="18" t="s">
        <v>925</v>
      </c>
      <c r="C215" s="22">
        <v>18</v>
      </c>
      <c r="D215" s="21">
        <v>0.375</v>
      </c>
      <c r="E215" s="22">
        <v>7.5</v>
      </c>
      <c r="F215" s="21">
        <v>0.5625</v>
      </c>
      <c r="G215" s="21">
        <v>1.25</v>
      </c>
      <c r="H215" s="21">
        <v>0.8125</v>
      </c>
      <c r="I215" s="22">
        <v>3.5</v>
      </c>
      <c r="J215" s="21">
        <v>2.5</v>
      </c>
      <c r="K215" s="318">
        <f t="shared" si="15"/>
        <v>5.4375</v>
      </c>
      <c r="L215" s="314">
        <f t="shared" si="12"/>
        <v>1.6573500025191721</v>
      </c>
      <c r="M215" s="272">
        <f t="shared" si="14"/>
        <v>74.408202212838006</v>
      </c>
      <c r="N215" s="1">
        <v>50</v>
      </c>
    </row>
    <row r="216" spans="2:14" x14ac:dyDescent="0.15">
      <c r="B216" s="310"/>
      <c r="C216" s="315"/>
      <c r="D216" s="315"/>
      <c r="E216" s="315"/>
      <c r="F216" s="315"/>
      <c r="G216" s="315"/>
      <c r="H216" s="315"/>
      <c r="I216" s="315"/>
      <c r="J216" s="315"/>
      <c r="K216" s="316"/>
      <c r="L216" s="317"/>
      <c r="M216" s="312"/>
      <c r="N216" s="1"/>
    </row>
    <row r="217" spans="2:14" x14ac:dyDescent="0.15">
      <c r="B217" s="127" t="s">
        <v>926</v>
      </c>
      <c r="C217" s="130">
        <v>18</v>
      </c>
      <c r="D217" s="129">
        <v>0.375</v>
      </c>
      <c r="E217" s="130">
        <v>6</v>
      </c>
      <c r="F217" s="129">
        <v>0.625</v>
      </c>
      <c r="G217" s="129">
        <v>1.25</v>
      </c>
      <c r="H217" s="129">
        <v>0.8125</v>
      </c>
      <c r="I217" s="130">
        <v>3.5</v>
      </c>
      <c r="J217" s="129">
        <v>2.5</v>
      </c>
      <c r="K217" s="119">
        <f t="shared" si="15"/>
        <v>4.9375</v>
      </c>
      <c r="L217" s="274">
        <f t="shared" si="12"/>
        <v>1.5049500022875242</v>
      </c>
      <c r="M217" s="272">
        <f t="shared" si="14"/>
        <v>68.455546035810954</v>
      </c>
      <c r="N217" s="1">
        <v>46</v>
      </c>
    </row>
    <row r="218" spans="2:14" x14ac:dyDescent="0.15">
      <c r="B218" s="18" t="s">
        <v>927</v>
      </c>
      <c r="C218" s="20">
        <v>17.875</v>
      </c>
      <c r="D218" s="19">
        <v>0.3125</v>
      </c>
      <c r="E218" s="20">
        <v>6</v>
      </c>
      <c r="F218" s="19">
        <v>0.5</v>
      </c>
      <c r="G218" s="19">
        <v>1.1875</v>
      </c>
      <c r="H218" s="19">
        <v>0.8125</v>
      </c>
      <c r="I218" s="20">
        <v>3.5</v>
      </c>
      <c r="J218" s="19">
        <v>2.5</v>
      </c>
      <c r="K218" s="132">
        <f t="shared" si="15"/>
        <v>4.927083333333333</v>
      </c>
      <c r="L218" s="272">
        <f t="shared" si="12"/>
        <v>1.5017750022826981</v>
      </c>
      <c r="M218" s="272">
        <f t="shared" si="14"/>
        <v>59.526561770270405</v>
      </c>
      <c r="N218" s="1">
        <v>40</v>
      </c>
    </row>
    <row r="219" spans="2:14" x14ac:dyDescent="0.15">
      <c r="B219" s="127" t="s">
        <v>928</v>
      </c>
      <c r="C219" s="130">
        <v>17.75</v>
      </c>
      <c r="D219" s="129">
        <v>0.3125</v>
      </c>
      <c r="E219" s="130">
        <v>6</v>
      </c>
      <c r="F219" s="129">
        <v>0.4375</v>
      </c>
      <c r="G219" s="129">
        <v>1.125</v>
      </c>
      <c r="H219" s="129">
        <v>0.75</v>
      </c>
      <c r="I219" s="130">
        <v>3.5</v>
      </c>
      <c r="J219" s="129">
        <v>2.5</v>
      </c>
      <c r="K219" s="313">
        <f t="shared" si="15"/>
        <v>4.90625</v>
      </c>
      <c r="L219" s="314">
        <f t="shared" ref="L219:L282" si="16">K219*3.2808399*0.09290304</f>
        <v>1.4954250022730462</v>
      </c>
      <c r="M219" s="272">
        <f t="shared" si="14"/>
        <v>52.085741548986604</v>
      </c>
      <c r="N219" s="1">
        <v>35</v>
      </c>
    </row>
    <row r="220" spans="2:14" x14ac:dyDescent="0.15">
      <c r="B220" s="307" t="s">
        <v>850</v>
      </c>
      <c r="C220" s="315" t="s">
        <v>850</v>
      </c>
      <c r="D220" s="315" t="s">
        <v>850</v>
      </c>
      <c r="E220" s="315" t="s">
        <v>850</v>
      </c>
      <c r="F220" s="315" t="s">
        <v>850</v>
      </c>
      <c r="G220" s="315" t="s">
        <v>850</v>
      </c>
      <c r="H220" s="315" t="s">
        <v>850</v>
      </c>
      <c r="I220" s="315" t="s">
        <v>850</v>
      </c>
      <c r="J220" s="315" t="s">
        <v>850</v>
      </c>
      <c r="K220" s="316"/>
      <c r="L220" s="317"/>
      <c r="M220" s="312"/>
      <c r="N220" s="1"/>
    </row>
    <row r="221" spans="2:14" x14ac:dyDescent="0.15">
      <c r="B221" s="127" t="s">
        <v>929</v>
      </c>
      <c r="C221" s="130">
        <v>17</v>
      </c>
      <c r="D221" s="129">
        <v>0.5625</v>
      </c>
      <c r="E221" s="130">
        <v>10.375</v>
      </c>
      <c r="F221" s="129">
        <v>1</v>
      </c>
      <c r="G221" s="129">
        <v>1.6875</v>
      </c>
      <c r="H221" s="129">
        <v>0.9375</v>
      </c>
      <c r="I221" s="130">
        <v>5.5</v>
      </c>
      <c r="J221" s="129">
        <v>3</v>
      </c>
      <c r="K221" s="119">
        <f t="shared" ref="K221:K233" si="17">((C221-(F221*2))*2+(E221*4)+(F221*4)-(D221*2))*12/144</f>
        <v>6.197916666666667</v>
      </c>
      <c r="L221" s="274">
        <f t="shared" si="16"/>
        <v>1.8891250028714703</v>
      </c>
      <c r="M221" s="272">
        <f t="shared" si="14"/>
        <v>148.81640442567601</v>
      </c>
      <c r="N221" s="1">
        <v>100</v>
      </c>
    </row>
    <row r="222" spans="2:14" x14ac:dyDescent="0.15">
      <c r="B222" s="18" t="s">
        <v>930</v>
      </c>
      <c r="C222" s="20">
        <v>16.75</v>
      </c>
      <c r="D222" s="19">
        <v>0.5</v>
      </c>
      <c r="E222" s="20">
        <v>10.375</v>
      </c>
      <c r="F222" s="19">
        <v>0.875</v>
      </c>
      <c r="G222" s="19">
        <v>1.5625</v>
      </c>
      <c r="H222" s="19">
        <v>0.875</v>
      </c>
      <c r="I222" s="20">
        <v>5.5</v>
      </c>
      <c r="J222" s="19">
        <v>2.75</v>
      </c>
      <c r="K222" s="119">
        <f t="shared" si="17"/>
        <v>6.166666666666667</v>
      </c>
      <c r="L222" s="272">
        <f t="shared" si="16"/>
        <v>1.8796000028569924</v>
      </c>
      <c r="M222" s="272">
        <f t="shared" si="14"/>
        <v>132.44659993885165</v>
      </c>
      <c r="N222" s="1">
        <v>89</v>
      </c>
    </row>
    <row r="223" spans="2:14" x14ac:dyDescent="0.15">
      <c r="B223" s="127" t="s">
        <v>931</v>
      </c>
      <c r="C223" s="130">
        <v>16.5</v>
      </c>
      <c r="D223" s="129">
        <v>0.4375</v>
      </c>
      <c r="E223" s="130">
        <v>10.25</v>
      </c>
      <c r="F223" s="129">
        <v>0.75</v>
      </c>
      <c r="G223" s="129">
        <v>1.4375</v>
      </c>
      <c r="H223" s="129">
        <v>0.875</v>
      </c>
      <c r="I223" s="130">
        <v>5.5</v>
      </c>
      <c r="J223" s="129">
        <v>2.75</v>
      </c>
      <c r="K223" s="119">
        <f t="shared" si="17"/>
        <v>6.09375</v>
      </c>
      <c r="L223" s="272">
        <f t="shared" si="16"/>
        <v>1.8573750028232103</v>
      </c>
      <c r="M223" s="272">
        <f t="shared" si="14"/>
        <v>114.58863140777054</v>
      </c>
      <c r="N223" s="1">
        <v>77</v>
      </c>
    </row>
    <row r="224" spans="2:14" x14ac:dyDescent="0.15">
      <c r="B224" s="18" t="s">
        <v>932</v>
      </c>
      <c r="C224" s="22">
        <v>16.375</v>
      </c>
      <c r="D224" s="21">
        <v>0.375</v>
      </c>
      <c r="E224" s="22">
        <v>10.25</v>
      </c>
      <c r="F224" s="21">
        <v>0.6875</v>
      </c>
      <c r="G224" s="21">
        <v>1.375</v>
      </c>
      <c r="H224" s="21">
        <v>0.8125</v>
      </c>
      <c r="I224" s="22">
        <v>5.5</v>
      </c>
      <c r="J224" s="21">
        <v>2.75</v>
      </c>
      <c r="K224" s="313">
        <f t="shared" si="17"/>
        <v>6.083333333333333</v>
      </c>
      <c r="L224" s="314">
        <f t="shared" si="16"/>
        <v>1.8542000028183843</v>
      </c>
      <c r="M224" s="272">
        <f t="shared" si="14"/>
        <v>99.70699096520292</v>
      </c>
      <c r="N224" s="1">
        <v>67</v>
      </c>
    </row>
    <row r="225" spans="2:14" x14ac:dyDescent="0.15">
      <c r="B225" s="307"/>
      <c r="C225" s="315"/>
      <c r="D225" s="315"/>
      <c r="E225" s="315"/>
      <c r="F225" s="315"/>
      <c r="G225" s="315"/>
      <c r="H225" s="315"/>
      <c r="I225" s="315"/>
      <c r="J225" s="315"/>
      <c r="K225" s="316"/>
      <c r="L225" s="317"/>
      <c r="M225" s="312"/>
      <c r="N225" s="1"/>
    </row>
    <row r="226" spans="2:14" x14ac:dyDescent="0.15">
      <c r="B226" s="127" t="s">
        <v>933</v>
      </c>
      <c r="C226" s="130">
        <v>16.375</v>
      </c>
      <c r="D226" s="129">
        <v>0.4375</v>
      </c>
      <c r="E226" s="130">
        <v>7.125</v>
      </c>
      <c r="F226" s="129">
        <v>0.6875</v>
      </c>
      <c r="G226" s="129">
        <v>1.375</v>
      </c>
      <c r="H226" s="129">
        <v>0.875</v>
      </c>
      <c r="I226" s="130">
        <v>3.5</v>
      </c>
      <c r="J226" s="129">
        <v>2.75</v>
      </c>
      <c r="K226" s="119">
        <f t="shared" si="17"/>
        <v>5.03125</v>
      </c>
      <c r="L226" s="274">
        <f t="shared" si="16"/>
        <v>1.5335250023309583</v>
      </c>
      <c r="M226" s="272">
        <f t="shared" si="14"/>
        <v>84.825350522635318</v>
      </c>
      <c r="N226" s="1">
        <v>57</v>
      </c>
    </row>
    <row r="227" spans="2:14" x14ac:dyDescent="0.15">
      <c r="B227" s="18" t="s">
        <v>934</v>
      </c>
      <c r="C227" s="20">
        <v>16.25</v>
      </c>
      <c r="D227" s="19">
        <v>0.375</v>
      </c>
      <c r="E227" s="20">
        <v>7.125</v>
      </c>
      <c r="F227" s="19">
        <v>0.625</v>
      </c>
      <c r="G227" s="19">
        <v>1.3125</v>
      </c>
      <c r="H227" s="19">
        <v>0.8125</v>
      </c>
      <c r="I227" s="20">
        <v>3.5</v>
      </c>
      <c r="J227" s="19">
        <v>2.75</v>
      </c>
      <c r="K227" s="119">
        <f t="shared" si="17"/>
        <v>5.020833333333333</v>
      </c>
      <c r="L227" s="272">
        <f t="shared" si="16"/>
        <v>1.5303500023261318</v>
      </c>
      <c r="M227" s="272">
        <f t="shared" si="14"/>
        <v>74.408202212838006</v>
      </c>
      <c r="N227" s="1">
        <v>50</v>
      </c>
    </row>
    <row r="228" spans="2:14" x14ac:dyDescent="0.15">
      <c r="B228" s="127" t="s">
        <v>935</v>
      </c>
      <c r="C228" s="130">
        <v>16.125</v>
      </c>
      <c r="D228" s="129">
        <v>0.375</v>
      </c>
      <c r="E228" s="130">
        <v>7</v>
      </c>
      <c r="F228" s="129">
        <v>0.5625</v>
      </c>
      <c r="G228" s="129">
        <v>1.25</v>
      </c>
      <c r="H228" s="129">
        <v>0.8125</v>
      </c>
      <c r="I228" s="130">
        <v>3.5</v>
      </c>
      <c r="J228" s="129">
        <v>2.5</v>
      </c>
      <c r="K228" s="119">
        <f t="shared" si="17"/>
        <v>4.958333333333333</v>
      </c>
      <c r="L228" s="272">
        <f t="shared" si="16"/>
        <v>1.5113000022971761</v>
      </c>
      <c r="M228" s="272">
        <f t="shared" si="14"/>
        <v>66.967381991554205</v>
      </c>
      <c r="N228" s="1">
        <v>45</v>
      </c>
    </row>
    <row r="229" spans="2:14" x14ac:dyDescent="0.15">
      <c r="B229" s="18" t="s">
        <v>936</v>
      </c>
      <c r="C229" s="20">
        <v>16</v>
      </c>
      <c r="D229" s="19">
        <v>0.3125</v>
      </c>
      <c r="E229" s="20">
        <v>7</v>
      </c>
      <c r="F229" s="19">
        <v>0.5</v>
      </c>
      <c r="G229" s="19">
        <v>1.1875</v>
      </c>
      <c r="H229" s="19">
        <v>0.8125</v>
      </c>
      <c r="I229" s="20">
        <v>3.5</v>
      </c>
      <c r="J229" s="19">
        <v>2.5</v>
      </c>
      <c r="K229" s="119">
        <f t="shared" si="17"/>
        <v>4.947916666666667</v>
      </c>
      <c r="L229" s="272">
        <f t="shared" si="16"/>
        <v>1.5081250022923502</v>
      </c>
      <c r="M229" s="272">
        <f t="shared" si="14"/>
        <v>59.526561770270405</v>
      </c>
      <c r="N229" s="1">
        <v>40</v>
      </c>
    </row>
    <row r="230" spans="2:14" x14ac:dyDescent="0.15">
      <c r="B230" s="18" t="s">
        <v>937</v>
      </c>
      <c r="C230" s="22">
        <v>15.875</v>
      </c>
      <c r="D230" s="21">
        <v>0.3125</v>
      </c>
      <c r="E230" s="22">
        <v>7</v>
      </c>
      <c r="F230" s="21">
        <v>0.4375</v>
      </c>
      <c r="G230" s="21">
        <v>1.125</v>
      </c>
      <c r="H230" s="21">
        <v>0.75</v>
      </c>
      <c r="I230" s="22">
        <v>3.5</v>
      </c>
      <c r="J230" s="21">
        <v>2.5</v>
      </c>
      <c r="K230" s="313">
        <f t="shared" si="17"/>
        <v>4.927083333333333</v>
      </c>
      <c r="L230" s="314">
        <f t="shared" si="16"/>
        <v>1.5017750022826981</v>
      </c>
      <c r="M230" s="272">
        <f t="shared" si="14"/>
        <v>53.57390559324336</v>
      </c>
      <c r="N230" s="1">
        <v>36</v>
      </c>
    </row>
    <row r="231" spans="2:14" x14ac:dyDescent="0.15">
      <c r="B231" s="311"/>
      <c r="C231" s="315"/>
      <c r="D231" s="315"/>
      <c r="E231" s="315"/>
      <c r="F231" s="315"/>
      <c r="G231" s="315"/>
      <c r="H231" s="315"/>
      <c r="I231" s="315"/>
      <c r="J231" s="315"/>
      <c r="K231" s="316"/>
      <c r="L231" s="317"/>
      <c r="M231" s="312"/>
      <c r="N231" s="1"/>
    </row>
    <row r="232" spans="2:14" x14ac:dyDescent="0.15">
      <c r="B232" s="18" t="s">
        <v>938</v>
      </c>
      <c r="C232" s="156">
        <v>15.875</v>
      </c>
      <c r="D232" s="131">
        <v>0.25</v>
      </c>
      <c r="E232" s="156">
        <v>5.5</v>
      </c>
      <c r="F232" s="131">
        <v>0.4375</v>
      </c>
      <c r="G232" s="131">
        <v>1.125</v>
      </c>
      <c r="H232" s="131">
        <v>0.75</v>
      </c>
      <c r="I232" s="156">
        <v>2.75</v>
      </c>
      <c r="J232" s="131">
        <v>2.5</v>
      </c>
      <c r="K232" s="119">
        <f t="shared" si="17"/>
        <v>4.4375</v>
      </c>
      <c r="L232" s="274">
        <f t="shared" si="16"/>
        <v>1.3525500020558763</v>
      </c>
      <c r="M232" s="272">
        <f t="shared" si="14"/>
        <v>46.133085371959559</v>
      </c>
      <c r="N232" s="1">
        <v>31</v>
      </c>
    </row>
    <row r="233" spans="2:14" x14ac:dyDescent="0.15">
      <c r="B233" s="127" t="s">
        <v>939</v>
      </c>
      <c r="C233" s="130">
        <v>15.75</v>
      </c>
      <c r="D233" s="129">
        <v>0.25</v>
      </c>
      <c r="E233" s="130">
        <v>5.5</v>
      </c>
      <c r="F233" s="129">
        <v>0.375</v>
      </c>
      <c r="G233" s="129">
        <v>1.0625</v>
      </c>
      <c r="H233" s="129">
        <v>0.75</v>
      </c>
      <c r="I233" s="130">
        <v>2.75</v>
      </c>
      <c r="J233" s="129">
        <v>2.25</v>
      </c>
      <c r="K233" s="313">
        <f t="shared" si="17"/>
        <v>4.416666666666667</v>
      </c>
      <c r="L233" s="314">
        <f t="shared" si="16"/>
        <v>1.3462000020462244</v>
      </c>
      <c r="M233" s="272">
        <f t="shared" si="14"/>
        <v>38.692265150675766</v>
      </c>
      <c r="N233" s="1">
        <v>26</v>
      </c>
    </row>
    <row r="234" spans="2:14" x14ac:dyDescent="0.15">
      <c r="B234" s="307" t="s">
        <v>850</v>
      </c>
      <c r="C234" s="315" t="s">
        <v>850</v>
      </c>
      <c r="D234" s="315" t="s">
        <v>850</v>
      </c>
      <c r="E234" s="315" t="s">
        <v>850</v>
      </c>
      <c r="F234" s="315" t="s">
        <v>850</v>
      </c>
      <c r="G234" s="315" t="s">
        <v>850</v>
      </c>
      <c r="H234" s="315" t="s">
        <v>850</v>
      </c>
      <c r="I234" s="315" t="s">
        <v>850</v>
      </c>
      <c r="J234" s="315" t="s">
        <v>850</v>
      </c>
      <c r="K234" s="316"/>
      <c r="L234" s="317"/>
      <c r="M234" s="312"/>
      <c r="N234" s="1"/>
    </row>
    <row r="235" spans="2:14" x14ac:dyDescent="0.15">
      <c r="B235" s="127" t="s">
        <v>940</v>
      </c>
      <c r="C235" s="130">
        <v>22.375</v>
      </c>
      <c r="D235" s="129">
        <v>3.0625</v>
      </c>
      <c r="E235" s="130">
        <v>17.875</v>
      </c>
      <c r="F235" s="129">
        <v>4.9375</v>
      </c>
      <c r="G235" s="129">
        <v>5.5625</v>
      </c>
      <c r="H235" s="129">
        <v>2.1875</v>
      </c>
      <c r="I235" s="130" t="s">
        <v>959</v>
      </c>
      <c r="J235" s="130" t="s">
        <v>959</v>
      </c>
      <c r="K235" s="119">
        <f t="shared" ref="K235:K254" si="18">((C235-(F235*2))*2+(E235*4)+(F235*4)-(D235*2))*12/144</f>
        <v>9.1770833333333339</v>
      </c>
      <c r="L235" s="274">
        <f t="shared" si="16"/>
        <v>2.7971750042517063</v>
      </c>
      <c r="M235" s="272">
        <f t="shared" si="14"/>
        <v>1086.359752307435</v>
      </c>
      <c r="N235" s="1">
        <v>730</v>
      </c>
    </row>
    <row r="236" spans="2:14" x14ac:dyDescent="0.15">
      <c r="B236" s="18" t="s">
        <v>941</v>
      </c>
      <c r="C236" s="20">
        <v>21.625</v>
      </c>
      <c r="D236" s="19">
        <v>2.8125</v>
      </c>
      <c r="E236" s="20">
        <v>17.625</v>
      </c>
      <c r="F236" s="19">
        <v>4.5</v>
      </c>
      <c r="G236" s="19">
        <v>5.1875</v>
      </c>
      <c r="H236" s="19">
        <v>2.0625</v>
      </c>
      <c r="I236" s="20" t="s">
        <v>959</v>
      </c>
      <c r="J236" s="20" t="s">
        <v>959</v>
      </c>
      <c r="K236" s="119">
        <f t="shared" si="18"/>
        <v>9.0104166666666661</v>
      </c>
      <c r="L236" s="272">
        <f t="shared" si="16"/>
        <v>2.7463750041744901</v>
      </c>
      <c r="M236" s="272">
        <f t="shared" si="14"/>
        <v>989.62908943074535</v>
      </c>
      <c r="N236" s="1">
        <v>665</v>
      </c>
    </row>
    <row r="237" spans="2:14" x14ac:dyDescent="0.15">
      <c r="B237" s="127" t="s">
        <v>942</v>
      </c>
      <c r="C237" s="130">
        <v>20.875</v>
      </c>
      <c r="D237" s="129">
        <v>2.625</v>
      </c>
      <c r="E237" s="130">
        <v>17.375</v>
      </c>
      <c r="F237" s="129">
        <v>4.1875</v>
      </c>
      <c r="G237" s="129">
        <v>4.8125</v>
      </c>
      <c r="H237" s="129">
        <v>1.9375</v>
      </c>
      <c r="I237" s="130" t="s">
        <v>959</v>
      </c>
      <c r="J237" s="130" t="s">
        <v>959</v>
      </c>
      <c r="K237" s="119">
        <f t="shared" si="18"/>
        <v>8.8333333333333339</v>
      </c>
      <c r="L237" s="272">
        <f t="shared" si="16"/>
        <v>2.6924000040924487</v>
      </c>
      <c r="M237" s="272">
        <f t="shared" si="14"/>
        <v>900.3392467753398</v>
      </c>
      <c r="N237" s="1">
        <v>605</v>
      </c>
    </row>
    <row r="238" spans="2:14" x14ac:dyDescent="0.15">
      <c r="B238" s="18" t="s">
        <v>943</v>
      </c>
      <c r="C238" s="20">
        <v>20.25</v>
      </c>
      <c r="D238" s="19">
        <v>2.375</v>
      </c>
      <c r="E238" s="20">
        <v>17.25</v>
      </c>
      <c r="F238" s="19">
        <v>3.8125</v>
      </c>
      <c r="G238" s="19">
        <v>4.5</v>
      </c>
      <c r="H238" s="19">
        <v>1.8125</v>
      </c>
      <c r="I238" s="20" t="s">
        <v>959</v>
      </c>
      <c r="J238" s="20" t="s">
        <v>959</v>
      </c>
      <c r="K238" s="119">
        <f t="shared" si="18"/>
        <v>8.7291666666666661</v>
      </c>
      <c r="L238" s="272">
        <f t="shared" si="16"/>
        <v>2.6606500040441881</v>
      </c>
      <c r="M238" s="272">
        <f t="shared" si="14"/>
        <v>818.49022434121798</v>
      </c>
      <c r="N238" s="1">
        <v>550</v>
      </c>
    </row>
    <row r="239" spans="2:14" x14ac:dyDescent="0.15">
      <c r="B239" s="127" t="s">
        <v>944</v>
      </c>
      <c r="C239" s="130">
        <v>19.625</v>
      </c>
      <c r="D239" s="129">
        <v>2.1875</v>
      </c>
      <c r="E239" s="130">
        <v>17</v>
      </c>
      <c r="F239" s="129">
        <v>3.5</v>
      </c>
      <c r="G239" s="129">
        <v>4.1875</v>
      </c>
      <c r="H239" s="129">
        <v>1.75</v>
      </c>
      <c r="I239" s="130" t="s">
        <v>959</v>
      </c>
      <c r="J239" s="130" t="s">
        <v>959</v>
      </c>
      <c r="K239" s="119">
        <f t="shared" si="18"/>
        <v>8.5729166666666661</v>
      </c>
      <c r="L239" s="272">
        <f t="shared" si="16"/>
        <v>2.6130250039717979</v>
      </c>
      <c r="M239" s="272">
        <f t="shared" si="14"/>
        <v>744.08202212838</v>
      </c>
      <c r="N239" s="1">
        <v>500</v>
      </c>
    </row>
    <row r="240" spans="2:14" x14ac:dyDescent="0.15">
      <c r="B240" s="18" t="s">
        <v>945</v>
      </c>
      <c r="C240" s="22">
        <v>19</v>
      </c>
      <c r="D240" s="21">
        <v>2</v>
      </c>
      <c r="E240" s="22">
        <v>16.875</v>
      </c>
      <c r="F240" s="21">
        <v>3.1875</v>
      </c>
      <c r="G240" s="21">
        <v>3.875</v>
      </c>
      <c r="H240" s="21">
        <v>1.625</v>
      </c>
      <c r="I240" s="22" t="s">
        <v>959</v>
      </c>
      <c r="J240" s="22" t="s">
        <v>959</v>
      </c>
      <c r="K240" s="313">
        <f t="shared" si="18"/>
        <v>8.4583333333333339</v>
      </c>
      <c r="L240" s="314">
        <f t="shared" si="16"/>
        <v>2.5781000039187125</v>
      </c>
      <c r="M240" s="272">
        <f t="shared" si="14"/>
        <v>677.11464013682587</v>
      </c>
      <c r="N240" s="1">
        <v>455</v>
      </c>
    </row>
    <row r="241" spans="2:14" x14ac:dyDescent="0.15">
      <c r="B241" s="307"/>
      <c r="C241" s="315"/>
      <c r="D241" s="315"/>
      <c r="E241" s="315"/>
      <c r="F241" s="315"/>
      <c r="G241" s="315"/>
      <c r="H241" s="315"/>
      <c r="I241" s="315"/>
      <c r="J241" s="315"/>
      <c r="K241" s="316"/>
      <c r="L241" s="317"/>
      <c r="M241" s="312"/>
      <c r="N241" s="1"/>
    </row>
    <row r="242" spans="2:14" x14ac:dyDescent="0.15">
      <c r="B242" s="127" t="s">
        <v>946</v>
      </c>
      <c r="C242" s="130">
        <v>18.625</v>
      </c>
      <c r="D242" s="129">
        <v>1.875</v>
      </c>
      <c r="E242" s="130">
        <v>16.75</v>
      </c>
      <c r="F242" s="129">
        <v>3.0625</v>
      </c>
      <c r="G242" s="129">
        <v>3.6875</v>
      </c>
      <c r="H242" s="129">
        <v>1.5625</v>
      </c>
      <c r="I242" s="130" t="s">
        <v>959</v>
      </c>
      <c r="J242" s="130" t="s">
        <v>959</v>
      </c>
      <c r="K242" s="119">
        <f t="shared" si="18"/>
        <v>8.375</v>
      </c>
      <c r="L242" s="274">
        <f t="shared" si="16"/>
        <v>2.5527000038801044</v>
      </c>
      <c r="M242" s="272">
        <f t="shared" si="14"/>
        <v>633.95788285337972</v>
      </c>
      <c r="N242" s="1">
        <v>426</v>
      </c>
    </row>
    <row r="243" spans="2:14" x14ac:dyDescent="0.15">
      <c r="B243" s="18" t="s">
        <v>947</v>
      </c>
      <c r="C243" s="20">
        <v>18.25</v>
      </c>
      <c r="D243" s="19">
        <v>1.75</v>
      </c>
      <c r="E243" s="20">
        <v>16.625</v>
      </c>
      <c r="F243" s="19">
        <v>2.875</v>
      </c>
      <c r="G243" s="19">
        <v>3.5</v>
      </c>
      <c r="H243" s="19">
        <v>1.5</v>
      </c>
      <c r="I243" s="20" t="s">
        <v>959</v>
      </c>
      <c r="J243" s="20" t="s">
        <v>959</v>
      </c>
      <c r="K243" s="119">
        <f t="shared" si="18"/>
        <v>8.2916666666666661</v>
      </c>
      <c r="L243" s="272">
        <f t="shared" si="16"/>
        <v>2.5273000038414963</v>
      </c>
      <c r="M243" s="272">
        <f t="shared" si="14"/>
        <v>592.28928961419047</v>
      </c>
      <c r="N243" s="1">
        <v>398</v>
      </c>
    </row>
    <row r="244" spans="2:14" x14ac:dyDescent="0.15">
      <c r="B244" s="127" t="s">
        <v>948</v>
      </c>
      <c r="C244" s="130">
        <v>17.875</v>
      </c>
      <c r="D244" s="129">
        <v>1.625</v>
      </c>
      <c r="E244" s="130">
        <v>16.5</v>
      </c>
      <c r="F244" s="129">
        <v>2.6875</v>
      </c>
      <c r="G244" s="129">
        <v>3.3125</v>
      </c>
      <c r="H244" s="129">
        <v>1.4375</v>
      </c>
      <c r="I244" s="130" t="s">
        <v>959</v>
      </c>
      <c r="J244" s="130" t="s">
        <v>959</v>
      </c>
      <c r="K244" s="119">
        <f t="shared" si="18"/>
        <v>8.2083333333333339</v>
      </c>
      <c r="L244" s="272">
        <f t="shared" si="16"/>
        <v>2.5019000038028887</v>
      </c>
      <c r="M244" s="272">
        <f t="shared" si="14"/>
        <v>550.62069637500122</v>
      </c>
      <c r="N244" s="1">
        <v>370</v>
      </c>
    </row>
    <row r="245" spans="2:14" x14ac:dyDescent="0.15">
      <c r="B245" s="18" t="s">
        <v>949</v>
      </c>
      <c r="C245" s="20">
        <v>17.5</v>
      </c>
      <c r="D245" s="19">
        <v>1.5625</v>
      </c>
      <c r="E245" s="20">
        <v>16.375</v>
      </c>
      <c r="F245" s="19">
        <v>2.5</v>
      </c>
      <c r="G245" s="19">
        <v>3.125</v>
      </c>
      <c r="H245" s="19">
        <v>1.375</v>
      </c>
      <c r="I245" s="20" t="s">
        <v>959</v>
      </c>
      <c r="J245" s="20" t="s">
        <v>959</v>
      </c>
      <c r="K245" s="119">
        <f t="shared" si="18"/>
        <v>8.1145833333333339</v>
      </c>
      <c r="L245" s="272">
        <f t="shared" si="16"/>
        <v>2.4733250037594545</v>
      </c>
      <c r="M245" s="272">
        <f t="shared" si="14"/>
        <v>508.95210313581202</v>
      </c>
      <c r="N245" s="1">
        <v>342</v>
      </c>
    </row>
    <row r="246" spans="2:14" x14ac:dyDescent="0.15">
      <c r="B246" s="127" t="s">
        <v>950</v>
      </c>
      <c r="C246" s="130">
        <v>17.125</v>
      </c>
      <c r="D246" s="129">
        <v>1.4375</v>
      </c>
      <c r="E246" s="130">
        <v>16.25</v>
      </c>
      <c r="F246" s="129">
        <v>2.25</v>
      </c>
      <c r="G246" s="129">
        <v>2.9375</v>
      </c>
      <c r="H246" s="129">
        <v>1.3125</v>
      </c>
      <c r="I246" s="130" t="s">
        <v>959</v>
      </c>
      <c r="J246" s="130" t="s">
        <v>959</v>
      </c>
      <c r="K246" s="119">
        <f t="shared" si="18"/>
        <v>8.03125</v>
      </c>
      <c r="L246" s="272">
        <f t="shared" si="16"/>
        <v>2.4479250037208464</v>
      </c>
      <c r="M246" s="272">
        <f t="shared" si="14"/>
        <v>462.8190177638524</v>
      </c>
      <c r="N246" s="1">
        <v>311</v>
      </c>
    </row>
    <row r="247" spans="2:14" x14ac:dyDescent="0.15">
      <c r="B247" s="18" t="s">
        <v>951</v>
      </c>
      <c r="C247" s="20">
        <v>16.75</v>
      </c>
      <c r="D247" s="19">
        <v>1.3125</v>
      </c>
      <c r="E247" s="20">
        <v>16.125</v>
      </c>
      <c r="F247" s="19">
        <v>2.0625</v>
      </c>
      <c r="G247" s="19">
        <v>2.75</v>
      </c>
      <c r="H247" s="19">
        <v>1.25</v>
      </c>
      <c r="I247" s="20" t="s">
        <v>959</v>
      </c>
      <c r="J247" s="20" t="s">
        <v>959</v>
      </c>
      <c r="K247" s="119">
        <f t="shared" si="18"/>
        <v>7.947916666666667</v>
      </c>
      <c r="L247" s="272">
        <f t="shared" si="16"/>
        <v>2.4225250036822383</v>
      </c>
      <c r="M247" s="272">
        <f t="shared" ref="M247:M310" si="19">N247*3.2808399*0.4535924</f>
        <v>421.15042452466309</v>
      </c>
      <c r="N247" s="1">
        <v>283</v>
      </c>
    </row>
    <row r="248" spans="2:14" x14ac:dyDescent="0.15">
      <c r="B248" s="127" t="s">
        <v>952</v>
      </c>
      <c r="C248" s="130">
        <v>16.375</v>
      </c>
      <c r="D248" s="129">
        <v>1.1875</v>
      </c>
      <c r="E248" s="130">
        <v>16</v>
      </c>
      <c r="F248" s="129">
        <v>1.875</v>
      </c>
      <c r="G248" s="129">
        <v>2.5625</v>
      </c>
      <c r="H248" s="129">
        <v>1.1875</v>
      </c>
      <c r="I248" s="130" t="s">
        <v>959</v>
      </c>
      <c r="J248" s="130" t="s">
        <v>959</v>
      </c>
      <c r="K248" s="119">
        <f t="shared" si="18"/>
        <v>7.864583333333333</v>
      </c>
      <c r="L248" s="272">
        <f t="shared" si="16"/>
        <v>2.3971250036436298</v>
      </c>
      <c r="M248" s="272">
        <f t="shared" si="19"/>
        <v>382.45815937398737</v>
      </c>
      <c r="N248" s="1">
        <v>257</v>
      </c>
    </row>
    <row r="249" spans="2:14" x14ac:dyDescent="0.15">
      <c r="B249" s="18" t="s">
        <v>953</v>
      </c>
      <c r="C249" s="20">
        <v>16</v>
      </c>
      <c r="D249" s="19">
        <v>1.0625</v>
      </c>
      <c r="E249" s="20">
        <v>15.875</v>
      </c>
      <c r="F249" s="19">
        <v>1.75</v>
      </c>
      <c r="G249" s="19">
        <v>2.375</v>
      </c>
      <c r="H249" s="19">
        <v>1.1875</v>
      </c>
      <c r="I249" s="20" t="s">
        <v>959</v>
      </c>
      <c r="J249" s="20" t="s">
        <v>959</v>
      </c>
      <c r="K249" s="119">
        <f t="shared" si="18"/>
        <v>7.78125</v>
      </c>
      <c r="L249" s="272">
        <f t="shared" si="16"/>
        <v>2.3717250036050221</v>
      </c>
      <c r="M249" s="272">
        <f t="shared" si="19"/>
        <v>346.74222231182506</v>
      </c>
      <c r="N249" s="1">
        <v>233</v>
      </c>
    </row>
    <row r="250" spans="2:14" x14ac:dyDescent="0.15">
      <c r="B250" s="127" t="s">
        <v>954</v>
      </c>
      <c r="C250" s="130">
        <v>15.75</v>
      </c>
      <c r="D250" s="129">
        <v>1</v>
      </c>
      <c r="E250" s="130">
        <v>15.75</v>
      </c>
      <c r="F250" s="129">
        <v>1.5625</v>
      </c>
      <c r="G250" s="129">
        <v>2.25</v>
      </c>
      <c r="H250" s="129">
        <v>1.125</v>
      </c>
      <c r="I250" s="130" t="s">
        <v>959</v>
      </c>
      <c r="J250" s="130" t="s">
        <v>959</v>
      </c>
      <c r="K250" s="119">
        <f t="shared" si="18"/>
        <v>7.708333333333333</v>
      </c>
      <c r="L250" s="272">
        <f t="shared" si="16"/>
        <v>2.3495000035712401</v>
      </c>
      <c r="M250" s="272">
        <f t="shared" si="19"/>
        <v>314.00261333817639</v>
      </c>
      <c r="N250" s="1">
        <v>211</v>
      </c>
    </row>
    <row r="251" spans="2:14" x14ac:dyDescent="0.15">
      <c r="B251" s="18" t="s">
        <v>955</v>
      </c>
      <c r="C251" s="20">
        <v>15.5</v>
      </c>
      <c r="D251" s="19">
        <v>0.875</v>
      </c>
      <c r="E251" s="20">
        <v>15.75</v>
      </c>
      <c r="F251" s="19">
        <v>1.4375</v>
      </c>
      <c r="G251" s="19">
        <v>2.125</v>
      </c>
      <c r="H251" s="19">
        <v>1.0625</v>
      </c>
      <c r="I251" s="20" t="s">
        <v>959</v>
      </c>
      <c r="J251" s="20" t="s">
        <v>959</v>
      </c>
      <c r="K251" s="119">
        <f t="shared" si="18"/>
        <v>7.6875</v>
      </c>
      <c r="L251" s="272">
        <f t="shared" si="16"/>
        <v>2.3431500035615884</v>
      </c>
      <c r="M251" s="272">
        <f t="shared" si="19"/>
        <v>287.21566054155471</v>
      </c>
      <c r="N251" s="1">
        <v>193</v>
      </c>
    </row>
    <row r="252" spans="2:14" x14ac:dyDescent="0.15">
      <c r="B252" s="127" t="s">
        <v>956</v>
      </c>
      <c r="C252" s="130">
        <v>15.25</v>
      </c>
      <c r="D252" s="129">
        <v>0.8125</v>
      </c>
      <c r="E252" s="130">
        <v>15.625</v>
      </c>
      <c r="F252" s="129">
        <v>1.3125</v>
      </c>
      <c r="G252" s="129">
        <v>2</v>
      </c>
      <c r="H252" s="129">
        <v>1.0625</v>
      </c>
      <c r="I252" s="130" t="s">
        <v>959</v>
      </c>
      <c r="J252" s="130" t="s">
        <v>959</v>
      </c>
      <c r="K252" s="119">
        <f t="shared" si="18"/>
        <v>7.614583333333333</v>
      </c>
      <c r="L252" s="272">
        <f t="shared" si="16"/>
        <v>2.3209250035278064</v>
      </c>
      <c r="M252" s="272">
        <f t="shared" si="19"/>
        <v>261.91687178918977</v>
      </c>
      <c r="N252" s="1">
        <v>176</v>
      </c>
    </row>
    <row r="253" spans="2:14" x14ac:dyDescent="0.15">
      <c r="B253" s="18" t="s">
        <v>957</v>
      </c>
      <c r="C253" s="20">
        <v>15</v>
      </c>
      <c r="D253" s="19">
        <v>0.75</v>
      </c>
      <c r="E253" s="20">
        <v>15.625</v>
      </c>
      <c r="F253" s="19">
        <v>1.1875</v>
      </c>
      <c r="G253" s="19">
        <v>1.875</v>
      </c>
      <c r="H253" s="19">
        <v>1</v>
      </c>
      <c r="I253" s="20" t="s">
        <v>959</v>
      </c>
      <c r="J253" s="20" t="s">
        <v>959</v>
      </c>
      <c r="K253" s="119">
        <f t="shared" si="18"/>
        <v>7.583333333333333</v>
      </c>
      <c r="L253" s="272">
        <f t="shared" si="16"/>
        <v>2.3114000035133282</v>
      </c>
      <c r="M253" s="272">
        <f t="shared" si="19"/>
        <v>236.61808303682483</v>
      </c>
      <c r="N253" s="1">
        <v>159</v>
      </c>
    </row>
    <row r="254" spans="2:14" x14ac:dyDescent="0.15">
      <c r="B254" s="127" t="s">
        <v>958</v>
      </c>
      <c r="C254" s="130">
        <v>14.75</v>
      </c>
      <c r="D254" s="129">
        <v>0.6875</v>
      </c>
      <c r="E254" s="130">
        <v>15.5</v>
      </c>
      <c r="F254" s="129">
        <v>1.0625</v>
      </c>
      <c r="G254" s="129">
        <v>1.75</v>
      </c>
      <c r="H254" s="129">
        <v>1</v>
      </c>
      <c r="I254" s="130" t="s">
        <v>959</v>
      </c>
      <c r="J254" s="130" t="s">
        <v>959</v>
      </c>
      <c r="K254" s="313">
        <f t="shared" si="18"/>
        <v>7.510416666666667</v>
      </c>
      <c r="L254" s="314">
        <f t="shared" si="16"/>
        <v>2.2891750034795466</v>
      </c>
      <c r="M254" s="272">
        <f t="shared" si="19"/>
        <v>215.7837864172302</v>
      </c>
      <c r="N254" s="1">
        <v>145</v>
      </c>
    </row>
    <row r="255" spans="2:14" x14ac:dyDescent="0.15">
      <c r="B255" s="307" t="s">
        <v>850</v>
      </c>
      <c r="C255" s="315" t="s">
        <v>850</v>
      </c>
      <c r="D255" s="315" t="s">
        <v>850</v>
      </c>
      <c r="E255" s="315" t="s">
        <v>850</v>
      </c>
      <c r="F255" s="315" t="s">
        <v>850</v>
      </c>
      <c r="G255" s="315" t="s">
        <v>850</v>
      </c>
      <c r="H255" s="315" t="s">
        <v>850</v>
      </c>
      <c r="I255" s="315" t="s">
        <v>850</v>
      </c>
      <c r="J255" s="315" t="s">
        <v>850</v>
      </c>
      <c r="K255" s="316"/>
      <c r="L255" s="317"/>
      <c r="M255" s="312"/>
      <c r="N255" s="1"/>
    </row>
    <row r="256" spans="2:14" x14ac:dyDescent="0.15">
      <c r="B256" s="127" t="s">
        <v>960</v>
      </c>
      <c r="C256" s="130">
        <v>14.625</v>
      </c>
      <c r="D256" s="129">
        <v>0.625</v>
      </c>
      <c r="E256" s="130">
        <v>14.75</v>
      </c>
      <c r="F256" s="129">
        <v>1</v>
      </c>
      <c r="G256" s="129">
        <v>1.6875</v>
      </c>
      <c r="H256" s="129">
        <v>0.9375</v>
      </c>
      <c r="I256" s="130">
        <v>5.5</v>
      </c>
      <c r="J256" s="129">
        <v>3</v>
      </c>
      <c r="K256" s="119">
        <f t="shared" ref="K256:K276" si="20">((C256-(F256*2))*2+(E256*4)+(F256*4)-(D256*2))*12/144</f>
        <v>7.25</v>
      </c>
      <c r="L256" s="274">
        <f t="shared" si="16"/>
        <v>2.2098000033588963</v>
      </c>
      <c r="M256" s="272">
        <f t="shared" si="19"/>
        <v>196.43765384189234</v>
      </c>
      <c r="N256" s="1">
        <v>132</v>
      </c>
    </row>
    <row r="257" spans="2:14" x14ac:dyDescent="0.15">
      <c r="B257" s="18" t="s">
        <v>961</v>
      </c>
      <c r="C257" s="20">
        <v>14.5</v>
      </c>
      <c r="D257" s="19">
        <v>0.5625</v>
      </c>
      <c r="E257" s="20">
        <v>14.625</v>
      </c>
      <c r="F257" s="19">
        <v>0.9375</v>
      </c>
      <c r="G257" s="19">
        <v>1.625</v>
      </c>
      <c r="H257" s="19">
        <v>0.9375</v>
      </c>
      <c r="I257" s="20">
        <v>5.5</v>
      </c>
      <c r="J257" s="19">
        <v>3</v>
      </c>
      <c r="K257" s="119">
        <f t="shared" si="20"/>
        <v>7.197916666666667</v>
      </c>
      <c r="L257" s="272">
        <f t="shared" si="16"/>
        <v>2.1939250033347664</v>
      </c>
      <c r="M257" s="272">
        <f t="shared" si="19"/>
        <v>178.57968531081119</v>
      </c>
      <c r="N257" s="1">
        <v>120</v>
      </c>
    </row>
    <row r="258" spans="2:14" x14ac:dyDescent="0.15">
      <c r="B258" s="127" t="s">
        <v>962</v>
      </c>
      <c r="C258" s="130">
        <v>14.375</v>
      </c>
      <c r="D258" s="129">
        <v>0.5</v>
      </c>
      <c r="E258" s="130">
        <v>14.625</v>
      </c>
      <c r="F258" s="129">
        <v>0.875</v>
      </c>
      <c r="G258" s="129">
        <v>1.5625</v>
      </c>
      <c r="H258" s="129">
        <v>0.875</v>
      </c>
      <c r="I258" s="130">
        <v>5.5</v>
      </c>
      <c r="J258" s="129">
        <v>2.75</v>
      </c>
      <c r="K258" s="119">
        <f t="shared" si="20"/>
        <v>7.1875</v>
      </c>
      <c r="L258" s="272">
        <f t="shared" si="16"/>
        <v>2.1907500033299403</v>
      </c>
      <c r="M258" s="272">
        <f t="shared" si="19"/>
        <v>162.20988082398685</v>
      </c>
      <c r="N258" s="1">
        <v>109</v>
      </c>
    </row>
    <row r="259" spans="2:14" x14ac:dyDescent="0.15">
      <c r="B259" s="18" t="s">
        <v>963</v>
      </c>
      <c r="C259" s="20">
        <v>14.125</v>
      </c>
      <c r="D259" s="19">
        <v>0.5</v>
      </c>
      <c r="E259" s="20">
        <v>14.625</v>
      </c>
      <c r="F259" s="19">
        <v>0.75</v>
      </c>
      <c r="G259" s="19">
        <v>1.4375</v>
      </c>
      <c r="H259" s="19">
        <v>0.875</v>
      </c>
      <c r="I259" s="20">
        <v>5.5</v>
      </c>
      <c r="J259" s="19">
        <v>2.75</v>
      </c>
      <c r="K259" s="119">
        <f t="shared" si="20"/>
        <v>7.145833333333333</v>
      </c>
      <c r="L259" s="272">
        <f t="shared" si="16"/>
        <v>2.178050003310636</v>
      </c>
      <c r="M259" s="272">
        <f t="shared" si="19"/>
        <v>147.32824038141925</v>
      </c>
      <c r="N259" s="1">
        <v>99</v>
      </c>
    </row>
    <row r="260" spans="2:14" x14ac:dyDescent="0.15">
      <c r="B260" s="18" t="s">
        <v>964</v>
      </c>
      <c r="C260" s="22">
        <v>14</v>
      </c>
      <c r="D260" s="21">
        <v>0.4375</v>
      </c>
      <c r="E260" s="22">
        <v>14.5</v>
      </c>
      <c r="F260" s="21">
        <v>0.6875</v>
      </c>
      <c r="G260" s="21">
        <v>1.375</v>
      </c>
      <c r="H260" s="21">
        <v>0.875</v>
      </c>
      <c r="I260" s="22">
        <v>5.5</v>
      </c>
      <c r="J260" s="21">
        <v>2.75</v>
      </c>
      <c r="K260" s="313">
        <f t="shared" si="20"/>
        <v>7.09375</v>
      </c>
      <c r="L260" s="314">
        <f t="shared" si="16"/>
        <v>2.1621750032865061</v>
      </c>
      <c r="M260" s="272">
        <f t="shared" si="19"/>
        <v>133.93476398310841</v>
      </c>
      <c r="N260" s="1">
        <v>90</v>
      </c>
    </row>
    <row r="261" spans="2:14" x14ac:dyDescent="0.15">
      <c r="B261" s="311"/>
      <c r="C261" s="315"/>
      <c r="D261" s="315"/>
      <c r="E261" s="315"/>
      <c r="F261" s="315"/>
      <c r="G261" s="315"/>
      <c r="H261" s="315"/>
      <c r="I261" s="315"/>
      <c r="J261" s="315"/>
      <c r="K261" s="316"/>
      <c r="L261" s="317"/>
      <c r="M261" s="312"/>
      <c r="N261" s="1"/>
    </row>
    <row r="262" spans="2:14" x14ac:dyDescent="0.15">
      <c r="B262" s="18" t="s">
        <v>965</v>
      </c>
      <c r="C262" s="156">
        <v>14.25</v>
      </c>
      <c r="D262" s="131">
        <v>0.5</v>
      </c>
      <c r="E262" s="156">
        <v>10.125</v>
      </c>
      <c r="F262" s="131">
        <v>0.875</v>
      </c>
      <c r="G262" s="131">
        <v>1.625</v>
      </c>
      <c r="H262" s="131">
        <v>1</v>
      </c>
      <c r="I262" s="156">
        <v>5.5</v>
      </c>
      <c r="J262" s="131">
        <v>2.75</v>
      </c>
      <c r="K262" s="119">
        <f t="shared" si="20"/>
        <v>5.666666666666667</v>
      </c>
      <c r="L262" s="274">
        <f t="shared" si="16"/>
        <v>1.7272000026253445</v>
      </c>
      <c r="M262" s="272">
        <f t="shared" si="19"/>
        <v>122.02945162905432</v>
      </c>
      <c r="N262" s="1">
        <v>82</v>
      </c>
    </row>
    <row r="263" spans="2:14" x14ac:dyDescent="0.15">
      <c r="B263" s="127" t="s">
        <v>966</v>
      </c>
      <c r="C263" s="130">
        <v>14.125</v>
      </c>
      <c r="D263" s="129">
        <v>0.4375</v>
      </c>
      <c r="E263" s="130">
        <v>10.125</v>
      </c>
      <c r="F263" s="129">
        <v>0.8125</v>
      </c>
      <c r="G263" s="129">
        <v>1.5625</v>
      </c>
      <c r="H263" s="129">
        <v>0.9375</v>
      </c>
      <c r="I263" s="130">
        <v>5.5</v>
      </c>
      <c r="J263" s="129">
        <v>2.75</v>
      </c>
      <c r="K263" s="119">
        <f t="shared" si="20"/>
        <v>5.65625</v>
      </c>
      <c r="L263" s="272">
        <f t="shared" si="16"/>
        <v>1.7240250026205179</v>
      </c>
      <c r="M263" s="272">
        <f t="shared" si="19"/>
        <v>110.12413927500025</v>
      </c>
      <c r="N263" s="1">
        <v>74</v>
      </c>
    </row>
    <row r="264" spans="2:14" x14ac:dyDescent="0.15">
      <c r="B264" s="18" t="s">
        <v>967</v>
      </c>
      <c r="C264" s="20">
        <v>14</v>
      </c>
      <c r="D264" s="19">
        <v>0.4375</v>
      </c>
      <c r="E264" s="20">
        <v>10</v>
      </c>
      <c r="F264" s="19">
        <v>0.75</v>
      </c>
      <c r="G264" s="19">
        <v>1.5</v>
      </c>
      <c r="H264" s="19">
        <v>0.9375</v>
      </c>
      <c r="I264" s="20">
        <v>5.5</v>
      </c>
      <c r="J264" s="19">
        <v>2.75</v>
      </c>
      <c r="K264" s="119">
        <f t="shared" si="20"/>
        <v>5.59375</v>
      </c>
      <c r="L264" s="272">
        <f t="shared" si="16"/>
        <v>1.7049750025915622</v>
      </c>
      <c r="M264" s="272">
        <f t="shared" si="19"/>
        <v>101.1951550094597</v>
      </c>
      <c r="N264" s="1">
        <v>68</v>
      </c>
    </row>
    <row r="265" spans="2:14" x14ac:dyDescent="0.15">
      <c r="B265" s="18" t="s">
        <v>968</v>
      </c>
      <c r="C265" s="22">
        <v>13.875</v>
      </c>
      <c r="D265" s="21">
        <v>0.375</v>
      </c>
      <c r="E265" s="22">
        <v>10</v>
      </c>
      <c r="F265" s="21">
        <v>0.625</v>
      </c>
      <c r="G265" s="21">
        <v>1.4375</v>
      </c>
      <c r="H265" s="21">
        <v>0.9375</v>
      </c>
      <c r="I265" s="22">
        <v>5.5</v>
      </c>
      <c r="J265" s="21">
        <v>2.75</v>
      </c>
      <c r="K265" s="313">
        <f t="shared" si="20"/>
        <v>5.583333333333333</v>
      </c>
      <c r="L265" s="314">
        <f t="shared" si="16"/>
        <v>1.7018000025867361</v>
      </c>
      <c r="M265" s="272">
        <f t="shared" si="19"/>
        <v>90.77800669966237</v>
      </c>
      <c r="N265" s="1">
        <v>61</v>
      </c>
    </row>
    <row r="266" spans="2:14" x14ac:dyDescent="0.15">
      <c r="B266" s="311"/>
      <c r="C266" s="315"/>
      <c r="D266" s="315"/>
      <c r="E266" s="315"/>
      <c r="F266" s="315"/>
      <c r="G266" s="315"/>
      <c r="H266" s="315"/>
      <c r="I266" s="315"/>
      <c r="J266" s="315"/>
      <c r="K266" s="316"/>
      <c r="L266" s="317"/>
      <c r="M266" s="312"/>
      <c r="N266" s="1"/>
    </row>
    <row r="267" spans="2:14" x14ac:dyDescent="0.15">
      <c r="B267" s="18" t="s">
        <v>969</v>
      </c>
      <c r="C267" s="156">
        <v>13.875</v>
      </c>
      <c r="D267" s="131">
        <v>0.375</v>
      </c>
      <c r="E267" s="156">
        <v>8</v>
      </c>
      <c r="F267" s="131">
        <v>0.6875</v>
      </c>
      <c r="G267" s="131">
        <v>1.4375</v>
      </c>
      <c r="H267" s="131">
        <v>0.9375</v>
      </c>
      <c r="I267" s="156">
        <v>5.5</v>
      </c>
      <c r="J267" s="131">
        <v>2.75</v>
      </c>
      <c r="K267" s="119">
        <f t="shared" si="20"/>
        <v>4.916666666666667</v>
      </c>
      <c r="L267" s="274">
        <f t="shared" si="16"/>
        <v>1.498600002277872</v>
      </c>
      <c r="M267" s="272">
        <f t="shared" si="19"/>
        <v>78.872694345608281</v>
      </c>
      <c r="N267" s="1">
        <v>53</v>
      </c>
    </row>
    <row r="268" spans="2:14" x14ac:dyDescent="0.15">
      <c r="B268" s="127" t="s">
        <v>970</v>
      </c>
      <c r="C268" s="130">
        <v>13.75</v>
      </c>
      <c r="D268" s="129">
        <v>0.3125</v>
      </c>
      <c r="E268" s="130">
        <v>8</v>
      </c>
      <c r="F268" s="129">
        <v>0.625</v>
      </c>
      <c r="G268" s="129">
        <v>1.375</v>
      </c>
      <c r="H268" s="129">
        <v>0.875</v>
      </c>
      <c r="I268" s="130">
        <v>5.5</v>
      </c>
      <c r="J268" s="129">
        <v>2.5</v>
      </c>
      <c r="K268" s="119">
        <f t="shared" si="20"/>
        <v>4.90625</v>
      </c>
      <c r="L268" s="272">
        <f t="shared" si="16"/>
        <v>1.4954250022730462</v>
      </c>
      <c r="M268" s="272">
        <f t="shared" si="19"/>
        <v>71.43187412432448</v>
      </c>
      <c r="N268" s="1">
        <v>48</v>
      </c>
    </row>
    <row r="269" spans="2:14" x14ac:dyDescent="0.15">
      <c r="B269" s="18" t="s">
        <v>971</v>
      </c>
      <c r="C269" s="22">
        <v>13.625</v>
      </c>
      <c r="D269" s="21">
        <v>0.3125</v>
      </c>
      <c r="E269" s="22">
        <v>8</v>
      </c>
      <c r="F269" s="21">
        <v>0.5</v>
      </c>
      <c r="G269" s="21">
        <v>1.3125</v>
      </c>
      <c r="H269" s="21">
        <v>0.875</v>
      </c>
      <c r="I269" s="22">
        <v>5.5</v>
      </c>
      <c r="J269" s="21">
        <v>2.5</v>
      </c>
      <c r="K269" s="313">
        <f t="shared" si="20"/>
        <v>4.885416666666667</v>
      </c>
      <c r="L269" s="314">
        <f t="shared" si="16"/>
        <v>1.4890750022633943</v>
      </c>
      <c r="M269" s="272">
        <f t="shared" si="19"/>
        <v>63.99105390304068</v>
      </c>
      <c r="N269" s="1">
        <v>43</v>
      </c>
    </row>
    <row r="270" spans="2:14" x14ac:dyDescent="0.15">
      <c r="B270" s="307"/>
      <c r="C270" s="315"/>
      <c r="D270" s="315"/>
      <c r="E270" s="315"/>
      <c r="F270" s="315"/>
      <c r="G270" s="315"/>
      <c r="H270" s="315"/>
      <c r="I270" s="315"/>
      <c r="J270" s="315"/>
      <c r="K270" s="316"/>
      <c r="L270" s="317"/>
      <c r="M270" s="312"/>
      <c r="N270" s="1"/>
    </row>
    <row r="271" spans="2:14" x14ac:dyDescent="0.15">
      <c r="B271" s="127" t="s">
        <v>972</v>
      </c>
      <c r="C271" s="130">
        <v>14.125</v>
      </c>
      <c r="D271" s="129">
        <v>0.3125</v>
      </c>
      <c r="E271" s="130">
        <v>6.75</v>
      </c>
      <c r="F271" s="129">
        <v>0.5</v>
      </c>
      <c r="G271" s="129">
        <v>1.0625</v>
      </c>
      <c r="H271" s="129">
        <v>0.625</v>
      </c>
      <c r="I271" s="130">
        <v>3.5</v>
      </c>
      <c r="J271" s="129">
        <v>2.5</v>
      </c>
      <c r="K271" s="119">
        <f t="shared" si="20"/>
        <v>4.552083333333333</v>
      </c>
      <c r="L271" s="274">
        <f t="shared" si="16"/>
        <v>1.3874750021089621</v>
      </c>
      <c r="M271" s="272">
        <f t="shared" si="19"/>
        <v>56.550233681756879</v>
      </c>
      <c r="N271" s="1">
        <v>38</v>
      </c>
    </row>
    <row r="272" spans="2:14" x14ac:dyDescent="0.15">
      <c r="B272" s="18" t="s">
        <v>973</v>
      </c>
      <c r="C272" s="20">
        <v>14</v>
      </c>
      <c r="D272" s="19">
        <v>0.3125</v>
      </c>
      <c r="E272" s="20">
        <v>6.75</v>
      </c>
      <c r="F272" s="19">
        <v>0.4375</v>
      </c>
      <c r="G272" s="19">
        <v>1</v>
      </c>
      <c r="H272" s="19">
        <v>0.625</v>
      </c>
      <c r="I272" s="20">
        <v>3.5</v>
      </c>
      <c r="J272" s="19">
        <v>2.5</v>
      </c>
      <c r="K272" s="119">
        <f t="shared" si="20"/>
        <v>4.53125</v>
      </c>
      <c r="L272" s="272">
        <f t="shared" si="16"/>
        <v>1.3811250020993102</v>
      </c>
      <c r="M272" s="272">
        <f t="shared" si="19"/>
        <v>50.597577504729848</v>
      </c>
      <c r="N272" s="1">
        <v>34</v>
      </c>
    </row>
    <row r="273" spans="2:14" x14ac:dyDescent="0.15">
      <c r="B273" s="18" t="s">
        <v>974</v>
      </c>
      <c r="C273" s="22">
        <v>13.875</v>
      </c>
      <c r="D273" s="21">
        <v>0.25</v>
      </c>
      <c r="E273" s="22">
        <v>6.75</v>
      </c>
      <c r="F273" s="21">
        <v>0.375</v>
      </c>
      <c r="G273" s="22">
        <v>0.9375</v>
      </c>
      <c r="H273" s="22">
        <v>0.625</v>
      </c>
      <c r="I273" s="22">
        <v>3.5</v>
      </c>
      <c r="J273" s="21">
        <v>2.5</v>
      </c>
      <c r="K273" s="313">
        <f t="shared" si="20"/>
        <v>4.520833333333333</v>
      </c>
      <c r="L273" s="314">
        <f t="shared" si="16"/>
        <v>1.3779500020944841</v>
      </c>
      <c r="M273" s="272">
        <f t="shared" si="19"/>
        <v>44.644921327702797</v>
      </c>
      <c r="N273" s="1">
        <v>30</v>
      </c>
    </row>
    <row r="274" spans="2:14" x14ac:dyDescent="0.15">
      <c r="B274" s="311"/>
      <c r="C274" s="315"/>
      <c r="D274" s="315"/>
      <c r="E274" s="315"/>
      <c r="F274" s="315"/>
      <c r="G274" s="315"/>
      <c r="H274" s="315"/>
      <c r="I274" s="315"/>
      <c r="J274" s="315"/>
      <c r="K274" s="316"/>
      <c r="L274" s="317"/>
      <c r="M274" s="312"/>
      <c r="N274" s="1"/>
    </row>
    <row r="275" spans="2:14" x14ac:dyDescent="0.15">
      <c r="B275" s="18" t="s">
        <v>975</v>
      </c>
      <c r="C275" s="156">
        <v>13.875</v>
      </c>
      <c r="D275" s="131">
        <v>0.25</v>
      </c>
      <c r="E275" s="156">
        <v>5</v>
      </c>
      <c r="F275" s="131">
        <v>0.4375</v>
      </c>
      <c r="G275" s="156">
        <v>0.9375</v>
      </c>
      <c r="H275" s="156">
        <v>0.5625</v>
      </c>
      <c r="I275" s="156">
        <v>2.75</v>
      </c>
      <c r="J275" s="131">
        <v>2.5</v>
      </c>
      <c r="K275" s="119">
        <f t="shared" si="20"/>
        <v>3.9375</v>
      </c>
      <c r="L275" s="274">
        <f t="shared" si="16"/>
        <v>1.2001500018242282</v>
      </c>
      <c r="M275" s="272">
        <f t="shared" si="19"/>
        <v>38.692265150675766</v>
      </c>
      <c r="N275" s="1">
        <v>26</v>
      </c>
    </row>
    <row r="276" spans="2:14" x14ac:dyDescent="0.15">
      <c r="B276" s="127" t="s">
        <v>976</v>
      </c>
      <c r="C276" s="130">
        <v>13.75</v>
      </c>
      <c r="D276" s="129">
        <v>0.25</v>
      </c>
      <c r="E276" s="130">
        <v>5</v>
      </c>
      <c r="F276" s="129">
        <v>0.3125</v>
      </c>
      <c r="G276" s="130">
        <v>0.875</v>
      </c>
      <c r="H276" s="130">
        <v>0.5625</v>
      </c>
      <c r="I276" s="130">
        <v>2.75</v>
      </c>
      <c r="J276" s="129">
        <v>2.25</v>
      </c>
      <c r="K276" s="313">
        <f t="shared" si="20"/>
        <v>3.9166666666666665</v>
      </c>
      <c r="L276" s="314">
        <f t="shared" si="16"/>
        <v>1.193800001814576</v>
      </c>
      <c r="M276" s="272">
        <f t="shared" si="19"/>
        <v>32.739608973648721</v>
      </c>
      <c r="N276" s="1">
        <v>22</v>
      </c>
    </row>
    <row r="277" spans="2:14" x14ac:dyDescent="0.15">
      <c r="B277" s="307" t="s">
        <v>850</v>
      </c>
      <c r="C277" s="315" t="s">
        <v>850</v>
      </c>
      <c r="D277" s="315" t="s">
        <v>850</v>
      </c>
      <c r="E277" s="315" t="s">
        <v>850</v>
      </c>
      <c r="F277" s="315" t="s">
        <v>850</v>
      </c>
      <c r="G277" s="315"/>
      <c r="H277" s="315"/>
      <c r="I277" s="315" t="s">
        <v>850</v>
      </c>
      <c r="J277" s="315" t="s">
        <v>850</v>
      </c>
      <c r="K277" s="316"/>
      <c r="L277" s="317"/>
      <c r="M277" s="312"/>
      <c r="N277" s="1"/>
    </row>
    <row r="278" spans="2:14" x14ac:dyDescent="0.15">
      <c r="B278" s="127" t="s">
        <v>977</v>
      </c>
      <c r="C278" s="130">
        <v>16.875</v>
      </c>
      <c r="D278" s="129">
        <v>1.75</v>
      </c>
      <c r="E278" s="130">
        <v>13.375</v>
      </c>
      <c r="F278" s="129">
        <v>2.9375</v>
      </c>
      <c r="G278" s="130">
        <v>3.6875</v>
      </c>
      <c r="H278" s="130">
        <v>1.5</v>
      </c>
      <c r="I278" s="130" t="s">
        <v>959</v>
      </c>
      <c r="J278" s="129" t="s">
        <v>959</v>
      </c>
      <c r="K278" s="119">
        <f t="shared" ref="K278:K310" si="21">((C278-(F278*2))*2+(E278*4)+(F278*4)-(D278*2))*12/144</f>
        <v>6.979166666666667</v>
      </c>
      <c r="L278" s="274">
        <f t="shared" si="16"/>
        <v>2.1272500032334203</v>
      </c>
      <c r="M278" s="272">
        <f t="shared" si="19"/>
        <v>500.02311887027139</v>
      </c>
      <c r="N278" s="1">
        <v>336</v>
      </c>
    </row>
    <row r="279" spans="2:14" x14ac:dyDescent="0.15">
      <c r="B279" s="18" t="s">
        <v>978</v>
      </c>
      <c r="C279" s="20">
        <v>16.375</v>
      </c>
      <c r="D279" s="19">
        <v>1.625</v>
      </c>
      <c r="E279" s="20">
        <v>13.25</v>
      </c>
      <c r="F279" s="19">
        <v>2.6875</v>
      </c>
      <c r="G279" s="20">
        <v>3.4375</v>
      </c>
      <c r="H279" s="20">
        <v>1.4375</v>
      </c>
      <c r="I279" s="20" t="s">
        <v>959</v>
      </c>
      <c r="J279" s="19" t="s">
        <v>959</v>
      </c>
      <c r="K279" s="119">
        <f t="shared" si="21"/>
        <v>6.875</v>
      </c>
      <c r="L279" s="272">
        <f t="shared" si="16"/>
        <v>2.0955000031851605</v>
      </c>
      <c r="M279" s="272">
        <f t="shared" si="19"/>
        <v>453.89003349831182</v>
      </c>
      <c r="N279" s="1">
        <v>305</v>
      </c>
    </row>
    <row r="280" spans="2:14" x14ac:dyDescent="0.15">
      <c r="B280" s="127" t="s">
        <v>979</v>
      </c>
      <c r="C280" s="130">
        <v>15.875</v>
      </c>
      <c r="D280" s="129">
        <v>1.5</v>
      </c>
      <c r="E280" s="130">
        <v>13.125</v>
      </c>
      <c r="F280" s="129">
        <v>2.5</v>
      </c>
      <c r="G280" s="130">
        <v>3.1875</v>
      </c>
      <c r="H280" s="130">
        <v>1.375</v>
      </c>
      <c r="I280" s="130" t="s">
        <v>959</v>
      </c>
      <c r="J280" s="129" t="s">
        <v>959</v>
      </c>
      <c r="K280" s="119">
        <f t="shared" si="21"/>
        <v>6.770833333333333</v>
      </c>
      <c r="L280" s="272">
        <f t="shared" si="16"/>
        <v>2.0637500031369003</v>
      </c>
      <c r="M280" s="272">
        <f t="shared" si="19"/>
        <v>415.1977683476361</v>
      </c>
      <c r="N280" s="1">
        <v>279</v>
      </c>
    </row>
    <row r="281" spans="2:14" x14ac:dyDescent="0.15">
      <c r="B281" s="18" t="s">
        <v>980</v>
      </c>
      <c r="C281" s="20">
        <v>15.375</v>
      </c>
      <c r="D281" s="19">
        <v>1.375</v>
      </c>
      <c r="E281" s="20">
        <v>13</v>
      </c>
      <c r="F281" s="19">
        <v>2.25</v>
      </c>
      <c r="G281" s="20">
        <v>2.9375</v>
      </c>
      <c r="H281" s="20">
        <v>1.3125</v>
      </c>
      <c r="I281" s="20" t="s">
        <v>959</v>
      </c>
      <c r="J281" s="19" t="s">
        <v>959</v>
      </c>
      <c r="K281" s="119">
        <f t="shared" si="21"/>
        <v>6.666666666666667</v>
      </c>
      <c r="L281" s="272">
        <f t="shared" si="16"/>
        <v>2.0320000030886405</v>
      </c>
      <c r="M281" s="272">
        <f t="shared" si="19"/>
        <v>375.01733915270358</v>
      </c>
      <c r="N281" s="1">
        <v>252</v>
      </c>
    </row>
    <row r="282" spans="2:14" x14ac:dyDescent="0.15">
      <c r="B282" s="127" t="s">
        <v>981</v>
      </c>
      <c r="C282" s="130">
        <v>15</v>
      </c>
      <c r="D282" s="129">
        <v>1.3125</v>
      </c>
      <c r="E282" s="130">
        <v>12.875</v>
      </c>
      <c r="F282" s="129">
        <v>2.0625</v>
      </c>
      <c r="G282" s="130">
        <v>2.75</v>
      </c>
      <c r="H282" s="130">
        <v>1.25</v>
      </c>
      <c r="I282" s="130" t="s">
        <v>959</v>
      </c>
      <c r="J282" s="129" t="s">
        <v>959</v>
      </c>
      <c r="K282" s="119">
        <f t="shared" si="21"/>
        <v>6.572916666666667</v>
      </c>
      <c r="L282" s="272">
        <f t="shared" si="16"/>
        <v>2.0034250030452063</v>
      </c>
      <c r="M282" s="272">
        <f t="shared" si="19"/>
        <v>342.27773017905486</v>
      </c>
      <c r="N282" s="1">
        <v>230</v>
      </c>
    </row>
    <row r="283" spans="2:14" x14ac:dyDescent="0.15">
      <c r="B283" s="18" t="s">
        <v>982</v>
      </c>
      <c r="C283" s="20">
        <v>14.75</v>
      </c>
      <c r="D283" s="19">
        <v>1.1875</v>
      </c>
      <c r="E283" s="20">
        <v>12.75</v>
      </c>
      <c r="F283" s="19">
        <v>1.875</v>
      </c>
      <c r="G283" s="20">
        <v>2.625</v>
      </c>
      <c r="H283" s="20">
        <v>1.25</v>
      </c>
      <c r="I283" s="20" t="s">
        <v>959</v>
      </c>
      <c r="J283" s="19" t="s">
        <v>959</v>
      </c>
      <c r="K283" s="119">
        <f t="shared" si="21"/>
        <v>6.510416666666667</v>
      </c>
      <c r="L283" s="272">
        <f t="shared" ref="L283:L345" si="22">K283*3.2808399*0.09290304</f>
        <v>1.9843750030162504</v>
      </c>
      <c r="M283" s="272">
        <f t="shared" si="19"/>
        <v>312.51444929391965</v>
      </c>
      <c r="N283" s="1">
        <v>210</v>
      </c>
    </row>
    <row r="284" spans="2:14" x14ac:dyDescent="0.15">
      <c r="B284" s="127" t="s">
        <v>983</v>
      </c>
      <c r="C284" s="130">
        <v>14.375</v>
      </c>
      <c r="D284" s="129">
        <v>1.0625</v>
      </c>
      <c r="E284" s="130">
        <v>12.625</v>
      </c>
      <c r="F284" s="129">
        <v>1.75</v>
      </c>
      <c r="G284" s="130">
        <v>2.4375</v>
      </c>
      <c r="H284" s="130">
        <v>1.1875</v>
      </c>
      <c r="I284" s="130" t="s">
        <v>959</v>
      </c>
      <c r="J284" s="129" t="s">
        <v>959</v>
      </c>
      <c r="K284" s="119">
        <f t="shared" si="21"/>
        <v>6.427083333333333</v>
      </c>
      <c r="L284" s="272">
        <f t="shared" si="22"/>
        <v>1.958975002977642</v>
      </c>
      <c r="M284" s="272">
        <f t="shared" si="19"/>
        <v>282.75116840878445</v>
      </c>
      <c r="N284" s="1">
        <v>190</v>
      </c>
    </row>
    <row r="285" spans="2:14" x14ac:dyDescent="0.15">
      <c r="B285" s="18" t="s">
        <v>984</v>
      </c>
      <c r="C285" s="20">
        <v>14</v>
      </c>
      <c r="D285" s="19">
        <v>0.9375</v>
      </c>
      <c r="E285" s="20">
        <v>12.625</v>
      </c>
      <c r="F285" s="19">
        <v>1.5625</v>
      </c>
      <c r="G285" s="20">
        <v>2.25</v>
      </c>
      <c r="H285" s="20">
        <v>1.125</v>
      </c>
      <c r="I285" s="20" t="s">
        <v>959</v>
      </c>
      <c r="J285" s="19" t="s">
        <v>959</v>
      </c>
      <c r="K285" s="119">
        <f t="shared" si="21"/>
        <v>6.385416666666667</v>
      </c>
      <c r="L285" s="272">
        <f t="shared" si="22"/>
        <v>1.9462750029583382</v>
      </c>
      <c r="M285" s="272">
        <f t="shared" si="19"/>
        <v>252.98788752364922</v>
      </c>
      <c r="N285" s="1">
        <v>170</v>
      </c>
    </row>
    <row r="286" spans="2:14" x14ac:dyDescent="0.15">
      <c r="B286" s="127" t="s">
        <v>985</v>
      </c>
      <c r="C286" s="130">
        <v>13.75</v>
      </c>
      <c r="D286" s="129">
        <v>0.875</v>
      </c>
      <c r="E286" s="130">
        <v>12.5</v>
      </c>
      <c r="F286" s="129">
        <v>1.375</v>
      </c>
      <c r="G286" s="130">
        <v>2.125</v>
      </c>
      <c r="H286" s="130">
        <v>1.0625</v>
      </c>
      <c r="I286" s="130" t="s">
        <v>959</v>
      </c>
      <c r="J286" s="129" t="s">
        <v>959</v>
      </c>
      <c r="K286" s="119">
        <f t="shared" si="21"/>
        <v>6.3125</v>
      </c>
      <c r="L286" s="272">
        <f t="shared" si="22"/>
        <v>1.9240500029245562</v>
      </c>
      <c r="M286" s="272">
        <f t="shared" si="19"/>
        <v>226.20093472702752</v>
      </c>
      <c r="N286" s="1">
        <v>152</v>
      </c>
    </row>
    <row r="287" spans="2:14" x14ac:dyDescent="0.15">
      <c r="B287" s="18" t="s">
        <v>986</v>
      </c>
      <c r="C287" s="20">
        <v>13.375</v>
      </c>
      <c r="D287" s="19">
        <v>0.8125</v>
      </c>
      <c r="E287" s="20">
        <v>12.375</v>
      </c>
      <c r="F287" s="19">
        <v>1.25</v>
      </c>
      <c r="G287" s="20">
        <v>1.9375</v>
      </c>
      <c r="H287" s="20">
        <v>1</v>
      </c>
      <c r="I287" s="20" t="s">
        <v>959</v>
      </c>
      <c r="J287" s="19" t="s">
        <v>959</v>
      </c>
      <c r="K287" s="119">
        <f t="shared" si="21"/>
        <v>6.21875</v>
      </c>
      <c r="L287" s="272">
        <f t="shared" si="22"/>
        <v>1.8954750028811223</v>
      </c>
      <c r="M287" s="272">
        <f t="shared" si="19"/>
        <v>202.39031001891939</v>
      </c>
      <c r="N287" s="1">
        <v>136</v>
      </c>
    </row>
    <row r="288" spans="2:14" x14ac:dyDescent="0.15">
      <c r="B288" s="127" t="s">
        <v>987</v>
      </c>
      <c r="C288" s="130">
        <v>13.125</v>
      </c>
      <c r="D288" s="129">
        <v>0.6875</v>
      </c>
      <c r="E288" s="130">
        <v>12.375</v>
      </c>
      <c r="F288" s="129">
        <v>1.125</v>
      </c>
      <c r="G288" s="130">
        <v>1.8125</v>
      </c>
      <c r="H288" s="130">
        <v>1</v>
      </c>
      <c r="I288" s="130">
        <v>5.5</v>
      </c>
      <c r="J288" s="129">
        <v>3</v>
      </c>
      <c r="K288" s="119">
        <f t="shared" si="21"/>
        <v>6.197916666666667</v>
      </c>
      <c r="L288" s="272">
        <f t="shared" si="22"/>
        <v>1.8891250028714703</v>
      </c>
      <c r="M288" s="272">
        <f t="shared" si="19"/>
        <v>178.57968531081119</v>
      </c>
      <c r="N288" s="1">
        <v>120</v>
      </c>
    </row>
    <row r="289" spans="2:14" x14ac:dyDescent="0.15">
      <c r="B289" s="18" t="s">
        <v>988</v>
      </c>
      <c r="C289" s="20">
        <v>12.875</v>
      </c>
      <c r="D289" s="19">
        <v>0.625</v>
      </c>
      <c r="E289" s="20">
        <v>12.25</v>
      </c>
      <c r="F289" s="19">
        <v>1</v>
      </c>
      <c r="G289" s="20">
        <v>1.6875</v>
      </c>
      <c r="H289" s="20">
        <v>0.9375</v>
      </c>
      <c r="I289" s="20">
        <v>5.5</v>
      </c>
      <c r="J289" s="19">
        <v>3</v>
      </c>
      <c r="K289" s="119">
        <f t="shared" si="21"/>
        <v>6.125</v>
      </c>
      <c r="L289" s="272">
        <f t="shared" si="22"/>
        <v>1.8669000028376881</v>
      </c>
      <c r="M289" s="272">
        <f t="shared" si="19"/>
        <v>157.74538869121656</v>
      </c>
      <c r="N289" s="1">
        <v>106</v>
      </c>
    </row>
    <row r="290" spans="2:14" x14ac:dyDescent="0.15">
      <c r="B290" s="127" t="s">
        <v>989</v>
      </c>
      <c r="C290" s="130">
        <v>12.75</v>
      </c>
      <c r="D290" s="129">
        <v>0.5625</v>
      </c>
      <c r="E290" s="130">
        <v>12.125</v>
      </c>
      <c r="F290" s="129">
        <v>0.875</v>
      </c>
      <c r="G290" s="130">
        <v>1.625</v>
      </c>
      <c r="H290" s="130">
        <v>0.875</v>
      </c>
      <c r="I290" s="130">
        <v>5.5</v>
      </c>
      <c r="J290" s="129">
        <v>3</v>
      </c>
      <c r="K290" s="119">
        <f t="shared" si="21"/>
        <v>6.072916666666667</v>
      </c>
      <c r="L290" s="272">
        <f t="shared" si="22"/>
        <v>1.8510250028135582</v>
      </c>
      <c r="M290" s="272">
        <f t="shared" si="19"/>
        <v>142.86374824864896</v>
      </c>
      <c r="N290" s="1">
        <v>96</v>
      </c>
    </row>
    <row r="291" spans="2:14" x14ac:dyDescent="0.15">
      <c r="B291" s="18" t="s">
        <v>990</v>
      </c>
      <c r="C291" s="20">
        <v>12.5</v>
      </c>
      <c r="D291" s="19">
        <v>0.5</v>
      </c>
      <c r="E291" s="20">
        <v>12.125</v>
      </c>
      <c r="F291" s="19">
        <v>0.8125</v>
      </c>
      <c r="G291" s="20">
        <v>1.5</v>
      </c>
      <c r="H291" s="20">
        <v>0.875</v>
      </c>
      <c r="I291" s="20">
        <v>5.5</v>
      </c>
      <c r="J291" s="19">
        <v>2.75</v>
      </c>
      <c r="K291" s="119">
        <f t="shared" si="21"/>
        <v>6.041666666666667</v>
      </c>
      <c r="L291" s="272">
        <f t="shared" si="22"/>
        <v>1.8415000027990804</v>
      </c>
      <c r="M291" s="272">
        <f t="shared" si="19"/>
        <v>129.47027185033812</v>
      </c>
      <c r="N291" s="1">
        <v>87</v>
      </c>
    </row>
    <row r="292" spans="2:14" x14ac:dyDescent="0.15">
      <c r="B292" s="127" t="s">
        <v>991</v>
      </c>
      <c r="C292" s="130">
        <v>12.375</v>
      </c>
      <c r="D292" s="129">
        <v>0.5</v>
      </c>
      <c r="E292" s="130">
        <v>12.125</v>
      </c>
      <c r="F292" s="129">
        <v>0.75</v>
      </c>
      <c r="G292" s="130">
        <v>1.4375</v>
      </c>
      <c r="H292" s="130">
        <v>0.875</v>
      </c>
      <c r="I292" s="130">
        <v>5.5</v>
      </c>
      <c r="J292" s="129">
        <v>2.75</v>
      </c>
      <c r="K292" s="119">
        <f t="shared" si="21"/>
        <v>6.020833333333333</v>
      </c>
      <c r="L292" s="272">
        <f t="shared" si="22"/>
        <v>1.8351500027894279</v>
      </c>
      <c r="M292" s="272">
        <f t="shared" si="19"/>
        <v>117.56495949628405</v>
      </c>
      <c r="N292" s="1">
        <v>79</v>
      </c>
    </row>
    <row r="293" spans="2:14" x14ac:dyDescent="0.15">
      <c r="B293" s="18" t="s">
        <v>992</v>
      </c>
      <c r="C293" s="20">
        <v>12.25</v>
      </c>
      <c r="D293" s="19">
        <v>0.4375</v>
      </c>
      <c r="E293" s="20">
        <v>12</v>
      </c>
      <c r="F293" s="19">
        <v>0.6875</v>
      </c>
      <c r="G293" s="20">
        <v>1.375</v>
      </c>
      <c r="H293" s="20">
        <v>0.875</v>
      </c>
      <c r="I293" s="20">
        <v>5.5</v>
      </c>
      <c r="J293" s="19">
        <v>2.75</v>
      </c>
      <c r="K293" s="119">
        <f t="shared" si="21"/>
        <v>5.96875</v>
      </c>
      <c r="L293" s="272">
        <f t="shared" si="22"/>
        <v>1.819275002765298</v>
      </c>
      <c r="M293" s="272">
        <f t="shared" si="19"/>
        <v>107.14781118648672</v>
      </c>
      <c r="N293" s="1">
        <v>72</v>
      </c>
    </row>
    <row r="294" spans="2:14" x14ac:dyDescent="0.15">
      <c r="B294" s="18" t="s">
        <v>993</v>
      </c>
      <c r="C294" s="22">
        <v>12.125</v>
      </c>
      <c r="D294" s="21">
        <v>0.375</v>
      </c>
      <c r="E294" s="22">
        <v>12</v>
      </c>
      <c r="F294" s="21">
        <v>0.625</v>
      </c>
      <c r="G294" s="22">
        <v>1.3125</v>
      </c>
      <c r="H294" s="22">
        <v>0.8125</v>
      </c>
      <c r="I294" s="22">
        <v>5.5</v>
      </c>
      <c r="J294" s="21">
        <v>2.5</v>
      </c>
      <c r="K294" s="313">
        <f t="shared" si="21"/>
        <v>5.958333333333333</v>
      </c>
      <c r="L294" s="314">
        <f t="shared" si="22"/>
        <v>1.8161000027604721</v>
      </c>
      <c r="M294" s="272">
        <f t="shared" si="19"/>
        <v>96.730662876689408</v>
      </c>
      <c r="N294" s="1">
        <v>65</v>
      </c>
    </row>
    <row r="295" spans="2:14" x14ac:dyDescent="0.15">
      <c r="B295" s="311"/>
      <c r="C295" s="315"/>
      <c r="D295" s="315"/>
      <c r="E295" s="315"/>
      <c r="F295" s="315"/>
      <c r="G295" s="315"/>
      <c r="H295" s="315"/>
      <c r="I295" s="315"/>
      <c r="J295" s="315"/>
      <c r="K295" s="316"/>
      <c r="L295" s="317"/>
      <c r="M295" s="312"/>
      <c r="N295" s="1"/>
    </row>
    <row r="296" spans="2:14" x14ac:dyDescent="0.15">
      <c r="B296" s="18" t="s">
        <v>994</v>
      </c>
      <c r="C296" s="156">
        <v>12.25</v>
      </c>
      <c r="D296" s="131">
        <v>0.375</v>
      </c>
      <c r="E296" s="156">
        <v>10</v>
      </c>
      <c r="F296" s="131">
        <v>0.625</v>
      </c>
      <c r="G296" s="156">
        <v>1.375</v>
      </c>
      <c r="H296" s="156">
        <v>0.8125</v>
      </c>
      <c r="I296" s="156">
        <v>5.5</v>
      </c>
      <c r="J296" s="131">
        <v>2.75</v>
      </c>
      <c r="K296" s="119">
        <f t="shared" si="21"/>
        <v>5.3125</v>
      </c>
      <c r="L296" s="274">
        <f t="shared" si="22"/>
        <v>1.6192500024612602</v>
      </c>
      <c r="M296" s="272">
        <f t="shared" si="19"/>
        <v>86.313514566892081</v>
      </c>
      <c r="N296" s="1">
        <v>58</v>
      </c>
    </row>
    <row r="297" spans="2:14" x14ac:dyDescent="0.15">
      <c r="B297" s="18" t="s">
        <v>995</v>
      </c>
      <c r="C297" s="22">
        <v>12</v>
      </c>
      <c r="D297" s="21">
        <v>0.375</v>
      </c>
      <c r="E297" s="22">
        <v>10</v>
      </c>
      <c r="F297" s="21">
        <v>0.5625</v>
      </c>
      <c r="G297" s="22">
        <v>1.25</v>
      </c>
      <c r="H297" s="22">
        <v>0.8125</v>
      </c>
      <c r="I297" s="22">
        <v>5.5</v>
      </c>
      <c r="J297" s="21">
        <v>2.5</v>
      </c>
      <c r="K297" s="313">
        <f t="shared" si="21"/>
        <v>5.270833333333333</v>
      </c>
      <c r="L297" s="314">
        <f t="shared" si="22"/>
        <v>1.6065500024419561</v>
      </c>
      <c r="M297" s="272">
        <f t="shared" si="19"/>
        <v>78.872694345608281</v>
      </c>
      <c r="N297" s="1">
        <v>53</v>
      </c>
    </row>
    <row r="298" spans="2:14" x14ac:dyDescent="0.15">
      <c r="B298" s="311"/>
      <c r="C298" s="315"/>
      <c r="D298" s="315"/>
      <c r="E298" s="315"/>
      <c r="F298" s="315"/>
      <c r="G298" s="315"/>
      <c r="H298" s="315"/>
      <c r="I298" s="315"/>
      <c r="J298" s="315"/>
      <c r="K298" s="316"/>
      <c r="L298" s="317"/>
      <c r="M298" s="312"/>
      <c r="N298" s="1"/>
    </row>
    <row r="299" spans="2:14" x14ac:dyDescent="0.15">
      <c r="B299" s="18" t="s">
        <v>996</v>
      </c>
      <c r="C299" s="156">
        <v>12.25</v>
      </c>
      <c r="D299" s="131">
        <v>0.375</v>
      </c>
      <c r="E299" s="156">
        <v>8.125</v>
      </c>
      <c r="F299" s="131">
        <v>0.625</v>
      </c>
      <c r="G299" s="156">
        <v>1.375</v>
      </c>
      <c r="H299" s="156">
        <v>0.8125</v>
      </c>
      <c r="I299" s="156">
        <v>5.5</v>
      </c>
      <c r="J299" s="131">
        <v>2.75</v>
      </c>
      <c r="K299" s="119">
        <f t="shared" si="21"/>
        <v>4.6875</v>
      </c>
      <c r="L299" s="274">
        <f t="shared" si="22"/>
        <v>1.4287500021717001</v>
      </c>
      <c r="M299" s="272">
        <f t="shared" si="19"/>
        <v>74.408202212838006</v>
      </c>
      <c r="N299" s="1">
        <v>50</v>
      </c>
    </row>
    <row r="300" spans="2:14" x14ac:dyDescent="0.15">
      <c r="B300" s="127" t="s">
        <v>997</v>
      </c>
      <c r="C300" s="130">
        <v>12</v>
      </c>
      <c r="D300" s="129">
        <v>0.3125</v>
      </c>
      <c r="E300" s="130">
        <v>8</v>
      </c>
      <c r="F300" s="129">
        <v>0.5625</v>
      </c>
      <c r="G300" s="130">
        <v>1.25</v>
      </c>
      <c r="H300" s="130">
        <v>0.8125</v>
      </c>
      <c r="I300" s="130">
        <v>5.5</v>
      </c>
      <c r="J300" s="129">
        <v>2.5</v>
      </c>
      <c r="K300" s="119">
        <f t="shared" si="21"/>
        <v>4.614583333333333</v>
      </c>
      <c r="L300" s="272">
        <f t="shared" si="22"/>
        <v>1.4065250021379181</v>
      </c>
      <c r="M300" s="272">
        <f t="shared" si="19"/>
        <v>66.967381991554205</v>
      </c>
      <c r="N300" s="1">
        <v>45</v>
      </c>
    </row>
    <row r="301" spans="2:14" x14ac:dyDescent="0.15">
      <c r="B301" s="18" t="s">
        <v>998</v>
      </c>
      <c r="C301" s="22">
        <v>12</v>
      </c>
      <c r="D301" s="21">
        <v>0.3125</v>
      </c>
      <c r="E301" s="22">
        <v>8</v>
      </c>
      <c r="F301" s="21">
        <v>0.5</v>
      </c>
      <c r="G301" s="22">
        <v>1.25</v>
      </c>
      <c r="H301" s="22">
        <v>0.75</v>
      </c>
      <c r="I301" s="22">
        <v>5.5</v>
      </c>
      <c r="J301" s="21">
        <v>2.5</v>
      </c>
      <c r="K301" s="313">
        <f t="shared" si="21"/>
        <v>4.614583333333333</v>
      </c>
      <c r="L301" s="314">
        <f t="shared" si="22"/>
        <v>1.4065250021379181</v>
      </c>
      <c r="M301" s="272">
        <f t="shared" si="19"/>
        <v>59.526561770270405</v>
      </c>
      <c r="N301" s="1">
        <v>40</v>
      </c>
    </row>
    <row r="302" spans="2:14" x14ac:dyDescent="0.15">
      <c r="B302" s="307"/>
      <c r="C302" s="315"/>
      <c r="D302" s="315"/>
      <c r="E302" s="315"/>
      <c r="F302" s="315"/>
      <c r="G302" s="315"/>
      <c r="H302" s="315"/>
      <c r="I302" s="315"/>
      <c r="J302" s="315"/>
      <c r="K302" s="316"/>
      <c r="L302" s="317"/>
      <c r="M302" s="312"/>
      <c r="N302" s="1"/>
    </row>
    <row r="303" spans="2:14" x14ac:dyDescent="0.15">
      <c r="B303" s="127" t="s">
        <v>999</v>
      </c>
      <c r="C303" s="130">
        <v>12.5</v>
      </c>
      <c r="D303" s="129">
        <v>0.3125</v>
      </c>
      <c r="E303" s="130">
        <v>6.5</v>
      </c>
      <c r="F303" s="129">
        <v>0.5</v>
      </c>
      <c r="G303" s="130">
        <v>1</v>
      </c>
      <c r="H303" s="130">
        <v>0.5625</v>
      </c>
      <c r="I303" s="130">
        <v>3.5</v>
      </c>
      <c r="J303" s="129">
        <v>2.5</v>
      </c>
      <c r="K303" s="119">
        <f t="shared" si="21"/>
        <v>4.197916666666667</v>
      </c>
      <c r="L303" s="274">
        <f t="shared" si="22"/>
        <v>1.2795250019448781</v>
      </c>
      <c r="M303" s="272">
        <f t="shared" si="19"/>
        <v>52.085741548986604</v>
      </c>
      <c r="N303" s="1">
        <v>35</v>
      </c>
    </row>
    <row r="304" spans="2:14" x14ac:dyDescent="0.15">
      <c r="B304" s="18" t="s">
        <v>1000</v>
      </c>
      <c r="C304" s="20">
        <v>12.375</v>
      </c>
      <c r="D304" s="19">
        <v>0.25</v>
      </c>
      <c r="E304" s="20">
        <v>6.5</v>
      </c>
      <c r="F304" s="19">
        <v>0.4375</v>
      </c>
      <c r="G304" s="20">
        <v>0.9375</v>
      </c>
      <c r="H304" s="20">
        <v>0.5</v>
      </c>
      <c r="I304" s="20">
        <v>3.5</v>
      </c>
      <c r="J304" s="19">
        <v>2.5</v>
      </c>
      <c r="K304" s="119">
        <f t="shared" si="21"/>
        <v>4.1875</v>
      </c>
      <c r="L304" s="272">
        <f t="shared" si="22"/>
        <v>1.2763500019400522</v>
      </c>
      <c r="M304" s="272">
        <f t="shared" si="19"/>
        <v>44.644921327702797</v>
      </c>
      <c r="N304" s="1">
        <v>30</v>
      </c>
    </row>
    <row r="305" spans="2:14" x14ac:dyDescent="0.15">
      <c r="B305" s="18" t="s">
        <v>1001</v>
      </c>
      <c r="C305" s="22">
        <v>12.25</v>
      </c>
      <c r="D305" s="21">
        <v>0.25</v>
      </c>
      <c r="E305" s="22">
        <v>6.5</v>
      </c>
      <c r="F305" s="21">
        <v>0.375</v>
      </c>
      <c r="G305" s="22">
        <v>0.875</v>
      </c>
      <c r="H305" s="22">
        <v>0.5</v>
      </c>
      <c r="I305" s="22">
        <v>3.5</v>
      </c>
      <c r="J305" s="21">
        <v>2.5</v>
      </c>
      <c r="K305" s="313">
        <f t="shared" si="21"/>
        <v>4.166666666666667</v>
      </c>
      <c r="L305" s="314">
        <f t="shared" si="22"/>
        <v>1.2700000019304003</v>
      </c>
      <c r="M305" s="272">
        <f t="shared" si="19"/>
        <v>38.692265150675766</v>
      </c>
      <c r="N305" s="1">
        <v>26</v>
      </c>
    </row>
    <row r="306" spans="2:14" x14ac:dyDescent="0.15">
      <c r="B306" s="311"/>
      <c r="C306" s="315"/>
      <c r="D306" s="315"/>
      <c r="E306" s="315"/>
      <c r="F306" s="315"/>
      <c r="G306" s="315"/>
      <c r="H306" s="315"/>
      <c r="I306" s="315"/>
      <c r="J306" s="315"/>
      <c r="K306" s="316"/>
      <c r="L306" s="317"/>
      <c r="M306" s="312"/>
      <c r="N306" s="1"/>
    </row>
    <row r="307" spans="2:14" x14ac:dyDescent="0.15">
      <c r="B307" s="18" t="s">
        <v>1002</v>
      </c>
      <c r="C307" s="156">
        <v>12.25</v>
      </c>
      <c r="D307" s="131">
        <v>0.25</v>
      </c>
      <c r="E307" s="156">
        <v>4</v>
      </c>
      <c r="F307" s="131">
        <v>0.4375</v>
      </c>
      <c r="G307" s="156">
        <v>0.875</v>
      </c>
      <c r="H307" s="156">
        <v>0.5</v>
      </c>
      <c r="I307" s="156">
        <v>2.25</v>
      </c>
      <c r="J307" s="131">
        <v>2.5</v>
      </c>
      <c r="K307" s="119">
        <f t="shared" si="21"/>
        <v>3.3333333333333335</v>
      </c>
      <c r="L307" s="274">
        <f t="shared" si="22"/>
        <v>1.0160000015443202</v>
      </c>
      <c r="M307" s="272">
        <f t="shared" si="19"/>
        <v>32.739608973648721</v>
      </c>
      <c r="N307" s="1">
        <v>22</v>
      </c>
    </row>
    <row r="308" spans="2:14" x14ac:dyDescent="0.15">
      <c r="B308" s="127" t="s">
        <v>1005</v>
      </c>
      <c r="C308" s="130">
        <v>12.125</v>
      </c>
      <c r="D308" s="129">
        <v>0.25</v>
      </c>
      <c r="E308" s="130">
        <v>4</v>
      </c>
      <c r="F308" s="129">
        <v>0.375</v>
      </c>
      <c r="G308" s="130">
        <v>0.8125</v>
      </c>
      <c r="H308" s="130">
        <v>0.5</v>
      </c>
      <c r="I308" s="130">
        <v>2.25</v>
      </c>
      <c r="J308" s="129">
        <v>2.25</v>
      </c>
      <c r="K308" s="119">
        <f t="shared" si="21"/>
        <v>3.3125</v>
      </c>
      <c r="L308" s="272">
        <f t="shared" si="22"/>
        <v>1.0096500015346681</v>
      </c>
      <c r="M308" s="272">
        <f t="shared" si="19"/>
        <v>28.275116840878439</v>
      </c>
      <c r="N308" s="1">
        <v>19</v>
      </c>
    </row>
    <row r="309" spans="2:14" x14ac:dyDescent="0.15">
      <c r="B309" s="18" t="s">
        <v>1003</v>
      </c>
      <c r="C309" s="20">
        <v>12</v>
      </c>
      <c r="D309" s="19">
        <v>0.25</v>
      </c>
      <c r="E309" s="20">
        <v>4</v>
      </c>
      <c r="F309" s="19">
        <v>0.25</v>
      </c>
      <c r="G309" s="20">
        <v>0.75</v>
      </c>
      <c r="H309" s="20">
        <v>0.5</v>
      </c>
      <c r="I309" s="20">
        <v>2.25</v>
      </c>
      <c r="J309" s="19">
        <v>2.25</v>
      </c>
      <c r="K309" s="119">
        <f t="shared" si="21"/>
        <v>3.2916666666666665</v>
      </c>
      <c r="L309" s="272">
        <f t="shared" si="22"/>
        <v>1.003300001525016</v>
      </c>
      <c r="M309" s="272">
        <f t="shared" si="19"/>
        <v>23.810624708108161</v>
      </c>
      <c r="N309" s="1">
        <v>16</v>
      </c>
    </row>
    <row r="310" spans="2:14" x14ac:dyDescent="0.15">
      <c r="B310" s="127" t="s">
        <v>1004</v>
      </c>
      <c r="C310" s="130">
        <v>11.875</v>
      </c>
      <c r="D310" s="129">
        <v>0.1875</v>
      </c>
      <c r="E310" s="130">
        <v>4</v>
      </c>
      <c r="F310" s="129">
        <v>0.25</v>
      </c>
      <c r="G310" s="130">
        <v>0.6875</v>
      </c>
      <c r="H310" s="130">
        <v>0.5</v>
      </c>
      <c r="I310" s="130">
        <v>2.25</v>
      </c>
      <c r="J310" s="129">
        <v>2.25</v>
      </c>
      <c r="K310" s="313">
        <f t="shared" si="21"/>
        <v>3.28125</v>
      </c>
      <c r="L310" s="314">
        <f t="shared" si="22"/>
        <v>1.0001250015201901</v>
      </c>
      <c r="M310" s="272">
        <f t="shared" si="19"/>
        <v>20.834296619594642</v>
      </c>
      <c r="N310" s="1">
        <v>14</v>
      </c>
    </row>
    <row r="311" spans="2:14" x14ac:dyDescent="0.15">
      <c r="B311" s="307" t="s">
        <v>850</v>
      </c>
      <c r="C311" s="315" t="s">
        <v>850</v>
      </c>
      <c r="D311" s="315" t="s">
        <v>850</v>
      </c>
      <c r="E311" s="315" t="s">
        <v>850</v>
      </c>
      <c r="F311" s="315" t="s">
        <v>850</v>
      </c>
      <c r="G311" s="315"/>
      <c r="H311" s="315"/>
      <c r="I311" s="315" t="s">
        <v>850</v>
      </c>
      <c r="J311" s="315" t="s">
        <v>850</v>
      </c>
      <c r="K311" s="316"/>
      <c r="L311" s="317"/>
      <c r="M311" s="312"/>
      <c r="N311" s="1"/>
    </row>
    <row r="312" spans="2:14" x14ac:dyDescent="0.15">
      <c r="B312" s="127" t="s">
        <v>1006</v>
      </c>
      <c r="C312" s="130">
        <v>11.375</v>
      </c>
      <c r="D312" s="129">
        <v>0.75</v>
      </c>
      <c r="E312" s="130">
        <v>10.375</v>
      </c>
      <c r="F312" s="129">
        <v>1.25</v>
      </c>
      <c r="G312" s="130">
        <v>1.875</v>
      </c>
      <c r="H312" s="130">
        <v>0.9375</v>
      </c>
      <c r="I312" s="130" t="s">
        <v>959</v>
      </c>
      <c r="J312" s="129" t="s">
        <v>959</v>
      </c>
      <c r="K312" s="119">
        <f t="shared" ref="K312:K332" si="23">((C312-(F312*2))*2+(E312*4)+(F312*4)-(D312*2))*12/144</f>
        <v>5.229166666666667</v>
      </c>
      <c r="L312" s="274">
        <f t="shared" si="22"/>
        <v>1.5938500024226521</v>
      </c>
      <c r="M312" s="272">
        <f t="shared" ref="M312:M362" si="24">N312*3.2808399*0.4535924</f>
        <v>166.67437295675714</v>
      </c>
      <c r="N312" s="1">
        <v>112</v>
      </c>
    </row>
    <row r="313" spans="2:14" x14ac:dyDescent="0.15">
      <c r="B313" s="18" t="s">
        <v>1007</v>
      </c>
      <c r="C313" s="20">
        <v>11.125</v>
      </c>
      <c r="D313" s="19">
        <v>0.6875</v>
      </c>
      <c r="E313" s="20">
        <v>10.375</v>
      </c>
      <c r="F313" s="19">
        <v>1.125</v>
      </c>
      <c r="G313" s="20">
        <v>1.75</v>
      </c>
      <c r="H313" s="20">
        <v>0.875</v>
      </c>
      <c r="I313" s="20" t="s">
        <v>959</v>
      </c>
      <c r="J313" s="19" t="s">
        <v>959</v>
      </c>
      <c r="K313" s="119">
        <f t="shared" si="23"/>
        <v>5.197916666666667</v>
      </c>
      <c r="L313" s="272">
        <f t="shared" si="22"/>
        <v>1.5843250024081743</v>
      </c>
      <c r="M313" s="272">
        <f t="shared" si="24"/>
        <v>148.81640442567601</v>
      </c>
      <c r="N313" s="1">
        <v>100</v>
      </c>
    </row>
    <row r="314" spans="2:14" x14ac:dyDescent="0.15">
      <c r="B314" s="127" t="s">
        <v>1008</v>
      </c>
      <c r="C314" s="130">
        <v>10.875</v>
      </c>
      <c r="D314" s="129">
        <v>0.625</v>
      </c>
      <c r="E314" s="130">
        <v>10.25</v>
      </c>
      <c r="F314" s="129">
        <v>1</v>
      </c>
      <c r="G314" s="130">
        <v>1.625</v>
      </c>
      <c r="H314" s="130">
        <v>0.8125</v>
      </c>
      <c r="I314" s="130">
        <v>5.5</v>
      </c>
      <c r="J314" s="129">
        <v>2.75</v>
      </c>
      <c r="K314" s="119">
        <f t="shared" si="23"/>
        <v>5.125</v>
      </c>
      <c r="L314" s="272">
        <f t="shared" si="22"/>
        <v>1.5621000023743921</v>
      </c>
      <c r="M314" s="272">
        <f t="shared" si="24"/>
        <v>130.95843589459488</v>
      </c>
      <c r="N314" s="1">
        <v>88</v>
      </c>
    </row>
    <row r="315" spans="2:14" x14ac:dyDescent="0.15">
      <c r="B315" s="18" t="s">
        <v>1009</v>
      </c>
      <c r="C315" s="20">
        <v>10.625</v>
      </c>
      <c r="D315" s="19">
        <v>0.5</v>
      </c>
      <c r="E315" s="20">
        <v>10.25</v>
      </c>
      <c r="F315" s="19">
        <v>0.875</v>
      </c>
      <c r="G315" s="20">
        <v>1.5</v>
      </c>
      <c r="H315" s="20">
        <v>0.8125</v>
      </c>
      <c r="I315" s="20">
        <v>5.5</v>
      </c>
      <c r="J315" s="19">
        <v>2.75</v>
      </c>
      <c r="K315" s="119">
        <f t="shared" si="23"/>
        <v>5.104166666666667</v>
      </c>
      <c r="L315" s="272">
        <f t="shared" si="22"/>
        <v>1.5557500023647404</v>
      </c>
      <c r="M315" s="272">
        <f t="shared" si="24"/>
        <v>114.58863140777054</v>
      </c>
      <c r="N315" s="1">
        <v>77</v>
      </c>
    </row>
    <row r="316" spans="2:14" x14ac:dyDescent="0.15">
      <c r="B316" s="127" t="s">
        <v>1010</v>
      </c>
      <c r="C316" s="130">
        <v>10.375</v>
      </c>
      <c r="D316" s="129">
        <v>0.5</v>
      </c>
      <c r="E316" s="130">
        <v>10.125</v>
      </c>
      <c r="F316" s="129">
        <v>0.75</v>
      </c>
      <c r="G316" s="130">
        <v>1.375</v>
      </c>
      <c r="H316" s="130">
        <v>0.75</v>
      </c>
      <c r="I316" s="130">
        <v>5.5</v>
      </c>
      <c r="J316" s="129">
        <v>2.75</v>
      </c>
      <c r="K316" s="119">
        <f t="shared" si="23"/>
        <v>5.020833333333333</v>
      </c>
      <c r="L316" s="272">
        <f t="shared" si="22"/>
        <v>1.5303500023261318</v>
      </c>
      <c r="M316" s="272">
        <f t="shared" si="24"/>
        <v>101.1951550094597</v>
      </c>
      <c r="N316" s="1">
        <v>68</v>
      </c>
    </row>
    <row r="317" spans="2:14" x14ac:dyDescent="0.15">
      <c r="B317" s="18" t="s">
        <v>1011</v>
      </c>
      <c r="C317" s="20">
        <v>10.25</v>
      </c>
      <c r="D317" s="19">
        <v>0.4375</v>
      </c>
      <c r="E317" s="20">
        <v>10.125</v>
      </c>
      <c r="F317" s="19">
        <v>0.6875</v>
      </c>
      <c r="G317" s="20">
        <v>1.3125</v>
      </c>
      <c r="H317" s="20">
        <v>0.75</v>
      </c>
      <c r="I317" s="20">
        <v>5.5</v>
      </c>
      <c r="J317" s="19">
        <v>2.5</v>
      </c>
      <c r="K317" s="119">
        <f t="shared" si="23"/>
        <v>5.010416666666667</v>
      </c>
      <c r="L317" s="272">
        <f t="shared" si="22"/>
        <v>1.5271750023213062</v>
      </c>
      <c r="M317" s="272">
        <f t="shared" si="24"/>
        <v>89.289842655405593</v>
      </c>
      <c r="N317" s="1">
        <v>60</v>
      </c>
    </row>
    <row r="318" spans="2:14" x14ac:dyDescent="0.15">
      <c r="B318" s="127" t="s">
        <v>1012</v>
      </c>
      <c r="C318" s="130">
        <v>10.125</v>
      </c>
      <c r="D318" s="129">
        <v>0.375</v>
      </c>
      <c r="E318" s="130">
        <v>10</v>
      </c>
      <c r="F318" s="129">
        <v>0.625</v>
      </c>
      <c r="G318" s="130">
        <v>1.25</v>
      </c>
      <c r="H318" s="130">
        <v>0.6875</v>
      </c>
      <c r="I318" s="130">
        <v>5.5</v>
      </c>
      <c r="J318" s="129">
        <v>2.5</v>
      </c>
      <c r="K318" s="119">
        <f t="shared" si="23"/>
        <v>4.958333333333333</v>
      </c>
      <c r="L318" s="272">
        <f t="shared" si="22"/>
        <v>1.5113000022971761</v>
      </c>
      <c r="M318" s="272">
        <f t="shared" si="24"/>
        <v>80.360858389865044</v>
      </c>
      <c r="N318" s="1">
        <v>54</v>
      </c>
    </row>
    <row r="319" spans="2:14" x14ac:dyDescent="0.15">
      <c r="B319" s="18" t="s">
        <v>1013</v>
      </c>
      <c r="C319" s="22">
        <v>10</v>
      </c>
      <c r="D319" s="21">
        <v>0.3125</v>
      </c>
      <c r="E319" s="22">
        <v>10</v>
      </c>
      <c r="F319" s="21">
        <v>0.5625</v>
      </c>
      <c r="G319" s="22">
        <v>1.1875</v>
      </c>
      <c r="H319" s="22">
        <v>0.6875</v>
      </c>
      <c r="I319" s="22">
        <v>5.5</v>
      </c>
      <c r="J319" s="21">
        <v>2.5</v>
      </c>
      <c r="K319" s="313">
        <f t="shared" si="23"/>
        <v>4.947916666666667</v>
      </c>
      <c r="L319" s="314">
        <f t="shared" si="22"/>
        <v>1.5081250022923502</v>
      </c>
      <c r="M319" s="272">
        <f t="shared" si="24"/>
        <v>72.920038168581243</v>
      </c>
      <c r="N319" s="1">
        <v>49</v>
      </c>
    </row>
    <row r="320" spans="2:14" x14ac:dyDescent="0.15">
      <c r="B320" s="307"/>
      <c r="C320" s="315"/>
      <c r="D320" s="315"/>
      <c r="E320" s="315"/>
      <c r="F320" s="315"/>
      <c r="G320" s="315"/>
      <c r="H320" s="315"/>
      <c r="I320" s="315"/>
      <c r="J320" s="315"/>
      <c r="K320" s="316"/>
      <c r="L320" s="317"/>
      <c r="M320" s="312"/>
      <c r="N320" s="1"/>
    </row>
    <row r="321" spans="2:14" x14ac:dyDescent="0.15">
      <c r="B321" s="127" t="s">
        <v>1014</v>
      </c>
      <c r="C321" s="130">
        <v>10.125</v>
      </c>
      <c r="D321" s="129">
        <v>0.375</v>
      </c>
      <c r="E321" s="130">
        <v>8</v>
      </c>
      <c r="F321" s="129">
        <v>0.625</v>
      </c>
      <c r="G321" s="130">
        <v>1.25</v>
      </c>
      <c r="H321" s="130">
        <v>0.6875</v>
      </c>
      <c r="I321" s="130">
        <v>5.5</v>
      </c>
      <c r="J321" s="129">
        <v>2.5</v>
      </c>
      <c r="K321" s="119">
        <f t="shared" si="23"/>
        <v>4.291666666666667</v>
      </c>
      <c r="L321" s="274">
        <f t="shared" si="22"/>
        <v>1.3081000019883122</v>
      </c>
      <c r="M321" s="272">
        <f t="shared" si="24"/>
        <v>66.967381991554205</v>
      </c>
      <c r="N321" s="1">
        <v>45</v>
      </c>
    </row>
    <row r="322" spans="2:14" x14ac:dyDescent="0.15">
      <c r="B322" s="18" t="s">
        <v>1015</v>
      </c>
      <c r="C322" s="20">
        <v>9.875</v>
      </c>
      <c r="D322" s="19">
        <v>0.3125</v>
      </c>
      <c r="E322" s="20">
        <v>8</v>
      </c>
      <c r="F322" s="19">
        <v>0.5</v>
      </c>
      <c r="G322" s="20">
        <v>1.125</v>
      </c>
      <c r="H322" s="20">
        <v>0.6875</v>
      </c>
      <c r="I322" s="20">
        <v>5.5</v>
      </c>
      <c r="J322" s="19">
        <v>2.5</v>
      </c>
      <c r="K322" s="119">
        <f t="shared" si="23"/>
        <v>4.260416666666667</v>
      </c>
      <c r="L322" s="272">
        <f t="shared" si="22"/>
        <v>1.2985750019738342</v>
      </c>
      <c r="M322" s="272">
        <f t="shared" si="24"/>
        <v>58.038397726013642</v>
      </c>
      <c r="N322" s="1">
        <v>39</v>
      </c>
    </row>
    <row r="323" spans="2:14" x14ac:dyDescent="0.15">
      <c r="B323" s="18" t="s">
        <v>1016</v>
      </c>
      <c r="C323" s="22">
        <v>9.75</v>
      </c>
      <c r="D323" s="21">
        <v>0.3125</v>
      </c>
      <c r="E323" s="22">
        <v>8</v>
      </c>
      <c r="F323" s="21">
        <v>0.4375</v>
      </c>
      <c r="G323" s="22">
        <v>1.0625</v>
      </c>
      <c r="H323" s="22">
        <v>0.6875</v>
      </c>
      <c r="I323" s="22">
        <v>5.5</v>
      </c>
      <c r="J323" s="21">
        <v>2.25</v>
      </c>
      <c r="K323" s="313">
        <f t="shared" si="23"/>
        <v>4.239583333333333</v>
      </c>
      <c r="L323" s="314">
        <f t="shared" si="22"/>
        <v>1.2922250019641821</v>
      </c>
      <c r="M323" s="272">
        <f t="shared" si="24"/>
        <v>49.109413460473085</v>
      </c>
      <c r="N323" s="1">
        <v>33</v>
      </c>
    </row>
    <row r="324" spans="2:14" x14ac:dyDescent="0.15">
      <c r="B324" s="311"/>
      <c r="C324" s="315"/>
      <c r="D324" s="315"/>
      <c r="E324" s="315"/>
      <c r="F324" s="315"/>
      <c r="G324" s="315"/>
      <c r="H324" s="315"/>
      <c r="I324" s="315"/>
      <c r="J324" s="315"/>
      <c r="K324" s="316"/>
      <c r="L324" s="317"/>
      <c r="M324" s="312"/>
      <c r="N324" s="1"/>
    </row>
    <row r="325" spans="2:14" x14ac:dyDescent="0.15">
      <c r="B325" s="18" t="s">
        <v>1017</v>
      </c>
      <c r="C325" s="156">
        <v>10.5</v>
      </c>
      <c r="D325" s="131">
        <v>0.3125</v>
      </c>
      <c r="E325" s="156">
        <v>5.75</v>
      </c>
      <c r="F325" s="131">
        <v>0.5</v>
      </c>
      <c r="G325" s="156">
        <v>0.9375</v>
      </c>
      <c r="H325" s="156">
        <v>0.5</v>
      </c>
      <c r="I325" s="156">
        <v>2.75</v>
      </c>
      <c r="J325" s="131">
        <v>2.5</v>
      </c>
      <c r="K325" s="119">
        <f t="shared" si="23"/>
        <v>3.6145833333333335</v>
      </c>
      <c r="L325" s="274">
        <f t="shared" si="22"/>
        <v>1.1017250016746221</v>
      </c>
      <c r="M325" s="272">
        <f t="shared" si="24"/>
        <v>44.644921327702797</v>
      </c>
      <c r="N325" s="1">
        <v>30</v>
      </c>
    </row>
    <row r="326" spans="2:14" x14ac:dyDescent="0.15">
      <c r="B326" s="127" t="s">
        <v>1018</v>
      </c>
      <c r="C326" s="130">
        <v>10.375</v>
      </c>
      <c r="D326" s="129">
        <v>0.25</v>
      </c>
      <c r="E326" s="130">
        <v>5.75</v>
      </c>
      <c r="F326" s="129">
        <v>0.4375</v>
      </c>
      <c r="G326" s="130">
        <v>0.875</v>
      </c>
      <c r="H326" s="130">
        <v>0.5</v>
      </c>
      <c r="I326" s="130">
        <v>2.75</v>
      </c>
      <c r="J326" s="129">
        <v>2.25</v>
      </c>
      <c r="K326" s="119">
        <f t="shared" si="23"/>
        <v>3.6041666666666665</v>
      </c>
      <c r="L326" s="272">
        <f t="shared" si="22"/>
        <v>1.098550001669796</v>
      </c>
      <c r="M326" s="272">
        <f t="shared" si="24"/>
        <v>38.692265150675766</v>
      </c>
      <c r="N326" s="1">
        <v>26</v>
      </c>
    </row>
    <row r="327" spans="2:14" x14ac:dyDescent="0.15">
      <c r="B327" s="18" t="s">
        <v>1019</v>
      </c>
      <c r="C327" s="22">
        <v>10.125</v>
      </c>
      <c r="D327" s="21">
        <v>0.25</v>
      </c>
      <c r="E327" s="22">
        <v>5.75</v>
      </c>
      <c r="F327" s="21">
        <v>0.375</v>
      </c>
      <c r="G327" s="22">
        <v>0.75</v>
      </c>
      <c r="H327" s="22">
        <v>0.5</v>
      </c>
      <c r="I327" s="22">
        <v>2.75</v>
      </c>
      <c r="J327" s="21">
        <v>2.25</v>
      </c>
      <c r="K327" s="313">
        <f t="shared" si="23"/>
        <v>3.5625</v>
      </c>
      <c r="L327" s="314">
        <f t="shared" si="22"/>
        <v>1.0858500016504919</v>
      </c>
      <c r="M327" s="272">
        <f t="shared" si="24"/>
        <v>32.739608973648721</v>
      </c>
      <c r="N327" s="1">
        <v>22</v>
      </c>
    </row>
    <row r="328" spans="2:14" x14ac:dyDescent="0.15">
      <c r="B328" s="307"/>
      <c r="C328" s="315"/>
      <c r="D328" s="315"/>
      <c r="E328" s="315"/>
      <c r="F328" s="315"/>
      <c r="G328" s="315"/>
      <c r="H328" s="315"/>
      <c r="I328" s="315"/>
      <c r="J328" s="315"/>
      <c r="K328" s="316"/>
      <c r="L328" s="317"/>
      <c r="M328" s="312"/>
      <c r="N328" s="1"/>
    </row>
    <row r="329" spans="2:14" x14ac:dyDescent="0.15">
      <c r="B329" s="127" t="s">
        <v>1020</v>
      </c>
      <c r="C329" s="130">
        <v>10.25</v>
      </c>
      <c r="D329" s="129">
        <v>0.25</v>
      </c>
      <c r="E329" s="130">
        <v>4</v>
      </c>
      <c r="F329" s="129">
        <v>0.375</v>
      </c>
      <c r="G329" s="130">
        <v>0.8125</v>
      </c>
      <c r="H329" s="130">
        <v>0.5</v>
      </c>
      <c r="I329" s="130">
        <v>2.25</v>
      </c>
      <c r="J329" s="129">
        <v>2.25</v>
      </c>
      <c r="K329" s="119">
        <f t="shared" si="23"/>
        <v>3</v>
      </c>
      <c r="L329" s="274">
        <f t="shared" si="22"/>
        <v>0.91440000138988808</v>
      </c>
      <c r="M329" s="272">
        <f t="shared" si="24"/>
        <v>28.275116840878439</v>
      </c>
      <c r="N329" s="1">
        <v>19</v>
      </c>
    </row>
    <row r="330" spans="2:14" x14ac:dyDescent="0.15">
      <c r="B330" s="18" t="s">
        <v>1021</v>
      </c>
      <c r="C330" s="20">
        <v>10.125</v>
      </c>
      <c r="D330" s="19">
        <v>0.25</v>
      </c>
      <c r="E330" s="20">
        <v>4</v>
      </c>
      <c r="F330" s="19">
        <v>0.3125</v>
      </c>
      <c r="G330" s="20">
        <v>0.75</v>
      </c>
      <c r="H330" s="20">
        <v>0.5</v>
      </c>
      <c r="I330" s="20">
        <v>2.25</v>
      </c>
      <c r="J330" s="19">
        <v>2.25</v>
      </c>
      <c r="K330" s="119">
        <f t="shared" si="23"/>
        <v>2.9791666666666665</v>
      </c>
      <c r="L330" s="272">
        <f t="shared" si="22"/>
        <v>0.90805000138023606</v>
      </c>
      <c r="M330" s="272">
        <f t="shared" si="24"/>
        <v>25.298788752364924</v>
      </c>
      <c r="N330" s="1">
        <v>17</v>
      </c>
    </row>
    <row r="331" spans="2:14" x14ac:dyDescent="0.15">
      <c r="B331" s="127" t="s">
        <v>1022</v>
      </c>
      <c r="C331" s="130">
        <v>10</v>
      </c>
      <c r="D331" s="129">
        <v>0.25</v>
      </c>
      <c r="E331" s="130">
        <v>4</v>
      </c>
      <c r="F331" s="129">
        <v>0.25</v>
      </c>
      <c r="G331" s="130">
        <v>0.6875</v>
      </c>
      <c r="H331" s="130">
        <v>0.4375</v>
      </c>
      <c r="I331" s="130">
        <v>2.25</v>
      </c>
      <c r="J331" s="129">
        <v>2.25</v>
      </c>
      <c r="K331" s="119">
        <f t="shared" si="23"/>
        <v>2.9583333333333335</v>
      </c>
      <c r="L331" s="272">
        <f t="shared" si="22"/>
        <v>0.90170000137058404</v>
      </c>
      <c r="M331" s="272">
        <f t="shared" si="24"/>
        <v>22.322460663851398</v>
      </c>
      <c r="N331" s="1">
        <v>15</v>
      </c>
    </row>
    <row r="332" spans="2:14" x14ac:dyDescent="0.15">
      <c r="B332" s="18" t="s">
        <v>1023</v>
      </c>
      <c r="C332" s="22">
        <v>9.875</v>
      </c>
      <c r="D332" s="21">
        <v>0.1875</v>
      </c>
      <c r="E332" s="22">
        <v>4</v>
      </c>
      <c r="F332" s="21">
        <v>0.1875</v>
      </c>
      <c r="G332" s="22">
        <v>0.625</v>
      </c>
      <c r="H332" s="22">
        <v>0.4375</v>
      </c>
      <c r="I332" s="22">
        <v>2.25</v>
      </c>
      <c r="J332" s="21">
        <v>2</v>
      </c>
      <c r="K332" s="313">
        <f t="shared" si="23"/>
        <v>2.9479166666666665</v>
      </c>
      <c r="L332" s="314">
        <f t="shared" si="22"/>
        <v>0.89852500136575808</v>
      </c>
      <c r="M332" s="272">
        <f t="shared" si="24"/>
        <v>17.85796853108112</v>
      </c>
      <c r="N332" s="1">
        <v>12</v>
      </c>
    </row>
    <row r="333" spans="2:14" x14ac:dyDescent="0.15">
      <c r="B333" s="311" t="s">
        <v>850</v>
      </c>
      <c r="C333" s="315" t="s">
        <v>850</v>
      </c>
      <c r="D333" s="315" t="s">
        <v>850</v>
      </c>
      <c r="E333" s="315" t="s">
        <v>850</v>
      </c>
      <c r="F333" s="315" t="s">
        <v>850</v>
      </c>
      <c r="G333" s="315"/>
      <c r="H333" s="315"/>
      <c r="I333" s="315" t="s">
        <v>850</v>
      </c>
      <c r="J333" s="315" t="s">
        <v>850</v>
      </c>
      <c r="K333" s="316"/>
      <c r="L333" s="317"/>
      <c r="M333" s="312"/>
      <c r="N333" s="1"/>
    </row>
    <row r="334" spans="2:14" x14ac:dyDescent="0.15">
      <c r="B334" s="18" t="s">
        <v>1024</v>
      </c>
      <c r="C334" s="156">
        <v>9</v>
      </c>
      <c r="D334" s="131">
        <v>0.5625</v>
      </c>
      <c r="E334" s="156">
        <v>8.25</v>
      </c>
      <c r="F334" s="131">
        <v>0.9375</v>
      </c>
      <c r="G334" s="156">
        <v>1.4375</v>
      </c>
      <c r="H334" s="156">
        <v>0.6875</v>
      </c>
      <c r="I334" s="156" t="s">
        <v>959</v>
      </c>
      <c r="J334" s="131" t="s">
        <v>959</v>
      </c>
      <c r="K334" s="119">
        <f t="shared" ref="K334:K349" si="25">((C334-(F334*2))*2+(E334*4)+(F334*4)-(D334*2))*12/144</f>
        <v>4.15625</v>
      </c>
      <c r="L334" s="274">
        <f t="shared" si="22"/>
        <v>1.2668250019255742</v>
      </c>
      <c r="M334" s="272">
        <f t="shared" si="24"/>
        <v>99.70699096520292</v>
      </c>
      <c r="N334" s="1">
        <v>67</v>
      </c>
    </row>
    <row r="335" spans="2:14" x14ac:dyDescent="0.15">
      <c r="B335" s="127" t="s">
        <v>1025</v>
      </c>
      <c r="C335" s="130">
        <v>8.75</v>
      </c>
      <c r="D335" s="129">
        <v>0.5</v>
      </c>
      <c r="E335" s="130">
        <v>8.25</v>
      </c>
      <c r="F335" s="129">
        <v>0.8125</v>
      </c>
      <c r="G335" s="130">
        <v>1.3125</v>
      </c>
      <c r="H335" s="130">
        <v>0.6875</v>
      </c>
      <c r="I335" s="130">
        <v>5.5</v>
      </c>
      <c r="J335" s="129">
        <v>2.75</v>
      </c>
      <c r="K335" s="119">
        <f t="shared" si="25"/>
        <v>4.125</v>
      </c>
      <c r="L335" s="272">
        <f t="shared" si="22"/>
        <v>1.2573000019110963</v>
      </c>
      <c r="M335" s="272">
        <f t="shared" si="24"/>
        <v>86.313514566892081</v>
      </c>
      <c r="N335" s="1">
        <v>58</v>
      </c>
    </row>
    <row r="336" spans="2:14" x14ac:dyDescent="0.15">
      <c r="B336" s="18" t="s">
        <v>1026</v>
      </c>
      <c r="C336" s="20">
        <v>8.5</v>
      </c>
      <c r="D336" s="19">
        <v>0.375</v>
      </c>
      <c r="E336" s="20">
        <v>8.125</v>
      </c>
      <c r="F336" s="19">
        <v>0.6875</v>
      </c>
      <c r="G336" s="20">
        <v>1.1875</v>
      </c>
      <c r="H336" s="20">
        <v>0.625</v>
      </c>
      <c r="I336" s="20">
        <v>5.5</v>
      </c>
      <c r="J336" s="19">
        <v>2.5</v>
      </c>
      <c r="K336" s="119">
        <f t="shared" si="25"/>
        <v>4.0625</v>
      </c>
      <c r="L336" s="272">
        <f t="shared" si="22"/>
        <v>1.2382500018821401</v>
      </c>
      <c r="M336" s="272">
        <f t="shared" si="24"/>
        <v>71.43187412432448</v>
      </c>
      <c r="N336" s="1">
        <v>48</v>
      </c>
    </row>
    <row r="337" spans="2:14" x14ac:dyDescent="0.15">
      <c r="B337" s="127" t="s">
        <v>1027</v>
      </c>
      <c r="C337" s="130">
        <v>8.25</v>
      </c>
      <c r="D337" s="129">
        <v>0.375</v>
      </c>
      <c r="E337" s="130">
        <v>8.125</v>
      </c>
      <c r="F337" s="129">
        <v>0.5625</v>
      </c>
      <c r="G337" s="130">
        <v>1.0625</v>
      </c>
      <c r="H337" s="130">
        <v>0.625</v>
      </c>
      <c r="I337" s="130">
        <v>5.5</v>
      </c>
      <c r="J337" s="129">
        <v>2.5</v>
      </c>
      <c r="K337" s="119">
        <f t="shared" si="25"/>
        <v>4.020833333333333</v>
      </c>
      <c r="L337" s="272">
        <f t="shared" si="22"/>
        <v>1.225550001862836</v>
      </c>
      <c r="M337" s="272">
        <f t="shared" si="24"/>
        <v>59.526561770270405</v>
      </c>
      <c r="N337" s="1">
        <v>40</v>
      </c>
    </row>
    <row r="338" spans="2:14" x14ac:dyDescent="0.15">
      <c r="B338" s="18" t="s">
        <v>1028</v>
      </c>
      <c r="C338" s="20">
        <v>8.125</v>
      </c>
      <c r="D338" s="19">
        <v>0.3125</v>
      </c>
      <c r="E338" s="20">
        <v>8</v>
      </c>
      <c r="F338" s="19">
        <v>0.5</v>
      </c>
      <c r="G338" s="20">
        <v>1</v>
      </c>
      <c r="H338" s="20">
        <v>0.5625</v>
      </c>
      <c r="I338" s="20">
        <v>5.5</v>
      </c>
      <c r="J338" s="19">
        <v>2.25</v>
      </c>
      <c r="K338" s="119">
        <f t="shared" si="25"/>
        <v>3.96875</v>
      </c>
      <c r="L338" s="272">
        <f t="shared" si="22"/>
        <v>1.2096750018387061</v>
      </c>
      <c r="M338" s="272">
        <f t="shared" si="24"/>
        <v>52.085741548986604</v>
      </c>
      <c r="N338" s="1">
        <v>35</v>
      </c>
    </row>
    <row r="339" spans="2:14" x14ac:dyDescent="0.15">
      <c r="B339" s="18" t="s">
        <v>1029</v>
      </c>
      <c r="C339" s="22">
        <v>8</v>
      </c>
      <c r="D339" s="21">
        <v>0.3125</v>
      </c>
      <c r="E339" s="22">
        <v>8</v>
      </c>
      <c r="F339" s="21">
        <v>0.4375</v>
      </c>
      <c r="G339" s="22">
        <v>0.9375</v>
      </c>
      <c r="H339" s="22">
        <v>0.5625</v>
      </c>
      <c r="I339" s="22">
        <v>5.5</v>
      </c>
      <c r="J339" s="21">
        <v>2.25</v>
      </c>
      <c r="K339" s="313">
        <f t="shared" si="25"/>
        <v>3.9479166666666665</v>
      </c>
      <c r="L339" s="314">
        <f t="shared" si="22"/>
        <v>1.203325001829054</v>
      </c>
      <c r="M339" s="272">
        <f t="shared" si="24"/>
        <v>46.133085371959559</v>
      </c>
      <c r="N339" s="1">
        <v>31</v>
      </c>
    </row>
    <row r="340" spans="2:14" x14ac:dyDescent="0.15">
      <c r="B340" s="311"/>
      <c r="C340" s="315"/>
      <c r="D340" s="315"/>
      <c r="E340" s="315"/>
      <c r="F340" s="315"/>
      <c r="G340" s="315"/>
      <c r="H340" s="315"/>
      <c r="I340" s="315"/>
      <c r="J340" s="315"/>
      <c r="K340" s="316"/>
      <c r="L340" s="317"/>
      <c r="M340" s="312"/>
      <c r="N340" s="1"/>
    </row>
    <row r="341" spans="2:14" x14ac:dyDescent="0.15">
      <c r="B341" s="18" t="s">
        <v>1030</v>
      </c>
      <c r="C341" s="156">
        <v>8</v>
      </c>
      <c r="D341" s="131">
        <v>0.3125</v>
      </c>
      <c r="E341" s="156">
        <v>6.5</v>
      </c>
      <c r="F341" s="131">
        <v>0.4375</v>
      </c>
      <c r="G341" s="156">
        <v>0.9375</v>
      </c>
      <c r="H341" s="156">
        <v>0.5625</v>
      </c>
      <c r="I341" s="156">
        <v>3.5</v>
      </c>
      <c r="J341" s="131">
        <v>2.25</v>
      </c>
      <c r="K341" s="119">
        <f t="shared" si="25"/>
        <v>3.4479166666666665</v>
      </c>
      <c r="L341" s="274">
        <f t="shared" si="22"/>
        <v>1.0509250015974061</v>
      </c>
      <c r="M341" s="272">
        <f t="shared" si="24"/>
        <v>41.668593239189285</v>
      </c>
      <c r="N341" s="1">
        <v>28</v>
      </c>
    </row>
    <row r="342" spans="2:14" x14ac:dyDescent="0.15">
      <c r="B342" s="18" t="s">
        <v>1031</v>
      </c>
      <c r="C342" s="22">
        <v>7.875</v>
      </c>
      <c r="D342" s="21">
        <v>0.25</v>
      </c>
      <c r="E342" s="22">
        <v>6.5</v>
      </c>
      <c r="F342" s="21">
        <v>0.375</v>
      </c>
      <c r="G342" s="22">
        <v>0.875</v>
      </c>
      <c r="H342" s="22">
        <v>0.5625</v>
      </c>
      <c r="I342" s="22">
        <v>3.5</v>
      </c>
      <c r="J342" s="21">
        <v>2.25</v>
      </c>
      <c r="K342" s="313">
        <f t="shared" si="25"/>
        <v>3.4375</v>
      </c>
      <c r="L342" s="314">
        <f t="shared" si="22"/>
        <v>1.0477500015925802</v>
      </c>
      <c r="M342" s="272">
        <f t="shared" si="24"/>
        <v>35.71593706216224</v>
      </c>
      <c r="N342" s="1">
        <v>24</v>
      </c>
    </row>
    <row r="343" spans="2:14" x14ac:dyDescent="0.15">
      <c r="B343" s="311"/>
      <c r="C343" s="315"/>
      <c r="D343" s="315"/>
      <c r="E343" s="315"/>
      <c r="F343" s="315"/>
      <c r="G343" s="315"/>
      <c r="H343" s="315"/>
      <c r="I343" s="315"/>
      <c r="J343" s="315"/>
      <c r="K343" s="316"/>
      <c r="L343" s="317"/>
      <c r="M343" s="312"/>
      <c r="N343" s="1"/>
    </row>
    <row r="344" spans="2:14" x14ac:dyDescent="0.15">
      <c r="B344" s="18" t="s">
        <v>1032</v>
      </c>
      <c r="C344" s="156">
        <v>8.25</v>
      </c>
      <c r="D344" s="131">
        <v>0.25</v>
      </c>
      <c r="E344" s="156">
        <v>5.25</v>
      </c>
      <c r="F344" s="131">
        <v>0.375</v>
      </c>
      <c r="G344" s="156">
        <v>0.8125</v>
      </c>
      <c r="H344" s="156">
        <v>0.5</v>
      </c>
      <c r="I344" s="156">
        <v>2.75</v>
      </c>
      <c r="J344" s="131">
        <v>2.25</v>
      </c>
      <c r="K344" s="119">
        <f t="shared" si="25"/>
        <v>3.0833333333333335</v>
      </c>
      <c r="L344" s="274">
        <f t="shared" si="22"/>
        <v>0.93980000142849618</v>
      </c>
      <c r="M344" s="272">
        <f t="shared" si="24"/>
        <v>31.251444929391962</v>
      </c>
      <c r="N344" s="1">
        <v>21</v>
      </c>
    </row>
    <row r="345" spans="2:14" x14ac:dyDescent="0.15">
      <c r="B345" s="18" t="s">
        <v>1033</v>
      </c>
      <c r="C345" s="22">
        <v>8.125</v>
      </c>
      <c r="D345" s="21">
        <v>0.25</v>
      </c>
      <c r="E345" s="22">
        <v>5.25</v>
      </c>
      <c r="F345" s="21">
        <v>0.3125</v>
      </c>
      <c r="G345" s="22">
        <v>0.75</v>
      </c>
      <c r="H345" s="22">
        <v>0.4375</v>
      </c>
      <c r="I345" s="22">
        <v>2.75</v>
      </c>
      <c r="J345" s="21">
        <v>2.25</v>
      </c>
      <c r="K345" s="313">
        <f t="shared" si="25"/>
        <v>3.0625</v>
      </c>
      <c r="L345" s="314">
        <f t="shared" si="22"/>
        <v>0.93345000141884404</v>
      </c>
      <c r="M345" s="272">
        <f t="shared" si="24"/>
        <v>26.78695279662168</v>
      </c>
      <c r="N345" s="1">
        <v>18</v>
      </c>
    </row>
    <row r="346" spans="2:14" x14ac:dyDescent="0.15">
      <c r="B346" s="311"/>
      <c r="C346" s="315"/>
      <c r="D346" s="315"/>
      <c r="E346" s="315"/>
      <c r="F346" s="315"/>
      <c r="G346" s="315"/>
      <c r="H346" s="315"/>
      <c r="I346" s="315"/>
      <c r="J346" s="315"/>
      <c r="K346" s="316"/>
      <c r="L346" s="317"/>
      <c r="M346" s="312"/>
      <c r="N346" s="1"/>
    </row>
    <row r="347" spans="2:14" x14ac:dyDescent="0.15">
      <c r="B347" s="18" t="s">
        <v>1034</v>
      </c>
      <c r="C347" s="156">
        <v>8.125</v>
      </c>
      <c r="D347" s="131">
        <v>0.25</v>
      </c>
      <c r="E347" s="156">
        <v>4</v>
      </c>
      <c r="F347" s="131">
        <v>0.3125</v>
      </c>
      <c r="G347" s="156">
        <v>0.75</v>
      </c>
      <c r="H347" s="156">
        <v>0.5</v>
      </c>
      <c r="I347" s="156">
        <v>2.25</v>
      </c>
      <c r="J347" s="131">
        <v>2.25</v>
      </c>
      <c r="K347" s="119">
        <f t="shared" si="25"/>
        <v>2.6458333333333335</v>
      </c>
      <c r="L347" s="274">
        <f t="shared" ref="L347:L362" si="26">K347*3.2808399*0.09290304</f>
        <v>0.80645000122580401</v>
      </c>
      <c r="M347" s="272">
        <f t="shared" si="24"/>
        <v>22.322460663851398</v>
      </c>
      <c r="N347" s="1">
        <v>15</v>
      </c>
    </row>
    <row r="348" spans="2:14" x14ac:dyDescent="0.15">
      <c r="B348" s="127" t="s">
        <v>1035</v>
      </c>
      <c r="C348" s="130">
        <v>8</v>
      </c>
      <c r="D348" s="129">
        <v>0.25</v>
      </c>
      <c r="E348" s="130">
        <v>4</v>
      </c>
      <c r="F348" s="129">
        <v>0.25</v>
      </c>
      <c r="G348" s="130">
        <v>0.6875</v>
      </c>
      <c r="H348" s="130">
        <v>0.4375</v>
      </c>
      <c r="I348" s="130">
        <v>2.25</v>
      </c>
      <c r="J348" s="129">
        <v>2.25</v>
      </c>
      <c r="K348" s="119">
        <f t="shared" si="25"/>
        <v>2.625</v>
      </c>
      <c r="L348" s="272">
        <f t="shared" si="26"/>
        <v>0.8001000012161521</v>
      </c>
      <c r="M348" s="272">
        <f t="shared" si="24"/>
        <v>19.346132575337883</v>
      </c>
      <c r="N348" s="1">
        <v>13</v>
      </c>
    </row>
    <row r="349" spans="2:14" x14ac:dyDescent="0.15">
      <c r="B349" s="18" t="s">
        <v>1036</v>
      </c>
      <c r="C349" s="22">
        <v>7.875</v>
      </c>
      <c r="D349" s="21">
        <v>0.1875</v>
      </c>
      <c r="E349" s="22">
        <v>4</v>
      </c>
      <c r="F349" s="21">
        <v>0.1875</v>
      </c>
      <c r="G349" s="22">
        <v>0.625</v>
      </c>
      <c r="H349" s="22">
        <v>0.4375</v>
      </c>
      <c r="I349" s="22">
        <v>2.25</v>
      </c>
      <c r="J349" s="21">
        <v>2</v>
      </c>
      <c r="K349" s="313">
        <f t="shared" si="25"/>
        <v>2.6145833333333335</v>
      </c>
      <c r="L349" s="314">
        <f t="shared" si="26"/>
        <v>0.79692500121132603</v>
      </c>
      <c r="M349" s="272">
        <f t="shared" si="24"/>
        <v>14.881640442567601</v>
      </c>
      <c r="N349" s="1">
        <v>10</v>
      </c>
    </row>
    <row r="350" spans="2:14" x14ac:dyDescent="0.15">
      <c r="B350" s="311"/>
      <c r="C350" s="315" t="s">
        <v>850</v>
      </c>
      <c r="D350" s="315" t="s">
        <v>850</v>
      </c>
      <c r="E350" s="315" t="s">
        <v>850</v>
      </c>
      <c r="F350" s="315" t="s">
        <v>850</v>
      </c>
      <c r="G350" s="315"/>
      <c r="H350" s="315"/>
      <c r="I350" s="315" t="s">
        <v>850</v>
      </c>
      <c r="J350" s="315" t="s">
        <v>850</v>
      </c>
      <c r="K350" s="316"/>
      <c r="L350" s="317"/>
      <c r="M350" s="312"/>
      <c r="N350" s="1"/>
    </row>
    <row r="351" spans="2:14" x14ac:dyDescent="0.15">
      <c r="B351" s="18" t="s">
        <v>1037</v>
      </c>
      <c r="C351" s="156">
        <v>6.375</v>
      </c>
      <c r="D351" s="131">
        <v>0.3125</v>
      </c>
      <c r="E351" s="156">
        <v>6.125</v>
      </c>
      <c r="F351" s="131">
        <v>0.4375</v>
      </c>
      <c r="G351" s="156">
        <v>0.8125</v>
      </c>
      <c r="H351" s="156">
        <v>0.4375</v>
      </c>
      <c r="I351" s="156">
        <v>3.5</v>
      </c>
      <c r="J351" s="131">
        <v>2.25</v>
      </c>
      <c r="K351" s="119">
        <f t="shared" ref="K351:K357" si="27">((C351-(F351*2))*2+(E351*4)+(F351*4)-(D351*2))*12/144</f>
        <v>3.0520833333333335</v>
      </c>
      <c r="L351" s="274">
        <f t="shared" si="26"/>
        <v>0.9302750014140182</v>
      </c>
      <c r="M351" s="272">
        <f t="shared" si="24"/>
        <v>37.204101106419003</v>
      </c>
      <c r="N351" s="1">
        <v>25</v>
      </c>
    </row>
    <row r="352" spans="2:14" x14ac:dyDescent="0.15">
      <c r="B352" s="127" t="s">
        <v>1038</v>
      </c>
      <c r="C352" s="130">
        <v>6.25</v>
      </c>
      <c r="D352" s="129">
        <v>0.25</v>
      </c>
      <c r="E352" s="130">
        <v>6</v>
      </c>
      <c r="F352" s="129">
        <v>0.375</v>
      </c>
      <c r="G352" s="130">
        <v>0.75</v>
      </c>
      <c r="H352" s="130">
        <v>0.4375</v>
      </c>
      <c r="I352" s="130">
        <v>3.5</v>
      </c>
      <c r="J352" s="129">
        <v>2.25</v>
      </c>
      <c r="K352" s="119">
        <f t="shared" si="27"/>
        <v>3</v>
      </c>
      <c r="L352" s="272">
        <f t="shared" si="26"/>
        <v>0.91440000138988808</v>
      </c>
      <c r="M352" s="272">
        <f t="shared" si="24"/>
        <v>29.763280885135202</v>
      </c>
      <c r="N352" s="1">
        <v>20</v>
      </c>
    </row>
    <row r="353" spans="2:14" x14ac:dyDescent="0.15">
      <c r="B353" s="18" t="s">
        <v>1039</v>
      </c>
      <c r="C353" s="22">
        <v>6</v>
      </c>
      <c r="D353" s="21">
        <v>0.25</v>
      </c>
      <c r="E353" s="22">
        <v>6</v>
      </c>
      <c r="F353" s="21">
        <v>0.25</v>
      </c>
      <c r="G353" s="22">
        <v>0.625</v>
      </c>
      <c r="H353" s="22">
        <v>0.375</v>
      </c>
      <c r="I353" s="22">
        <v>3.5</v>
      </c>
      <c r="J353" s="21">
        <v>2.25</v>
      </c>
      <c r="K353" s="313">
        <f t="shared" si="27"/>
        <v>2.9583333333333335</v>
      </c>
      <c r="L353" s="314">
        <f t="shared" si="26"/>
        <v>0.90170000137058404</v>
      </c>
      <c r="M353" s="272">
        <f t="shared" si="24"/>
        <v>22.322460663851398</v>
      </c>
      <c r="N353" s="1">
        <v>15</v>
      </c>
    </row>
    <row r="354" spans="2:14" x14ac:dyDescent="0.15">
      <c r="B354" s="307"/>
      <c r="C354" s="315"/>
      <c r="D354" s="315"/>
      <c r="E354" s="315"/>
      <c r="F354" s="315"/>
      <c r="G354" s="315"/>
      <c r="H354" s="315"/>
      <c r="I354" s="315"/>
      <c r="J354" s="315"/>
      <c r="K354" s="316"/>
      <c r="L354" s="317"/>
      <c r="M354" s="312"/>
      <c r="N354" s="1"/>
    </row>
    <row r="355" spans="2:14" x14ac:dyDescent="0.15">
      <c r="B355" s="127" t="s">
        <v>1040</v>
      </c>
      <c r="C355" s="130">
        <v>6.25</v>
      </c>
      <c r="D355" s="129">
        <v>0.25</v>
      </c>
      <c r="E355" s="130">
        <v>4</v>
      </c>
      <c r="F355" s="129">
        <v>0.375</v>
      </c>
      <c r="G355" s="130">
        <v>0.75</v>
      </c>
      <c r="H355" s="130">
        <v>0.4375</v>
      </c>
      <c r="I355" s="130">
        <v>2.25</v>
      </c>
      <c r="J355" s="129">
        <v>2.25</v>
      </c>
      <c r="K355" s="119">
        <f t="shared" si="27"/>
        <v>2.3333333333333335</v>
      </c>
      <c r="L355" s="274">
        <f t="shared" si="26"/>
        <v>0.7112000010810241</v>
      </c>
      <c r="M355" s="272">
        <f t="shared" si="24"/>
        <v>23.810624708108161</v>
      </c>
      <c r="N355" s="1">
        <v>16</v>
      </c>
    </row>
    <row r="356" spans="2:14" x14ac:dyDescent="0.15">
      <c r="B356" s="18" t="s">
        <v>1041</v>
      </c>
      <c r="C356" s="20">
        <v>6</v>
      </c>
      <c r="D356" s="19">
        <v>0.25</v>
      </c>
      <c r="E356" s="20">
        <v>4</v>
      </c>
      <c r="F356" s="19">
        <v>0.25</v>
      </c>
      <c r="G356" s="20">
        <v>0.625</v>
      </c>
      <c r="H356" s="20">
        <v>0.375</v>
      </c>
      <c r="I356" s="20">
        <v>2.25</v>
      </c>
      <c r="J356" s="19">
        <v>2.25</v>
      </c>
      <c r="K356" s="119">
        <f t="shared" si="27"/>
        <v>2.2916666666666665</v>
      </c>
      <c r="L356" s="272">
        <f t="shared" si="26"/>
        <v>0.69850000106172005</v>
      </c>
      <c r="M356" s="272">
        <f t="shared" si="24"/>
        <v>17.85796853108112</v>
      </c>
      <c r="N356" s="1">
        <v>12</v>
      </c>
    </row>
    <row r="357" spans="2:14" x14ac:dyDescent="0.15">
      <c r="B357" s="127" t="s">
        <v>1042</v>
      </c>
      <c r="C357" s="130">
        <v>5.875</v>
      </c>
      <c r="D357" s="129">
        <v>0.1875</v>
      </c>
      <c r="E357" s="130">
        <v>4</v>
      </c>
      <c r="F357" s="129">
        <v>0.1875</v>
      </c>
      <c r="G357" s="130">
        <v>0.5625</v>
      </c>
      <c r="H357" s="130">
        <v>0.375</v>
      </c>
      <c r="I357" s="130">
        <v>2.25</v>
      </c>
      <c r="J357" s="129">
        <v>2</v>
      </c>
      <c r="K357" s="313">
        <f t="shared" si="27"/>
        <v>2.28125</v>
      </c>
      <c r="L357" s="314">
        <f t="shared" si="26"/>
        <v>0.6953250010568941</v>
      </c>
      <c r="M357" s="272">
        <f t="shared" si="24"/>
        <v>13.39347639831084</v>
      </c>
      <c r="N357" s="1">
        <v>9</v>
      </c>
    </row>
    <row r="358" spans="2:14" x14ac:dyDescent="0.15">
      <c r="B358" s="307" t="s">
        <v>850</v>
      </c>
      <c r="C358" s="315" t="s">
        <v>850</v>
      </c>
      <c r="D358" s="315" t="s">
        <v>850</v>
      </c>
      <c r="E358" s="315" t="s">
        <v>850</v>
      </c>
      <c r="F358" s="315" t="s">
        <v>850</v>
      </c>
      <c r="G358" s="315"/>
      <c r="H358" s="315"/>
      <c r="I358" s="315" t="s">
        <v>850</v>
      </c>
      <c r="J358" s="315" t="s">
        <v>850</v>
      </c>
      <c r="K358" s="316"/>
      <c r="L358" s="317"/>
      <c r="M358" s="312"/>
      <c r="N358" s="1"/>
    </row>
    <row r="359" spans="2:14" x14ac:dyDescent="0.15">
      <c r="B359" s="127" t="s">
        <v>1043</v>
      </c>
      <c r="C359" s="130">
        <v>5.125</v>
      </c>
      <c r="D359" s="129">
        <v>0.25</v>
      </c>
      <c r="E359" s="130">
        <v>5</v>
      </c>
      <c r="F359" s="129">
        <v>0.4375</v>
      </c>
      <c r="G359" s="130">
        <v>0.8125</v>
      </c>
      <c r="H359" s="130">
        <v>0.4375</v>
      </c>
      <c r="I359" s="130">
        <v>2.75</v>
      </c>
      <c r="J359" s="129">
        <v>2.25</v>
      </c>
      <c r="K359" s="119">
        <f>((C359-(F359*2))*2+(E359*4)+(F359*4)-(D359*2))*12/144</f>
        <v>2.4791666666666665</v>
      </c>
      <c r="L359" s="274">
        <f t="shared" si="26"/>
        <v>0.75565000114858805</v>
      </c>
      <c r="M359" s="272">
        <f t="shared" si="24"/>
        <v>28.275116840878439</v>
      </c>
      <c r="N359" s="1">
        <v>19</v>
      </c>
    </row>
    <row r="360" spans="2:14" x14ac:dyDescent="0.15">
      <c r="B360" s="18" t="s">
        <v>1044</v>
      </c>
      <c r="C360" s="22">
        <v>5</v>
      </c>
      <c r="D360" s="21">
        <v>0.25</v>
      </c>
      <c r="E360" s="22">
        <v>5</v>
      </c>
      <c r="F360" s="21">
        <v>0.375</v>
      </c>
      <c r="G360" s="22">
        <v>0.75</v>
      </c>
      <c r="H360" s="22">
        <v>0.4375</v>
      </c>
      <c r="I360" s="22">
        <v>2.75</v>
      </c>
      <c r="J360" s="21">
        <v>2.25</v>
      </c>
      <c r="K360" s="313">
        <f>((C360-(F360*2))*2+(E360*4)+(F360*4)-(D360*2))*12/144</f>
        <v>2.4583333333333335</v>
      </c>
      <c r="L360" s="314">
        <f t="shared" si="26"/>
        <v>0.74930000113893602</v>
      </c>
      <c r="M360" s="272">
        <f t="shared" si="24"/>
        <v>23.810624708108161</v>
      </c>
      <c r="N360" s="1">
        <v>16</v>
      </c>
    </row>
    <row r="361" spans="2:14" x14ac:dyDescent="0.15">
      <c r="B361" s="311" t="s">
        <v>850</v>
      </c>
      <c r="C361" s="315" t="s">
        <v>850</v>
      </c>
      <c r="D361" s="315" t="s">
        <v>850</v>
      </c>
      <c r="E361" s="315" t="s">
        <v>850</v>
      </c>
      <c r="F361" s="315" t="s">
        <v>850</v>
      </c>
      <c r="G361" s="315"/>
      <c r="H361" s="315"/>
      <c r="I361" s="315" t="s">
        <v>850</v>
      </c>
      <c r="J361" s="315" t="s">
        <v>850</v>
      </c>
      <c r="K361" s="316"/>
      <c r="L361" s="317"/>
      <c r="M361" s="312"/>
      <c r="N361" s="1"/>
    </row>
    <row r="362" spans="2:14" x14ac:dyDescent="0.15">
      <c r="B362" s="18" t="s">
        <v>1045</v>
      </c>
      <c r="C362" s="156">
        <v>4.125</v>
      </c>
      <c r="D362" s="131">
        <v>0.25</v>
      </c>
      <c r="E362" s="156">
        <v>4</v>
      </c>
      <c r="F362" s="131">
        <v>0.375</v>
      </c>
      <c r="G362" s="156">
        <v>0.6875</v>
      </c>
      <c r="H362" s="156">
        <v>0.4375</v>
      </c>
      <c r="I362" s="156">
        <v>2.25</v>
      </c>
      <c r="J362" s="131">
        <v>2</v>
      </c>
      <c r="K362" s="119">
        <f>((C362-(F362*2))*2+(E362*4)+(F362*4)-(D362*2))*12/144</f>
        <v>1.9791666666666667</v>
      </c>
      <c r="L362" s="274">
        <f t="shared" si="26"/>
        <v>0.60325000091694003</v>
      </c>
      <c r="M362" s="272">
        <f t="shared" si="24"/>
        <v>19.346132575337883</v>
      </c>
      <c r="N362" s="1">
        <v>13</v>
      </c>
    </row>
    <row r="363" spans="2:14" x14ac:dyDescent="0.15">
      <c r="B363" s="127" t="s">
        <v>850</v>
      </c>
      <c r="C363" s="130" t="s">
        <v>850</v>
      </c>
      <c r="D363" s="129" t="s">
        <v>850</v>
      </c>
      <c r="E363" s="130" t="s">
        <v>850</v>
      </c>
      <c r="F363" s="129" t="s">
        <v>850</v>
      </c>
      <c r="G363" s="130"/>
      <c r="H363" s="130"/>
      <c r="I363" s="130" t="s">
        <v>850</v>
      </c>
      <c r="J363" s="129" t="s">
        <v>850</v>
      </c>
      <c r="K363" s="133"/>
      <c r="L363" s="272"/>
      <c r="M363" s="272"/>
      <c r="N363" s="1"/>
    </row>
    <row r="364" spans="2:14" x14ac:dyDescent="0.15">
      <c r="B364" s="18" t="s">
        <v>850</v>
      </c>
      <c r="C364" s="20" t="s">
        <v>850</v>
      </c>
      <c r="D364" s="19" t="s">
        <v>850</v>
      </c>
      <c r="E364" s="20" t="s">
        <v>850</v>
      </c>
      <c r="F364" s="19" t="s">
        <v>850</v>
      </c>
      <c r="G364" s="20"/>
      <c r="H364" s="20"/>
      <c r="I364" s="20" t="s">
        <v>850</v>
      </c>
      <c r="J364" s="19" t="s">
        <v>850</v>
      </c>
      <c r="K364" s="19" t="s">
        <v>850</v>
      </c>
      <c r="L364" s="272"/>
      <c r="M364" s="272"/>
    </row>
    <row r="365" spans="2:14" x14ac:dyDescent="0.15">
      <c r="B365" s="133"/>
      <c r="C365" s="133"/>
      <c r="D365" s="133"/>
      <c r="E365" s="133"/>
      <c r="F365" s="133"/>
      <c r="G365" s="133"/>
      <c r="H365" s="133"/>
      <c r="I365" s="133"/>
      <c r="J365" s="133"/>
      <c r="K365" s="133"/>
    </row>
    <row r="366" spans="2:14" x14ac:dyDescent="0.15">
      <c r="B366" s="133"/>
      <c r="C366" s="133"/>
      <c r="D366" s="133"/>
      <c r="E366" s="133"/>
      <c r="F366" s="133"/>
      <c r="G366" s="133"/>
      <c r="H366" s="133"/>
      <c r="I366" s="133"/>
      <c r="J366" s="133"/>
      <c r="K366" s="133"/>
    </row>
    <row r="367" spans="2:14" x14ac:dyDescent="0.15">
      <c r="B367" s="133"/>
      <c r="C367" s="133"/>
      <c r="D367" s="133"/>
      <c r="E367" s="133"/>
      <c r="F367" s="133"/>
      <c r="G367" s="133"/>
      <c r="H367" s="133"/>
      <c r="I367" s="133"/>
      <c r="J367" s="133"/>
      <c r="K367" s="133"/>
    </row>
    <row r="368" spans="2:14" x14ac:dyDescent="0.15">
      <c r="B368" s="133"/>
      <c r="C368" s="133"/>
      <c r="D368" s="133"/>
      <c r="E368" s="133"/>
      <c r="F368" s="133"/>
      <c r="G368" s="133"/>
      <c r="H368" s="133"/>
      <c r="I368" s="133"/>
      <c r="J368" s="133"/>
      <c r="K368" s="133"/>
    </row>
    <row r="369" spans="2:11" x14ac:dyDescent="0.15">
      <c r="B369" s="133"/>
      <c r="C369" s="133"/>
      <c r="D369" s="133"/>
      <c r="E369" s="133"/>
      <c r="F369" s="133"/>
      <c r="G369" s="133"/>
      <c r="H369" s="133"/>
      <c r="I369" s="133"/>
      <c r="J369" s="133"/>
      <c r="K369" s="133"/>
    </row>
    <row r="370" spans="2:11" x14ac:dyDescent="0.15">
      <c r="B370" s="133"/>
      <c r="C370" s="133"/>
      <c r="D370" s="133"/>
      <c r="E370" s="133"/>
      <c r="F370" s="133"/>
      <c r="G370" s="133"/>
      <c r="H370" s="133"/>
      <c r="I370" s="133"/>
      <c r="J370" s="133"/>
      <c r="K370" s="133"/>
    </row>
    <row r="371" spans="2:11" x14ac:dyDescent="0.15">
      <c r="B371" s="133"/>
      <c r="C371" s="133"/>
      <c r="D371" s="133"/>
      <c r="E371" s="133"/>
      <c r="F371" s="133"/>
      <c r="G371" s="133"/>
      <c r="H371" s="133"/>
      <c r="I371" s="133"/>
      <c r="J371" s="133"/>
      <c r="K371" s="133"/>
    </row>
  </sheetData>
  <phoneticPr fontId="80" type="noConversion"/>
  <pageMargins left="0.75" right="0.75" top="1" bottom="1" header="0.5" footer="0.5"/>
  <pageSetup orientation="portrait"/>
  <headerFooter alignWithMargins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3C2D8-EED8-0647-BADC-76C77712420F}">
  <dimension ref="B3:N253"/>
  <sheetViews>
    <sheetView showGridLines="0" zoomScale="95" workbookViewId="0">
      <pane xSplit="14" ySplit="18" topLeftCell="O31" activePane="bottomRight" state="frozen"/>
      <selection pane="topRight" activeCell="O1" sqref="O1"/>
      <selection pane="bottomLeft" activeCell="A19" sqref="A19"/>
      <selection pane="bottomRight"/>
    </sheetView>
  </sheetViews>
  <sheetFormatPr baseColWidth="10" defaultColWidth="8.83203125" defaultRowHeight="13" x14ac:dyDescent="0.15"/>
  <cols>
    <col min="1" max="1" width="8.83203125" customWidth="1"/>
    <col min="2" max="2" width="10" customWidth="1"/>
    <col min="3" max="4" width="8.83203125" customWidth="1"/>
    <col min="5" max="5" width="8.6640625" customWidth="1"/>
    <col min="6" max="6" width="11" customWidth="1"/>
    <col min="7" max="7" width="11.5" customWidth="1"/>
    <col min="8" max="8" width="10.5" customWidth="1"/>
    <col min="9" max="9" width="9.6640625" customWidth="1"/>
    <col min="10" max="12" width="8.83203125" customWidth="1"/>
    <col min="13" max="13" width="12.1640625" customWidth="1"/>
    <col min="14" max="14" width="11.5" customWidth="1"/>
  </cols>
  <sheetData>
    <row r="3" spans="2:9" x14ac:dyDescent="0.15">
      <c r="B3" s="112">
        <f ca="1">NOW()</f>
        <v>45636.449309606483</v>
      </c>
    </row>
    <row r="4" spans="2:9" x14ac:dyDescent="0.15">
      <c r="B4" s="113"/>
    </row>
    <row r="12" spans="2:9" ht="23" x14ac:dyDescent="0.25">
      <c r="B12" s="111" t="s">
        <v>1431</v>
      </c>
      <c r="H12" s="35" t="s">
        <v>1430</v>
      </c>
    </row>
    <row r="15" spans="2:9" ht="18" x14ac:dyDescent="0.2">
      <c r="B15" s="195" t="s">
        <v>1449</v>
      </c>
      <c r="F15" s="401"/>
      <c r="G15" s="133"/>
      <c r="H15" s="401"/>
      <c r="I15" s="196" t="s">
        <v>1450</v>
      </c>
    </row>
    <row r="16" spans="2:9" ht="14" thickBot="1" x14ac:dyDescent="0.2">
      <c r="F16" s="133"/>
      <c r="G16" s="133"/>
      <c r="H16" s="133"/>
    </row>
    <row r="17" spans="2:14" ht="16" x14ac:dyDescent="0.2">
      <c r="B17" s="59" t="s">
        <v>1432</v>
      </c>
      <c r="C17" s="60" t="s">
        <v>1433</v>
      </c>
      <c r="D17" s="61" t="s">
        <v>1435</v>
      </c>
      <c r="E17" s="61" t="s">
        <v>1435</v>
      </c>
      <c r="F17" s="60" t="s">
        <v>1746</v>
      </c>
      <c r="G17" s="60" t="s">
        <v>1746</v>
      </c>
      <c r="H17" s="402"/>
      <c r="I17" s="60" t="s">
        <v>1432</v>
      </c>
      <c r="J17" s="60" t="s">
        <v>1433</v>
      </c>
      <c r="K17" s="61" t="s">
        <v>1435</v>
      </c>
      <c r="L17" s="61" t="s">
        <v>1435</v>
      </c>
      <c r="M17" s="60" t="s">
        <v>1746</v>
      </c>
      <c r="N17" s="60" t="s">
        <v>1746</v>
      </c>
    </row>
    <row r="18" spans="2:14" ht="17" thickBot="1" x14ac:dyDescent="0.25">
      <c r="B18" s="123" t="s">
        <v>845</v>
      </c>
      <c r="C18" s="62" t="s">
        <v>1434</v>
      </c>
      <c r="D18" s="63" t="s">
        <v>1506</v>
      </c>
      <c r="E18" s="400" t="s">
        <v>1770</v>
      </c>
      <c r="F18" s="199" t="s">
        <v>1771</v>
      </c>
      <c r="G18" s="199" t="s">
        <v>1772</v>
      </c>
      <c r="H18" s="403"/>
      <c r="I18" s="124" t="s">
        <v>845</v>
      </c>
      <c r="J18" s="62" t="s">
        <v>1434</v>
      </c>
      <c r="K18" s="63" t="s">
        <v>1506</v>
      </c>
      <c r="L18" s="400" t="s">
        <v>1770</v>
      </c>
      <c r="M18" s="199" t="s">
        <v>1771</v>
      </c>
      <c r="N18" s="199" t="s">
        <v>1772</v>
      </c>
    </row>
    <row r="19" spans="2:14" x14ac:dyDescent="0.15">
      <c r="B19" s="57" t="s">
        <v>1436</v>
      </c>
      <c r="C19" s="64">
        <v>0.625</v>
      </c>
      <c r="D19" s="65">
        <v>127.37</v>
      </c>
      <c r="E19" s="413">
        <f>D19*3.2808399*0.4535924</f>
        <v>189.54745431698353</v>
      </c>
      <c r="F19" s="414">
        <f>16*4*12/144</f>
        <v>5.333333333333333</v>
      </c>
      <c r="G19" s="413">
        <f>(F19*3.2808399)*0.09290304</f>
        <v>1.6256000024709119</v>
      </c>
      <c r="H19" s="404"/>
      <c r="I19" s="405" t="s">
        <v>1451</v>
      </c>
      <c r="J19" s="165">
        <v>0.5</v>
      </c>
      <c r="K19" s="166">
        <v>103.3</v>
      </c>
      <c r="L19" s="413">
        <f>K19*3.2808399*0.4535924</f>
        <v>153.72734577172332</v>
      </c>
      <c r="M19" s="414">
        <f>(20*2+12*2)*12/144</f>
        <v>5.333333333333333</v>
      </c>
      <c r="N19" s="413">
        <f>(M19*3.2808399)*0.09290304</f>
        <v>1.6256000024709119</v>
      </c>
    </row>
    <row r="20" spans="2:14" x14ac:dyDescent="0.15">
      <c r="B20" s="164" t="s">
        <v>1436</v>
      </c>
      <c r="C20" s="165">
        <v>0.5</v>
      </c>
      <c r="D20" s="166">
        <v>103.3</v>
      </c>
      <c r="E20" s="415">
        <f>D20*3.2808399*0.4535924</f>
        <v>153.72734577172332</v>
      </c>
      <c r="F20" s="416">
        <f>16*4*12/144</f>
        <v>5.333333333333333</v>
      </c>
      <c r="G20" s="415">
        <f>(F20*3.2808399)*0.09290304</f>
        <v>1.6256000024709119</v>
      </c>
      <c r="H20" s="404"/>
      <c r="I20" s="99" t="s">
        <v>1451</v>
      </c>
      <c r="J20" s="16">
        <v>0.375</v>
      </c>
      <c r="K20" s="66">
        <v>78.52</v>
      </c>
      <c r="L20" s="415">
        <f>K20*3.2808399*0.4535924</f>
        <v>116.8506407550408</v>
      </c>
      <c r="M20" s="419">
        <f>(20*2+12*2)*12/144</f>
        <v>5.333333333333333</v>
      </c>
      <c r="N20" s="415">
        <f>(M20*3.2808399)*0.09290304</f>
        <v>1.6256000024709119</v>
      </c>
    </row>
    <row r="21" spans="2:14" x14ac:dyDescent="0.15">
      <c r="B21" s="58" t="s">
        <v>1436</v>
      </c>
      <c r="C21" s="16">
        <v>0.375</v>
      </c>
      <c r="D21" s="66">
        <v>78.52</v>
      </c>
      <c r="E21" s="415">
        <f t="shared" ref="E21:E84" si="0">D21*3.2808399*0.4535924</f>
        <v>116.8506407550408</v>
      </c>
      <c r="F21" s="416">
        <f>16*4*12/144</f>
        <v>5.333333333333333</v>
      </c>
      <c r="G21" s="415">
        <f t="shared" ref="G21:G84" si="1">(F21*3.2808399)*0.09290304</f>
        <v>1.6256000024709119</v>
      </c>
      <c r="H21" s="404"/>
      <c r="I21" s="99" t="s">
        <v>1451</v>
      </c>
      <c r="J21" s="16">
        <v>0.3125</v>
      </c>
      <c r="K21" s="66">
        <v>65.87</v>
      </c>
      <c r="L21" s="415">
        <f t="shared" ref="L21:L84" si="2">K21*3.2808399*0.4535924</f>
        <v>98.025365595192795</v>
      </c>
      <c r="M21" s="416">
        <f>(20*2+12*2)*12/144</f>
        <v>5.333333333333333</v>
      </c>
      <c r="N21" s="415">
        <f t="shared" ref="N21:N84" si="3">(M21*3.2808399)*0.09290304</f>
        <v>1.6256000024709119</v>
      </c>
    </row>
    <row r="22" spans="2:14" x14ac:dyDescent="0.15">
      <c r="B22" s="406" t="s">
        <v>1436</v>
      </c>
      <c r="C22" s="407">
        <v>0.3125</v>
      </c>
      <c r="D22" s="408">
        <v>65.87</v>
      </c>
      <c r="E22" s="417">
        <f t="shared" si="0"/>
        <v>98.025365595192795</v>
      </c>
      <c r="F22" s="416">
        <f>16*4*12/144</f>
        <v>5.333333333333333</v>
      </c>
      <c r="G22" s="415">
        <f t="shared" si="1"/>
        <v>1.6256000024709119</v>
      </c>
      <c r="H22" s="404"/>
      <c r="I22" s="67"/>
      <c r="J22" s="409"/>
      <c r="K22" s="410"/>
      <c r="L22" s="410"/>
      <c r="M22" s="410"/>
      <c r="N22" s="411"/>
    </row>
    <row r="23" spans="2:14" x14ac:dyDescent="0.15">
      <c r="B23" s="67"/>
      <c r="C23" s="409"/>
      <c r="D23" s="410"/>
      <c r="E23" s="410"/>
      <c r="F23" s="410"/>
      <c r="G23" s="411"/>
      <c r="H23" s="404"/>
      <c r="I23" s="99" t="s">
        <v>1452</v>
      </c>
      <c r="J23" s="16">
        <v>0.5</v>
      </c>
      <c r="K23" s="66">
        <v>89.68</v>
      </c>
      <c r="L23" s="415">
        <f t="shared" si="2"/>
        <v>133.45855148894626</v>
      </c>
      <c r="M23" s="416">
        <f>(20*2+8*2)*12/144</f>
        <v>4.666666666666667</v>
      </c>
      <c r="N23" s="415">
        <f t="shared" si="3"/>
        <v>1.4224000021620482</v>
      </c>
    </row>
    <row r="24" spans="2:14" x14ac:dyDescent="0.15">
      <c r="B24" s="164" t="s">
        <v>1437</v>
      </c>
      <c r="C24" s="165">
        <v>0.625</v>
      </c>
      <c r="D24" s="166">
        <v>110.36</v>
      </c>
      <c r="E24" s="418">
        <f t="shared" si="0"/>
        <v>164.23378392417604</v>
      </c>
      <c r="F24" s="416">
        <f>14*4*12/144</f>
        <v>4.666666666666667</v>
      </c>
      <c r="G24" s="415">
        <f t="shared" si="1"/>
        <v>1.4224000021620482</v>
      </c>
      <c r="H24" s="404"/>
      <c r="I24" s="99" t="s">
        <v>1452</v>
      </c>
      <c r="J24" s="16">
        <v>0.375</v>
      </c>
      <c r="K24" s="66">
        <v>68.31</v>
      </c>
      <c r="L24" s="415">
        <f t="shared" si="2"/>
        <v>101.65648586317928</v>
      </c>
      <c r="M24" s="416">
        <f>(20*2+8*2)*12/144</f>
        <v>4.666666666666667</v>
      </c>
      <c r="N24" s="415">
        <f t="shared" si="3"/>
        <v>1.4224000021620482</v>
      </c>
    </row>
    <row r="25" spans="2:14" x14ac:dyDescent="0.15">
      <c r="B25" s="58" t="s">
        <v>1437</v>
      </c>
      <c r="C25" s="16">
        <v>0.5</v>
      </c>
      <c r="D25" s="66">
        <v>89.68</v>
      </c>
      <c r="E25" s="418">
        <f t="shared" si="0"/>
        <v>133.45855148894626</v>
      </c>
      <c r="F25" s="416">
        <f>14*4*12/144</f>
        <v>4.666666666666667</v>
      </c>
      <c r="G25" s="415">
        <f t="shared" si="1"/>
        <v>1.4224000021620482</v>
      </c>
      <c r="H25" s="404"/>
      <c r="I25" s="99" t="s">
        <v>1452</v>
      </c>
      <c r="J25" s="16">
        <v>0.3125</v>
      </c>
      <c r="K25" s="66">
        <v>57.36</v>
      </c>
      <c r="L25" s="415">
        <f t="shared" si="2"/>
        <v>85.361089578567757</v>
      </c>
      <c r="M25" s="416">
        <f>(20*2+8*2)*12/144</f>
        <v>4.666666666666667</v>
      </c>
      <c r="N25" s="415">
        <f t="shared" si="3"/>
        <v>1.4224000021620482</v>
      </c>
    </row>
    <row r="26" spans="2:14" x14ac:dyDescent="0.15">
      <c r="B26" s="58" t="s">
        <v>1437</v>
      </c>
      <c r="C26" s="16">
        <v>0.375</v>
      </c>
      <c r="D26" s="66">
        <v>68.31</v>
      </c>
      <c r="E26" s="418">
        <f t="shared" si="0"/>
        <v>101.65648586317928</v>
      </c>
      <c r="F26" s="416">
        <f>14*4*12/144</f>
        <v>4.666666666666667</v>
      </c>
      <c r="G26" s="415">
        <f t="shared" si="1"/>
        <v>1.4224000021620482</v>
      </c>
      <c r="H26" s="404"/>
      <c r="I26" s="67"/>
      <c r="J26" s="409"/>
      <c r="K26" s="410"/>
      <c r="L26" s="410"/>
      <c r="M26" s="410"/>
      <c r="N26" s="411"/>
    </row>
    <row r="27" spans="2:14" x14ac:dyDescent="0.15">
      <c r="B27" s="58" t="s">
        <v>1437</v>
      </c>
      <c r="C27" s="16">
        <v>0.3125</v>
      </c>
      <c r="D27" s="66">
        <v>57.36</v>
      </c>
      <c r="E27" s="418">
        <f t="shared" si="0"/>
        <v>85.361089578567757</v>
      </c>
      <c r="F27" s="416">
        <f>14*4*12/144</f>
        <v>4.666666666666667</v>
      </c>
      <c r="G27" s="415">
        <f t="shared" si="1"/>
        <v>1.4224000021620482</v>
      </c>
      <c r="H27" s="404"/>
      <c r="I27" s="99" t="s">
        <v>1453</v>
      </c>
      <c r="J27" s="16">
        <v>0.5</v>
      </c>
      <c r="K27" s="66">
        <v>76.069999999999993</v>
      </c>
      <c r="L27" s="415">
        <f t="shared" si="2"/>
        <v>113.20463884661173</v>
      </c>
      <c r="M27" s="416">
        <f>(20*2+4*2)*12/144</f>
        <v>4</v>
      </c>
      <c r="N27" s="415">
        <f t="shared" si="3"/>
        <v>1.2192000018531841</v>
      </c>
    </row>
    <row r="28" spans="2:14" x14ac:dyDescent="0.15">
      <c r="B28" s="67"/>
      <c r="C28" s="409"/>
      <c r="D28" s="410"/>
      <c r="E28" s="410"/>
      <c r="F28" s="410"/>
      <c r="G28" s="411"/>
      <c r="H28" s="404"/>
      <c r="I28" s="99" t="s">
        <v>1453</v>
      </c>
      <c r="J28" s="16">
        <v>0.375</v>
      </c>
      <c r="K28" s="66">
        <v>58.1</v>
      </c>
      <c r="L28" s="415">
        <f t="shared" si="2"/>
        <v>86.462330971317769</v>
      </c>
      <c r="M28" s="416">
        <f>(20*2+4*2)*12/144</f>
        <v>4</v>
      </c>
      <c r="N28" s="415">
        <f t="shared" si="3"/>
        <v>1.2192000018531841</v>
      </c>
    </row>
    <row r="29" spans="2:14" x14ac:dyDescent="0.15">
      <c r="B29" s="58" t="s">
        <v>1438</v>
      </c>
      <c r="C29" s="16">
        <v>0.625</v>
      </c>
      <c r="D29" s="66">
        <v>93.34</v>
      </c>
      <c r="E29" s="418">
        <f t="shared" si="0"/>
        <v>138.90523189092599</v>
      </c>
      <c r="F29" s="416">
        <f t="shared" ref="F29:F34" si="4">12*4*12/144</f>
        <v>4</v>
      </c>
      <c r="G29" s="415">
        <f t="shared" si="1"/>
        <v>1.2192000018531841</v>
      </c>
      <c r="H29" s="404"/>
      <c r="I29" s="99" t="s">
        <v>1453</v>
      </c>
      <c r="J29" s="16">
        <v>0.3125</v>
      </c>
      <c r="K29" s="66">
        <v>48.86</v>
      </c>
      <c r="L29" s="415">
        <f t="shared" si="2"/>
        <v>72.7116952023853</v>
      </c>
      <c r="M29" s="416">
        <f>(20*2+4*2)*12/144</f>
        <v>4</v>
      </c>
      <c r="N29" s="415">
        <f t="shared" si="3"/>
        <v>1.2192000018531841</v>
      </c>
    </row>
    <row r="30" spans="2:14" x14ac:dyDescent="0.15">
      <c r="B30" s="58" t="s">
        <v>1438</v>
      </c>
      <c r="C30" s="16">
        <v>0.5</v>
      </c>
      <c r="D30" s="66">
        <v>76.069999999999993</v>
      </c>
      <c r="E30" s="418">
        <f t="shared" si="0"/>
        <v>113.20463884661173</v>
      </c>
      <c r="F30" s="416">
        <f t="shared" si="4"/>
        <v>4</v>
      </c>
      <c r="G30" s="415">
        <f t="shared" si="1"/>
        <v>1.2192000018531841</v>
      </c>
      <c r="H30" s="404"/>
      <c r="I30" s="67"/>
      <c r="J30" s="409"/>
      <c r="K30" s="410"/>
      <c r="L30" s="410"/>
      <c r="M30" s="410"/>
      <c r="N30" s="411"/>
    </row>
    <row r="31" spans="2:14" x14ac:dyDescent="0.15">
      <c r="B31" s="58" t="s">
        <v>1438</v>
      </c>
      <c r="C31" s="16">
        <v>0.375</v>
      </c>
      <c r="D31" s="66">
        <v>58.1</v>
      </c>
      <c r="E31" s="418">
        <f t="shared" si="0"/>
        <v>86.462330971317769</v>
      </c>
      <c r="F31" s="416">
        <f t="shared" si="4"/>
        <v>4</v>
      </c>
      <c r="G31" s="415">
        <f t="shared" si="1"/>
        <v>1.2192000018531841</v>
      </c>
      <c r="H31" s="404"/>
      <c r="I31" s="99" t="s">
        <v>1454</v>
      </c>
      <c r="J31" s="16">
        <v>0.5</v>
      </c>
      <c r="K31" s="66">
        <v>76.069999999999993</v>
      </c>
      <c r="L31" s="415">
        <f t="shared" si="2"/>
        <v>113.20463884661173</v>
      </c>
      <c r="M31" s="416">
        <f>(18*2+6*2)*12/144</f>
        <v>4</v>
      </c>
      <c r="N31" s="415">
        <f t="shared" si="3"/>
        <v>1.2192000018531841</v>
      </c>
    </row>
    <row r="32" spans="2:14" x14ac:dyDescent="0.15">
      <c r="B32" s="58" t="s">
        <v>1438</v>
      </c>
      <c r="C32" s="16">
        <v>0.3125</v>
      </c>
      <c r="D32" s="66">
        <v>48.86</v>
      </c>
      <c r="E32" s="418">
        <f t="shared" si="0"/>
        <v>72.7116952023853</v>
      </c>
      <c r="F32" s="416">
        <f t="shared" si="4"/>
        <v>4</v>
      </c>
      <c r="G32" s="415">
        <f t="shared" si="1"/>
        <v>1.2192000018531841</v>
      </c>
      <c r="H32" s="404"/>
      <c r="I32" s="99" t="s">
        <v>1454</v>
      </c>
      <c r="J32" s="16">
        <v>0.375</v>
      </c>
      <c r="K32" s="66">
        <v>58.1</v>
      </c>
      <c r="L32" s="415">
        <f t="shared" si="2"/>
        <v>86.462330971317769</v>
      </c>
      <c r="M32" s="416">
        <f>(18*2+6*2)*12/144</f>
        <v>4</v>
      </c>
      <c r="N32" s="415">
        <f t="shared" si="3"/>
        <v>1.2192000018531841</v>
      </c>
    </row>
    <row r="33" spans="2:14" x14ac:dyDescent="0.15">
      <c r="B33" s="58" t="s">
        <v>1438</v>
      </c>
      <c r="C33" s="16">
        <v>0.25</v>
      </c>
      <c r="D33" s="66">
        <v>39.43</v>
      </c>
      <c r="E33" s="418">
        <f t="shared" si="0"/>
        <v>58.678308265044052</v>
      </c>
      <c r="F33" s="416">
        <f t="shared" si="4"/>
        <v>4</v>
      </c>
      <c r="G33" s="415">
        <f t="shared" si="1"/>
        <v>1.2192000018531841</v>
      </c>
      <c r="H33" s="404"/>
      <c r="I33" s="99" t="s">
        <v>1454</v>
      </c>
      <c r="J33" s="16">
        <v>0.3125</v>
      </c>
      <c r="K33" s="66">
        <v>48.86</v>
      </c>
      <c r="L33" s="415">
        <f t="shared" si="2"/>
        <v>72.7116952023853</v>
      </c>
      <c r="M33" s="416">
        <f>(18*2+6*2)*12/144</f>
        <v>4</v>
      </c>
      <c r="N33" s="415">
        <f t="shared" si="3"/>
        <v>1.2192000018531841</v>
      </c>
    </row>
    <row r="34" spans="2:14" x14ac:dyDescent="0.15">
      <c r="B34" s="58" t="s">
        <v>1438</v>
      </c>
      <c r="C34" s="16">
        <v>0.1875</v>
      </c>
      <c r="D34" s="66">
        <v>29.84</v>
      </c>
      <c r="E34" s="418">
        <f t="shared" si="0"/>
        <v>44.406815080621719</v>
      </c>
      <c r="F34" s="416">
        <f t="shared" si="4"/>
        <v>4</v>
      </c>
      <c r="G34" s="415">
        <f t="shared" si="1"/>
        <v>1.2192000018531841</v>
      </c>
      <c r="H34" s="404"/>
      <c r="I34" s="67"/>
      <c r="J34" s="409"/>
      <c r="K34" s="410"/>
      <c r="L34" s="410"/>
      <c r="M34" s="410"/>
      <c r="N34" s="411"/>
    </row>
    <row r="35" spans="2:14" x14ac:dyDescent="0.15">
      <c r="B35" s="67"/>
      <c r="C35" s="409"/>
      <c r="D35" s="410"/>
      <c r="E35" s="410"/>
      <c r="F35" s="410"/>
      <c r="G35" s="411"/>
      <c r="H35" s="404"/>
      <c r="I35" s="99" t="s">
        <v>1455</v>
      </c>
      <c r="J35" s="16">
        <v>0.625</v>
      </c>
      <c r="K35" s="66">
        <v>110.36</v>
      </c>
      <c r="L35" s="415">
        <f t="shared" si="2"/>
        <v>164.23378392417604</v>
      </c>
      <c r="M35" s="416">
        <f>(16*2+12*2)*12/144</f>
        <v>4.666666666666667</v>
      </c>
      <c r="N35" s="415">
        <f t="shared" si="3"/>
        <v>1.4224000021620482</v>
      </c>
    </row>
    <row r="36" spans="2:14" x14ac:dyDescent="0.15">
      <c r="B36" s="58" t="s">
        <v>1439</v>
      </c>
      <c r="C36" s="16">
        <v>0.625</v>
      </c>
      <c r="D36" s="66">
        <v>76.33</v>
      </c>
      <c r="E36" s="418">
        <f t="shared" si="0"/>
        <v>113.59156149811849</v>
      </c>
      <c r="F36" s="416">
        <f>10*4*12/144</f>
        <v>3.3333333333333335</v>
      </c>
      <c r="G36" s="415">
        <f t="shared" si="1"/>
        <v>1.0160000015443202</v>
      </c>
      <c r="H36" s="404"/>
      <c r="I36" s="99" t="s">
        <v>1455</v>
      </c>
      <c r="J36" s="16">
        <v>0.5</v>
      </c>
      <c r="K36" s="66">
        <v>89.68</v>
      </c>
      <c r="L36" s="415">
        <f t="shared" si="2"/>
        <v>133.45855148894626</v>
      </c>
      <c r="M36" s="416">
        <f>(16*2+12*2)*12/144</f>
        <v>4.666666666666667</v>
      </c>
      <c r="N36" s="415">
        <f t="shared" si="3"/>
        <v>1.4224000021620482</v>
      </c>
    </row>
    <row r="37" spans="2:14" x14ac:dyDescent="0.15">
      <c r="B37" s="58" t="s">
        <v>1439</v>
      </c>
      <c r="C37" s="16">
        <v>0.5625</v>
      </c>
      <c r="D37" s="66">
        <v>69.48</v>
      </c>
      <c r="E37" s="418">
        <f t="shared" si="0"/>
        <v>103.39763779495969</v>
      </c>
      <c r="F37" s="416">
        <f t="shared" ref="F37:F42" si="5">10*4*12/144</f>
        <v>3.3333333333333335</v>
      </c>
      <c r="G37" s="415">
        <f t="shared" si="1"/>
        <v>1.0160000015443202</v>
      </c>
      <c r="H37" s="404"/>
      <c r="I37" s="99" t="s">
        <v>1455</v>
      </c>
      <c r="J37" s="16">
        <v>0.375</v>
      </c>
      <c r="K37" s="66">
        <v>68.31</v>
      </c>
      <c r="L37" s="415">
        <f t="shared" si="2"/>
        <v>101.65648586317928</v>
      </c>
      <c r="M37" s="416">
        <f>(16*2+12*2)*12/144</f>
        <v>4.666666666666667</v>
      </c>
      <c r="N37" s="415">
        <f t="shared" si="3"/>
        <v>1.4224000021620482</v>
      </c>
    </row>
    <row r="38" spans="2:14" x14ac:dyDescent="0.15">
      <c r="B38" s="58" t="s">
        <v>1439</v>
      </c>
      <c r="C38" s="16">
        <v>0.5</v>
      </c>
      <c r="D38" s="66">
        <v>62.46</v>
      </c>
      <c r="E38" s="418">
        <f t="shared" si="0"/>
        <v>92.950726204277231</v>
      </c>
      <c r="F38" s="416">
        <f t="shared" si="5"/>
        <v>3.3333333333333335</v>
      </c>
      <c r="G38" s="415">
        <f t="shared" si="1"/>
        <v>1.0160000015443202</v>
      </c>
      <c r="H38" s="404"/>
      <c r="I38" s="99" t="s">
        <v>1455</v>
      </c>
      <c r="J38" s="16">
        <v>0.3125</v>
      </c>
      <c r="K38" s="66">
        <v>57.36</v>
      </c>
      <c r="L38" s="415">
        <f t="shared" si="2"/>
        <v>85.361089578567757</v>
      </c>
      <c r="M38" s="416">
        <f>(16*2+12*2)*12/144</f>
        <v>4.666666666666667</v>
      </c>
      <c r="N38" s="415">
        <f t="shared" si="3"/>
        <v>1.4224000021620482</v>
      </c>
    </row>
    <row r="39" spans="2:14" x14ac:dyDescent="0.15">
      <c r="B39" s="58" t="s">
        <v>1439</v>
      </c>
      <c r="C39" s="16">
        <v>0.375</v>
      </c>
      <c r="D39" s="66">
        <v>47.9</v>
      </c>
      <c r="E39" s="418">
        <f t="shared" si="0"/>
        <v>71.283057719898807</v>
      </c>
      <c r="F39" s="416">
        <f t="shared" si="5"/>
        <v>3.3333333333333335</v>
      </c>
      <c r="G39" s="415">
        <f t="shared" si="1"/>
        <v>1.0160000015443202</v>
      </c>
      <c r="H39" s="404"/>
      <c r="I39" s="67"/>
      <c r="J39" s="409"/>
      <c r="K39" s="410"/>
      <c r="L39" s="410"/>
      <c r="M39" s="410"/>
      <c r="N39" s="411"/>
    </row>
    <row r="40" spans="2:14" x14ac:dyDescent="0.15">
      <c r="B40" s="58" t="s">
        <v>1439</v>
      </c>
      <c r="C40" s="16">
        <v>0.3125</v>
      </c>
      <c r="D40" s="66">
        <v>40.35</v>
      </c>
      <c r="E40" s="418">
        <f t="shared" si="0"/>
        <v>60.047419185760269</v>
      </c>
      <c r="F40" s="416">
        <f t="shared" si="5"/>
        <v>3.3333333333333335</v>
      </c>
      <c r="G40" s="415">
        <f t="shared" si="1"/>
        <v>1.0160000015443202</v>
      </c>
      <c r="H40" s="404"/>
      <c r="I40" s="99" t="s">
        <v>1456</v>
      </c>
      <c r="J40" s="16">
        <v>0.5</v>
      </c>
      <c r="K40" s="66">
        <v>76.069999999999993</v>
      </c>
      <c r="L40" s="415">
        <f t="shared" si="2"/>
        <v>113.20463884661173</v>
      </c>
      <c r="M40" s="416">
        <f>(16*2+8*2)*12/144</f>
        <v>4</v>
      </c>
      <c r="N40" s="415">
        <f t="shared" si="3"/>
        <v>1.2192000018531841</v>
      </c>
    </row>
    <row r="41" spans="2:14" x14ac:dyDescent="0.15">
      <c r="B41" s="58" t="s">
        <v>1439</v>
      </c>
      <c r="C41" s="16">
        <v>0.25</v>
      </c>
      <c r="D41" s="66">
        <v>32.630000000000003</v>
      </c>
      <c r="E41" s="418">
        <f t="shared" si="0"/>
        <v>48.558792764098079</v>
      </c>
      <c r="F41" s="416">
        <f t="shared" si="5"/>
        <v>3.3333333333333335</v>
      </c>
      <c r="G41" s="415">
        <f t="shared" si="1"/>
        <v>1.0160000015443202</v>
      </c>
      <c r="H41" s="404"/>
      <c r="I41" s="99" t="s">
        <v>1456</v>
      </c>
      <c r="J41" s="16">
        <v>0.375</v>
      </c>
      <c r="K41" s="66">
        <v>58.1</v>
      </c>
      <c r="L41" s="415">
        <f t="shared" si="2"/>
        <v>86.462330971317769</v>
      </c>
      <c r="M41" s="416">
        <f>(16*2+8*2)*12/144</f>
        <v>4</v>
      </c>
      <c r="N41" s="415">
        <f t="shared" si="3"/>
        <v>1.2192000018531841</v>
      </c>
    </row>
    <row r="42" spans="2:14" x14ac:dyDescent="0.15">
      <c r="B42" s="58" t="s">
        <v>1439</v>
      </c>
      <c r="C42" s="16">
        <v>0.1875</v>
      </c>
      <c r="D42" s="66">
        <v>24.73</v>
      </c>
      <c r="E42" s="418">
        <f t="shared" si="0"/>
        <v>36.802296814469678</v>
      </c>
      <c r="F42" s="416">
        <f t="shared" si="5"/>
        <v>3.3333333333333335</v>
      </c>
      <c r="G42" s="415">
        <f t="shared" si="1"/>
        <v>1.0160000015443202</v>
      </c>
      <c r="H42" s="404"/>
      <c r="I42" s="99" t="s">
        <v>1456</v>
      </c>
      <c r="J42" s="16">
        <v>0.3125</v>
      </c>
      <c r="K42" s="66">
        <v>48.86</v>
      </c>
      <c r="L42" s="415">
        <f t="shared" si="2"/>
        <v>72.7116952023853</v>
      </c>
      <c r="M42" s="416">
        <f>(16*2+8*2)*12/144</f>
        <v>4</v>
      </c>
      <c r="N42" s="415">
        <f t="shared" si="3"/>
        <v>1.2192000018531841</v>
      </c>
    </row>
    <row r="43" spans="2:14" x14ac:dyDescent="0.15">
      <c r="B43" s="67"/>
      <c r="C43" s="409"/>
      <c r="D43" s="410"/>
      <c r="E43" s="410"/>
      <c r="F43" s="410"/>
      <c r="G43" s="411"/>
      <c r="H43" s="404"/>
      <c r="I43" s="67"/>
      <c r="J43" s="409"/>
      <c r="K43" s="410"/>
      <c r="L43" s="410"/>
      <c r="M43" s="410"/>
      <c r="N43" s="411"/>
    </row>
    <row r="44" spans="2:14" x14ac:dyDescent="0.15">
      <c r="B44" s="58" t="s">
        <v>1637</v>
      </c>
      <c r="C44" s="16">
        <v>0.625</v>
      </c>
      <c r="D44" s="66">
        <v>67.819999999999993</v>
      </c>
      <c r="E44" s="418">
        <f t="shared" si="0"/>
        <v>100.92728548149346</v>
      </c>
      <c r="F44" s="416">
        <f>9*4*12/144</f>
        <v>3</v>
      </c>
      <c r="G44" s="415">
        <f t="shared" si="1"/>
        <v>0.91440000138988808</v>
      </c>
      <c r="H44" s="404"/>
      <c r="I44" s="99" t="s">
        <v>1457</v>
      </c>
      <c r="J44" s="16">
        <v>0.5</v>
      </c>
      <c r="K44" s="66">
        <v>62.46</v>
      </c>
      <c r="L44" s="415">
        <f t="shared" si="2"/>
        <v>92.950726204277231</v>
      </c>
      <c r="M44" s="416">
        <f>(16*2+4*2)*12/144</f>
        <v>3.3333333333333335</v>
      </c>
      <c r="N44" s="415">
        <f t="shared" si="3"/>
        <v>1.0160000015443202</v>
      </c>
    </row>
    <row r="45" spans="2:14" x14ac:dyDescent="0.15">
      <c r="B45" s="58" t="s">
        <v>1637</v>
      </c>
      <c r="C45" s="16">
        <v>0.5625</v>
      </c>
      <c r="D45" s="66">
        <v>61.83</v>
      </c>
      <c r="E45" s="418">
        <f t="shared" si="0"/>
        <v>92.013182856395474</v>
      </c>
      <c r="F45" s="416">
        <f t="shared" ref="F45:F50" si="6">9*4*12/144</f>
        <v>3</v>
      </c>
      <c r="G45" s="415">
        <f t="shared" si="1"/>
        <v>0.91440000138988808</v>
      </c>
      <c r="H45" s="404"/>
      <c r="I45" s="99" t="s">
        <v>1457</v>
      </c>
      <c r="J45" s="16">
        <v>0.375</v>
      </c>
      <c r="K45" s="66">
        <v>47.9</v>
      </c>
      <c r="L45" s="415">
        <f t="shared" si="2"/>
        <v>71.283057719898807</v>
      </c>
      <c r="M45" s="416">
        <f>(16*2+4*2)*12/144</f>
        <v>3.3333333333333335</v>
      </c>
      <c r="N45" s="415">
        <f t="shared" si="3"/>
        <v>1.0160000015443202</v>
      </c>
    </row>
    <row r="46" spans="2:14" x14ac:dyDescent="0.15">
      <c r="B46" s="58" t="s">
        <v>1637</v>
      </c>
      <c r="C46" s="16">
        <v>0.5</v>
      </c>
      <c r="D46" s="66">
        <v>55.66</v>
      </c>
      <c r="E46" s="418">
        <f t="shared" si="0"/>
        <v>82.831210703331251</v>
      </c>
      <c r="F46" s="416">
        <f t="shared" si="6"/>
        <v>3</v>
      </c>
      <c r="G46" s="415">
        <f t="shared" si="1"/>
        <v>0.91440000138988808</v>
      </c>
      <c r="H46" s="404"/>
      <c r="I46" s="99" t="s">
        <v>1457</v>
      </c>
      <c r="J46" s="16">
        <v>0.3125</v>
      </c>
      <c r="K46" s="66">
        <v>40.35</v>
      </c>
      <c r="L46" s="415">
        <f t="shared" si="2"/>
        <v>60.047419185760269</v>
      </c>
      <c r="M46" s="416">
        <f>(16*2+4*2)*12/144</f>
        <v>3.3333333333333335</v>
      </c>
      <c r="N46" s="415">
        <f t="shared" si="3"/>
        <v>1.0160000015443202</v>
      </c>
    </row>
    <row r="47" spans="2:14" x14ac:dyDescent="0.15">
      <c r="B47" s="58" t="s">
        <v>1637</v>
      </c>
      <c r="C47" s="16">
        <v>0.375</v>
      </c>
      <c r="D47" s="66">
        <v>42.79</v>
      </c>
      <c r="E47" s="418">
        <f t="shared" si="0"/>
        <v>63.678539453746765</v>
      </c>
      <c r="F47" s="416">
        <f t="shared" si="6"/>
        <v>3</v>
      </c>
      <c r="G47" s="415">
        <f t="shared" si="1"/>
        <v>0.91440000138988808</v>
      </c>
      <c r="H47" s="404"/>
      <c r="I47" s="67"/>
      <c r="J47" s="409"/>
      <c r="K47" s="410"/>
      <c r="L47" s="410"/>
      <c r="M47" s="410"/>
      <c r="N47" s="411"/>
    </row>
    <row r="48" spans="2:14" x14ac:dyDescent="0.15">
      <c r="B48" s="58" t="s">
        <v>1637</v>
      </c>
      <c r="C48" s="16">
        <v>0.3125</v>
      </c>
      <c r="D48" s="66">
        <v>36.1</v>
      </c>
      <c r="E48" s="418">
        <f t="shared" si="0"/>
        <v>53.722721997669041</v>
      </c>
      <c r="F48" s="416">
        <f t="shared" si="6"/>
        <v>3</v>
      </c>
      <c r="G48" s="415">
        <f t="shared" si="1"/>
        <v>0.91440000138988808</v>
      </c>
      <c r="H48" s="404"/>
      <c r="I48" s="99" t="s">
        <v>1458</v>
      </c>
      <c r="J48" s="16">
        <v>0.625</v>
      </c>
      <c r="K48" s="66">
        <v>93.34</v>
      </c>
      <c r="L48" s="415">
        <f t="shared" si="2"/>
        <v>138.90523189092599</v>
      </c>
      <c r="M48" s="416">
        <f>(14*2+10*2)*12/144</f>
        <v>4</v>
      </c>
      <c r="N48" s="415">
        <f t="shared" si="3"/>
        <v>1.2192000018531841</v>
      </c>
    </row>
    <row r="49" spans="2:14" x14ac:dyDescent="0.15">
      <c r="B49" s="58" t="s">
        <v>1637</v>
      </c>
      <c r="C49" s="16">
        <v>0.25</v>
      </c>
      <c r="D49" s="66">
        <v>29.23</v>
      </c>
      <c r="E49" s="418">
        <f t="shared" si="0"/>
        <v>43.499035013625104</v>
      </c>
      <c r="F49" s="416">
        <f t="shared" si="6"/>
        <v>3</v>
      </c>
      <c r="G49" s="415">
        <f t="shared" si="1"/>
        <v>0.91440000138988808</v>
      </c>
      <c r="H49" s="404"/>
      <c r="I49" s="99" t="s">
        <v>1458</v>
      </c>
      <c r="J49" s="16">
        <v>0.5</v>
      </c>
      <c r="K49" s="66">
        <v>76.069999999999993</v>
      </c>
      <c r="L49" s="415">
        <f t="shared" si="2"/>
        <v>113.20463884661173</v>
      </c>
      <c r="M49" s="416">
        <f>(14*2+10*2)*12/144</f>
        <v>4</v>
      </c>
      <c r="N49" s="415">
        <f t="shared" si="3"/>
        <v>1.2192000018531841</v>
      </c>
    </row>
    <row r="50" spans="2:14" x14ac:dyDescent="0.15">
      <c r="B50" s="58" t="s">
        <v>1637</v>
      </c>
      <c r="C50" s="16">
        <v>0.1875</v>
      </c>
      <c r="D50" s="66">
        <v>22.18</v>
      </c>
      <c r="E50" s="418">
        <f t="shared" si="0"/>
        <v>33.007478501614941</v>
      </c>
      <c r="F50" s="416">
        <f t="shared" si="6"/>
        <v>3</v>
      </c>
      <c r="G50" s="415">
        <f t="shared" si="1"/>
        <v>0.91440000138988808</v>
      </c>
      <c r="H50" s="404"/>
      <c r="I50" s="99" t="s">
        <v>1458</v>
      </c>
      <c r="J50" s="16">
        <v>0.375</v>
      </c>
      <c r="K50" s="66">
        <v>58.1</v>
      </c>
      <c r="L50" s="415">
        <f t="shared" si="2"/>
        <v>86.462330971317769</v>
      </c>
      <c r="M50" s="416">
        <f>(14*2+10*2)*12/144</f>
        <v>4</v>
      </c>
      <c r="N50" s="415">
        <f t="shared" si="3"/>
        <v>1.2192000018531841</v>
      </c>
    </row>
    <row r="51" spans="2:14" x14ac:dyDescent="0.15">
      <c r="B51" s="67"/>
      <c r="C51" s="409"/>
      <c r="D51" s="410"/>
      <c r="E51" s="410"/>
      <c r="F51" s="410"/>
      <c r="G51" s="411"/>
      <c r="H51" s="404"/>
      <c r="I51" s="99" t="s">
        <v>1458</v>
      </c>
      <c r="J51" s="16">
        <v>0.3125</v>
      </c>
      <c r="K51" s="66">
        <v>48.86</v>
      </c>
      <c r="L51" s="415">
        <f t="shared" si="2"/>
        <v>72.7116952023853</v>
      </c>
      <c r="M51" s="416">
        <f>(14*2+10*2)*12/144</f>
        <v>4</v>
      </c>
      <c r="N51" s="415">
        <f t="shared" si="3"/>
        <v>1.2192000018531841</v>
      </c>
    </row>
    <row r="52" spans="2:14" x14ac:dyDescent="0.15">
      <c r="B52" s="58" t="s">
        <v>1440</v>
      </c>
      <c r="C52" s="16">
        <v>0.625</v>
      </c>
      <c r="D52" s="66">
        <v>59.32</v>
      </c>
      <c r="E52" s="418">
        <f t="shared" si="0"/>
        <v>88.277891105311014</v>
      </c>
      <c r="F52" s="416">
        <f>8*4*12/144</f>
        <v>2.6666666666666665</v>
      </c>
      <c r="G52" s="415">
        <f t="shared" si="1"/>
        <v>0.81280000123545593</v>
      </c>
      <c r="H52" s="404"/>
      <c r="I52" s="67"/>
      <c r="J52" s="409"/>
      <c r="K52" s="410"/>
      <c r="L52" s="410"/>
      <c r="M52" s="410"/>
      <c r="N52" s="411"/>
    </row>
    <row r="53" spans="2:14" x14ac:dyDescent="0.15">
      <c r="B53" s="58" t="s">
        <v>1440</v>
      </c>
      <c r="C53" s="16">
        <v>0.5625</v>
      </c>
      <c r="D53" s="66">
        <v>54.17</v>
      </c>
      <c r="E53" s="418">
        <f t="shared" si="0"/>
        <v>80.613846277388689</v>
      </c>
      <c r="F53" s="416">
        <f t="shared" ref="F53:F58" si="7">8*4*12/144</f>
        <v>2.6666666666666665</v>
      </c>
      <c r="G53" s="415">
        <f t="shared" si="1"/>
        <v>0.81280000123545593</v>
      </c>
      <c r="H53" s="404"/>
      <c r="I53" s="99" t="s">
        <v>1459</v>
      </c>
      <c r="J53" s="16">
        <v>0.5</v>
      </c>
      <c r="K53" s="66">
        <v>62.46</v>
      </c>
      <c r="L53" s="415">
        <f t="shared" si="2"/>
        <v>92.950726204277231</v>
      </c>
      <c r="M53" s="416">
        <f>(14*2+6*2)*12/144</f>
        <v>3.3333333333333335</v>
      </c>
      <c r="N53" s="415">
        <f t="shared" si="3"/>
        <v>1.0160000015443202</v>
      </c>
    </row>
    <row r="54" spans="2:14" x14ac:dyDescent="0.15">
      <c r="B54" s="58" t="s">
        <v>1440</v>
      </c>
      <c r="C54" s="16">
        <v>0.5</v>
      </c>
      <c r="D54" s="66">
        <v>48.85</v>
      </c>
      <c r="E54" s="418">
        <f t="shared" si="0"/>
        <v>72.696813561942733</v>
      </c>
      <c r="F54" s="416">
        <f t="shared" si="7"/>
        <v>2.6666666666666665</v>
      </c>
      <c r="G54" s="415">
        <f t="shared" si="1"/>
        <v>0.81280000123545593</v>
      </c>
      <c r="H54" s="404"/>
      <c r="I54" s="99" t="s">
        <v>1459</v>
      </c>
      <c r="J54" s="16">
        <v>0.375</v>
      </c>
      <c r="K54" s="66">
        <v>47.9</v>
      </c>
      <c r="L54" s="415">
        <f t="shared" si="2"/>
        <v>71.283057719898807</v>
      </c>
      <c r="M54" s="416">
        <f>(14*2+6*2)*12/144</f>
        <v>3.3333333333333335</v>
      </c>
      <c r="N54" s="415">
        <f t="shared" si="3"/>
        <v>1.0160000015443202</v>
      </c>
    </row>
    <row r="55" spans="2:14" x14ac:dyDescent="0.15">
      <c r="B55" s="58" t="s">
        <v>1440</v>
      </c>
      <c r="C55" s="16">
        <v>0.375</v>
      </c>
      <c r="D55" s="66">
        <v>37.69</v>
      </c>
      <c r="E55" s="418">
        <f t="shared" si="0"/>
        <v>56.088902828037284</v>
      </c>
      <c r="F55" s="416">
        <f t="shared" si="7"/>
        <v>2.6666666666666665</v>
      </c>
      <c r="G55" s="415">
        <f t="shared" si="1"/>
        <v>0.81280000123545593</v>
      </c>
      <c r="H55" s="404"/>
      <c r="I55" s="99" t="s">
        <v>1459</v>
      </c>
      <c r="J55" s="16">
        <v>0.3125</v>
      </c>
      <c r="K55" s="66">
        <v>40.35</v>
      </c>
      <c r="L55" s="415">
        <f t="shared" si="2"/>
        <v>60.047419185760269</v>
      </c>
      <c r="M55" s="416">
        <f>(14*2+6*2)*12/144</f>
        <v>3.3333333333333335</v>
      </c>
      <c r="N55" s="415">
        <f t="shared" si="3"/>
        <v>1.0160000015443202</v>
      </c>
    </row>
    <row r="56" spans="2:14" x14ac:dyDescent="0.15">
      <c r="B56" s="58" t="s">
        <v>1440</v>
      </c>
      <c r="C56" s="16">
        <v>0.3125</v>
      </c>
      <c r="D56" s="66">
        <v>31.84</v>
      </c>
      <c r="E56" s="418">
        <f t="shared" si="0"/>
        <v>47.383143169135238</v>
      </c>
      <c r="F56" s="416">
        <f t="shared" si="7"/>
        <v>2.6666666666666665</v>
      </c>
      <c r="G56" s="415">
        <f t="shared" si="1"/>
        <v>0.81280000123545593</v>
      </c>
      <c r="H56" s="404"/>
      <c r="I56" s="99" t="s">
        <v>1459</v>
      </c>
      <c r="J56" s="16">
        <v>0.25</v>
      </c>
      <c r="K56" s="66">
        <v>32.630000000000003</v>
      </c>
      <c r="L56" s="415">
        <f t="shared" si="2"/>
        <v>48.558792764098079</v>
      </c>
      <c r="M56" s="416">
        <f>(14*2+6*2)*12/144</f>
        <v>3.3333333333333335</v>
      </c>
      <c r="N56" s="415">
        <f t="shared" si="3"/>
        <v>1.0160000015443202</v>
      </c>
    </row>
    <row r="57" spans="2:14" x14ac:dyDescent="0.15">
      <c r="B57" s="58" t="s">
        <v>1440</v>
      </c>
      <c r="C57" s="16">
        <v>0.25</v>
      </c>
      <c r="D57" s="66">
        <v>25.82</v>
      </c>
      <c r="E57" s="418">
        <f t="shared" si="0"/>
        <v>38.42439562270954</v>
      </c>
      <c r="F57" s="416">
        <f t="shared" si="7"/>
        <v>2.6666666666666665</v>
      </c>
      <c r="G57" s="415">
        <f t="shared" si="1"/>
        <v>0.81280000123545593</v>
      </c>
      <c r="H57" s="404"/>
      <c r="I57" s="67"/>
      <c r="J57" s="409"/>
      <c r="K57" s="410"/>
      <c r="L57" s="410"/>
      <c r="M57" s="410"/>
      <c r="N57" s="411"/>
    </row>
    <row r="58" spans="2:14" x14ac:dyDescent="0.15">
      <c r="B58" s="58" t="s">
        <v>1440</v>
      </c>
      <c r="C58" s="16">
        <v>0.1875</v>
      </c>
      <c r="D58" s="66">
        <v>19.63</v>
      </c>
      <c r="E58" s="418">
        <f t="shared" si="0"/>
        <v>29.2126601887602</v>
      </c>
      <c r="F58" s="416">
        <f t="shared" si="7"/>
        <v>2.6666666666666665</v>
      </c>
      <c r="G58" s="415">
        <f t="shared" si="1"/>
        <v>0.81280000123545593</v>
      </c>
      <c r="H58" s="404"/>
      <c r="I58" s="99" t="s">
        <v>1460</v>
      </c>
      <c r="J58" s="16">
        <v>0.5</v>
      </c>
      <c r="K58" s="66">
        <v>55.66</v>
      </c>
      <c r="L58" s="415">
        <f t="shared" si="2"/>
        <v>82.831210703331251</v>
      </c>
      <c r="M58" s="416">
        <f>(14*2+4*2)*12/144</f>
        <v>3</v>
      </c>
      <c r="N58" s="415">
        <f t="shared" si="3"/>
        <v>0.91440000138988808</v>
      </c>
    </row>
    <row r="59" spans="2:14" x14ac:dyDescent="0.15">
      <c r="B59" s="67"/>
      <c r="C59" s="409"/>
      <c r="D59" s="410"/>
      <c r="E59" s="410"/>
      <c r="F59" s="410"/>
      <c r="G59" s="411"/>
      <c r="H59" s="404"/>
      <c r="I59" s="99" t="s">
        <v>1460</v>
      </c>
      <c r="J59" s="16">
        <v>0.375</v>
      </c>
      <c r="K59" s="66">
        <v>42.79</v>
      </c>
      <c r="L59" s="415">
        <f t="shared" si="2"/>
        <v>63.678539453746765</v>
      </c>
      <c r="M59" s="416">
        <f>(14*2+4*2)*12/144</f>
        <v>3</v>
      </c>
      <c r="N59" s="415">
        <f t="shared" si="3"/>
        <v>0.91440000138988808</v>
      </c>
    </row>
    <row r="60" spans="2:14" x14ac:dyDescent="0.15">
      <c r="B60" s="58" t="s">
        <v>1441</v>
      </c>
      <c r="C60" s="16">
        <v>0.5625</v>
      </c>
      <c r="D60" s="66">
        <v>46.51</v>
      </c>
      <c r="E60" s="418">
        <f t="shared" si="0"/>
        <v>69.214509698381903</v>
      </c>
      <c r="F60" s="416">
        <f t="shared" ref="F60:F65" si="8">7*4*12/144</f>
        <v>2.3333333333333335</v>
      </c>
      <c r="G60" s="415">
        <f t="shared" si="1"/>
        <v>0.7112000010810241</v>
      </c>
      <c r="H60" s="404"/>
      <c r="I60" s="99" t="s">
        <v>1460</v>
      </c>
      <c r="J60" s="16">
        <v>0.3125</v>
      </c>
      <c r="K60" s="66">
        <v>36.1</v>
      </c>
      <c r="L60" s="415">
        <f t="shared" si="2"/>
        <v>53.722721997669041</v>
      </c>
      <c r="M60" s="416">
        <f>(14*2+4*2)*12/144</f>
        <v>3</v>
      </c>
      <c r="N60" s="415">
        <f t="shared" si="3"/>
        <v>0.91440000138988808</v>
      </c>
    </row>
    <row r="61" spans="2:14" x14ac:dyDescent="0.15">
      <c r="B61" s="58" t="s">
        <v>1441</v>
      </c>
      <c r="C61" s="16">
        <v>0.5</v>
      </c>
      <c r="D61" s="66">
        <v>42.05</v>
      </c>
      <c r="E61" s="418">
        <f t="shared" si="0"/>
        <v>62.57729806099676</v>
      </c>
      <c r="F61" s="416">
        <f t="shared" si="8"/>
        <v>2.3333333333333335</v>
      </c>
      <c r="G61" s="415">
        <f t="shared" si="1"/>
        <v>0.7112000010810241</v>
      </c>
      <c r="H61" s="404"/>
      <c r="I61" s="99" t="s">
        <v>1460</v>
      </c>
      <c r="J61" s="16">
        <v>0.25</v>
      </c>
      <c r="K61" s="66">
        <v>29.23</v>
      </c>
      <c r="L61" s="415">
        <f t="shared" si="2"/>
        <v>43.499035013625104</v>
      </c>
      <c r="M61" s="416">
        <f>(14*2+4*2)*12/144</f>
        <v>3</v>
      </c>
      <c r="N61" s="415">
        <f t="shared" si="3"/>
        <v>0.91440000138988808</v>
      </c>
    </row>
    <row r="62" spans="2:14" x14ac:dyDescent="0.15">
      <c r="B62" s="58" t="s">
        <v>1441</v>
      </c>
      <c r="C62" s="16">
        <v>0.375</v>
      </c>
      <c r="D62" s="66">
        <v>32.58</v>
      </c>
      <c r="E62" s="418">
        <f t="shared" si="0"/>
        <v>48.484384561885243</v>
      </c>
      <c r="F62" s="416">
        <f t="shared" si="8"/>
        <v>2.3333333333333335</v>
      </c>
      <c r="G62" s="415">
        <f t="shared" si="1"/>
        <v>0.7112000010810241</v>
      </c>
      <c r="H62" s="404"/>
      <c r="I62" s="67"/>
      <c r="J62" s="409"/>
      <c r="K62" s="410"/>
      <c r="L62" s="410"/>
      <c r="M62" s="410"/>
      <c r="N62" s="411"/>
    </row>
    <row r="63" spans="2:14" x14ac:dyDescent="0.15">
      <c r="B63" s="58" t="s">
        <v>1441</v>
      </c>
      <c r="C63" s="16">
        <v>0.3125</v>
      </c>
      <c r="D63" s="66">
        <v>27.59</v>
      </c>
      <c r="E63" s="418">
        <f t="shared" si="0"/>
        <v>41.058445981044009</v>
      </c>
      <c r="F63" s="416">
        <f t="shared" si="8"/>
        <v>2.3333333333333335</v>
      </c>
      <c r="G63" s="415">
        <f t="shared" si="1"/>
        <v>0.7112000010810241</v>
      </c>
      <c r="H63" s="404"/>
      <c r="I63" s="99" t="s">
        <v>1461</v>
      </c>
      <c r="J63" s="16">
        <v>0.625</v>
      </c>
      <c r="K63" s="66">
        <v>76.33</v>
      </c>
      <c r="L63" s="415">
        <f t="shared" si="2"/>
        <v>113.59156149811849</v>
      </c>
      <c r="M63" s="416">
        <f>(12*2+8*2)*12/144</f>
        <v>3.3333333333333335</v>
      </c>
      <c r="N63" s="415">
        <f t="shared" si="3"/>
        <v>1.0160000015443202</v>
      </c>
    </row>
    <row r="64" spans="2:14" x14ac:dyDescent="0.15">
      <c r="B64" s="58" t="s">
        <v>1441</v>
      </c>
      <c r="C64" s="16">
        <v>0.25</v>
      </c>
      <c r="D64" s="66">
        <v>22.42</v>
      </c>
      <c r="E64" s="418">
        <f t="shared" si="0"/>
        <v>33.364637872236564</v>
      </c>
      <c r="F64" s="416">
        <f t="shared" si="8"/>
        <v>2.3333333333333335</v>
      </c>
      <c r="G64" s="415">
        <f t="shared" si="1"/>
        <v>0.7112000010810241</v>
      </c>
      <c r="H64" s="404"/>
      <c r="I64" s="99" t="s">
        <v>1461</v>
      </c>
      <c r="J64" s="16">
        <v>0.5625</v>
      </c>
      <c r="K64" s="66">
        <v>69.48</v>
      </c>
      <c r="L64" s="415">
        <f t="shared" si="2"/>
        <v>103.39763779495969</v>
      </c>
      <c r="M64" s="416">
        <f t="shared" ref="M64:M69" si="9">(12*2+8*2)*12/144</f>
        <v>3.3333333333333335</v>
      </c>
      <c r="N64" s="415">
        <f t="shared" si="3"/>
        <v>1.0160000015443202</v>
      </c>
    </row>
    <row r="65" spans="2:14" x14ac:dyDescent="0.15">
      <c r="B65" s="58" t="s">
        <v>1441</v>
      </c>
      <c r="C65" s="16">
        <v>0.1875</v>
      </c>
      <c r="D65" s="66">
        <v>17.079999999999998</v>
      </c>
      <c r="E65" s="418">
        <f t="shared" si="0"/>
        <v>25.417841875905459</v>
      </c>
      <c r="F65" s="416">
        <f t="shared" si="8"/>
        <v>2.3333333333333335</v>
      </c>
      <c r="G65" s="415">
        <f t="shared" si="1"/>
        <v>0.7112000010810241</v>
      </c>
      <c r="H65" s="404"/>
      <c r="I65" s="99" t="s">
        <v>1461</v>
      </c>
      <c r="J65" s="16">
        <v>0.5</v>
      </c>
      <c r="K65" s="66">
        <v>62.46</v>
      </c>
      <c r="L65" s="415">
        <f t="shared" si="2"/>
        <v>92.950726204277231</v>
      </c>
      <c r="M65" s="416">
        <f t="shared" si="9"/>
        <v>3.3333333333333335</v>
      </c>
      <c r="N65" s="415">
        <f t="shared" si="3"/>
        <v>1.0160000015443202</v>
      </c>
    </row>
    <row r="66" spans="2:14" x14ac:dyDescent="0.15">
      <c r="B66" s="67"/>
      <c r="C66" s="409"/>
      <c r="D66" s="410"/>
      <c r="E66" s="410"/>
      <c r="F66" s="410"/>
      <c r="G66" s="411"/>
      <c r="H66" s="404"/>
      <c r="I66" s="99" t="s">
        <v>1461</v>
      </c>
      <c r="J66" s="16">
        <v>0.375</v>
      </c>
      <c r="K66" s="66">
        <v>47.9</v>
      </c>
      <c r="L66" s="415">
        <f t="shared" si="2"/>
        <v>71.283057719898807</v>
      </c>
      <c r="M66" s="416">
        <f t="shared" si="9"/>
        <v>3.3333333333333335</v>
      </c>
      <c r="N66" s="415">
        <f t="shared" si="3"/>
        <v>1.0160000015443202</v>
      </c>
    </row>
    <row r="67" spans="2:14" x14ac:dyDescent="0.15">
      <c r="B67" s="58" t="s">
        <v>1442</v>
      </c>
      <c r="C67" s="16">
        <v>0.5625</v>
      </c>
      <c r="D67" s="66">
        <v>38.86</v>
      </c>
      <c r="E67" s="418">
        <f t="shared" si="0"/>
        <v>57.830054759817699</v>
      </c>
      <c r="F67" s="416">
        <f t="shared" ref="F67:F72" si="10">6*4*12/144</f>
        <v>2</v>
      </c>
      <c r="G67" s="415">
        <f t="shared" si="1"/>
        <v>0.60960000092659206</v>
      </c>
      <c r="H67" s="404"/>
      <c r="I67" s="99" t="s">
        <v>1461</v>
      </c>
      <c r="J67" s="16">
        <v>0.3125</v>
      </c>
      <c r="K67" s="66">
        <v>40.35</v>
      </c>
      <c r="L67" s="415">
        <f t="shared" si="2"/>
        <v>60.047419185760269</v>
      </c>
      <c r="M67" s="416">
        <f t="shared" si="9"/>
        <v>3.3333333333333335</v>
      </c>
      <c r="N67" s="415">
        <f t="shared" si="3"/>
        <v>1.0160000015443202</v>
      </c>
    </row>
    <row r="68" spans="2:14" x14ac:dyDescent="0.15">
      <c r="B68" s="58" t="s">
        <v>1442</v>
      </c>
      <c r="C68" s="16">
        <v>0.5</v>
      </c>
      <c r="D68" s="66">
        <v>35.24</v>
      </c>
      <c r="E68" s="418">
        <f t="shared" si="0"/>
        <v>52.442900919608228</v>
      </c>
      <c r="F68" s="416">
        <f t="shared" si="10"/>
        <v>2</v>
      </c>
      <c r="G68" s="415">
        <f t="shared" si="1"/>
        <v>0.60960000092659206</v>
      </c>
      <c r="H68" s="404"/>
      <c r="I68" s="99" t="s">
        <v>1461</v>
      </c>
      <c r="J68" s="16">
        <v>0.25</v>
      </c>
      <c r="K68" s="66">
        <v>32.630000000000003</v>
      </c>
      <c r="L68" s="415">
        <f t="shared" si="2"/>
        <v>48.558792764098079</v>
      </c>
      <c r="M68" s="416">
        <f t="shared" si="9"/>
        <v>3.3333333333333335</v>
      </c>
      <c r="N68" s="415">
        <f t="shared" si="3"/>
        <v>1.0160000015443202</v>
      </c>
    </row>
    <row r="69" spans="2:14" x14ac:dyDescent="0.15">
      <c r="B69" s="58" t="s">
        <v>1442</v>
      </c>
      <c r="C69" s="16">
        <v>0.375</v>
      </c>
      <c r="D69" s="66">
        <v>27.48</v>
      </c>
      <c r="E69" s="418">
        <f t="shared" si="0"/>
        <v>40.894747936175769</v>
      </c>
      <c r="F69" s="416">
        <f t="shared" si="10"/>
        <v>2</v>
      </c>
      <c r="G69" s="415">
        <f t="shared" si="1"/>
        <v>0.60960000092659206</v>
      </c>
      <c r="H69" s="404"/>
      <c r="I69" s="99" t="s">
        <v>1461</v>
      </c>
      <c r="J69" s="16">
        <v>0.1875</v>
      </c>
      <c r="K69" s="66">
        <v>24.73</v>
      </c>
      <c r="L69" s="415">
        <f t="shared" si="2"/>
        <v>36.802296814469678</v>
      </c>
      <c r="M69" s="416">
        <f t="shared" si="9"/>
        <v>3.3333333333333335</v>
      </c>
      <c r="N69" s="415">
        <f t="shared" si="3"/>
        <v>1.0160000015443202</v>
      </c>
    </row>
    <row r="70" spans="2:14" x14ac:dyDescent="0.15">
      <c r="B70" s="58" t="s">
        <v>1442</v>
      </c>
      <c r="C70" s="16">
        <v>0.3125</v>
      </c>
      <c r="D70" s="66">
        <v>23.34</v>
      </c>
      <c r="E70" s="418">
        <f t="shared" si="0"/>
        <v>34.733748792952781</v>
      </c>
      <c r="F70" s="416">
        <f t="shared" si="10"/>
        <v>2</v>
      </c>
      <c r="G70" s="415">
        <f t="shared" si="1"/>
        <v>0.60960000092659206</v>
      </c>
      <c r="H70" s="404"/>
      <c r="I70" s="67"/>
      <c r="J70" s="409"/>
      <c r="K70" s="410"/>
      <c r="L70" s="410"/>
      <c r="M70" s="410"/>
      <c r="N70" s="411"/>
    </row>
    <row r="71" spans="2:14" x14ac:dyDescent="0.15">
      <c r="B71" s="58" t="s">
        <v>1442</v>
      </c>
      <c r="C71" s="16">
        <v>0.25</v>
      </c>
      <c r="D71" s="66">
        <v>19.02</v>
      </c>
      <c r="E71" s="418">
        <f t="shared" si="0"/>
        <v>28.304880121763574</v>
      </c>
      <c r="F71" s="416">
        <f t="shared" si="10"/>
        <v>2</v>
      </c>
      <c r="G71" s="415">
        <f t="shared" si="1"/>
        <v>0.60960000092659206</v>
      </c>
      <c r="H71" s="404"/>
      <c r="I71" s="99" t="s">
        <v>1462</v>
      </c>
      <c r="J71" s="16">
        <v>0.625</v>
      </c>
      <c r="K71" s="66">
        <v>67.819999999999993</v>
      </c>
      <c r="L71" s="415">
        <f t="shared" si="2"/>
        <v>100.92728548149346</v>
      </c>
      <c r="M71" s="416">
        <f>(12*2+6*2)*12/144</f>
        <v>3</v>
      </c>
      <c r="N71" s="415">
        <f t="shared" si="3"/>
        <v>0.91440000138988808</v>
      </c>
    </row>
    <row r="72" spans="2:14" x14ac:dyDescent="0.15">
      <c r="B72" s="58" t="s">
        <v>1442</v>
      </c>
      <c r="C72" s="16">
        <v>0.1875</v>
      </c>
      <c r="D72" s="66">
        <v>14.53</v>
      </c>
      <c r="E72" s="418">
        <f t="shared" si="0"/>
        <v>21.623023563050722</v>
      </c>
      <c r="F72" s="416">
        <f t="shared" si="10"/>
        <v>2</v>
      </c>
      <c r="G72" s="415">
        <f t="shared" si="1"/>
        <v>0.60960000092659206</v>
      </c>
      <c r="H72" s="404"/>
      <c r="I72" s="99" t="s">
        <v>1462</v>
      </c>
      <c r="J72" s="16">
        <v>0.5625</v>
      </c>
      <c r="K72" s="66">
        <v>61.83</v>
      </c>
      <c r="L72" s="415">
        <f t="shared" si="2"/>
        <v>92.013182856395474</v>
      </c>
      <c r="M72" s="416">
        <f t="shared" ref="M72:M77" si="11">(12*2+6*2)*12/144</f>
        <v>3</v>
      </c>
      <c r="N72" s="415">
        <f t="shared" si="3"/>
        <v>0.91440000138988808</v>
      </c>
    </row>
    <row r="73" spans="2:14" x14ac:dyDescent="0.15">
      <c r="B73" s="67"/>
      <c r="C73" s="409"/>
      <c r="D73" s="410"/>
      <c r="E73" s="410"/>
      <c r="F73" s="410"/>
      <c r="G73" s="411"/>
      <c r="H73" s="404"/>
      <c r="I73" s="99" t="s">
        <v>1462</v>
      </c>
      <c r="J73" s="16">
        <v>0.5</v>
      </c>
      <c r="K73" s="66">
        <v>55.66</v>
      </c>
      <c r="L73" s="415">
        <f t="shared" si="2"/>
        <v>82.831210703331251</v>
      </c>
      <c r="M73" s="416">
        <f t="shared" si="11"/>
        <v>3</v>
      </c>
      <c r="N73" s="415">
        <f t="shared" si="3"/>
        <v>0.91440000138988808</v>
      </c>
    </row>
    <row r="74" spans="2:14" x14ac:dyDescent="0.15">
      <c r="B74" s="58" t="s">
        <v>1443</v>
      </c>
      <c r="C74" s="16">
        <v>0.5</v>
      </c>
      <c r="D74" s="66">
        <v>28.43</v>
      </c>
      <c r="E74" s="418">
        <f t="shared" si="0"/>
        <v>42.308503778219688</v>
      </c>
      <c r="F74" s="416">
        <f>5*4*12/144</f>
        <v>1.6666666666666667</v>
      </c>
      <c r="G74" s="415">
        <f t="shared" si="1"/>
        <v>0.50800000077216012</v>
      </c>
      <c r="H74" s="404"/>
      <c r="I74" s="99" t="s">
        <v>1462</v>
      </c>
      <c r="J74" s="16">
        <v>0.375</v>
      </c>
      <c r="K74" s="66">
        <v>42.79</v>
      </c>
      <c r="L74" s="415">
        <f t="shared" si="2"/>
        <v>63.678539453746765</v>
      </c>
      <c r="M74" s="416">
        <f t="shared" si="11"/>
        <v>3</v>
      </c>
      <c r="N74" s="415">
        <f t="shared" si="3"/>
        <v>0.91440000138988808</v>
      </c>
    </row>
    <row r="75" spans="2:14" x14ac:dyDescent="0.15">
      <c r="B75" s="58" t="s">
        <v>1443</v>
      </c>
      <c r="C75" s="16">
        <v>0.375</v>
      </c>
      <c r="D75" s="66">
        <v>22.37</v>
      </c>
      <c r="E75" s="418">
        <f t="shared" si="0"/>
        <v>33.290229670023727</v>
      </c>
      <c r="F75" s="416">
        <f>5*4*12/144</f>
        <v>1.6666666666666667</v>
      </c>
      <c r="G75" s="415">
        <f t="shared" si="1"/>
        <v>0.50800000077216012</v>
      </c>
      <c r="H75" s="404"/>
      <c r="I75" s="99" t="s">
        <v>1462</v>
      </c>
      <c r="J75" s="16">
        <v>0.3125</v>
      </c>
      <c r="K75" s="66">
        <v>36.1</v>
      </c>
      <c r="L75" s="415">
        <f t="shared" si="2"/>
        <v>53.722721997669041</v>
      </c>
      <c r="M75" s="416">
        <f t="shared" si="11"/>
        <v>3</v>
      </c>
      <c r="N75" s="415">
        <f t="shared" si="3"/>
        <v>0.91440000138988808</v>
      </c>
    </row>
    <row r="76" spans="2:14" x14ac:dyDescent="0.15">
      <c r="B76" s="58" t="s">
        <v>1443</v>
      </c>
      <c r="C76" s="16">
        <v>0.3125</v>
      </c>
      <c r="D76" s="66">
        <v>19.079999999999998</v>
      </c>
      <c r="E76" s="418">
        <f t="shared" si="0"/>
        <v>28.394169964418978</v>
      </c>
      <c r="F76" s="416">
        <f>5*4*12/144</f>
        <v>1.6666666666666667</v>
      </c>
      <c r="G76" s="415">
        <f t="shared" si="1"/>
        <v>0.50800000077216012</v>
      </c>
      <c r="H76" s="404"/>
      <c r="I76" s="99" t="s">
        <v>1462</v>
      </c>
      <c r="J76" s="16">
        <v>0.25</v>
      </c>
      <c r="K76" s="66">
        <v>29.23</v>
      </c>
      <c r="L76" s="415">
        <f t="shared" si="2"/>
        <v>43.499035013625104</v>
      </c>
      <c r="M76" s="416">
        <f t="shared" si="11"/>
        <v>3</v>
      </c>
      <c r="N76" s="415">
        <f t="shared" si="3"/>
        <v>0.91440000138988808</v>
      </c>
    </row>
    <row r="77" spans="2:14" x14ac:dyDescent="0.15">
      <c r="B77" s="58" t="s">
        <v>1443</v>
      </c>
      <c r="C77" s="16">
        <v>0.25</v>
      </c>
      <c r="D77" s="66">
        <v>15.62</v>
      </c>
      <c r="E77" s="418">
        <f t="shared" si="0"/>
        <v>23.245122371290591</v>
      </c>
      <c r="F77" s="416">
        <f>5*4*12/144</f>
        <v>1.6666666666666667</v>
      </c>
      <c r="G77" s="415">
        <f t="shared" si="1"/>
        <v>0.50800000077216012</v>
      </c>
      <c r="H77" s="404"/>
      <c r="I77" s="99" t="s">
        <v>1462</v>
      </c>
      <c r="J77" s="16">
        <v>0.1875</v>
      </c>
      <c r="K77" s="66">
        <v>22.18</v>
      </c>
      <c r="L77" s="415">
        <f t="shared" si="2"/>
        <v>33.007478501614941</v>
      </c>
      <c r="M77" s="416">
        <f t="shared" si="11"/>
        <v>3</v>
      </c>
      <c r="N77" s="415">
        <f t="shared" si="3"/>
        <v>0.91440000138988808</v>
      </c>
    </row>
    <row r="78" spans="2:14" x14ac:dyDescent="0.15">
      <c r="B78" s="58" t="s">
        <v>1443</v>
      </c>
      <c r="C78" s="16">
        <v>0.1875</v>
      </c>
      <c r="D78" s="66">
        <v>11.97</v>
      </c>
      <c r="E78" s="418">
        <f t="shared" si="0"/>
        <v>17.813323609753418</v>
      </c>
      <c r="F78" s="416">
        <f>5*4*12/144</f>
        <v>1.6666666666666667</v>
      </c>
      <c r="G78" s="415">
        <f t="shared" si="1"/>
        <v>0.50800000077216012</v>
      </c>
      <c r="H78" s="404"/>
      <c r="I78" s="67"/>
      <c r="J78" s="409"/>
      <c r="K78" s="410"/>
      <c r="L78" s="410"/>
      <c r="M78" s="410"/>
      <c r="N78" s="411"/>
    </row>
    <row r="79" spans="2:14" x14ac:dyDescent="0.15">
      <c r="B79" s="67"/>
      <c r="C79" s="409"/>
      <c r="D79" s="410"/>
      <c r="E79" s="410"/>
      <c r="F79" s="410"/>
      <c r="G79" s="411"/>
      <c r="H79" s="404"/>
      <c r="I79" s="99" t="s">
        <v>1463</v>
      </c>
      <c r="J79" s="16">
        <v>0.625</v>
      </c>
      <c r="K79" s="66">
        <v>59.32</v>
      </c>
      <c r="L79" s="415">
        <f t="shared" si="2"/>
        <v>88.277891105311014</v>
      </c>
      <c r="M79" s="416">
        <f>(12*2+4*2)*12/144</f>
        <v>2.6666666666666665</v>
      </c>
      <c r="N79" s="415">
        <f t="shared" si="3"/>
        <v>0.81280000123545593</v>
      </c>
    </row>
    <row r="80" spans="2:14" x14ac:dyDescent="0.15">
      <c r="B80" s="58" t="s">
        <v>1638</v>
      </c>
      <c r="C80" s="16">
        <v>0.25</v>
      </c>
      <c r="D80" s="66">
        <v>13.91</v>
      </c>
      <c r="E80" s="418">
        <f t="shared" si="0"/>
        <v>20.700361855611533</v>
      </c>
      <c r="F80" s="416">
        <f>4.5*4*12/144</f>
        <v>1.5</v>
      </c>
      <c r="G80" s="415">
        <f t="shared" si="1"/>
        <v>0.45720000069494404</v>
      </c>
      <c r="H80" s="404"/>
      <c r="I80" s="99" t="s">
        <v>1463</v>
      </c>
      <c r="J80" s="16">
        <v>0.5625</v>
      </c>
      <c r="K80" s="66">
        <v>54.17</v>
      </c>
      <c r="L80" s="415">
        <f t="shared" si="2"/>
        <v>80.613846277388689</v>
      </c>
      <c r="M80" s="416">
        <f t="shared" ref="M80:M85" si="12">(12*2+4*2)*12/144</f>
        <v>2.6666666666666665</v>
      </c>
      <c r="N80" s="415">
        <f t="shared" si="3"/>
        <v>0.81280000123545593</v>
      </c>
    </row>
    <row r="81" spans="2:14" x14ac:dyDescent="0.15">
      <c r="B81" s="58" t="s">
        <v>1638</v>
      </c>
      <c r="C81" s="16">
        <v>0.1875</v>
      </c>
      <c r="D81" s="66">
        <v>10.7</v>
      </c>
      <c r="E81" s="418">
        <f t="shared" si="0"/>
        <v>15.923355273547333</v>
      </c>
      <c r="F81" s="416">
        <f>4.5*4*12/144</f>
        <v>1.5</v>
      </c>
      <c r="G81" s="415">
        <f t="shared" si="1"/>
        <v>0.45720000069494404</v>
      </c>
      <c r="H81" s="404"/>
      <c r="I81" s="99" t="s">
        <v>1463</v>
      </c>
      <c r="J81" s="16">
        <v>0.5</v>
      </c>
      <c r="K81" s="66">
        <v>48.85</v>
      </c>
      <c r="L81" s="415">
        <f t="shared" si="2"/>
        <v>72.696813561942733</v>
      </c>
      <c r="M81" s="416">
        <f t="shared" si="12"/>
        <v>2.6666666666666665</v>
      </c>
      <c r="N81" s="415">
        <f t="shared" si="3"/>
        <v>0.81280000123545593</v>
      </c>
    </row>
    <row r="82" spans="2:14" x14ac:dyDescent="0.15">
      <c r="B82" s="67"/>
      <c r="C82" s="409"/>
      <c r="D82" s="410"/>
      <c r="E82" s="410"/>
      <c r="F82" s="410"/>
      <c r="G82" s="411"/>
      <c r="H82" s="404"/>
      <c r="I82" s="99" t="s">
        <v>1463</v>
      </c>
      <c r="J82" s="16">
        <v>0.375</v>
      </c>
      <c r="K82" s="66">
        <v>37.69</v>
      </c>
      <c r="L82" s="415">
        <f t="shared" si="2"/>
        <v>56.088902828037284</v>
      </c>
      <c r="M82" s="416">
        <f t="shared" si="12"/>
        <v>2.6666666666666665</v>
      </c>
      <c r="N82" s="415">
        <f t="shared" si="3"/>
        <v>0.81280000123545593</v>
      </c>
    </row>
    <row r="83" spans="2:14" x14ac:dyDescent="0.15">
      <c r="B83" s="58" t="s">
        <v>1444</v>
      </c>
      <c r="C83" s="16">
        <v>0.5</v>
      </c>
      <c r="D83" s="66">
        <v>21.63</v>
      </c>
      <c r="E83" s="418">
        <f t="shared" si="0"/>
        <v>32.188988277273715</v>
      </c>
      <c r="F83" s="416">
        <f>4*4*12/144</f>
        <v>1.3333333333333333</v>
      </c>
      <c r="G83" s="415">
        <f t="shared" si="1"/>
        <v>0.40640000061772796</v>
      </c>
      <c r="H83" s="404"/>
      <c r="I83" s="99" t="s">
        <v>1463</v>
      </c>
      <c r="J83" s="16">
        <v>0.3125</v>
      </c>
      <c r="K83" s="66">
        <v>31.84</v>
      </c>
      <c r="L83" s="415">
        <f t="shared" si="2"/>
        <v>47.383143169135238</v>
      </c>
      <c r="M83" s="416">
        <f t="shared" si="12"/>
        <v>2.6666666666666665</v>
      </c>
      <c r="N83" s="415">
        <f t="shared" si="3"/>
        <v>0.81280000123545593</v>
      </c>
    </row>
    <row r="84" spans="2:14" x14ac:dyDescent="0.15">
      <c r="B84" s="58" t="s">
        <v>1444</v>
      </c>
      <c r="C84" s="16">
        <v>0.375</v>
      </c>
      <c r="D84" s="66">
        <v>17.27</v>
      </c>
      <c r="E84" s="418">
        <f t="shared" si="0"/>
        <v>25.700593044314246</v>
      </c>
      <c r="F84" s="416">
        <f>4*4*12/144</f>
        <v>1.3333333333333333</v>
      </c>
      <c r="G84" s="415">
        <f t="shared" si="1"/>
        <v>0.40640000061772796</v>
      </c>
      <c r="H84" s="404"/>
      <c r="I84" s="99" t="s">
        <v>1463</v>
      </c>
      <c r="J84" s="16">
        <v>0.25</v>
      </c>
      <c r="K84" s="66">
        <v>25.82</v>
      </c>
      <c r="L84" s="415">
        <f t="shared" si="2"/>
        <v>38.42439562270954</v>
      </c>
      <c r="M84" s="416">
        <f t="shared" si="12"/>
        <v>2.6666666666666665</v>
      </c>
      <c r="N84" s="415">
        <f t="shared" si="3"/>
        <v>0.81280000123545593</v>
      </c>
    </row>
    <row r="85" spans="2:14" x14ac:dyDescent="0.15">
      <c r="B85" s="58" t="s">
        <v>1444</v>
      </c>
      <c r="C85" s="16">
        <v>0.3125</v>
      </c>
      <c r="D85" s="66">
        <v>14.83</v>
      </c>
      <c r="E85" s="418">
        <f t="shared" ref="E85:E103" si="13">D85*3.2808399*0.4535924</f>
        <v>22.069472776327753</v>
      </c>
      <c r="F85" s="416">
        <f>4*4*12/144</f>
        <v>1.3333333333333333</v>
      </c>
      <c r="G85" s="415">
        <f t="shared" ref="G85:G103" si="14">(F85*3.2808399)*0.09290304</f>
        <v>0.40640000061772796</v>
      </c>
      <c r="H85" s="404"/>
      <c r="I85" s="99" t="s">
        <v>1463</v>
      </c>
      <c r="J85" s="16">
        <v>0.1875</v>
      </c>
      <c r="K85" s="66">
        <v>19.63</v>
      </c>
      <c r="L85" s="415">
        <f>K85*3.2808399*0.4535924</f>
        <v>29.2126601887602</v>
      </c>
      <c r="M85" s="416">
        <f t="shared" si="12"/>
        <v>2.6666666666666665</v>
      </c>
      <c r="N85" s="415">
        <f>(M85*3.2808399)*0.09290304</f>
        <v>0.81280000123545593</v>
      </c>
    </row>
    <row r="86" spans="2:14" x14ac:dyDescent="0.15">
      <c r="B86" s="58" t="s">
        <v>1444</v>
      </c>
      <c r="C86" s="16">
        <v>0.25</v>
      </c>
      <c r="D86" s="66">
        <v>12.21</v>
      </c>
      <c r="E86" s="418">
        <f t="shared" si="13"/>
        <v>18.170482980375041</v>
      </c>
      <c r="F86" s="416">
        <f>4*4*12/144</f>
        <v>1.3333333333333333</v>
      </c>
      <c r="G86" s="415">
        <f t="shared" si="14"/>
        <v>0.40640000061772796</v>
      </c>
      <c r="H86" s="404"/>
      <c r="I86" s="67"/>
      <c r="J86" s="409"/>
      <c r="K86" s="410"/>
      <c r="L86" s="410"/>
      <c r="M86" s="410"/>
      <c r="N86" s="411"/>
    </row>
    <row r="87" spans="2:14" x14ac:dyDescent="0.15">
      <c r="B87" s="58" t="s">
        <v>1444</v>
      </c>
      <c r="C87" s="16">
        <v>0.1875</v>
      </c>
      <c r="D87" s="66">
        <v>9.42</v>
      </c>
      <c r="E87" s="418">
        <f t="shared" si="13"/>
        <v>14.018505296898679</v>
      </c>
      <c r="F87" s="416">
        <f>4*4*12/144</f>
        <v>1.3333333333333333</v>
      </c>
      <c r="G87" s="415">
        <f t="shared" si="14"/>
        <v>0.40640000061772796</v>
      </c>
      <c r="H87" s="404"/>
      <c r="I87" s="99" t="s">
        <v>1464</v>
      </c>
      <c r="J87" s="16">
        <v>0.25</v>
      </c>
      <c r="K87" s="66">
        <v>22.42</v>
      </c>
      <c r="L87" s="415">
        <f t="shared" ref="L87:L150" si="15">K87*3.2808399*0.4535924</f>
        <v>33.364637872236564</v>
      </c>
      <c r="M87" s="416">
        <f>(12*2+2*2)*12/144</f>
        <v>2.3333333333333335</v>
      </c>
      <c r="N87" s="415">
        <f t="shared" ref="N87:N150" si="16">(M87*3.2808399)*0.09290304</f>
        <v>0.7112000010810241</v>
      </c>
    </row>
    <row r="88" spans="2:14" x14ac:dyDescent="0.15">
      <c r="B88" s="67"/>
      <c r="C88" s="409"/>
      <c r="D88" s="410"/>
      <c r="E88" s="410"/>
      <c r="F88" s="410"/>
      <c r="G88" s="411"/>
      <c r="H88" s="404"/>
      <c r="I88" s="99" t="s">
        <v>1464</v>
      </c>
      <c r="J88" s="16">
        <v>0.1875</v>
      </c>
      <c r="K88" s="66">
        <v>17.079999999999998</v>
      </c>
      <c r="L88" s="415">
        <f t="shared" si="15"/>
        <v>25.417841875905459</v>
      </c>
      <c r="M88" s="416">
        <f>(12*2+2*2)*12/144</f>
        <v>2.3333333333333335</v>
      </c>
      <c r="N88" s="415">
        <f t="shared" si="16"/>
        <v>0.7112000010810241</v>
      </c>
    </row>
    <row r="89" spans="2:14" x14ac:dyDescent="0.15">
      <c r="B89" s="58" t="s">
        <v>1445</v>
      </c>
      <c r="C89" s="16">
        <v>0.3125</v>
      </c>
      <c r="D89" s="66">
        <v>12.7</v>
      </c>
      <c r="E89" s="418">
        <f t="shared" si="13"/>
        <v>18.899683362060852</v>
      </c>
      <c r="F89" s="416">
        <f>3.5*4*12/144</f>
        <v>1.1666666666666667</v>
      </c>
      <c r="G89" s="415">
        <f t="shared" si="14"/>
        <v>0.35560000054051205</v>
      </c>
      <c r="H89" s="404"/>
      <c r="I89" s="67"/>
      <c r="J89" s="409"/>
      <c r="K89" s="410"/>
      <c r="L89" s="410"/>
      <c r="M89" s="410"/>
      <c r="N89" s="411"/>
    </row>
    <row r="90" spans="2:14" x14ac:dyDescent="0.15">
      <c r="B90" s="58" t="s">
        <v>1445</v>
      </c>
      <c r="C90" s="16">
        <v>0.25</v>
      </c>
      <c r="D90" s="66">
        <v>10.51</v>
      </c>
      <c r="E90" s="418">
        <f t="shared" si="13"/>
        <v>15.640604105138548</v>
      </c>
      <c r="F90" s="416">
        <f>3.5*4*12/144</f>
        <v>1.1666666666666667</v>
      </c>
      <c r="G90" s="415">
        <f t="shared" si="14"/>
        <v>0.35560000054051205</v>
      </c>
      <c r="H90" s="404"/>
      <c r="I90" s="99" t="s">
        <v>1639</v>
      </c>
      <c r="J90" s="16">
        <v>0.625</v>
      </c>
      <c r="K90" s="66">
        <v>67.819999999999993</v>
      </c>
      <c r="L90" s="415">
        <f t="shared" si="15"/>
        <v>100.92728548149346</v>
      </c>
      <c r="M90" s="416">
        <f>(10*2+8*2)*12/144</f>
        <v>3</v>
      </c>
      <c r="N90" s="415">
        <f t="shared" si="16"/>
        <v>0.91440000138988808</v>
      </c>
    </row>
    <row r="91" spans="2:14" x14ac:dyDescent="0.15">
      <c r="B91" s="58" t="s">
        <v>1445</v>
      </c>
      <c r="C91" s="16">
        <v>0.1875</v>
      </c>
      <c r="D91" s="66">
        <v>8.15</v>
      </c>
      <c r="E91" s="418">
        <f t="shared" si="13"/>
        <v>12.128536960692596</v>
      </c>
      <c r="F91" s="416">
        <f>3.5*4*12/144</f>
        <v>1.1666666666666667</v>
      </c>
      <c r="G91" s="415">
        <f t="shared" si="14"/>
        <v>0.35560000054051205</v>
      </c>
      <c r="H91" s="404"/>
      <c r="I91" s="99" t="s">
        <v>1639</v>
      </c>
      <c r="J91" s="16">
        <v>0.5625</v>
      </c>
      <c r="K91" s="66">
        <v>61.83</v>
      </c>
      <c r="L91" s="415">
        <f t="shared" si="15"/>
        <v>92.013182856395474</v>
      </c>
      <c r="M91" s="416">
        <f t="shared" ref="M91:M96" si="17">(10*2+8*2)*12/144</f>
        <v>3</v>
      </c>
      <c r="N91" s="415">
        <f t="shared" si="16"/>
        <v>0.91440000138988808</v>
      </c>
    </row>
    <row r="92" spans="2:14" x14ac:dyDescent="0.15">
      <c r="B92" s="67"/>
      <c r="C92" s="409"/>
      <c r="D92" s="410"/>
      <c r="E92" s="410"/>
      <c r="F92" s="410"/>
      <c r="G92" s="411"/>
      <c r="H92" s="404"/>
      <c r="I92" s="99" t="s">
        <v>1639</v>
      </c>
      <c r="J92" s="16">
        <v>0.5</v>
      </c>
      <c r="K92" s="66">
        <v>55.66</v>
      </c>
      <c r="L92" s="415">
        <f t="shared" si="15"/>
        <v>82.831210703331251</v>
      </c>
      <c r="M92" s="416">
        <f t="shared" si="17"/>
        <v>3</v>
      </c>
      <c r="N92" s="415">
        <f t="shared" si="16"/>
        <v>0.91440000138988808</v>
      </c>
    </row>
    <row r="93" spans="2:14" x14ac:dyDescent="0.15">
      <c r="B93" s="58" t="s">
        <v>1446</v>
      </c>
      <c r="C93" s="16">
        <v>0.3125</v>
      </c>
      <c r="D93" s="66">
        <v>10.58</v>
      </c>
      <c r="E93" s="418">
        <f t="shared" si="13"/>
        <v>15.74477558823652</v>
      </c>
      <c r="F93" s="416">
        <f>3*4*12/144</f>
        <v>1</v>
      </c>
      <c r="G93" s="415">
        <f t="shared" si="14"/>
        <v>0.30480000046329603</v>
      </c>
      <c r="H93" s="404"/>
      <c r="I93" s="99" t="s">
        <v>1639</v>
      </c>
      <c r="J93" s="16">
        <v>0.375</v>
      </c>
      <c r="K93" s="66">
        <v>42.79</v>
      </c>
      <c r="L93" s="415">
        <f t="shared" si="15"/>
        <v>63.678539453746765</v>
      </c>
      <c r="M93" s="416">
        <f t="shared" si="17"/>
        <v>3</v>
      </c>
      <c r="N93" s="415">
        <f t="shared" si="16"/>
        <v>0.91440000138988808</v>
      </c>
    </row>
    <row r="94" spans="2:14" x14ac:dyDescent="0.15">
      <c r="B94" s="58" t="s">
        <v>1446</v>
      </c>
      <c r="C94" s="16">
        <v>0.25</v>
      </c>
      <c r="D94" s="66">
        <v>8.81</v>
      </c>
      <c r="E94" s="418">
        <f t="shared" si="13"/>
        <v>13.110725229902057</v>
      </c>
      <c r="F94" s="416">
        <f>3*4*12/144</f>
        <v>1</v>
      </c>
      <c r="G94" s="415">
        <f t="shared" si="14"/>
        <v>0.30480000046329603</v>
      </c>
      <c r="H94" s="404"/>
      <c r="I94" s="99" t="s">
        <v>1639</v>
      </c>
      <c r="J94" s="16">
        <v>0.3125</v>
      </c>
      <c r="K94" s="66">
        <v>36.1</v>
      </c>
      <c r="L94" s="415">
        <f t="shared" si="15"/>
        <v>53.722721997669041</v>
      </c>
      <c r="M94" s="416">
        <f t="shared" si="17"/>
        <v>3</v>
      </c>
      <c r="N94" s="415">
        <f t="shared" si="16"/>
        <v>0.91440000138988808</v>
      </c>
    </row>
    <row r="95" spans="2:14" x14ac:dyDescent="0.15">
      <c r="B95" s="58" t="s">
        <v>1446</v>
      </c>
      <c r="C95" s="16">
        <v>0.1875</v>
      </c>
      <c r="D95" s="66">
        <v>6.87</v>
      </c>
      <c r="E95" s="418">
        <f t="shared" si="13"/>
        <v>10.223686984043942</v>
      </c>
      <c r="F95" s="416">
        <f>3*4*12/144</f>
        <v>1</v>
      </c>
      <c r="G95" s="415">
        <f t="shared" si="14"/>
        <v>0.30480000046329603</v>
      </c>
      <c r="H95" s="404"/>
      <c r="I95" s="99" t="s">
        <v>1639</v>
      </c>
      <c r="J95" s="16">
        <v>0.25</v>
      </c>
      <c r="K95" s="66">
        <v>29.23</v>
      </c>
      <c r="L95" s="415">
        <f t="shared" si="15"/>
        <v>43.499035013625104</v>
      </c>
      <c r="M95" s="416">
        <f t="shared" si="17"/>
        <v>3</v>
      </c>
      <c r="N95" s="415">
        <f t="shared" si="16"/>
        <v>0.91440000138988808</v>
      </c>
    </row>
    <row r="96" spans="2:14" x14ac:dyDescent="0.15">
      <c r="B96" s="67"/>
      <c r="C96" s="409"/>
      <c r="D96" s="410"/>
      <c r="E96" s="410"/>
      <c r="F96" s="410"/>
      <c r="G96" s="411"/>
      <c r="H96" s="404"/>
      <c r="I96" s="99" t="s">
        <v>1639</v>
      </c>
      <c r="J96" s="16">
        <v>0.1875</v>
      </c>
      <c r="K96" s="66">
        <v>22.18</v>
      </c>
      <c r="L96" s="415">
        <f t="shared" si="15"/>
        <v>33.007478501614941</v>
      </c>
      <c r="M96" s="416">
        <f t="shared" si="17"/>
        <v>3</v>
      </c>
      <c r="N96" s="415">
        <f t="shared" si="16"/>
        <v>0.91440000138988808</v>
      </c>
    </row>
    <row r="97" spans="2:14" x14ac:dyDescent="0.15">
      <c r="B97" s="58" t="s">
        <v>1447</v>
      </c>
      <c r="C97" s="16">
        <v>0.3125</v>
      </c>
      <c r="D97" s="66">
        <v>8.4499999999999993</v>
      </c>
      <c r="E97" s="418">
        <f t="shared" si="13"/>
        <v>12.574986173969622</v>
      </c>
      <c r="F97" s="416">
        <f>2.5*4*12/144</f>
        <v>0.83333333333333337</v>
      </c>
      <c r="G97" s="415">
        <f t="shared" si="14"/>
        <v>0.25400000038608006</v>
      </c>
      <c r="H97" s="404"/>
      <c r="I97" s="67"/>
      <c r="J97" s="409"/>
      <c r="K97" s="410"/>
      <c r="L97" s="410"/>
      <c r="M97" s="410"/>
      <c r="N97" s="411"/>
    </row>
    <row r="98" spans="2:14" x14ac:dyDescent="0.15">
      <c r="B98" s="58" t="s">
        <v>1447</v>
      </c>
      <c r="C98" s="16">
        <v>0.25</v>
      </c>
      <c r="D98" s="66">
        <v>7.11</v>
      </c>
      <c r="E98" s="418">
        <f t="shared" si="13"/>
        <v>10.580846354665564</v>
      </c>
      <c r="F98" s="416">
        <f>2.5*4*12/144</f>
        <v>0.83333333333333337</v>
      </c>
      <c r="G98" s="415">
        <f t="shared" si="14"/>
        <v>0.25400000038608006</v>
      </c>
      <c r="H98" s="404"/>
      <c r="I98" s="99" t="s">
        <v>1465</v>
      </c>
      <c r="J98" s="16">
        <v>0.625</v>
      </c>
      <c r="K98" s="66">
        <v>59.32</v>
      </c>
      <c r="L98" s="415">
        <f t="shared" si="15"/>
        <v>88.277891105311014</v>
      </c>
      <c r="M98" s="416">
        <f>(10*2+6*2)*12/144</f>
        <v>2.6666666666666665</v>
      </c>
      <c r="N98" s="415">
        <f t="shared" si="16"/>
        <v>0.81280000123545593</v>
      </c>
    </row>
    <row r="99" spans="2:14" x14ac:dyDescent="0.15">
      <c r="B99" s="58" t="s">
        <v>1447</v>
      </c>
      <c r="C99" s="16">
        <v>0.1875</v>
      </c>
      <c r="D99" s="66">
        <v>5.59</v>
      </c>
      <c r="E99" s="418">
        <f t="shared" si="13"/>
        <v>8.31883700739529</v>
      </c>
      <c r="F99" s="416">
        <f>2.5*4*12/144</f>
        <v>0.83333333333333337</v>
      </c>
      <c r="G99" s="415">
        <f t="shared" si="14"/>
        <v>0.25400000038608006</v>
      </c>
      <c r="H99" s="404"/>
      <c r="I99" s="99" t="s">
        <v>1465</v>
      </c>
      <c r="J99" s="16">
        <v>0.5625</v>
      </c>
      <c r="K99" s="66">
        <v>54.17</v>
      </c>
      <c r="L99" s="415">
        <f t="shared" si="15"/>
        <v>80.613846277388689</v>
      </c>
      <c r="M99" s="416">
        <f t="shared" ref="M99:M104" si="18">(10*2+6*2)*12/144</f>
        <v>2.6666666666666665</v>
      </c>
      <c r="N99" s="415">
        <f t="shared" si="16"/>
        <v>0.81280000123545593</v>
      </c>
    </row>
    <row r="100" spans="2:14" x14ac:dyDescent="0.15">
      <c r="B100" s="67"/>
      <c r="C100" s="409"/>
      <c r="D100" s="410"/>
      <c r="E100" s="410"/>
      <c r="F100" s="410"/>
      <c r="G100" s="411"/>
      <c r="H100" s="404"/>
      <c r="I100" s="99" t="s">
        <v>1465</v>
      </c>
      <c r="J100" s="16">
        <v>0.5</v>
      </c>
      <c r="K100" s="66">
        <v>48.85</v>
      </c>
      <c r="L100" s="415">
        <f t="shared" si="15"/>
        <v>72.696813561942733</v>
      </c>
      <c r="M100" s="416">
        <f t="shared" si="18"/>
        <v>2.6666666666666665</v>
      </c>
      <c r="N100" s="415">
        <f t="shared" si="16"/>
        <v>0.81280000123545593</v>
      </c>
    </row>
    <row r="101" spans="2:14" x14ac:dyDescent="0.15">
      <c r="B101" s="58" t="s">
        <v>1448</v>
      </c>
      <c r="C101" s="16">
        <v>0.3125</v>
      </c>
      <c r="D101" s="66">
        <v>6.32</v>
      </c>
      <c r="E101" s="418">
        <f t="shared" si="13"/>
        <v>9.405196759702724</v>
      </c>
      <c r="F101" s="416">
        <f>2*4*12/144</f>
        <v>0.66666666666666663</v>
      </c>
      <c r="G101" s="415">
        <f t="shared" si="14"/>
        <v>0.20320000030886398</v>
      </c>
      <c r="H101" s="404"/>
      <c r="I101" s="99" t="s">
        <v>1465</v>
      </c>
      <c r="J101" s="16">
        <v>0.375</v>
      </c>
      <c r="K101" s="66">
        <v>37.69</v>
      </c>
      <c r="L101" s="415">
        <f t="shared" si="15"/>
        <v>56.088902828037284</v>
      </c>
      <c r="M101" s="416">
        <f t="shared" si="18"/>
        <v>2.6666666666666665</v>
      </c>
      <c r="N101" s="415">
        <f t="shared" si="16"/>
        <v>0.81280000123545593</v>
      </c>
    </row>
    <row r="102" spans="2:14" x14ac:dyDescent="0.15">
      <c r="B102" s="58" t="s">
        <v>1448</v>
      </c>
      <c r="C102" s="16">
        <v>0.25</v>
      </c>
      <c r="D102" s="66">
        <v>5.41</v>
      </c>
      <c r="E102" s="418">
        <f t="shared" si="13"/>
        <v>8.0509674794290724</v>
      </c>
      <c r="F102" s="416">
        <f>2*4*12/144</f>
        <v>0.66666666666666663</v>
      </c>
      <c r="G102" s="415">
        <f t="shared" si="14"/>
        <v>0.20320000030886398</v>
      </c>
      <c r="H102" s="404"/>
      <c r="I102" s="99" t="s">
        <v>1465</v>
      </c>
      <c r="J102" s="16">
        <v>0.3125</v>
      </c>
      <c r="K102" s="66">
        <v>31.84</v>
      </c>
      <c r="L102" s="415">
        <f t="shared" si="15"/>
        <v>47.383143169135238</v>
      </c>
      <c r="M102" s="416">
        <f t="shared" si="18"/>
        <v>2.6666666666666665</v>
      </c>
      <c r="N102" s="415">
        <f t="shared" si="16"/>
        <v>0.81280000123545593</v>
      </c>
    </row>
    <row r="103" spans="2:14" x14ac:dyDescent="0.15">
      <c r="B103" s="58" t="s">
        <v>1448</v>
      </c>
      <c r="C103" s="16">
        <v>0.1875</v>
      </c>
      <c r="D103" s="66">
        <v>4.32</v>
      </c>
      <c r="E103" s="418">
        <f t="shared" si="13"/>
        <v>6.4288686711892042</v>
      </c>
      <c r="F103" s="416">
        <f>2*4*12/144</f>
        <v>0.66666666666666663</v>
      </c>
      <c r="G103" s="415">
        <f t="shared" si="14"/>
        <v>0.20320000030886398</v>
      </c>
      <c r="H103" s="404"/>
      <c r="I103" s="99" t="s">
        <v>1465</v>
      </c>
      <c r="J103" s="16">
        <v>0.25</v>
      </c>
      <c r="K103" s="66">
        <v>25.82</v>
      </c>
      <c r="L103" s="415">
        <f t="shared" si="15"/>
        <v>38.42439562270954</v>
      </c>
      <c r="M103" s="416">
        <f t="shared" si="18"/>
        <v>2.6666666666666665</v>
      </c>
      <c r="N103" s="415">
        <f t="shared" si="16"/>
        <v>0.81280000123545593</v>
      </c>
    </row>
    <row r="104" spans="2:14" x14ac:dyDescent="0.15">
      <c r="B104" s="67"/>
      <c r="C104" s="409"/>
      <c r="D104" s="410"/>
      <c r="E104" s="410"/>
      <c r="F104" s="410"/>
      <c r="G104" s="411"/>
      <c r="H104" s="404"/>
      <c r="I104" s="99" t="s">
        <v>1465</v>
      </c>
      <c r="J104" s="16">
        <v>0.1875</v>
      </c>
      <c r="K104" s="66">
        <v>19.63</v>
      </c>
      <c r="L104" s="415">
        <f t="shared" si="15"/>
        <v>29.2126601887602</v>
      </c>
      <c r="M104" s="416">
        <f t="shared" si="18"/>
        <v>2.6666666666666665</v>
      </c>
      <c r="N104" s="415">
        <f t="shared" si="16"/>
        <v>0.81280000123545593</v>
      </c>
    </row>
    <row r="105" spans="2:14" x14ac:dyDescent="0.15">
      <c r="E105" s="17"/>
      <c r="F105" s="404"/>
      <c r="G105" s="342"/>
      <c r="H105" s="404"/>
      <c r="I105" s="67"/>
      <c r="J105" s="409"/>
      <c r="K105" s="410"/>
      <c r="L105" s="410"/>
      <c r="M105" s="410"/>
      <c r="N105" s="411"/>
    </row>
    <row r="106" spans="2:14" x14ac:dyDescent="0.15">
      <c r="F106" s="404"/>
      <c r="G106" s="342"/>
      <c r="H106" s="404"/>
      <c r="I106" s="99" t="s">
        <v>1640</v>
      </c>
      <c r="J106" s="16">
        <v>0.625</v>
      </c>
      <c r="K106" s="66">
        <v>55.06</v>
      </c>
      <c r="L106" s="415">
        <f t="shared" si="15"/>
        <v>81.938312276777211</v>
      </c>
      <c r="M106" s="416">
        <f>(10*2+5*2)*12/144</f>
        <v>2.5</v>
      </c>
      <c r="N106" s="415">
        <f t="shared" si="16"/>
        <v>0.76200000115824007</v>
      </c>
    </row>
    <row r="107" spans="2:14" x14ac:dyDescent="0.15">
      <c r="F107" s="404"/>
      <c r="G107" s="342"/>
      <c r="H107" s="404"/>
      <c r="I107" s="99" t="s">
        <v>1640</v>
      </c>
      <c r="J107" s="16">
        <v>0.5625</v>
      </c>
      <c r="K107" s="66">
        <v>50.34</v>
      </c>
      <c r="L107" s="415">
        <f t="shared" si="15"/>
        <v>74.91417798788531</v>
      </c>
      <c r="M107" s="416">
        <f t="shared" ref="M107:M112" si="19">(10*2+5*2)*12/144</f>
        <v>2.5</v>
      </c>
      <c r="N107" s="415">
        <f t="shared" si="16"/>
        <v>0.76200000115824007</v>
      </c>
    </row>
    <row r="108" spans="2:14" x14ac:dyDescent="0.15">
      <c r="F108" s="404"/>
      <c r="G108" s="342"/>
      <c r="H108" s="404"/>
      <c r="I108" s="99" t="s">
        <v>1640</v>
      </c>
      <c r="J108" s="16">
        <v>0.5</v>
      </c>
      <c r="K108" s="66">
        <v>45.45</v>
      </c>
      <c r="L108" s="415">
        <f t="shared" si="15"/>
        <v>67.63705581146975</v>
      </c>
      <c r="M108" s="416">
        <f t="shared" si="19"/>
        <v>2.5</v>
      </c>
      <c r="N108" s="415">
        <f t="shared" si="16"/>
        <v>0.76200000115824007</v>
      </c>
    </row>
    <row r="109" spans="2:14" x14ac:dyDescent="0.15">
      <c r="F109" s="404"/>
      <c r="G109" s="342"/>
      <c r="H109" s="404"/>
      <c r="I109" s="99" t="s">
        <v>1640</v>
      </c>
      <c r="J109" s="16">
        <v>0.375</v>
      </c>
      <c r="K109" s="66">
        <v>35.130000000000003</v>
      </c>
      <c r="L109" s="415">
        <f t="shared" si="15"/>
        <v>52.279202874739987</v>
      </c>
      <c r="M109" s="416">
        <f t="shared" si="19"/>
        <v>2.5</v>
      </c>
      <c r="N109" s="415">
        <f t="shared" si="16"/>
        <v>0.76200000115824007</v>
      </c>
    </row>
    <row r="110" spans="2:14" x14ac:dyDescent="0.15">
      <c r="F110" s="404"/>
      <c r="G110" s="342"/>
      <c r="H110" s="404"/>
      <c r="I110" s="99" t="s">
        <v>1640</v>
      </c>
      <c r="J110" s="16">
        <v>0.3125</v>
      </c>
      <c r="K110" s="66">
        <v>29.72</v>
      </c>
      <c r="L110" s="415">
        <f t="shared" si="15"/>
        <v>44.228235395310911</v>
      </c>
      <c r="M110" s="416">
        <f t="shared" si="19"/>
        <v>2.5</v>
      </c>
      <c r="N110" s="415">
        <f t="shared" si="16"/>
        <v>0.76200000115824007</v>
      </c>
    </row>
    <row r="111" spans="2:14" x14ac:dyDescent="0.15">
      <c r="F111" s="404"/>
      <c r="G111" s="342"/>
      <c r="H111" s="404"/>
      <c r="I111" s="99" t="s">
        <v>1640</v>
      </c>
      <c r="J111" s="16">
        <v>0.25</v>
      </c>
      <c r="K111" s="66">
        <v>24.12</v>
      </c>
      <c r="L111" s="415">
        <f t="shared" si="15"/>
        <v>35.894516747473055</v>
      </c>
      <c r="M111" s="416">
        <f t="shared" si="19"/>
        <v>2.5</v>
      </c>
      <c r="N111" s="415">
        <f t="shared" si="16"/>
        <v>0.76200000115824007</v>
      </c>
    </row>
    <row r="112" spans="2:14" x14ac:dyDescent="0.15">
      <c r="F112" s="404"/>
      <c r="G112" s="342"/>
      <c r="H112" s="404"/>
      <c r="I112" s="99" t="s">
        <v>1640</v>
      </c>
      <c r="J112" s="16">
        <v>0.1875</v>
      </c>
      <c r="K112" s="66">
        <v>18.350000000000001</v>
      </c>
      <c r="L112" s="415">
        <f t="shared" si="15"/>
        <v>27.307810212111551</v>
      </c>
      <c r="M112" s="416">
        <f t="shared" si="19"/>
        <v>2.5</v>
      </c>
      <c r="N112" s="415">
        <f t="shared" si="16"/>
        <v>0.76200000115824007</v>
      </c>
    </row>
    <row r="113" spans="6:14" x14ac:dyDescent="0.15">
      <c r="F113" s="404"/>
      <c r="G113" s="342"/>
      <c r="H113" s="404"/>
      <c r="I113" s="67"/>
      <c r="J113" s="409"/>
      <c r="K113" s="410"/>
      <c r="L113" s="410"/>
      <c r="M113" s="410"/>
      <c r="N113" s="411"/>
    </row>
    <row r="114" spans="6:14" x14ac:dyDescent="0.15">
      <c r="F114" s="404"/>
      <c r="G114" s="342"/>
      <c r="H114" s="404"/>
      <c r="I114" s="99" t="s">
        <v>1466</v>
      </c>
      <c r="J114" s="16">
        <v>0.5625</v>
      </c>
      <c r="K114" s="66">
        <v>46.51</v>
      </c>
      <c r="L114" s="415">
        <f t="shared" si="15"/>
        <v>69.214509698381903</v>
      </c>
      <c r="M114" s="416">
        <f t="shared" ref="M114:M119" si="20">(10*2+4*2)*12/144</f>
        <v>2.3333333333333335</v>
      </c>
      <c r="N114" s="415">
        <f t="shared" si="16"/>
        <v>0.7112000010810241</v>
      </c>
    </row>
    <row r="115" spans="6:14" x14ac:dyDescent="0.15">
      <c r="F115" s="404"/>
      <c r="G115" s="342"/>
      <c r="H115" s="404"/>
      <c r="I115" s="99" t="s">
        <v>1466</v>
      </c>
      <c r="J115" s="16">
        <v>0.5</v>
      </c>
      <c r="K115" s="66">
        <v>42.05</v>
      </c>
      <c r="L115" s="415">
        <f t="shared" si="15"/>
        <v>62.57729806099676</v>
      </c>
      <c r="M115" s="416">
        <f t="shared" si="20"/>
        <v>2.3333333333333335</v>
      </c>
      <c r="N115" s="415">
        <f t="shared" si="16"/>
        <v>0.7112000010810241</v>
      </c>
    </row>
    <row r="116" spans="6:14" x14ac:dyDescent="0.15">
      <c r="F116" s="404"/>
      <c r="G116" s="342"/>
      <c r="H116" s="404"/>
      <c r="I116" s="99" t="s">
        <v>1466</v>
      </c>
      <c r="J116" s="16">
        <v>0.375</v>
      </c>
      <c r="K116" s="66">
        <v>32.58</v>
      </c>
      <c r="L116" s="415">
        <f t="shared" si="15"/>
        <v>48.484384561885243</v>
      </c>
      <c r="M116" s="416">
        <f t="shared" si="20"/>
        <v>2.3333333333333335</v>
      </c>
      <c r="N116" s="415">
        <f t="shared" si="16"/>
        <v>0.7112000010810241</v>
      </c>
    </row>
    <row r="117" spans="6:14" x14ac:dyDescent="0.15">
      <c r="F117" s="404"/>
      <c r="G117" s="342"/>
      <c r="H117" s="404"/>
      <c r="I117" s="99" t="s">
        <v>1466</v>
      </c>
      <c r="J117" s="16">
        <v>0.3125</v>
      </c>
      <c r="K117" s="66">
        <v>27.59</v>
      </c>
      <c r="L117" s="415">
        <f t="shared" si="15"/>
        <v>41.058445981044009</v>
      </c>
      <c r="M117" s="416">
        <f t="shared" si="20"/>
        <v>2.3333333333333335</v>
      </c>
      <c r="N117" s="415">
        <f t="shared" si="16"/>
        <v>0.7112000010810241</v>
      </c>
    </row>
    <row r="118" spans="6:14" x14ac:dyDescent="0.15">
      <c r="F118" s="404"/>
      <c r="G118" s="342"/>
      <c r="H118" s="404"/>
      <c r="I118" s="99" t="s">
        <v>1466</v>
      </c>
      <c r="J118" s="16">
        <v>0.25</v>
      </c>
      <c r="K118" s="66">
        <v>22.42</v>
      </c>
      <c r="L118" s="415">
        <f t="shared" si="15"/>
        <v>33.364637872236564</v>
      </c>
      <c r="M118" s="416">
        <f t="shared" si="20"/>
        <v>2.3333333333333335</v>
      </c>
      <c r="N118" s="415">
        <f t="shared" si="16"/>
        <v>0.7112000010810241</v>
      </c>
    </row>
    <row r="119" spans="6:14" x14ac:dyDescent="0.15">
      <c r="F119" s="404"/>
      <c r="G119" s="342"/>
      <c r="H119" s="404"/>
      <c r="I119" s="99" t="s">
        <v>1466</v>
      </c>
      <c r="J119" s="16">
        <v>0.1875</v>
      </c>
      <c r="K119" s="66">
        <v>17.079999999999998</v>
      </c>
      <c r="L119" s="415">
        <f t="shared" si="15"/>
        <v>25.417841875905459</v>
      </c>
      <c r="M119" s="416">
        <f t="shared" si="20"/>
        <v>2.3333333333333335</v>
      </c>
      <c r="N119" s="415">
        <f t="shared" si="16"/>
        <v>0.7112000010810241</v>
      </c>
    </row>
    <row r="120" spans="6:14" x14ac:dyDescent="0.15">
      <c r="F120" s="404"/>
      <c r="G120" s="342"/>
      <c r="H120" s="404"/>
      <c r="I120" s="67"/>
      <c r="J120" s="409"/>
      <c r="K120" s="410"/>
      <c r="L120" s="410"/>
      <c r="M120" s="410"/>
      <c r="N120" s="411"/>
    </row>
    <row r="121" spans="6:14" x14ac:dyDescent="0.15">
      <c r="F121" s="404"/>
      <c r="G121" s="342"/>
      <c r="H121" s="404"/>
      <c r="I121" s="99" t="s">
        <v>1467</v>
      </c>
      <c r="J121" s="16">
        <v>0.375</v>
      </c>
      <c r="K121" s="66">
        <v>27.48</v>
      </c>
      <c r="L121" s="415">
        <f t="shared" si="15"/>
        <v>40.894747936175769</v>
      </c>
      <c r="M121" s="416">
        <f>(10*2+2*2)*12/144</f>
        <v>2</v>
      </c>
      <c r="N121" s="415">
        <f t="shared" si="16"/>
        <v>0.60960000092659206</v>
      </c>
    </row>
    <row r="122" spans="6:14" x14ac:dyDescent="0.15">
      <c r="F122" s="404"/>
      <c r="G122" s="342"/>
      <c r="H122" s="404"/>
      <c r="I122" s="99" t="s">
        <v>1467</v>
      </c>
      <c r="J122" s="16">
        <v>0.3125</v>
      </c>
      <c r="K122" s="66">
        <v>23.34</v>
      </c>
      <c r="L122" s="415">
        <f t="shared" si="15"/>
        <v>34.733748792952781</v>
      </c>
      <c r="M122" s="416">
        <f>(10*2+2*2)*12/144</f>
        <v>2</v>
      </c>
      <c r="N122" s="415">
        <f t="shared" si="16"/>
        <v>0.60960000092659206</v>
      </c>
    </row>
    <row r="123" spans="6:14" x14ac:dyDescent="0.15">
      <c r="F123" s="404"/>
      <c r="G123" s="342"/>
      <c r="H123" s="404"/>
      <c r="I123" s="99" t="s">
        <v>1467</v>
      </c>
      <c r="J123" s="16">
        <v>0.25</v>
      </c>
      <c r="K123" s="66">
        <v>19.02</v>
      </c>
      <c r="L123" s="415">
        <f t="shared" si="15"/>
        <v>28.304880121763574</v>
      </c>
      <c r="M123" s="416">
        <f>(10*2+2*2)*12/144</f>
        <v>2</v>
      </c>
      <c r="N123" s="415">
        <f t="shared" si="16"/>
        <v>0.60960000092659206</v>
      </c>
    </row>
    <row r="124" spans="6:14" x14ac:dyDescent="0.15">
      <c r="F124" s="404"/>
      <c r="G124" s="342"/>
      <c r="H124" s="404"/>
      <c r="I124" s="99" t="s">
        <v>1467</v>
      </c>
      <c r="J124" s="16">
        <v>0.1875</v>
      </c>
      <c r="K124" s="66">
        <v>14.53</v>
      </c>
      <c r="L124" s="415">
        <f t="shared" si="15"/>
        <v>21.623023563050722</v>
      </c>
      <c r="M124" s="416">
        <f>(10*2+2*2)*12/144</f>
        <v>2</v>
      </c>
      <c r="N124" s="415">
        <f t="shared" si="16"/>
        <v>0.60960000092659206</v>
      </c>
    </row>
    <row r="125" spans="6:14" x14ac:dyDescent="0.15">
      <c r="F125" s="404"/>
      <c r="G125" s="342"/>
      <c r="H125" s="404"/>
      <c r="I125" s="67"/>
      <c r="J125" s="409"/>
      <c r="K125" s="410"/>
      <c r="L125" s="410"/>
      <c r="M125" s="410"/>
      <c r="N125" s="411"/>
    </row>
    <row r="126" spans="6:14" x14ac:dyDescent="0.15">
      <c r="F126" s="404"/>
      <c r="G126" s="342"/>
      <c r="H126" s="404"/>
      <c r="I126" s="99" t="s">
        <v>1641</v>
      </c>
      <c r="J126" s="16">
        <v>0.625</v>
      </c>
      <c r="K126" s="66">
        <v>59.32</v>
      </c>
      <c r="L126" s="415">
        <f t="shared" si="15"/>
        <v>88.277891105311014</v>
      </c>
      <c r="M126" s="416">
        <f>(9*2+7*2)*12/144</f>
        <v>2.6666666666666665</v>
      </c>
      <c r="N126" s="415">
        <f t="shared" si="16"/>
        <v>0.81280000123545593</v>
      </c>
    </row>
    <row r="127" spans="6:14" x14ac:dyDescent="0.15">
      <c r="F127" s="404"/>
      <c r="G127" s="342"/>
      <c r="H127" s="404"/>
      <c r="I127" s="99" t="s">
        <v>1641</v>
      </c>
      <c r="J127" s="16">
        <v>0.5625</v>
      </c>
      <c r="K127" s="66">
        <v>54.17</v>
      </c>
      <c r="L127" s="415">
        <f t="shared" si="15"/>
        <v>80.613846277388689</v>
      </c>
      <c r="M127" s="416">
        <f t="shared" ref="M127:M132" si="21">(9*2+7*2)*12/144</f>
        <v>2.6666666666666665</v>
      </c>
      <c r="N127" s="415">
        <f t="shared" si="16"/>
        <v>0.81280000123545593</v>
      </c>
    </row>
    <row r="128" spans="6:14" x14ac:dyDescent="0.15">
      <c r="F128" s="404"/>
      <c r="G128" s="342"/>
      <c r="H128" s="404"/>
      <c r="I128" s="99" t="s">
        <v>1641</v>
      </c>
      <c r="J128" s="16">
        <v>0.5</v>
      </c>
      <c r="K128" s="66">
        <v>48.85</v>
      </c>
      <c r="L128" s="415">
        <f t="shared" si="15"/>
        <v>72.696813561942733</v>
      </c>
      <c r="M128" s="416">
        <f t="shared" si="21"/>
        <v>2.6666666666666665</v>
      </c>
      <c r="N128" s="415">
        <f t="shared" si="16"/>
        <v>0.81280000123545593</v>
      </c>
    </row>
    <row r="129" spans="6:14" x14ac:dyDescent="0.15">
      <c r="F129" s="404"/>
      <c r="G129" s="342"/>
      <c r="H129" s="404"/>
      <c r="I129" s="99" t="s">
        <v>1641</v>
      </c>
      <c r="J129" s="16">
        <v>0.375</v>
      </c>
      <c r="K129" s="66">
        <v>37.69</v>
      </c>
      <c r="L129" s="415">
        <f t="shared" si="15"/>
        <v>56.088902828037284</v>
      </c>
      <c r="M129" s="416">
        <f t="shared" si="21"/>
        <v>2.6666666666666665</v>
      </c>
      <c r="N129" s="415">
        <f t="shared" si="16"/>
        <v>0.81280000123545593</v>
      </c>
    </row>
    <row r="130" spans="6:14" x14ac:dyDescent="0.15">
      <c r="F130" s="404"/>
      <c r="G130" s="342"/>
      <c r="H130" s="404"/>
      <c r="I130" s="99" t="s">
        <v>1641</v>
      </c>
      <c r="J130" s="16">
        <v>0.3125</v>
      </c>
      <c r="K130" s="66">
        <v>31.84</v>
      </c>
      <c r="L130" s="415">
        <f t="shared" si="15"/>
        <v>47.383143169135238</v>
      </c>
      <c r="M130" s="416">
        <f t="shared" si="21"/>
        <v>2.6666666666666665</v>
      </c>
      <c r="N130" s="415">
        <f t="shared" si="16"/>
        <v>0.81280000123545593</v>
      </c>
    </row>
    <row r="131" spans="6:14" x14ac:dyDescent="0.15">
      <c r="F131" s="404"/>
      <c r="G131" s="342"/>
      <c r="H131" s="404"/>
      <c r="I131" s="99" t="s">
        <v>1641</v>
      </c>
      <c r="J131" s="16">
        <v>0.25</v>
      </c>
      <c r="K131" s="66">
        <v>25.82</v>
      </c>
      <c r="L131" s="415">
        <f t="shared" si="15"/>
        <v>38.42439562270954</v>
      </c>
      <c r="M131" s="416">
        <f t="shared" si="21"/>
        <v>2.6666666666666665</v>
      </c>
      <c r="N131" s="415">
        <f t="shared" si="16"/>
        <v>0.81280000123545593</v>
      </c>
    </row>
    <row r="132" spans="6:14" x14ac:dyDescent="0.15">
      <c r="F132" s="404"/>
      <c r="G132" s="342"/>
      <c r="H132" s="404"/>
      <c r="I132" s="99" t="s">
        <v>1641</v>
      </c>
      <c r="J132" s="16">
        <v>0.1875</v>
      </c>
      <c r="K132" s="66">
        <v>19.63</v>
      </c>
      <c r="L132" s="415">
        <f t="shared" si="15"/>
        <v>29.2126601887602</v>
      </c>
      <c r="M132" s="416">
        <f t="shared" si="21"/>
        <v>2.6666666666666665</v>
      </c>
      <c r="N132" s="415">
        <f t="shared" si="16"/>
        <v>0.81280000123545593</v>
      </c>
    </row>
    <row r="133" spans="6:14" x14ac:dyDescent="0.15">
      <c r="F133" s="404"/>
      <c r="G133" s="342"/>
      <c r="H133" s="404"/>
      <c r="I133" s="67"/>
      <c r="J133" s="409"/>
      <c r="K133" s="410"/>
      <c r="L133" s="410"/>
      <c r="M133" s="410"/>
      <c r="N133" s="411"/>
    </row>
    <row r="134" spans="6:14" x14ac:dyDescent="0.15">
      <c r="F134" s="404"/>
      <c r="G134" s="342"/>
      <c r="H134" s="404"/>
      <c r="I134" s="99" t="s">
        <v>1642</v>
      </c>
      <c r="J134" s="16">
        <v>0.625</v>
      </c>
      <c r="K134" s="66">
        <v>55.06</v>
      </c>
      <c r="L134" s="415">
        <f t="shared" si="15"/>
        <v>81.938312276777211</v>
      </c>
      <c r="M134" s="416">
        <f>(9*2+6*2)*12/144</f>
        <v>2.5</v>
      </c>
      <c r="N134" s="415">
        <f t="shared" si="16"/>
        <v>0.76200000115824007</v>
      </c>
    </row>
    <row r="135" spans="6:14" x14ac:dyDescent="0.15">
      <c r="F135" s="404"/>
      <c r="G135" s="342"/>
      <c r="H135" s="404"/>
      <c r="I135" s="99" t="s">
        <v>1642</v>
      </c>
      <c r="J135" s="16">
        <v>0.5625</v>
      </c>
      <c r="K135" s="66">
        <v>50.34</v>
      </c>
      <c r="L135" s="415">
        <f t="shared" si="15"/>
        <v>74.91417798788531</v>
      </c>
      <c r="M135" s="416">
        <f t="shared" ref="M135:M140" si="22">(9*2+6*2)*12/144</f>
        <v>2.5</v>
      </c>
      <c r="N135" s="415">
        <f t="shared" si="16"/>
        <v>0.76200000115824007</v>
      </c>
    </row>
    <row r="136" spans="6:14" x14ac:dyDescent="0.15">
      <c r="F136" s="404"/>
      <c r="G136" s="342"/>
      <c r="H136" s="404"/>
      <c r="I136" s="99" t="s">
        <v>1642</v>
      </c>
      <c r="J136" s="16">
        <v>0.5</v>
      </c>
      <c r="K136" s="66">
        <v>45.45</v>
      </c>
      <c r="L136" s="415">
        <f t="shared" si="15"/>
        <v>67.63705581146975</v>
      </c>
      <c r="M136" s="416">
        <f t="shared" si="22"/>
        <v>2.5</v>
      </c>
      <c r="N136" s="415">
        <f t="shared" si="16"/>
        <v>0.76200000115824007</v>
      </c>
    </row>
    <row r="137" spans="6:14" x14ac:dyDescent="0.15">
      <c r="F137" s="404"/>
      <c r="G137" s="342"/>
      <c r="H137" s="404"/>
      <c r="I137" s="99" t="s">
        <v>1642</v>
      </c>
      <c r="J137" s="16">
        <v>0.375</v>
      </c>
      <c r="K137" s="66">
        <v>35.130000000000003</v>
      </c>
      <c r="L137" s="415">
        <f t="shared" si="15"/>
        <v>52.279202874739987</v>
      </c>
      <c r="M137" s="416">
        <f t="shared" si="22"/>
        <v>2.5</v>
      </c>
      <c r="N137" s="415">
        <f t="shared" si="16"/>
        <v>0.76200000115824007</v>
      </c>
    </row>
    <row r="138" spans="6:14" x14ac:dyDescent="0.15">
      <c r="F138" s="404"/>
      <c r="G138" s="342"/>
      <c r="H138" s="404"/>
      <c r="I138" s="99" t="s">
        <v>1642</v>
      </c>
      <c r="J138" s="16">
        <v>0.3125</v>
      </c>
      <c r="K138" s="66">
        <v>29.72</v>
      </c>
      <c r="L138" s="415">
        <f t="shared" si="15"/>
        <v>44.228235395310911</v>
      </c>
      <c r="M138" s="416">
        <f t="shared" si="22"/>
        <v>2.5</v>
      </c>
      <c r="N138" s="415">
        <f t="shared" si="16"/>
        <v>0.76200000115824007</v>
      </c>
    </row>
    <row r="139" spans="6:14" x14ac:dyDescent="0.15">
      <c r="F139" s="404"/>
      <c r="G139" s="342"/>
      <c r="H139" s="404"/>
      <c r="I139" s="99" t="s">
        <v>1642</v>
      </c>
      <c r="J139" s="16">
        <v>0.25</v>
      </c>
      <c r="K139" s="66">
        <v>24.12</v>
      </c>
      <c r="L139" s="415">
        <f t="shared" si="15"/>
        <v>35.894516747473055</v>
      </c>
      <c r="M139" s="416">
        <f t="shared" si="22"/>
        <v>2.5</v>
      </c>
      <c r="N139" s="415">
        <f t="shared" si="16"/>
        <v>0.76200000115824007</v>
      </c>
    </row>
    <row r="140" spans="6:14" x14ac:dyDescent="0.15">
      <c r="F140" s="404"/>
      <c r="G140" s="342"/>
      <c r="H140" s="404"/>
      <c r="I140" s="99" t="s">
        <v>1642</v>
      </c>
      <c r="J140" s="16">
        <v>0.1875</v>
      </c>
      <c r="K140" s="66">
        <v>18.350000000000001</v>
      </c>
      <c r="L140" s="415">
        <f t="shared" si="15"/>
        <v>27.307810212111551</v>
      </c>
      <c r="M140" s="416">
        <f t="shared" si="22"/>
        <v>2.5</v>
      </c>
      <c r="N140" s="415">
        <f t="shared" si="16"/>
        <v>0.76200000115824007</v>
      </c>
    </row>
    <row r="141" spans="6:14" x14ac:dyDescent="0.15">
      <c r="F141" s="404"/>
      <c r="G141" s="342"/>
      <c r="H141" s="404"/>
      <c r="I141" s="67"/>
      <c r="J141" s="409"/>
      <c r="K141" s="410"/>
      <c r="L141" s="410"/>
      <c r="M141" s="410"/>
      <c r="N141" s="411"/>
    </row>
    <row r="142" spans="6:14" x14ac:dyDescent="0.15">
      <c r="F142" s="404"/>
      <c r="G142" s="342"/>
      <c r="H142" s="404"/>
      <c r="I142" s="99" t="s">
        <v>1643</v>
      </c>
      <c r="J142" s="16">
        <v>0.5625</v>
      </c>
      <c r="K142" s="66">
        <v>46.51</v>
      </c>
      <c r="L142" s="415">
        <f t="shared" si="15"/>
        <v>69.214509698381903</v>
      </c>
      <c r="M142" s="416">
        <f t="shared" ref="M142:M147" si="23">(9*2+5*2)*12/144</f>
        <v>2.3333333333333335</v>
      </c>
      <c r="N142" s="415">
        <f t="shared" si="16"/>
        <v>0.7112000010810241</v>
      </c>
    </row>
    <row r="143" spans="6:14" x14ac:dyDescent="0.15">
      <c r="F143" s="404"/>
      <c r="G143" s="342"/>
      <c r="H143" s="404"/>
      <c r="I143" s="99" t="s">
        <v>1643</v>
      </c>
      <c r="J143" s="16">
        <v>0.5</v>
      </c>
      <c r="K143" s="66">
        <v>42.05</v>
      </c>
      <c r="L143" s="415">
        <f t="shared" si="15"/>
        <v>62.57729806099676</v>
      </c>
      <c r="M143" s="416">
        <f t="shared" si="23"/>
        <v>2.3333333333333335</v>
      </c>
      <c r="N143" s="415">
        <f t="shared" si="16"/>
        <v>0.7112000010810241</v>
      </c>
    </row>
    <row r="144" spans="6:14" x14ac:dyDescent="0.15">
      <c r="F144" s="404"/>
      <c r="G144" s="342"/>
      <c r="H144" s="404"/>
      <c r="I144" s="99" t="s">
        <v>1643</v>
      </c>
      <c r="J144" s="16">
        <v>0.375</v>
      </c>
      <c r="K144" s="66">
        <v>32.58</v>
      </c>
      <c r="L144" s="415">
        <f t="shared" si="15"/>
        <v>48.484384561885243</v>
      </c>
      <c r="M144" s="416">
        <f t="shared" si="23"/>
        <v>2.3333333333333335</v>
      </c>
      <c r="N144" s="415">
        <f t="shared" si="16"/>
        <v>0.7112000010810241</v>
      </c>
    </row>
    <row r="145" spans="6:14" x14ac:dyDescent="0.15">
      <c r="F145" s="404"/>
      <c r="G145" s="342"/>
      <c r="H145" s="404"/>
      <c r="I145" s="99" t="s">
        <v>1643</v>
      </c>
      <c r="J145" s="16">
        <v>0.3125</v>
      </c>
      <c r="K145" s="66">
        <v>27.59</v>
      </c>
      <c r="L145" s="415">
        <f t="shared" si="15"/>
        <v>41.058445981044009</v>
      </c>
      <c r="M145" s="416">
        <f t="shared" si="23"/>
        <v>2.3333333333333335</v>
      </c>
      <c r="N145" s="415">
        <f t="shared" si="16"/>
        <v>0.7112000010810241</v>
      </c>
    </row>
    <row r="146" spans="6:14" x14ac:dyDescent="0.15">
      <c r="F146" s="404"/>
      <c r="G146" s="342"/>
      <c r="H146" s="404"/>
      <c r="I146" s="99" t="s">
        <v>1643</v>
      </c>
      <c r="J146" s="16">
        <v>0.25</v>
      </c>
      <c r="K146" s="66">
        <v>22.42</v>
      </c>
      <c r="L146" s="415">
        <f t="shared" si="15"/>
        <v>33.364637872236564</v>
      </c>
      <c r="M146" s="416">
        <f t="shared" si="23"/>
        <v>2.3333333333333335</v>
      </c>
      <c r="N146" s="415">
        <f t="shared" si="16"/>
        <v>0.7112000010810241</v>
      </c>
    </row>
    <row r="147" spans="6:14" x14ac:dyDescent="0.15">
      <c r="F147" s="404"/>
      <c r="G147" s="342"/>
      <c r="H147" s="404"/>
      <c r="I147" s="99" t="s">
        <v>1643</v>
      </c>
      <c r="J147" s="16">
        <v>0.1875</v>
      </c>
      <c r="K147" s="66">
        <v>17.079999999999998</v>
      </c>
      <c r="L147" s="415">
        <f t="shared" si="15"/>
        <v>25.417841875905459</v>
      </c>
      <c r="M147" s="416">
        <f t="shared" si="23"/>
        <v>2.3333333333333335</v>
      </c>
      <c r="N147" s="415">
        <f t="shared" si="16"/>
        <v>0.7112000010810241</v>
      </c>
    </row>
    <row r="148" spans="6:14" x14ac:dyDescent="0.15">
      <c r="F148" s="404"/>
      <c r="G148" s="342"/>
      <c r="H148" s="404"/>
      <c r="I148" s="67"/>
      <c r="J148" s="409"/>
      <c r="K148" s="410"/>
      <c r="L148" s="410"/>
      <c r="M148" s="410"/>
      <c r="N148" s="411"/>
    </row>
    <row r="149" spans="6:14" x14ac:dyDescent="0.15">
      <c r="F149" s="404"/>
      <c r="G149" s="342"/>
      <c r="H149" s="404"/>
      <c r="I149" s="99" t="s">
        <v>1644</v>
      </c>
      <c r="J149" s="16">
        <v>0.5</v>
      </c>
      <c r="K149" s="66">
        <v>35.24</v>
      </c>
      <c r="L149" s="415">
        <f t="shared" si="15"/>
        <v>52.442900919608228</v>
      </c>
      <c r="M149" s="416">
        <f>(9*2+3*2)*12/144</f>
        <v>2</v>
      </c>
      <c r="N149" s="415">
        <f t="shared" si="16"/>
        <v>0.60960000092659206</v>
      </c>
    </row>
    <row r="150" spans="6:14" x14ac:dyDescent="0.15">
      <c r="F150" s="404"/>
      <c r="G150" s="342"/>
      <c r="H150" s="404"/>
      <c r="I150" s="99" t="s">
        <v>1644</v>
      </c>
      <c r="J150" s="16">
        <v>0.375</v>
      </c>
      <c r="K150" s="66">
        <v>27.48</v>
      </c>
      <c r="L150" s="415">
        <f t="shared" si="15"/>
        <v>40.894747936175769</v>
      </c>
      <c r="M150" s="416">
        <f>(9*2+3*2)*12/144</f>
        <v>2</v>
      </c>
      <c r="N150" s="415">
        <f t="shared" si="16"/>
        <v>0.60960000092659206</v>
      </c>
    </row>
    <row r="151" spans="6:14" x14ac:dyDescent="0.15">
      <c r="F151" s="404"/>
      <c r="G151" s="342"/>
      <c r="H151" s="404"/>
      <c r="I151" s="99" t="s">
        <v>1644</v>
      </c>
      <c r="J151" s="16">
        <v>0.3125</v>
      </c>
      <c r="K151" s="66">
        <v>23.34</v>
      </c>
      <c r="L151" s="415">
        <f t="shared" ref="L151:L214" si="24">K151*3.2808399*0.4535924</f>
        <v>34.733748792952781</v>
      </c>
      <c r="M151" s="416">
        <f>(9*2+3*2)*12/144</f>
        <v>2</v>
      </c>
      <c r="N151" s="415">
        <f t="shared" ref="N151:N214" si="25">(M151*3.2808399)*0.09290304</f>
        <v>0.60960000092659206</v>
      </c>
    </row>
    <row r="152" spans="6:14" x14ac:dyDescent="0.15">
      <c r="F152" s="404"/>
      <c r="G152" s="342"/>
      <c r="H152" s="404"/>
      <c r="I152" s="99" t="s">
        <v>1644</v>
      </c>
      <c r="J152" s="16">
        <v>0.25</v>
      </c>
      <c r="K152" s="66">
        <v>19.02</v>
      </c>
      <c r="L152" s="415">
        <f t="shared" si="24"/>
        <v>28.304880121763574</v>
      </c>
      <c r="M152" s="416">
        <f>(9*2+3*2)*12/144</f>
        <v>2</v>
      </c>
      <c r="N152" s="415">
        <f t="shared" si="25"/>
        <v>0.60960000092659206</v>
      </c>
    </row>
    <row r="153" spans="6:14" x14ac:dyDescent="0.15">
      <c r="F153" s="404"/>
      <c r="G153" s="342"/>
      <c r="H153" s="404"/>
      <c r="I153" s="99" t="s">
        <v>1644</v>
      </c>
      <c r="J153" s="16">
        <v>0.1875</v>
      </c>
      <c r="K153" s="66">
        <v>14.53</v>
      </c>
      <c r="L153" s="415">
        <f t="shared" si="24"/>
        <v>21.623023563050722</v>
      </c>
      <c r="M153" s="416">
        <f>(9*2+3*2)*12/144</f>
        <v>2</v>
      </c>
      <c r="N153" s="415">
        <f t="shared" si="25"/>
        <v>0.60960000092659206</v>
      </c>
    </row>
    <row r="154" spans="6:14" x14ac:dyDescent="0.15">
      <c r="F154" s="404"/>
      <c r="G154" s="342"/>
      <c r="H154" s="404"/>
      <c r="I154" s="67"/>
      <c r="J154" s="409"/>
      <c r="K154" s="410"/>
      <c r="L154" s="410"/>
      <c r="M154" s="410"/>
      <c r="N154" s="411"/>
    </row>
    <row r="155" spans="6:14" x14ac:dyDescent="0.15">
      <c r="F155" s="404"/>
      <c r="G155" s="342"/>
      <c r="H155" s="404"/>
      <c r="I155" s="99" t="s">
        <v>1468</v>
      </c>
      <c r="J155" s="16">
        <v>0.5625</v>
      </c>
      <c r="K155" s="66">
        <v>46.51</v>
      </c>
      <c r="L155" s="415">
        <f t="shared" si="24"/>
        <v>69.214509698381903</v>
      </c>
      <c r="M155" s="416">
        <f t="shared" ref="M155:M160" si="26">(8*2+6*2)*12/144</f>
        <v>2.3333333333333335</v>
      </c>
      <c r="N155" s="415">
        <f t="shared" si="25"/>
        <v>0.7112000010810241</v>
      </c>
    </row>
    <row r="156" spans="6:14" x14ac:dyDescent="0.15">
      <c r="F156" s="404"/>
      <c r="G156" s="342"/>
      <c r="H156" s="404"/>
      <c r="I156" s="99" t="s">
        <v>1468</v>
      </c>
      <c r="J156" s="16">
        <v>0.5</v>
      </c>
      <c r="K156" s="66">
        <v>42.05</v>
      </c>
      <c r="L156" s="415">
        <f t="shared" si="24"/>
        <v>62.57729806099676</v>
      </c>
      <c r="M156" s="416">
        <f t="shared" si="26"/>
        <v>2.3333333333333335</v>
      </c>
      <c r="N156" s="415">
        <f t="shared" si="25"/>
        <v>0.7112000010810241</v>
      </c>
    </row>
    <row r="157" spans="6:14" x14ac:dyDescent="0.15">
      <c r="F157" s="404"/>
      <c r="G157" s="342"/>
      <c r="H157" s="404"/>
      <c r="I157" s="99" t="s">
        <v>1468</v>
      </c>
      <c r="J157" s="16">
        <v>0.375</v>
      </c>
      <c r="K157" s="66">
        <v>32.58</v>
      </c>
      <c r="L157" s="415">
        <f t="shared" si="24"/>
        <v>48.484384561885243</v>
      </c>
      <c r="M157" s="416">
        <f t="shared" si="26"/>
        <v>2.3333333333333335</v>
      </c>
      <c r="N157" s="415">
        <f t="shared" si="25"/>
        <v>0.7112000010810241</v>
      </c>
    </row>
    <row r="158" spans="6:14" x14ac:dyDescent="0.15">
      <c r="F158" s="404"/>
      <c r="G158" s="342"/>
      <c r="H158" s="404"/>
      <c r="I158" s="99" t="s">
        <v>1468</v>
      </c>
      <c r="J158" s="16">
        <v>0.3125</v>
      </c>
      <c r="K158" s="66">
        <v>27.59</v>
      </c>
      <c r="L158" s="415">
        <f t="shared" si="24"/>
        <v>41.058445981044009</v>
      </c>
      <c r="M158" s="416">
        <f t="shared" si="26"/>
        <v>2.3333333333333335</v>
      </c>
      <c r="N158" s="415">
        <f t="shared" si="25"/>
        <v>0.7112000010810241</v>
      </c>
    </row>
    <row r="159" spans="6:14" x14ac:dyDescent="0.15">
      <c r="F159" s="404"/>
      <c r="G159" s="342"/>
      <c r="H159" s="404"/>
      <c r="I159" s="99" t="s">
        <v>1468</v>
      </c>
      <c r="J159" s="16">
        <v>0.25</v>
      </c>
      <c r="K159" s="66">
        <v>22.42</v>
      </c>
      <c r="L159" s="415">
        <f t="shared" si="24"/>
        <v>33.364637872236564</v>
      </c>
      <c r="M159" s="416">
        <f t="shared" si="26"/>
        <v>2.3333333333333335</v>
      </c>
      <c r="N159" s="415">
        <f t="shared" si="25"/>
        <v>0.7112000010810241</v>
      </c>
    </row>
    <row r="160" spans="6:14" x14ac:dyDescent="0.15">
      <c r="F160" s="404"/>
      <c r="G160" s="342"/>
      <c r="H160" s="404"/>
      <c r="I160" s="99" t="s">
        <v>1468</v>
      </c>
      <c r="J160" s="16">
        <v>0.1875</v>
      </c>
      <c r="K160" s="66">
        <v>17.079999999999998</v>
      </c>
      <c r="L160" s="415">
        <f t="shared" si="24"/>
        <v>25.417841875905459</v>
      </c>
      <c r="M160" s="416">
        <f t="shared" si="26"/>
        <v>2.3333333333333335</v>
      </c>
      <c r="N160" s="415">
        <f t="shared" si="25"/>
        <v>0.7112000010810241</v>
      </c>
    </row>
    <row r="161" spans="6:14" x14ac:dyDescent="0.15">
      <c r="F161" s="404"/>
      <c r="G161" s="342"/>
      <c r="H161" s="404"/>
      <c r="I161" s="67"/>
      <c r="J161" s="409"/>
      <c r="K161" s="410"/>
      <c r="L161" s="410"/>
      <c r="M161" s="410"/>
      <c r="N161" s="411"/>
    </row>
    <row r="162" spans="6:14" x14ac:dyDescent="0.15">
      <c r="F162" s="404"/>
      <c r="G162" s="342"/>
      <c r="H162" s="404"/>
      <c r="I162" s="99" t="s">
        <v>1469</v>
      </c>
      <c r="J162" s="16">
        <v>0.5625</v>
      </c>
      <c r="K162" s="66">
        <v>38.86</v>
      </c>
      <c r="L162" s="415">
        <f t="shared" si="24"/>
        <v>57.830054759817699</v>
      </c>
      <c r="M162" s="416">
        <f t="shared" ref="M162:M167" si="27">(8*2+4*2)*12/144</f>
        <v>2</v>
      </c>
      <c r="N162" s="415">
        <f t="shared" si="25"/>
        <v>0.60960000092659206</v>
      </c>
    </row>
    <row r="163" spans="6:14" x14ac:dyDescent="0.15">
      <c r="F163" s="404"/>
      <c r="G163" s="342"/>
      <c r="H163" s="404"/>
      <c r="I163" s="99" t="s">
        <v>1469</v>
      </c>
      <c r="J163" s="16">
        <v>0.5</v>
      </c>
      <c r="K163" s="66">
        <v>35.24</v>
      </c>
      <c r="L163" s="415">
        <f t="shared" si="24"/>
        <v>52.442900919608228</v>
      </c>
      <c r="M163" s="416">
        <f t="shared" si="27"/>
        <v>2</v>
      </c>
      <c r="N163" s="415">
        <f t="shared" si="25"/>
        <v>0.60960000092659206</v>
      </c>
    </row>
    <row r="164" spans="6:14" x14ac:dyDescent="0.15">
      <c r="F164" s="404"/>
      <c r="G164" s="342"/>
      <c r="H164" s="404"/>
      <c r="I164" s="99" t="s">
        <v>1469</v>
      </c>
      <c r="J164" s="16">
        <v>0.375</v>
      </c>
      <c r="K164" s="66">
        <v>27.48</v>
      </c>
      <c r="L164" s="415">
        <f t="shared" si="24"/>
        <v>40.894747936175769</v>
      </c>
      <c r="M164" s="416">
        <f t="shared" si="27"/>
        <v>2</v>
      </c>
      <c r="N164" s="415">
        <f t="shared" si="25"/>
        <v>0.60960000092659206</v>
      </c>
    </row>
    <row r="165" spans="6:14" x14ac:dyDescent="0.15">
      <c r="F165" s="404"/>
      <c r="G165" s="342"/>
      <c r="H165" s="404"/>
      <c r="I165" s="99" t="s">
        <v>1469</v>
      </c>
      <c r="J165" s="16">
        <v>0.3125</v>
      </c>
      <c r="K165" s="66">
        <v>23.34</v>
      </c>
      <c r="L165" s="415">
        <f t="shared" si="24"/>
        <v>34.733748792952781</v>
      </c>
      <c r="M165" s="416">
        <f t="shared" si="27"/>
        <v>2</v>
      </c>
      <c r="N165" s="415">
        <f t="shared" si="25"/>
        <v>0.60960000092659206</v>
      </c>
    </row>
    <row r="166" spans="6:14" x14ac:dyDescent="0.15">
      <c r="F166" s="404"/>
      <c r="G166" s="342"/>
      <c r="H166" s="404"/>
      <c r="I166" s="99" t="s">
        <v>1469</v>
      </c>
      <c r="J166" s="16">
        <v>0.25</v>
      </c>
      <c r="K166" s="66">
        <v>19.02</v>
      </c>
      <c r="L166" s="415">
        <f t="shared" si="24"/>
        <v>28.304880121763574</v>
      </c>
      <c r="M166" s="416">
        <f t="shared" si="27"/>
        <v>2</v>
      </c>
      <c r="N166" s="415">
        <f t="shared" si="25"/>
        <v>0.60960000092659206</v>
      </c>
    </row>
    <row r="167" spans="6:14" x14ac:dyDescent="0.15">
      <c r="F167" s="404"/>
      <c r="G167" s="342"/>
      <c r="H167" s="404"/>
      <c r="I167" s="99" t="s">
        <v>1469</v>
      </c>
      <c r="J167" s="16">
        <v>0.1875</v>
      </c>
      <c r="K167" s="66">
        <v>14.53</v>
      </c>
      <c r="L167" s="415">
        <f t="shared" si="24"/>
        <v>21.623023563050722</v>
      </c>
      <c r="M167" s="416">
        <f t="shared" si="27"/>
        <v>2</v>
      </c>
      <c r="N167" s="415">
        <f t="shared" si="25"/>
        <v>0.60960000092659206</v>
      </c>
    </row>
    <row r="168" spans="6:14" x14ac:dyDescent="0.15">
      <c r="F168" s="404"/>
      <c r="G168" s="342"/>
      <c r="H168" s="404"/>
      <c r="I168" s="67"/>
      <c r="J168" s="409"/>
      <c r="K168" s="410"/>
      <c r="L168" s="410"/>
      <c r="M168" s="410"/>
      <c r="N168" s="411"/>
    </row>
    <row r="169" spans="6:14" x14ac:dyDescent="0.15">
      <c r="F169" s="404"/>
      <c r="G169" s="342"/>
      <c r="H169" s="404"/>
      <c r="I169" s="99" t="s">
        <v>1470</v>
      </c>
      <c r="J169" s="16">
        <v>0.5</v>
      </c>
      <c r="K169" s="66">
        <v>31.84</v>
      </c>
      <c r="L169" s="415">
        <f t="shared" si="24"/>
        <v>47.383143169135238</v>
      </c>
      <c r="M169" s="416">
        <f>(8*2+3*2)*12/144</f>
        <v>1.8333333333333333</v>
      </c>
      <c r="N169" s="415">
        <f t="shared" si="25"/>
        <v>0.55880000084937598</v>
      </c>
    </row>
    <row r="170" spans="6:14" x14ac:dyDescent="0.15">
      <c r="F170" s="404"/>
      <c r="G170" s="342"/>
      <c r="H170" s="404"/>
      <c r="I170" s="99" t="s">
        <v>1470</v>
      </c>
      <c r="J170" s="16">
        <v>0.375</v>
      </c>
      <c r="K170" s="66">
        <v>24.93</v>
      </c>
      <c r="L170" s="415">
        <f t="shared" si="24"/>
        <v>37.099929623321032</v>
      </c>
      <c r="M170" s="416">
        <f>(8*2+3*2)*12/144</f>
        <v>1.8333333333333333</v>
      </c>
      <c r="N170" s="415">
        <f t="shared" si="25"/>
        <v>0.55880000084937598</v>
      </c>
    </row>
    <row r="171" spans="6:14" x14ac:dyDescent="0.15">
      <c r="F171" s="404"/>
      <c r="G171" s="342"/>
      <c r="H171" s="404"/>
      <c r="I171" s="99" t="s">
        <v>1470</v>
      </c>
      <c r="J171" s="16">
        <v>0.3125</v>
      </c>
      <c r="K171" s="66">
        <v>21.21</v>
      </c>
      <c r="L171" s="415">
        <f t="shared" si="24"/>
        <v>31.56395937868588</v>
      </c>
      <c r="M171" s="416">
        <f>(8*2+3*2)*12/144</f>
        <v>1.8333333333333333</v>
      </c>
      <c r="N171" s="415">
        <f t="shared" si="25"/>
        <v>0.55880000084937598</v>
      </c>
    </row>
    <row r="172" spans="6:14" x14ac:dyDescent="0.15">
      <c r="F172" s="404"/>
      <c r="G172" s="342"/>
      <c r="H172" s="404"/>
      <c r="I172" s="99" t="s">
        <v>1470</v>
      </c>
      <c r="J172" s="16">
        <v>0.25</v>
      </c>
      <c r="K172" s="66">
        <v>17.32</v>
      </c>
      <c r="L172" s="415">
        <f t="shared" si="24"/>
        <v>25.775001246527083</v>
      </c>
      <c r="M172" s="416">
        <f>(8*2+3*2)*12/144</f>
        <v>1.8333333333333333</v>
      </c>
      <c r="N172" s="415">
        <f t="shared" si="25"/>
        <v>0.55880000084937598</v>
      </c>
    </row>
    <row r="173" spans="6:14" x14ac:dyDescent="0.15">
      <c r="F173" s="404"/>
      <c r="G173" s="342"/>
      <c r="H173" s="404"/>
      <c r="I173" s="99" t="s">
        <v>1470</v>
      </c>
      <c r="J173" s="16">
        <v>0.1875</v>
      </c>
      <c r="K173" s="66">
        <v>13.25</v>
      </c>
      <c r="L173" s="415">
        <f t="shared" si="24"/>
        <v>19.71817358640207</v>
      </c>
      <c r="M173" s="416">
        <f>(8*2+3*2)*12/144</f>
        <v>1.8333333333333333</v>
      </c>
      <c r="N173" s="415">
        <f t="shared" si="25"/>
        <v>0.55880000084937598</v>
      </c>
    </row>
    <row r="174" spans="6:14" x14ac:dyDescent="0.15">
      <c r="F174" s="404"/>
      <c r="G174" s="342"/>
      <c r="H174" s="404"/>
      <c r="I174" s="67"/>
      <c r="J174" s="409"/>
      <c r="K174" s="410"/>
      <c r="L174" s="410"/>
      <c r="M174" s="410"/>
      <c r="N174" s="411"/>
    </row>
    <row r="175" spans="6:14" x14ac:dyDescent="0.15">
      <c r="F175" s="404"/>
      <c r="G175" s="342"/>
      <c r="H175" s="404"/>
      <c r="I175" s="99" t="s">
        <v>1471</v>
      </c>
      <c r="J175" s="16">
        <v>0.375</v>
      </c>
      <c r="K175" s="66">
        <v>22.37</v>
      </c>
      <c r="L175" s="415">
        <f t="shared" si="24"/>
        <v>33.290229670023727</v>
      </c>
      <c r="M175" s="416">
        <f>(8*2+2*2)*12/144</f>
        <v>1.6666666666666667</v>
      </c>
      <c r="N175" s="415">
        <f t="shared" si="25"/>
        <v>0.50800000077216012</v>
      </c>
    </row>
    <row r="176" spans="6:14" x14ac:dyDescent="0.15">
      <c r="F176" s="404"/>
      <c r="G176" s="342"/>
      <c r="H176" s="404"/>
      <c r="I176" s="99" t="s">
        <v>1471</v>
      </c>
      <c r="J176" s="16">
        <v>0.3125</v>
      </c>
      <c r="K176" s="66">
        <v>19.079999999999998</v>
      </c>
      <c r="L176" s="415">
        <f t="shared" si="24"/>
        <v>28.394169964418978</v>
      </c>
      <c r="M176" s="416">
        <f>(8*2+2*2)*12/144</f>
        <v>1.6666666666666667</v>
      </c>
      <c r="N176" s="415">
        <f t="shared" si="25"/>
        <v>0.50800000077216012</v>
      </c>
    </row>
    <row r="177" spans="6:14" x14ac:dyDescent="0.15">
      <c r="F177" s="404"/>
      <c r="G177" s="342"/>
      <c r="H177" s="404"/>
      <c r="I177" s="99" t="s">
        <v>1471</v>
      </c>
      <c r="J177" s="16">
        <v>0.25</v>
      </c>
      <c r="K177" s="66">
        <v>15.62</v>
      </c>
      <c r="L177" s="415">
        <f t="shared" si="24"/>
        <v>23.245122371290591</v>
      </c>
      <c r="M177" s="416">
        <f>(8*2+2*2)*12/144</f>
        <v>1.6666666666666667</v>
      </c>
      <c r="N177" s="415">
        <f t="shared" si="25"/>
        <v>0.50800000077216012</v>
      </c>
    </row>
    <row r="178" spans="6:14" x14ac:dyDescent="0.15">
      <c r="F178" s="404"/>
      <c r="G178" s="342"/>
      <c r="H178" s="404"/>
      <c r="I178" s="99" t="s">
        <v>1471</v>
      </c>
      <c r="J178" s="16">
        <v>0.1875</v>
      </c>
      <c r="K178" s="66">
        <v>11.97</v>
      </c>
      <c r="L178" s="415">
        <f t="shared" si="24"/>
        <v>17.813323609753418</v>
      </c>
      <c r="M178" s="416">
        <f>(8*2+2*2)*12/144</f>
        <v>1.6666666666666667</v>
      </c>
      <c r="N178" s="415">
        <f t="shared" si="25"/>
        <v>0.50800000077216012</v>
      </c>
    </row>
    <row r="179" spans="6:14" x14ac:dyDescent="0.15">
      <c r="F179" s="404"/>
      <c r="G179" s="342"/>
      <c r="H179" s="404"/>
      <c r="I179" s="67"/>
      <c r="J179" s="409"/>
      <c r="K179" s="410"/>
      <c r="L179" s="410"/>
      <c r="M179" s="410"/>
      <c r="N179" s="411"/>
    </row>
    <row r="180" spans="6:14" x14ac:dyDescent="0.15">
      <c r="F180" s="404"/>
      <c r="G180" s="342"/>
      <c r="H180" s="404"/>
      <c r="I180" s="99" t="s">
        <v>1472</v>
      </c>
      <c r="J180" s="16">
        <v>0.5</v>
      </c>
      <c r="K180" s="66">
        <v>35.24</v>
      </c>
      <c r="L180" s="415">
        <f t="shared" si="24"/>
        <v>52.442900919608228</v>
      </c>
      <c r="M180" s="416">
        <f>(7*2+5*2)*12/144</f>
        <v>2</v>
      </c>
      <c r="N180" s="415">
        <f t="shared" si="25"/>
        <v>0.60960000092659206</v>
      </c>
    </row>
    <row r="181" spans="6:14" x14ac:dyDescent="0.15">
      <c r="F181" s="404"/>
      <c r="G181" s="342"/>
      <c r="H181" s="404"/>
      <c r="I181" s="99" t="s">
        <v>1472</v>
      </c>
      <c r="J181" s="16">
        <v>0.375</v>
      </c>
      <c r="K181" s="66">
        <v>27.48</v>
      </c>
      <c r="L181" s="415">
        <f t="shared" si="24"/>
        <v>40.894747936175769</v>
      </c>
      <c r="M181" s="416">
        <f>(7*2+5*2)*12/144</f>
        <v>2</v>
      </c>
      <c r="N181" s="415">
        <f t="shared" si="25"/>
        <v>0.60960000092659206</v>
      </c>
    </row>
    <row r="182" spans="6:14" x14ac:dyDescent="0.15">
      <c r="F182" s="404"/>
      <c r="G182" s="342"/>
      <c r="H182" s="404"/>
      <c r="I182" s="99" t="s">
        <v>1472</v>
      </c>
      <c r="J182" s="16">
        <v>0.3125</v>
      </c>
      <c r="K182" s="66">
        <v>23.34</v>
      </c>
      <c r="L182" s="415">
        <f t="shared" si="24"/>
        <v>34.733748792952781</v>
      </c>
      <c r="M182" s="416">
        <f>(7*2+5*2)*12/144</f>
        <v>2</v>
      </c>
      <c r="N182" s="415">
        <f t="shared" si="25"/>
        <v>0.60960000092659206</v>
      </c>
    </row>
    <row r="183" spans="6:14" x14ac:dyDescent="0.15">
      <c r="F183" s="404"/>
      <c r="G183" s="342"/>
      <c r="H183" s="404"/>
      <c r="I183" s="99" t="s">
        <v>1472</v>
      </c>
      <c r="J183" s="16">
        <v>0.25</v>
      </c>
      <c r="K183" s="66">
        <v>19.02</v>
      </c>
      <c r="L183" s="415">
        <f t="shared" si="24"/>
        <v>28.304880121763574</v>
      </c>
      <c r="M183" s="416">
        <f>(7*2+5*2)*12/144</f>
        <v>2</v>
      </c>
      <c r="N183" s="415">
        <f t="shared" si="25"/>
        <v>0.60960000092659206</v>
      </c>
    </row>
    <row r="184" spans="6:14" x14ac:dyDescent="0.15">
      <c r="F184" s="404"/>
      <c r="G184" s="342"/>
      <c r="H184" s="404"/>
      <c r="I184" s="99" t="s">
        <v>1472</v>
      </c>
      <c r="J184" s="16">
        <v>0.1875</v>
      </c>
      <c r="K184" s="66">
        <v>14.53</v>
      </c>
      <c r="L184" s="415">
        <f t="shared" si="24"/>
        <v>21.623023563050722</v>
      </c>
      <c r="M184" s="416">
        <f>(7*2+5*2)*12/144</f>
        <v>2</v>
      </c>
      <c r="N184" s="415">
        <f t="shared" si="25"/>
        <v>0.60960000092659206</v>
      </c>
    </row>
    <row r="185" spans="6:14" x14ac:dyDescent="0.15">
      <c r="F185" s="404"/>
      <c r="G185" s="342"/>
      <c r="H185" s="404"/>
      <c r="I185" s="67"/>
      <c r="J185" s="409"/>
      <c r="K185" s="410"/>
      <c r="L185" s="410"/>
      <c r="M185" s="410"/>
      <c r="N185" s="411"/>
    </row>
    <row r="186" spans="6:14" x14ac:dyDescent="0.15">
      <c r="F186" s="404"/>
      <c r="G186" s="342"/>
      <c r="H186" s="404"/>
      <c r="I186" s="99" t="s">
        <v>1473</v>
      </c>
      <c r="J186" s="16">
        <v>0.5</v>
      </c>
      <c r="K186" s="66">
        <v>31.84</v>
      </c>
      <c r="L186" s="415">
        <f t="shared" si="24"/>
        <v>47.383143169135238</v>
      </c>
      <c r="M186" s="416">
        <f>(7*2+4*2)*12/144</f>
        <v>1.8333333333333333</v>
      </c>
      <c r="N186" s="415">
        <f t="shared" si="25"/>
        <v>0.55880000084937598</v>
      </c>
    </row>
    <row r="187" spans="6:14" x14ac:dyDescent="0.15">
      <c r="F187" s="404"/>
      <c r="G187" s="342"/>
      <c r="H187" s="404"/>
      <c r="I187" s="99" t="s">
        <v>1473</v>
      </c>
      <c r="J187" s="16">
        <v>0.375</v>
      </c>
      <c r="K187" s="66">
        <v>24.93</v>
      </c>
      <c r="L187" s="415">
        <f t="shared" si="24"/>
        <v>37.099929623321032</v>
      </c>
      <c r="M187" s="416">
        <f>(7*2+4*2)*12/144</f>
        <v>1.8333333333333333</v>
      </c>
      <c r="N187" s="415">
        <f t="shared" si="25"/>
        <v>0.55880000084937598</v>
      </c>
    </row>
    <row r="188" spans="6:14" x14ac:dyDescent="0.15">
      <c r="F188" s="404"/>
      <c r="G188" s="342"/>
      <c r="H188" s="404"/>
      <c r="I188" s="99" t="s">
        <v>1473</v>
      </c>
      <c r="J188" s="16">
        <v>0.3125</v>
      </c>
      <c r="K188" s="66">
        <v>21.21</v>
      </c>
      <c r="L188" s="415">
        <f t="shared" si="24"/>
        <v>31.56395937868588</v>
      </c>
      <c r="M188" s="416">
        <f>(7*2+4*2)*12/144</f>
        <v>1.8333333333333333</v>
      </c>
      <c r="N188" s="415">
        <f t="shared" si="25"/>
        <v>0.55880000084937598</v>
      </c>
    </row>
    <row r="189" spans="6:14" x14ac:dyDescent="0.15">
      <c r="F189" s="404"/>
      <c r="G189" s="342"/>
      <c r="H189" s="404"/>
      <c r="I189" s="99" t="s">
        <v>1473</v>
      </c>
      <c r="J189" s="16">
        <v>0.25</v>
      </c>
      <c r="K189" s="66">
        <v>17.32</v>
      </c>
      <c r="L189" s="415">
        <f t="shared" si="24"/>
        <v>25.775001246527083</v>
      </c>
      <c r="M189" s="416">
        <f>(7*2+4*2)*12/144</f>
        <v>1.8333333333333333</v>
      </c>
      <c r="N189" s="415">
        <f t="shared" si="25"/>
        <v>0.55880000084937598</v>
      </c>
    </row>
    <row r="190" spans="6:14" x14ac:dyDescent="0.15">
      <c r="F190" s="404"/>
      <c r="G190" s="342"/>
      <c r="H190" s="404"/>
      <c r="I190" s="99" t="s">
        <v>1473</v>
      </c>
      <c r="J190" s="16">
        <v>0.1875</v>
      </c>
      <c r="K190" s="66">
        <v>13.25</v>
      </c>
      <c r="L190" s="415">
        <f t="shared" si="24"/>
        <v>19.71817358640207</v>
      </c>
      <c r="M190" s="416">
        <f>(7*2+4*2)*12/144</f>
        <v>1.8333333333333333</v>
      </c>
      <c r="N190" s="415">
        <f t="shared" si="25"/>
        <v>0.55880000084937598</v>
      </c>
    </row>
    <row r="191" spans="6:14" x14ac:dyDescent="0.15">
      <c r="F191" s="404"/>
      <c r="G191" s="342"/>
      <c r="H191" s="404"/>
      <c r="I191" s="67"/>
      <c r="J191" s="409"/>
      <c r="K191" s="410"/>
      <c r="L191" s="410"/>
      <c r="M191" s="410"/>
      <c r="N191" s="411"/>
    </row>
    <row r="192" spans="6:14" x14ac:dyDescent="0.15">
      <c r="F192" s="404"/>
      <c r="G192" s="342"/>
      <c r="H192" s="404"/>
      <c r="I192" s="99" t="s">
        <v>1474</v>
      </c>
      <c r="J192" s="16">
        <v>0.5</v>
      </c>
      <c r="K192" s="66">
        <v>28.43</v>
      </c>
      <c r="L192" s="415">
        <f t="shared" si="24"/>
        <v>42.308503778219688</v>
      </c>
      <c r="M192" s="416">
        <f>(7*2+3*2)*12/144</f>
        <v>1.6666666666666667</v>
      </c>
      <c r="N192" s="415">
        <f t="shared" si="25"/>
        <v>0.50800000077216012</v>
      </c>
    </row>
    <row r="193" spans="6:14" x14ac:dyDescent="0.15">
      <c r="F193" s="404"/>
      <c r="G193" s="342"/>
      <c r="H193" s="404"/>
      <c r="I193" s="99" t="s">
        <v>1474</v>
      </c>
      <c r="J193" s="16">
        <v>0.375</v>
      </c>
      <c r="K193" s="66">
        <v>22.37</v>
      </c>
      <c r="L193" s="415">
        <f t="shared" si="24"/>
        <v>33.290229670023727</v>
      </c>
      <c r="M193" s="416">
        <f>(7*2+3*2)*12/144</f>
        <v>1.6666666666666667</v>
      </c>
      <c r="N193" s="415">
        <f t="shared" si="25"/>
        <v>0.50800000077216012</v>
      </c>
    </row>
    <row r="194" spans="6:14" x14ac:dyDescent="0.15">
      <c r="F194" s="404"/>
      <c r="G194" s="342"/>
      <c r="H194" s="404"/>
      <c r="I194" s="99" t="s">
        <v>1474</v>
      </c>
      <c r="J194" s="16">
        <v>0.3125</v>
      </c>
      <c r="K194" s="66">
        <v>19.079999999999998</v>
      </c>
      <c r="L194" s="415">
        <f t="shared" si="24"/>
        <v>28.394169964418978</v>
      </c>
      <c r="M194" s="416">
        <f>(7*2+3*2)*12/144</f>
        <v>1.6666666666666667</v>
      </c>
      <c r="N194" s="415">
        <f t="shared" si="25"/>
        <v>0.50800000077216012</v>
      </c>
    </row>
    <row r="195" spans="6:14" x14ac:dyDescent="0.15">
      <c r="F195" s="404"/>
      <c r="G195" s="342"/>
      <c r="H195" s="404"/>
      <c r="I195" s="99" t="s">
        <v>1474</v>
      </c>
      <c r="J195" s="16">
        <v>0.25</v>
      </c>
      <c r="K195" s="66">
        <v>15.62</v>
      </c>
      <c r="L195" s="415">
        <f t="shared" si="24"/>
        <v>23.245122371290591</v>
      </c>
      <c r="M195" s="416">
        <f>(7*2+3*2)*12/144</f>
        <v>1.6666666666666667</v>
      </c>
      <c r="N195" s="415">
        <f t="shared" si="25"/>
        <v>0.50800000077216012</v>
      </c>
    </row>
    <row r="196" spans="6:14" x14ac:dyDescent="0.15">
      <c r="F196" s="404"/>
      <c r="G196" s="342"/>
      <c r="H196" s="404"/>
      <c r="I196" s="99" t="s">
        <v>1474</v>
      </c>
      <c r="J196" s="16">
        <v>0.1875</v>
      </c>
      <c r="K196" s="66">
        <v>11.97</v>
      </c>
      <c r="L196" s="415">
        <f t="shared" si="24"/>
        <v>17.813323609753418</v>
      </c>
      <c r="M196" s="416">
        <f>(7*2+3*2)*12/144</f>
        <v>1.6666666666666667</v>
      </c>
      <c r="N196" s="415">
        <f t="shared" si="25"/>
        <v>0.50800000077216012</v>
      </c>
    </row>
    <row r="197" spans="6:14" x14ac:dyDescent="0.15">
      <c r="F197" s="404"/>
      <c r="G197" s="342"/>
      <c r="H197" s="404"/>
      <c r="I197" s="67"/>
      <c r="J197" s="409"/>
      <c r="K197" s="410"/>
      <c r="L197" s="410"/>
      <c r="M197" s="410"/>
      <c r="N197" s="411"/>
    </row>
    <row r="198" spans="6:14" x14ac:dyDescent="0.15">
      <c r="F198" s="404"/>
      <c r="G198" s="342"/>
      <c r="H198" s="404"/>
      <c r="I198" s="99" t="s">
        <v>1645</v>
      </c>
      <c r="J198" s="16">
        <v>0.25</v>
      </c>
      <c r="K198" s="66">
        <v>13.91</v>
      </c>
      <c r="L198" s="415">
        <f t="shared" si="24"/>
        <v>20.700361855611533</v>
      </c>
      <c r="M198" s="416">
        <f>(7*2+2*2)*12/144</f>
        <v>1.5</v>
      </c>
      <c r="N198" s="415">
        <f t="shared" si="25"/>
        <v>0.45720000069494404</v>
      </c>
    </row>
    <row r="199" spans="6:14" x14ac:dyDescent="0.15">
      <c r="F199" s="404"/>
      <c r="G199" s="342"/>
      <c r="H199" s="404"/>
      <c r="I199" s="99" t="s">
        <v>1645</v>
      </c>
      <c r="J199" s="16">
        <v>0.1875</v>
      </c>
      <c r="K199" s="66">
        <v>10.7</v>
      </c>
      <c r="L199" s="415">
        <f t="shared" si="24"/>
        <v>15.923355273547333</v>
      </c>
      <c r="M199" s="416">
        <f>(7*2+2*2)*12/144</f>
        <v>1.5</v>
      </c>
      <c r="N199" s="415">
        <f t="shared" si="25"/>
        <v>0.45720000069494404</v>
      </c>
    </row>
    <row r="200" spans="6:14" x14ac:dyDescent="0.15">
      <c r="F200" s="404"/>
      <c r="G200" s="342"/>
      <c r="H200" s="404"/>
      <c r="I200" s="67"/>
      <c r="J200" s="409"/>
      <c r="K200" s="410"/>
      <c r="L200" s="410"/>
      <c r="M200" s="410"/>
      <c r="N200" s="411"/>
    </row>
    <row r="201" spans="6:14" x14ac:dyDescent="0.15">
      <c r="F201" s="404"/>
      <c r="G201" s="342"/>
      <c r="H201" s="404"/>
      <c r="I201" s="99" t="s">
        <v>1646</v>
      </c>
      <c r="J201" s="16">
        <v>0.5</v>
      </c>
      <c r="K201" s="66">
        <v>31.84</v>
      </c>
      <c r="L201" s="415">
        <f t="shared" si="24"/>
        <v>47.383143169135238</v>
      </c>
      <c r="M201" s="416">
        <f>(6*2+5*2)*12/144</f>
        <v>1.8333333333333333</v>
      </c>
      <c r="N201" s="415">
        <f t="shared" si="25"/>
        <v>0.55880000084937598</v>
      </c>
    </row>
    <row r="202" spans="6:14" x14ac:dyDescent="0.15">
      <c r="F202" s="404"/>
      <c r="G202" s="342"/>
      <c r="H202" s="404"/>
      <c r="I202" s="99" t="s">
        <v>1646</v>
      </c>
      <c r="J202" s="16">
        <v>0.375</v>
      </c>
      <c r="K202" s="66">
        <v>24.93</v>
      </c>
      <c r="L202" s="415">
        <f t="shared" si="24"/>
        <v>37.099929623321032</v>
      </c>
      <c r="M202" s="416">
        <f>(6*2+5*2)*12/144</f>
        <v>1.8333333333333333</v>
      </c>
      <c r="N202" s="415">
        <f t="shared" si="25"/>
        <v>0.55880000084937598</v>
      </c>
    </row>
    <row r="203" spans="6:14" x14ac:dyDescent="0.15">
      <c r="F203" s="404"/>
      <c r="G203" s="342"/>
      <c r="H203" s="404"/>
      <c r="I203" s="99" t="s">
        <v>1646</v>
      </c>
      <c r="J203" s="16">
        <v>0.3125</v>
      </c>
      <c r="K203" s="66">
        <v>21.21</v>
      </c>
      <c r="L203" s="415">
        <f t="shared" si="24"/>
        <v>31.56395937868588</v>
      </c>
      <c r="M203" s="416">
        <f>(6*2+5*2)*12/144</f>
        <v>1.8333333333333333</v>
      </c>
      <c r="N203" s="415">
        <f t="shared" si="25"/>
        <v>0.55880000084937598</v>
      </c>
    </row>
    <row r="204" spans="6:14" x14ac:dyDescent="0.15">
      <c r="F204" s="404"/>
      <c r="G204" s="342"/>
      <c r="H204" s="404"/>
      <c r="I204" s="99" t="s">
        <v>1646</v>
      </c>
      <c r="J204" s="16">
        <v>0.25</v>
      </c>
      <c r="K204" s="66">
        <v>17.32</v>
      </c>
      <c r="L204" s="415">
        <f t="shared" si="24"/>
        <v>25.775001246527083</v>
      </c>
      <c r="M204" s="416">
        <f>(6*2+5*2)*12/144</f>
        <v>1.8333333333333333</v>
      </c>
      <c r="N204" s="415">
        <f t="shared" si="25"/>
        <v>0.55880000084937598</v>
      </c>
    </row>
    <row r="205" spans="6:14" x14ac:dyDescent="0.15">
      <c r="F205" s="404"/>
      <c r="G205" s="342"/>
      <c r="H205" s="404"/>
      <c r="I205" s="99" t="s">
        <v>1646</v>
      </c>
      <c r="J205" s="16">
        <v>0.1875</v>
      </c>
      <c r="K205" s="66">
        <v>13.25</v>
      </c>
      <c r="L205" s="415">
        <f t="shared" si="24"/>
        <v>19.71817358640207</v>
      </c>
      <c r="M205" s="416">
        <f>(6*2+5*2)*12/144</f>
        <v>1.8333333333333333</v>
      </c>
      <c r="N205" s="415">
        <f t="shared" si="25"/>
        <v>0.55880000084937598</v>
      </c>
    </row>
    <row r="206" spans="6:14" x14ac:dyDescent="0.15">
      <c r="F206" s="404"/>
      <c r="G206" s="342"/>
      <c r="H206" s="404"/>
      <c r="I206" s="67"/>
      <c r="J206" s="409"/>
      <c r="K206" s="410"/>
      <c r="L206" s="410"/>
      <c r="M206" s="410"/>
      <c r="N206" s="411"/>
    </row>
    <row r="207" spans="6:14" x14ac:dyDescent="0.15">
      <c r="F207" s="404"/>
      <c r="G207" s="342"/>
      <c r="H207" s="404"/>
      <c r="I207" s="99" t="s">
        <v>1475</v>
      </c>
      <c r="J207" s="16">
        <v>0.5</v>
      </c>
      <c r="K207" s="66">
        <v>28.43</v>
      </c>
      <c r="L207" s="415">
        <f t="shared" si="24"/>
        <v>42.308503778219688</v>
      </c>
      <c r="M207" s="416">
        <f>(6*2+4*2)*12/144</f>
        <v>1.6666666666666667</v>
      </c>
      <c r="N207" s="415">
        <f t="shared" si="25"/>
        <v>0.50800000077216012</v>
      </c>
    </row>
    <row r="208" spans="6:14" x14ac:dyDescent="0.15">
      <c r="F208" s="404"/>
      <c r="G208" s="342"/>
      <c r="H208" s="404"/>
      <c r="I208" s="99" t="s">
        <v>1475</v>
      </c>
      <c r="J208" s="16">
        <v>0.375</v>
      </c>
      <c r="K208" s="66">
        <v>22.37</v>
      </c>
      <c r="L208" s="415">
        <f t="shared" si="24"/>
        <v>33.290229670023727</v>
      </c>
      <c r="M208" s="416">
        <f>(6*2+4*2)*12/144</f>
        <v>1.6666666666666667</v>
      </c>
      <c r="N208" s="415">
        <f t="shared" si="25"/>
        <v>0.50800000077216012</v>
      </c>
    </row>
    <row r="209" spans="6:14" x14ac:dyDescent="0.15">
      <c r="F209" s="404"/>
      <c r="G209" s="342"/>
      <c r="H209" s="404"/>
      <c r="I209" s="99" t="s">
        <v>1475</v>
      </c>
      <c r="J209" s="16">
        <v>0.3125</v>
      </c>
      <c r="K209" s="66">
        <v>19.079999999999998</v>
      </c>
      <c r="L209" s="415">
        <f t="shared" si="24"/>
        <v>28.394169964418978</v>
      </c>
      <c r="M209" s="416">
        <f>(6*2+4*2)*12/144</f>
        <v>1.6666666666666667</v>
      </c>
      <c r="N209" s="415">
        <f t="shared" si="25"/>
        <v>0.50800000077216012</v>
      </c>
    </row>
    <row r="210" spans="6:14" x14ac:dyDescent="0.15">
      <c r="F210" s="404"/>
      <c r="G210" s="342"/>
      <c r="H210" s="404"/>
      <c r="I210" s="99" t="s">
        <v>1475</v>
      </c>
      <c r="J210" s="16">
        <v>0.25</v>
      </c>
      <c r="K210" s="66">
        <v>15.62</v>
      </c>
      <c r="L210" s="415">
        <f t="shared" si="24"/>
        <v>23.245122371290591</v>
      </c>
      <c r="M210" s="416">
        <f>(6*2+4*2)*12/144</f>
        <v>1.6666666666666667</v>
      </c>
      <c r="N210" s="415">
        <f t="shared" si="25"/>
        <v>0.50800000077216012</v>
      </c>
    </row>
    <row r="211" spans="6:14" x14ac:dyDescent="0.15">
      <c r="F211" s="404"/>
      <c r="G211" s="342"/>
      <c r="H211" s="404"/>
      <c r="I211" s="99" t="s">
        <v>1475</v>
      </c>
      <c r="J211" s="16">
        <v>0.1875</v>
      </c>
      <c r="K211" s="66">
        <v>11.97</v>
      </c>
      <c r="L211" s="415">
        <f t="shared" si="24"/>
        <v>17.813323609753418</v>
      </c>
      <c r="M211" s="416">
        <f>(6*2+4*2)*12/144</f>
        <v>1.6666666666666667</v>
      </c>
      <c r="N211" s="415">
        <f t="shared" si="25"/>
        <v>0.50800000077216012</v>
      </c>
    </row>
    <row r="212" spans="6:14" x14ac:dyDescent="0.15">
      <c r="F212" s="404"/>
      <c r="G212" s="342"/>
      <c r="H212" s="404"/>
      <c r="I212" s="67"/>
      <c r="J212" s="409"/>
      <c r="K212" s="410"/>
      <c r="L212" s="410"/>
      <c r="M212" s="410"/>
      <c r="N212" s="411"/>
    </row>
    <row r="213" spans="6:14" x14ac:dyDescent="0.15">
      <c r="F213" s="404"/>
      <c r="G213" s="342"/>
      <c r="H213" s="404"/>
      <c r="I213" s="99" t="s">
        <v>1476</v>
      </c>
      <c r="J213" s="16">
        <v>0.375</v>
      </c>
      <c r="K213" s="66">
        <v>19.82</v>
      </c>
      <c r="L213" s="415">
        <f t="shared" si="24"/>
        <v>29.495411357168987</v>
      </c>
      <c r="M213" s="416">
        <f>(6*2+3*2)*12/144</f>
        <v>1.5</v>
      </c>
      <c r="N213" s="415">
        <f t="shared" si="25"/>
        <v>0.45720000069494404</v>
      </c>
    </row>
    <row r="214" spans="6:14" x14ac:dyDescent="0.15">
      <c r="F214" s="404"/>
      <c r="G214" s="342"/>
      <c r="H214" s="404"/>
      <c r="I214" s="99" t="s">
        <v>1476</v>
      </c>
      <c r="J214" s="16">
        <v>0.3125</v>
      </c>
      <c r="K214" s="66">
        <v>16.96</v>
      </c>
      <c r="L214" s="415">
        <f t="shared" si="24"/>
        <v>25.239262190594651</v>
      </c>
      <c r="M214" s="416">
        <f>(6*2+3*2)*12/144</f>
        <v>1.5</v>
      </c>
      <c r="N214" s="415">
        <f t="shared" si="25"/>
        <v>0.45720000069494404</v>
      </c>
    </row>
    <row r="215" spans="6:14" x14ac:dyDescent="0.15">
      <c r="F215" s="404"/>
      <c r="G215" s="342"/>
      <c r="H215" s="404"/>
      <c r="I215" s="99" t="s">
        <v>1476</v>
      </c>
      <c r="J215" s="16">
        <v>0.25</v>
      </c>
      <c r="K215" s="66">
        <v>13.91</v>
      </c>
      <c r="L215" s="415">
        <f>K215*3.2808399*0.4535924</f>
        <v>20.700361855611533</v>
      </c>
      <c r="M215" s="416">
        <f>(6*2+3*2)*12/144</f>
        <v>1.5</v>
      </c>
      <c r="N215" s="415">
        <f>(M215*3.2808399)*0.09290304</f>
        <v>0.45720000069494404</v>
      </c>
    </row>
    <row r="216" spans="6:14" x14ac:dyDescent="0.15">
      <c r="F216" s="404"/>
      <c r="G216" s="342"/>
      <c r="H216" s="404"/>
      <c r="I216" s="99" t="s">
        <v>1476</v>
      </c>
      <c r="J216" s="16">
        <v>0.1875</v>
      </c>
      <c r="K216" s="66">
        <v>10.7</v>
      </c>
      <c r="L216" s="415">
        <f>K216*3.2808399*0.4535924</f>
        <v>15.923355273547333</v>
      </c>
      <c r="M216" s="416">
        <f>(6*2+3*2)*12/144</f>
        <v>1.5</v>
      </c>
      <c r="N216" s="415">
        <f>(M216*3.2808399)*0.09290304</f>
        <v>0.45720000069494404</v>
      </c>
    </row>
    <row r="217" spans="6:14" x14ac:dyDescent="0.15">
      <c r="F217" s="404"/>
      <c r="G217" s="342"/>
      <c r="H217" s="404"/>
      <c r="I217" s="67"/>
      <c r="J217" s="409"/>
      <c r="K217" s="410"/>
      <c r="L217" s="410"/>
      <c r="M217" s="410"/>
      <c r="N217" s="411"/>
    </row>
    <row r="218" spans="6:14" x14ac:dyDescent="0.15">
      <c r="F218" s="404"/>
      <c r="G218" s="342"/>
      <c r="H218" s="404"/>
      <c r="I218" s="99" t="s">
        <v>1477</v>
      </c>
      <c r="J218" s="16">
        <v>0.375</v>
      </c>
      <c r="K218" s="66">
        <v>17.27</v>
      </c>
      <c r="L218" s="415">
        <f t="shared" ref="L218:L226" si="28">K218*3.2808399*0.4535924</f>
        <v>25.700593044314246</v>
      </c>
      <c r="M218" s="416">
        <f>(6*2+2*2)*12/144</f>
        <v>1.3333333333333333</v>
      </c>
      <c r="N218" s="415">
        <f t="shared" ref="N218:N226" si="29">(M218*3.2808399)*0.09290304</f>
        <v>0.40640000061772796</v>
      </c>
    </row>
    <row r="219" spans="6:14" x14ac:dyDescent="0.15">
      <c r="F219" s="404"/>
      <c r="G219" s="342"/>
      <c r="H219" s="404"/>
      <c r="I219" s="99" t="s">
        <v>1477</v>
      </c>
      <c r="J219" s="16">
        <v>0.3125</v>
      </c>
      <c r="K219" s="66">
        <v>14.83</v>
      </c>
      <c r="L219" s="415">
        <f t="shared" si="28"/>
        <v>22.069472776327753</v>
      </c>
      <c r="M219" s="416">
        <f>(6*2+2*2)*12/144</f>
        <v>1.3333333333333333</v>
      </c>
      <c r="N219" s="415">
        <f t="shared" si="29"/>
        <v>0.40640000061772796</v>
      </c>
    </row>
    <row r="220" spans="6:14" x14ac:dyDescent="0.15">
      <c r="F220" s="404"/>
      <c r="G220" s="342"/>
      <c r="H220" s="404"/>
      <c r="I220" s="99" t="s">
        <v>1477</v>
      </c>
      <c r="J220" s="16">
        <v>0.25</v>
      </c>
      <c r="K220" s="66">
        <v>12.21</v>
      </c>
      <c r="L220" s="415">
        <f t="shared" si="28"/>
        <v>18.170482980375041</v>
      </c>
      <c r="M220" s="416">
        <f>(6*2+2*2)*12/144</f>
        <v>1.3333333333333333</v>
      </c>
      <c r="N220" s="415">
        <f t="shared" si="29"/>
        <v>0.40640000061772796</v>
      </c>
    </row>
    <row r="221" spans="6:14" x14ac:dyDescent="0.15">
      <c r="F221" s="404"/>
      <c r="G221" s="342"/>
      <c r="H221" s="404"/>
      <c r="I221" s="99" t="s">
        <v>1477</v>
      </c>
      <c r="J221" s="16">
        <v>0.1875</v>
      </c>
      <c r="K221" s="66">
        <v>9.42</v>
      </c>
      <c r="L221" s="415">
        <f t="shared" si="28"/>
        <v>14.018505296898679</v>
      </c>
      <c r="M221" s="416">
        <f>(6*2+2*2)*12/144</f>
        <v>1.3333333333333333</v>
      </c>
      <c r="N221" s="415">
        <f t="shared" si="29"/>
        <v>0.40640000061772796</v>
      </c>
    </row>
    <row r="222" spans="6:14" x14ac:dyDescent="0.15">
      <c r="F222" s="404"/>
      <c r="G222" s="342"/>
      <c r="H222" s="404"/>
      <c r="I222" s="67"/>
      <c r="J222" s="409"/>
      <c r="K222" s="410"/>
      <c r="L222" s="410"/>
      <c r="M222" s="410"/>
      <c r="N222" s="411"/>
    </row>
    <row r="223" spans="6:14" x14ac:dyDescent="0.15">
      <c r="F223" s="404"/>
      <c r="G223" s="342"/>
      <c r="H223" s="404"/>
      <c r="I223" s="99" t="s">
        <v>1478</v>
      </c>
      <c r="J223" s="16">
        <v>0.375</v>
      </c>
      <c r="K223" s="66">
        <v>19.82</v>
      </c>
      <c r="L223" s="415">
        <f t="shared" si="28"/>
        <v>29.495411357168987</v>
      </c>
      <c r="M223" s="416">
        <f>(5*2+4*2)*12/144</f>
        <v>1.5</v>
      </c>
      <c r="N223" s="415">
        <f t="shared" si="29"/>
        <v>0.45720000069494404</v>
      </c>
    </row>
    <row r="224" spans="6:14" x14ac:dyDescent="0.15">
      <c r="F224" s="404"/>
      <c r="G224" s="342"/>
      <c r="H224" s="404"/>
      <c r="I224" s="99" t="s">
        <v>1478</v>
      </c>
      <c r="J224" s="16">
        <v>0.3125</v>
      </c>
      <c r="K224" s="66">
        <v>16.96</v>
      </c>
      <c r="L224" s="415">
        <f t="shared" si="28"/>
        <v>25.239262190594651</v>
      </c>
      <c r="M224" s="416">
        <f>(5*2+4*2)*12/144</f>
        <v>1.5</v>
      </c>
      <c r="N224" s="415">
        <f t="shared" si="29"/>
        <v>0.45720000069494404</v>
      </c>
    </row>
    <row r="225" spans="6:14" x14ac:dyDescent="0.15">
      <c r="F225" s="404"/>
      <c r="G225" s="342"/>
      <c r="H225" s="404"/>
      <c r="I225" s="99" t="s">
        <v>1478</v>
      </c>
      <c r="J225" s="16">
        <v>0.25</v>
      </c>
      <c r="K225" s="66">
        <v>13.91</v>
      </c>
      <c r="L225" s="415">
        <f t="shared" si="28"/>
        <v>20.700361855611533</v>
      </c>
      <c r="M225" s="416">
        <f>(5*2+4*2)*12/144</f>
        <v>1.5</v>
      </c>
      <c r="N225" s="415">
        <f t="shared" si="29"/>
        <v>0.45720000069494404</v>
      </c>
    </row>
    <row r="226" spans="6:14" x14ac:dyDescent="0.15">
      <c r="F226" s="404"/>
      <c r="G226" s="342"/>
      <c r="H226" s="404"/>
      <c r="I226" s="99" t="s">
        <v>1478</v>
      </c>
      <c r="J226" s="16">
        <v>0.1875</v>
      </c>
      <c r="K226" s="66">
        <v>10.7</v>
      </c>
      <c r="L226" s="415">
        <f t="shared" si="28"/>
        <v>15.923355273547333</v>
      </c>
      <c r="M226" s="416">
        <f>(5*2+4*2)*12/144</f>
        <v>1.5</v>
      </c>
      <c r="N226" s="415">
        <f t="shared" si="29"/>
        <v>0.45720000069494404</v>
      </c>
    </row>
    <row r="227" spans="6:14" x14ac:dyDescent="0.15">
      <c r="F227" s="404"/>
      <c r="G227" s="342"/>
      <c r="H227" s="404"/>
      <c r="I227" s="67"/>
      <c r="J227" s="409"/>
      <c r="K227" s="410"/>
      <c r="L227" s="410"/>
      <c r="M227" s="410"/>
      <c r="N227" s="411"/>
    </row>
    <row r="228" spans="6:14" x14ac:dyDescent="0.15">
      <c r="F228" s="404"/>
      <c r="G228" s="342"/>
      <c r="H228" s="404"/>
      <c r="I228" s="99" t="s">
        <v>1479</v>
      </c>
      <c r="J228" s="16">
        <v>0.5</v>
      </c>
      <c r="K228" s="66">
        <v>21.63</v>
      </c>
      <c r="L228" s="415">
        <f>K228*3.2808399*0.4535924</f>
        <v>32.188988277273715</v>
      </c>
      <c r="M228" s="416">
        <f>(5*2+3*2)*12/144</f>
        <v>1.3333333333333333</v>
      </c>
      <c r="N228" s="415">
        <f>(M228*3.2808399)*0.09290304</f>
        <v>0.40640000061772796</v>
      </c>
    </row>
    <row r="229" spans="6:14" x14ac:dyDescent="0.15">
      <c r="F229" s="404"/>
      <c r="G229" s="342"/>
      <c r="H229" s="404"/>
      <c r="I229" s="99" t="s">
        <v>1479</v>
      </c>
      <c r="J229" s="16">
        <v>0.375</v>
      </c>
      <c r="K229" s="66">
        <v>17.27</v>
      </c>
      <c r="L229" s="415">
        <f>K229*3.2808399*0.4535924</f>
        <v>25.700593044314246</v>
      </c>
      <c r="M229" s="416">
        <f>(5*2+3*2)*12/144</f>
        <v>1.3333333333333333</v>
      </c>
      <c r="N229" s="415">
        <f>(M229*3.2808399)*0.09290304</f>
        <v>0.40640000061772796</v>
      </c>
    </row>
    <row r="230" spans="6:14" x14ac:dyDescent="0.15">
      <c r="F230" s="404"/>
      <c r="G230" s="342"/>
      <c r="H230" s="404"/>
      <c r="I230" s="99" t="s">
        <v>1479</v>
      </c>
      <c r="J230" s="16">
        <v>0.3125</v>
      </c>
      <c r="K230" s="66">
        <v>14.83</v>
      </c>
      <c r="L230" s="415">
        <f>K230*3.2808399*0.4535924</f>
        <v>22.069472776327753</v>
      </c>
      <c r="M230" s="416">
        <f>(5*2+3*2)*12/144</f>
        <v>1.3333333333333333</v>
      </c>
      <c r="N230" s="415">
        <f>(M230*3.2808399)*0.09290304</f>
        <v>0.40640000061772796</v>
      </c>
    </row>
    <row r="231" spans="6:14" x14ac:dyDescent="0.15">
      <c r="F231" s="404"/>
      <c r="G231" s="342"/>
      <c r="H231" s="404"/>
      <c r="I231" s="99" t="s">
        <v>1479</v>
      </c>
      <c r="J231" s="16">
        <v>0.25</v>
      </c>
      <c r="K231" s="66">
        <v>12.21</v>
      </c>
      <c r="L231" s="415">
        <f>K231*3.2808399*0.4535924</f>
        <v>18.170482980375041</v>
      </c>
      <c r="M231" s="416">
        <f>(5*2+3*2)*12/144</f>
        <v>1.3333333333333333</v>
      </c>
      <c r="N231" s="415">
        <f>(M231*3.2808399)*0.09290304</f>
        <v>0.40640000061772796</v>
      </c>
    </row>
    <row r="232" spans="6:14" x14ac:dyDescent="0.15">
      <c r="F232" s="404"/>
      <c r="G232" s="342"/>
      <c r="H232" s="404"/>
      <c r="I232" s="99" t="s">
        <v>1479</v>
      </c>
      <c r="J232" s="16">
        <v>0.1875</v>
      </c>
      <c r="K232" s="66">
        <v>9.42</v>
      </c>
      <c r="L232" s="415">
        <f>K232*3.2808399*0.4535924</f>
        <v>14.018505296898679</v>
      </c>
      <c r="M232" s="416">
        <f>(5*2+3*2)*12/144</f>
        <v>1.3333333333333333</v>
      </c>
      <c r="N232" s="415">
        <f>(M232*3.2808399)*0.09290304</f>
        <v>0.40640000061772796</v>
      </c>
    </row>
    <row r="233" spans="6:14" x14ac:dyDescent="0.15">
      <c r="F233" s="404"/>
      <c r="G233" s="342"/>
      <c r="H233" s="404"/>
      <c r="I233" s="67"/>
      <c r="J233" s="409"/>
      <c r="K233" s="410"/>
      <c r="L233" s="410"/>
      <c r="M233" s="410"/>
      <c r="N233" s="411"/>
    </row>
    <row r="234" spans="6:14" x14ac:dyDescent="0.15">
      <c r="F234" s="404"/>
      <c r="G234" s="342"/>
      <c r="H234" s="404"/>
      <c r="I234" s="99" t="s">
        <v>1480</v>
      </c>
      <c r="J234" s="16">
        <v>0.3125</v>
      </c>
      <c r="K234" s="66">
        <v>12.7</v>
      </c>
      <c r="L234" s="415">
        <f>K234*3.2808399*0.4535924</f>
        <v>18.899683362060852</v>
      </c>
      <c r="M234" s="416">
        <f>(5*2+2*2)*12/144</f>
        <v>1.1666666666666667</v>
      </c>
      <c r="N234" s="415">
        <f>(M234*3.2808399)*0.09290304</f>
        <v>0.35560000054051205</v>
      </c>
    </row>
    <row r="235" spans="6:14" x14ac:dyDescent="0.15">
      <c r="F235" s="404"/>
      <c r="G235" s="342"/>
      <c r="H235" s="404"/>
      <c r="I235" s="99" t="s">
        <v>1480</v>
      </c>
      <c r="J235" s="16">
        <v>0.25</v>
      </c>
      <c r="K235" s="66">
        <v>10.51</v>
      </c>
      <c r="L235" s="415">
        <f>K235*3.2808399*0.4535924</f>
        <v>15.640604105138548</v>
      </c>
      <c r="M235" s="416">
        <f>(5*2+2*2)*12/144</f>
        <v>1.1666666666666667</v>
      </c>
      <c r="N235" s="415">
        <f>(M235*3.2808399)*0.09290304</f>
        <v>0.35560000054051205</v>
      </c>
    </row>
    <row r="236" spans="6:14" x14ac:dyDescent="0.15">
      <c r="F236" s="404"/>
      <c r="G236" s="342"/>
      <c r="H236" s="404"/>
      <c r="I236" s="99" t="s">
        <v>1480</v>
      </c>
      <c r="J236" s="16">
        <v>0.1875</v>
      </c>
      <c r="K236" s="66">
        <v>8.15</v>
      </c>
      <c r="L236" s="415">
        <f>K236*3.2808399*0.4535924</f>
        <v>12.128536960692596</v>
      </c>
      <c r="M236" s="416">
        <f>(5*2+2*2)*12/144</f>
        <v>1.1666666666666667</v>
      </c>
      <c r="N236" s="415">
        <f>(M236*3.2808399)*0.09290304</f>
        <v>0.35560000054051205</v>
      </c>
    </row>
    <row r="237" spans="6:14" x14ac:dyDescent="0.15">
      <c r="F237" s="404"/>
      <c r="G237" s="342"/>
      <c r="H237" s="404"/>
      <c r="I237" s="67"/>
      <c r="J237" s="409"/>
      <c r="K237" s="410"/>
      <c r="L237" s="410"/>
      <c r="M237" s="410"/>
      <c r="N237" s="411"/>
    </row>
    <row r="238" spans="6:14" x14ac:dyDescent="0.15">
      <c r="F238" s="404"/>
      <c r="G238" s="342"/>
      <c r="H238" s="404"/>
      <c r="I238" s="99" t="s">
        <v>1481</v>
      </c>
      <c r="J238" s="16">
        <v>0.3125</v>
      </c>
      <c r="K238" s="66">
        <v>12.7</v>
      </c>
      <c r="L238" s="415">
        <f t="shared" ref="L238:L247" si="30">K238*3.2808399*0.4535924</f>
        <v>18.899683362060852</v>
      </c>
      <c r="M238" s="416">
        <f>(4*2+3*2)*12/144</f>
        <v>1.1666666666666667</v>
      </c>
      <c r="N238" s="415">
        <f t="shared" ref="N238:N247" si="31">(M238*3.2808399)*0.09290304</f>
        <v>0.35560000054051205</v>
      </c>
    </row>
    <row r="239" spans="6:14" x14ac:dyDescent="0.15">
      <c r="F239" s="404"/>
      <c r="G239" s="342"/>
      <c r="H239" s="404"/>
      <c r="I239" s="99" t="s">
        <v>1481</v>
      </c>
      <c r="J239" s="16">
        <v>0.25</v>
      </c>
      <c r="K239" s="66">
        <v>10.51</v>
      </c>
      <c r="L239" s="415">
        <f t="shared" si="30"/>
        <v>15.640604105138548</v>
      </c>
      <c r="M239" s="416">
        <f>(4*2+3*2)*12/144</f>
        <v>1.1666666666666667</v>
      </c>
      <c r="N239" s="415">
        <f t="shared" si="31"/>
        <v>0.35560000054051205</v>
      </c>
    </row>
    <row r="240" spans="6:14" x14ac:dyDescent="0.15">
      <c r="F240" s="404"/>
      <c r="G240" s="342"/>
      <c r="H240" s="404"/>
      <c r="I240" s="99" t="s">
        <v>1481</v>
      </c>
      <c r="J240" s="16">
        <v>0.1875</v>
      </c>
      <c r="K240" s="66">
        <v>8.15</v>
      </c>
      <c r="L240" s="415">
        <f t="shared" si="30"/>
        <v>12.128536960692596</v>
      </c>
      <c r="M240" s="416">
        <f>(4*2+3*2)*12/144</f>
        <v>1.1666666666666667</v>
      </c>
      <c r="N240" s="415">
        <f t="shared" si="31"/>
        <v>0.35560000054051205</v>
      </c>
    </row>
    <row r="241" spans="6:14" x14ac:dyDescent="0.15">
      <c r="F241" s="404"/>
      <c r="G241" s="342"/>
      <c r="H241" s="404"/>
      <c r="I241" s="67"/>
      <c r="J241" s="409"/>
      <c r="K241" s="410"/>
      <c r="L241" s="410"/>
      <c r="M241" s="410"/>
      <c r="N241" s="411"/>
    </row>
    <row r="242" spans="6:14" x14ac:dyDescent="0.15">
      <c r="F242" s="404"/>
      <c r="G242" s="342"/>
      <c r="H242" s="404"/>
      <c r="I242" s="99" t="s">
        <v>1482</v>
      </c>
      <c r="J242" s="16">
        <v>0.3125</v>
      </c>
      <c r="K242" s="66">
        <v>10.58</v>
      </c>
      <c r="L242" s="415">
        <f t="shared" si="30"/>
        <v>15.74477558823652</v>
      </c>
      <c r="M242" s="416">
        <f>(4*2+2*2)*12/144</f>
        <v>1</v>
      </c>
      <c r="N242" s="415">
        <f t="shared" si="31"/>
        <v>0.30480000046329603</v>
      </c>
    </row>
    <row r="243" spans="6:14" x14ac:dyDescent="0.15">
      <c r="F243" s="404"/>
      <c r="G243" s="342"/>
      <c r="H243" s="404"/>
      <c r="I243" s="99" t="s">
        <v>1482</v>
      </c>
      <c r="J243" s="16">
        <v>0.25</v>
      </c>
      <c r="K243" s="66">
        <v>8.81</v>
      </c>
      <c r="L243" s="415">
        <f t="shared" si="30"/>
        <v>13.110725229902057</v>
      </c>
      <c r="M243" s="416">
        <f>(4*2+2*2)*12/144</f>
        <v>1</v>
      </c>
      <c r="N243" s="415">
        <f t="shared" si="31"/>
        <v>0.30480000046329603</v>
      </c>
    </row>
    <row r="244" spans="6:14" x14ac:dyDescent="0.15">
      <c r="F244" s="404"/>
      <c r="G244" s="342"/>
      <c r="H244" s="404"/>
      <c r="I244" s="99" t="s">
        <v>1482</v>
      </c>
      <c r="J244" s="16">
        <v>0.1875</v>
      </c>
      <c r="K244" s="66">
        <v>6.87</v>
      </c>
      <c r="L244" s="415">
        <f t="shared" si="30"/>
        <v>10.223686984043942</v>
      </c>
      <c r="M244" s="416">
        <f>(4*2+2*2)*12/144</f>
        <v>1</v>
      </c>
      <c r="N244" s="415">
        <f t="shared" si="31"/>
        <v>0.30480000046329603</v>
      </c>
    </row>
    <row r="245" spans="6:14" x14ac:dyDescent="0.15">
      <c r="F245" s="404"/>
      <c r="G245" s="342"/>
      <c r="H245" s="404"/>
      <c r="I245" s="67"/>
      <c r="J245" s="409"/>
      <c r="K245" s="410"/>
      <c r="L245" s="410"/>
      <c r="M245" s="410"/>
      <c r="N245" s="411"/>
    </row>
    <row r="246" spans="6:14" x14ac:dyDescent="0.15">
      <c r="F246" s="404"/>
      <c r="G246" s="342"/>
      <c r="H246" s="404"/>
      <c r="I246" s="99" t="s">
        <v>1647</v>
      </c>
      <c r="J246" s="16">
        <v>0.25</v>
      </c>
      <c r="K246" s="66">
        <v>8.81</v>
      </c>
      <c r="L246" s="415">
        <f t="shared" si="30"/>
        <v>13.110725229902057</v>
      </c>
      <c r="M246" s="416">
        <f>(3.5*2+2.5*2)*12/144</f>
        <v>1</v>
      </c>
      <c r="N246" s="415">
        <f t="shared" si="31"/>
        <v>0.30480000046329603</v>
      </c>
    </row>
    <row r="247" spans="6:14" x14ac:dyDescent="0.15">
      <c r="F247" s="404"/>
      <c r="G247" s="342"/>
      <c r="H247" s="404"/>
      <c r="I247" s="99" t="s">
        <v>1647</v>
      </c>
      <c r="J247" s="16">
        <v>0.1875</v>
      </c>
      <c r="K247" s="66">
        <v>6.87</v>
      </c>
      <c r="L247" s="415">
        <f t="shared" si="30"/>
        <v>10.223686984043942</v>
      </c>
      <c r="M247" s="416">
        <f>(3.5*2+2.5*2)*12/144</f>
        <v>1</v>
      </c>
      <c r="N247" s="415">
        <f t="shared" si="31"/>
        <v>0.30480000046329603</v>
      </c>
    </row>
    <row r="248" spans="6:14" x14ac:dyDescent="0.15">
      <c r="F248" s="404"/>
      <c r="G248" s="342"/>
      <c r="H248" s="404"/>
      <c r="I248" s="67"/>
      <c r="J248" s="409"/>
      <c r="K248" s="410"/>
      <c r="L248" s="410"/>
      <c r="M248" s="410"/>
      <c r="N248" s="411"/>
    </row>
    <row r="249" spans="6:14" x14ac:dyDescent="0.15">
      <c r="F249" s="404"/>
      <c r="G249" s="342"/>
      <c r="H249" s="404"/>
      <c r="I249" s="99" t="s">
        <v>1483</v>
      </c>
      <c r="J249" s="16">
        <v>0.25</v>
      </c>
      <c r="K249" s="66">
        <v>7.11</v>
      </c>
      <c r="L249" s="415">
        <f>K249*3.2808399*0.4535924</f>
        <v>10.580846354665564</v>
      </c>
      <c r="M249" s="416">
        <f>(3*2+2*2)*12/144</f>
        <v>0.83333333333333337</v>
      </c>
      <c r="N249" s="415">
        <f>(M249*3.2808399)*0.09290304</f>
        <v>0.25400000038608006</v>
      </c>
    </row>
    <row r="250" spans="6:14" x14ac:dyDescent="0.15">
      <c r="F250" s="404"/>
      <c r="G250" s="342"/>
      <c r="H250" s="404"/>
      <c r="I250" s="99" t="s">
        <v>1483</v>
      </c>
      <c r="J250" s="16">
        <v>0.1875</v>
      </c>
      <c r="K250" s="66">
        <v>5.59</v>
      </c>
      <c r="L250" s="415">
        <f>K250*3.2808399*0.4535924</f>
        <v>8.31883700739529</v>
      </c>
      <c r="M250" s="416">
        <f>(3*2+2*2)*12/144</f>
        <v>0.83333333333333337</v>
      </c>
      <c r="N250" s="415">
        <f>(M250*3.2808399)*0.09290304</f>
        <v>0.25400000038608006</v>
      </c>
    </row>
    <row r="251" spans="6:14" x14ac:dyDescent="0.15">
      <c r="F251" s="404"/>
      <c r="G251" s="342"/>
      <c r="H251" s="404"/>
      <c r="I251" s="67"/>
      <c r="J251" s="409"/>
      <c r="K251" s="410"/>
      <c r="L251" s="410"/>
      <c r="M251" s="410"/>
      <c r="N251" s="411"/>
    </row>
    <row r="252" spans="6:14" x14ac:dyDescent="0.15">
      <c r="F252" s="133"/>
      <c r="G252" s="133"/>
      <c r="H252" s="133"/>
    </row>
    <row r="253" spans="6:14" x14ac:dyDescent="0.15">
      <c r="F253" s="133"/>
      <c r="G253" s="133"/>
    </row>
  </sheetData>
  <phoneticPr fontId="80" type="noConversion"/>
  <pageMargins left="0.75" right="0.75" top="1" bottom="1" header="0.5" footer="0.5"/>
  <pageSetup orientation="portrait"/>
  <headerFooter alignWithMargins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584EA-9A4B-AE45-BF86-0236416F9778}">
  <dimension ref="B1:R99"/>
  <sheetViews>
    <sheetView showGridLines="0" zoomScale="90" workbookViewId="0">
      <pane xSplit="17" ySplit="15" topLeftCell="R52" activePane="bottomRight" state="frozen"/>
      <selection pane="topRight" activeCell="R1" sqref="R1"/>
      <selection pane="bottomLeft" activeCell="A9" sqref="A9"/>
      <selection pane="bottomRight" activeCell="N66" sqref="N66"/>
    </sheetView>
  </sheetViews>
  <sheetFormatPr baseColWidth="10" defaultColWidth="8.83203125" defaultRowHeight="13" x14ac:dyDescent="0.15"/>
  <cols>
    <col min="1" max="1" width="3.1640625" customWidth="1"/>
    <col min="2" max="2" width="13.5" customWidth="1"/>
    <col min="3" max="3" width="13.33203125" customWidth="1"/>
    <col min="4" max="4" width="4.6640625" customWidth="1"/>
    <col min="5" max="5" width="8.33203125" customWidth="1"/>
    <col min="6" max="6" width="7.6640625" customWidth="1"/>
    <col min="7" max="7" width="8" customWidth="1"/>
    <col min="8" max="8" width="7.6640625" customWidth="1"/>
    <col min="9" max="9" width="8.6640625" customWidth="1"/>
    <col min="10" max="10" width="8.5" customWidth="1"/>
    <col min="11" max="11" width="8.1640625" customWidth="1"/>
    <col min="12" max="12" width="7.5" customWidth="1"/>
    <col min="13" max="14" width="8.1640625" customWidth="1"/>
    <col min="15" max="15" width="7.33203125" customWidth="1"/>
    <col min="16" max="17" width="8" customWidth="1"/>
  </cols>
  <sheetData>
    <row r="1" spans="2:18" x14ac:dyDescent="0.15">
      <c r="B1" s="112">
        <f ca="1">NOW()</f>
        <v>45636.449309606483</v>
      </c>
    </row>
    <row r="2" spans="2:18" ht="25" x14ac:dyDescent="0.25">
      <c r="C2" s="197"/>
      <c r="D2" s="197"/>
      <c r="G2" s="259" t="s">
        <v>1725</v>
      </c>
    </row>
    <row r="4" spans="2:18" ht="18" x14ac:dyDescent="0.2">
      <c r="C4" s="266" t="s">
        <v>1705</v>
      </c>
    </row>
    <row r="5" spans="2:18" ht="16" x14ac:dyDescent="0.2">
      <c r="B5" s="267" t="s">
        <v>1726</v>
      </c>
      <c r="C5" s="265" t="s">
        <v>1727</v>
      </c>
    </row>
    <row r="6" spans="2:18" ht="16" x14ac:dyDescent="0.2">
      <c r="C6" s="265" t="s">
        <v>1728</v>
      </c>
      <c r="D6" s="17"/>
    </row>
    <row r="7" spans="2:18" ht="16" x14ac:dyDescent="0.2">
      <c r="C7" s="265" t="s">
        <v>1729</v>
      </c>
      <c r="D7" s="17"/>
    </row>
    <row r="8" spans="2:18" x14ac:dyDescent="0.15">
      <c r="C8" s="17"/>
      <c r="D8" s="17"/>
    </row>
    <row r="9" spans="2:18" ht="16" x14ac:dyDescent="0.2">
      <c r="B9" s="218" t="s">
        <v>1731</v>
      </c>
      <c r="C9" s="17" t="s">
        <v>1734</v>
      </c>
      <c r="D9" s="17"/>
    </row>
    <row r="10" spans="2:18" ht="16" x14ac:dyDescent="0.2">
      <c r="B10" s="218" t="s">
        <v>1732</v>
      </c>
      <c r="C10" s="17" t="s">
        <v>1735</v>
      </c>
      <c r="D10" s="17"/>
    </row>
    <row r="11" spans="2:18" ht="16" x14ac:dyDescent="0.2">
      <c r="B11" s="218" t="s">
        <v>1733</v>
      </c>
      <c r="C11" s="17" t="s">
        <v>1736</v>
      </c>
      <c r="D11" s="17"/>
    </row>
    <row r="12" spans="2:18" ht="14" thickBot="1" x14ac:dyDescent="0.2"/>
    <row r="13" spans="2:18" ht="18" x14ac:dyDescent="0.2">
      <c r="B13" s="198" t="s">
        <v>1693</v>
      </c>
      <c r="C13" s="198" t="s">
        <v>1700</v>
      </c>
      <c r="D13" s="229" t="s">
        <v>1719</v>
      </c>
      <c r="E13" s="121" t="s">
        <v>850</v>
      </c>
      <c r="F13" s="280" t="s">
        <v>850</v>
      </c>
      <c r="G13" s="280" t="s">
        <v>850</v>
      </c>
      <c r="H13" s="280" t="s">
        <v>850</v>
      </c>
      <c r="I13" s="280" t="s">
        <v>850</v>
      </c>
      <c r="J13" s="281" t="s">
        <v>1706</v>
      </c>
      <c r="K13" s="280" t="s">
        <v>850</v>
      </c>
      <c r="L13" s="280" t="s">
        <v>850</v>
      </c>
      <c r="M13" s="280" t="s">
        <v>850</v>
      </c>
      <c r="N13" s="280" t="s">
        <v>850</v>
      </c>
      <c r="O13" s="280" t="s">
        <v>850</v>
      </c>
      <c r="P13" s="280" t="s">
        <v>850</v>
      </c>
      <c r="Q13" s="282"/>
      <c r="R13" s="1"/>
    </row>
    <row r="14" spans="2:18" ht="19" thickBot="1" x14ac:dyDescent="0.25">
      <c r="B14" s="275"/>
      <c r="C14" s="292" t="s">
        <v>1737</v>
      </c>
      <c r="D14" s="276"/>
      <c r="E14" s="122"/>
      <c r="F14" s="277"/>
      <c r="G14" s="277"/>
      <c r="H14" s="277"/>
      <c r="I14" s="277"/>
      <c r="J14" s="278"/>
      <c r="K14" s="277"/>
      <c r="L14" s="277"/>
      <c r="M14" s="277"/>
      <c r="N14" s="277"/>
      <c r="O14" s="277"/>
      <c r="P14" s="277"/>
      <c r="Q14" s="279"/>
      <c r="R14" s="1"/>
    </row>
    <row r="15" spans="2:18" ht="14" thickBot="1" x14ac:dyDescent="0.2">
      <c r="B15" s="199" t="s">
        <v>845</v>
      </c>
      <c r="C15" s="199" t="s">
        <v>1749</v>
      </c>
      <c r="D15" s="230" t="s">
        <v>1720</v>
      </c>
      <c r="E15" s="207" t="s">
        <v>1694</v>
      </c>
      <c r="F15" s="209" t="s">
        <v>1695</v>
      </c>
      <c r="G15" s="209" t="s">
        <v>1696</v>
      </c>
      <c r="H15" s="209" t="s">
        <v>1721</v>
      </c>
      <c r="I15" s="209" t="s">
        <v>1697</v>
      </c>
      <c r="J15" s="209" t="s">
        <v>1698</v>
      </c>
      <c r="K15" s="209" t="s">
        <v>1699</v>
      </c>
      <c r="L15" s="209" t="s">
        <v>1701</v>
      </c>
      <c r="M15" s="209" t="s">
        <v>1722</v>
      </c>
      <c r="N15" s="209" t="s">
        <v>1723</v>
      </c>
      <c r="O15" s="209" t="s">
        <v>1702</v>
      </c>
      <c r="P15" s="209" t="s">
        <v>1703</v>
      </c>
      <c r="Q15" s="208" t="s">
        <v>1704</v>
      </c>
    </row>
    <row r="16" spans="2:18" x14ac:dyDescent="0.15">
      <c r="B16" s="202"/>
      <c r="C16" s="202"/>
      <c r="D16" s="222" t="s">
        <v>1719</v>
      </c>
      <c r="E16" s="204">
        <v>386</v>
      </c>
      <c r="F16" s="204">
        <v>247</v>
      </c>
      <c r="G16" s="204">
        <v>172</v>
      </c>
      <c r="H16" s="210">
        <v>126</v>
      </c>
      <c r="I16" s="213">
        <v>96</v>
      </c>
      <c r="J16" s="213">
        <v>76</v>
      </c>
      <c r="K16" s="210"/>
      <c r="L16" s="213"/>
      <c r="M16" s="213"/>
      <c r="N16" s="213"/>
      <c r="O16" s="213"/>
      <c r="P16" s="214"/>
      <c r="Q16" s="214" t="s">
        <v>1724</v>
      </c>
    </row>
    <row r="17" spans="2:17" ht="16" x14ac:dyDescent="0.2">
      <c r="B17" s="221" t="s">
        <v>1707</v>
      </c>
      <c r="C17" s="232">
        <v>4</v>
      </c>
      <c r="D17" s="223" t="s">
        <v>1720</v>
      </c>
      <c r="E17" s="205">
        <v>9.5000000000000001E-2</v>
      </c>
      <c r="F17" s="205">
        <v>0.151</v>
      </c>
      <c r="G17" s="205">
        <v>0.216</v>
      </c>
      <c r="H17" s="211">
        <v>0.29499999999999998</v>
      </c>
      <c r="I17" s="212">
        <v>0.374</v>
      </c>
      <c r="J17" s="212">
        <v>0.48599999999999999</v>
      </c>
      <c r="K17" s="211"/>
      <c r="L17" s="212"/>
      <c r="M17" s="212"/>
      <c r="N17" s="212"/>
      <c r="O17" s="212"/>
      <c r="P17" s="215"/>
      <c r="Q17" s="215"/>
    </row>
    <row r="18" spans="2:17" x14ac:dyDescent="0.15">
      <c r="B18" s="202"/>
      <c r="C18" s="293">
        <f>C17*10.76391042*0.4535924</f>
        <v>19.529711843171231</v>
      </c>
      <c r="D18" s="224" t="s">
        <v>1730</v>
      </c>
      <c r="E18" s="205">
        <v>386</v>
      </c>
      <c r="F18" s="205">
        <v>308</v>
      </c>
      <c r="G18" s="205">
        <v>258</v>
      </c>
      <c r="H18" s="211">
        <v>220</v>
      </c>
      <c r="I18" s="212">
        <v>194</v>
      </c>
      <c r="J18" s="212">
        <v>171</v>
      </c>
      <c r="K18" s="211"/>
      <c r="L18" s="212"/>
      <c r="M18" s="212"/>
      <c r="N18" s="212"/>
      <c r="O18" s="212"/>
      <c r="P18" s="215"/>
      <c r="Q18" s="215"/>
    </row>
    <row r="19" spans="2:17" ht="14" thickBot="1" x14ac:dyDescent="0.2">
      <c r="B19" s="262"/>
      <c r="C19" s="263"/>
      <c r="D19" s="237" t="s">
        <v>1720</v>
      </c>
      <c r="E19" s="238">
        <v>7.5999999999999998E-2</v>
      </c>
      <c r="F19" s="238">
        <v>0.11899999999999999</v>
      </c>
      <c r="G19" s="238">
        <v>0.17299999999999999</v>
      </c>
      <c r="H19" s="240">
        <v>0.23400000000000001</v>
      </c>
      <c r="I19" s="241">
        <v>0.308</v>
      </c>
      <c r="J19" s="241">
        <v>0.38900000000000001</v>
      </c>
      <c r="K19" s="240"/>
      <c r="L19" s="241"/>
      <c r="M19" s="241"/>
      <c r="N19" s="241"/>
      <c r="O19" s="241"/>
      <c r="P19" s="242"/>
      <c r="Q19" s="242"/>
    </row>
    <row r="20" spans="2:17" ht="14" thickTop="1" x14ac:dyDescent="0.15">
      <c r="B20" s="260"/>
      <c r="C20" s="200"/>
      <c r="D20" s="261" t="s">
        <v>1719</v>
      </c>
      <c r="E20" s="201">
        <v>578</v>
      </c>
      <c r="F20" s="201">
        <v>370</v>
      </c>
      <c r="G20" s="201">
        <v>258</v>
      </c>
      <c r="H20" s="217">
        <v>188</v>
      </c>
      <c r="I20" s="233">
        <v>144</v>
      </c>
      <c r="J20" s="233">
        <v>115</v>
      </c>
      <c r="K20" s="252"/>
      <c r="L20" s="233"/>
      <c r="M20" s="233"/>
      <c r="N20" s="233"/>
      <c r="O20" s="233"/>
      <c r="P20" s="234"/>
      <c r="Q20" s="234"/>
    </row>
    <row r="21" spans="2:17" ht="16" x14ac:dyDescent="0.2">
      <c r="B21" s="221" t="s">
        <v>1708</v>
      </c>
      <c r="C21" s="232">
        <v>5.6</v>
      </c>
      <c r="D21" s="223" t="s">
        <v>1720</v>
      </c>
      <c r="E21" s="205">
        <v>9.5000000000000001E-2</v>
      </c>
      <c r="F21" s="205">
        <v>0.151</v>
      </c>
      <c r="G21" s="205">
        <v>0.216</v>
      </c>
      <c r="H21" s="206">
        <v>0.29499999999999998</v>
      </c>
      <c r="I21" s="212">
        <v>0.374</v>
      </c>
      <c r="J21" s="212">
        <v>0.48599999999999999</v>
      </c>
      <c r="K21" s="211"/>
      <c r="L21" s="212"/>
      <c r="M21" s="212"/>
      <c r="N21" s="212"/>
      <c r="O21" s="212"/>
      <c r="P21" s="215"/>
      <c r="Q21" s="215"/>
    </row>
    <row r="22" spans="2:17" x14ac:dyDescent="0.15">
      <c r="B22" s="202"/>
      <c r="C22" s="293">
        <f>C21*10.76391042*0.4535924</f>
        <v>27.341596580439724</v>
      </c>
      <c r="D22" s="224" t="s">
        <v>1730</v>
      </c>
      <c r="E22" s="205">
        <v>578</v>
      </c>
      <c r="F22" s="205">
        <v>462</v>
      </c>
      <c r="G22" s="205">
        <v>386</v>
      </c>
      <c r="H22" s="206">
        <v>331</v>
      </c>
      <c r="I22" s="212">
        <v>289</v>
      </c>
      <c r="J22" s="212">
        <v>257</v>
      </c>
      <c r="K22" s="211"/>
      <c r="L22" s="212"/>
      <c r="M22" s="212"/>
      <c r="N22" s="212"/>
      <c r="O22" s="212"/>
      <c r="P22" s="215"/>
      <c r="Q22" s="215"/>
    </row>
    <row r="23" spans="2:17" ht="14" thickBot="1" x14ac:dyDescent="0.2">
      <c r="B23" s="235"/>
      <c r="C23" s="236"/>
      <c r="D23" s="237" t="s">
        <v>1720</v>
      </c>
      <c r="E23" s="238">
        <v>7.5999999999999998E-2</v>
      </c>
      <c r="F23" s="238">
        <v>0.11899999999999999</v>
      </c>
      <c r="G23" s="238">
        <v>0.17299999999999999</v>
      </c>
      <c r="H23" s="239">
        <v>0.23400000000000001</v>
      </c>
      <c r="I23" s="241">
        <v>0.38</v>
      </c>
      <c r="J23" s="241">
        <v>0.38900000000000001</v>
      </c>
      <c r="K23" s="240"/>
      <c r="L23" s="241"/>
      <c r="M23" s="241"/>
      <c r="N23" s="241"/>
      <c r="O23" s="241"/>
      <c r="P23" s="242"/>
      <c r="Q23" s="242"/>
    </row>
    <row r="24" spans="2:17" ht="14" thickTop="1" x14ac:dyDescent="0.15">
      <c r="B24" s="260"/>
      <c r="C24" s="264"/>
      <c r="D24" s="243" t="s">
        <v>1719</v>
      </c>
      <c r="E24" s="201">
        <v>686</v>
      </c>
      <c r="F24" s="201">
        <v>439</v>
      </c>
      <c r="G24" s="201">
        <v>304</v>
      </c>
      <c r="H24" s="217">
        <v>224</v>
      </c>
      <c r="I24" s="201">
        <v>171</v>
      </c>
      <c r="J24" s="233">
        <v>135</v>
      </c>
      <c r="K24" s="252">
        <v>109</v>
      </c>
      <c r="L24" s="233">
        <v>91</v>
      </c>
      <c r="M24" s="233">
        <v>76</v>
      </c>
      <c r="N24" s="233"/>
      <c r="O24" s="233"/>
      <c r="P24" s="234"/>
      <c r="Q24" s="234"/>
    </row>
    <row r="25" spans="2:17" ht="16" x14ac:dyDescent="0.2">
      <c r="B25" s="221" t="s">
        <v>1709</v>
      </c>
      <c r="C25" s="231">
        <v>5.0999999999999996</v>
      </c>
      <c r="D25" s="243" t="s">
        <v>1720</v>
      </c>
      <c r="E25" s="201">
        <v>7.1999999999999995E-2</v>
      </c>
      <c r="F25" s="201">
        <v>0.111</v>
      </c>
      <c r="G25" s="201">
        <v>0.159</v>
      </c>
      <c r="H25" s="217">
        <v>0.219</v>
      </c>
      <c r="I25" s="201">
        <v>0.28799999999999998</v>
      </c>
      <c r="J25" s="233">
        <v>0.36599999999999999</v>
      </c>
      <c r="K25" s="252">
        <v>0.45100000000000001</v>
      </c>
      <c r="L25" s="233">
        <v>0.54700000000000004</v>
      </c>
      <c r="M25" s="233">
        <v>0.67300000000000004</v>
      </c>
      <c r="N25" s="233"/>
      <c r="O25" s="233"/>
      <c r="P25" s="234"/>
      <c r="Q25" s="234"/>
    </row>
    <row r="26" spans="2:17" x14ac:dyDescent="0.15">
      <c r="B26" s="202"/>
      <c r="C26" s="293">
        <f>C25*10.76391042*0.4535924</f>
        <v>24.900382600043322</v>
      </c>
      <c r="D26" s="224" t="s">
        <v>1730</v>
      </c>
      <c r="E26" s="205">
        <v>686</v>
      </c>
      <c r="F26" s="205">
        <v>549</v>
      </c>
      <c r="G26" s="205">
        <v>457</v>
      </c>
      <c r="H26" s="206">
        <v>392</v>
      </c>
      <c r="I26" s="205">
        <v>343</v>
      </c>
      <c r="J26" s="212">
        <v>305</v>
      </c>
      <c r="K26" s="211">
        <v>275</v>
      </c>
      <c r="L26" s="212">
        <v>250</v>
      </c>
      <c r="M26" s="212">
        <v>228</v>
      </c>
      <c r="N26" s="212"/>
      <c r="O26" s="212"/>
      <c r="P26" s="215"/>
      <c r="Q26" s="215"/>
    </row>
    <row r="27" spans="2:17" ht="14" thickBot="1" x14ac:dyDescent="0.2">
      <c r="B27" s="235"/>
      <c r="C27" s="263"/>
      <c r="D27" s="237" t="s">
        <v>1720</v>
      </c>
      <c r="E27" s="238">
        <v>5.7000000000000002E-2</v>
      </c>
      <c r="F27" s="238">
        <v>0.09</v>
      </c>
      <c r="G27" s="238">
        <v>0.129</v>
      </c>
      <c r="H27" s="239">
        <v>0.17599999999999999</v>
      </c>
      <c r="I27" s="238">
        <v>0.23100000000000001</v>
      </c>
      <c r="J27" s="241">
        <v>0.29299999999999998</v>
      </c>
      <c r="K27" s="240">
        <v>0.36</v>
      </c>
      <c r="L27" s="241">
        <v>0.434</v>
      </c>
      <c r="M27" s="241">
        <v>0.51800000000000002</v>
      </c>
      <c r="N27" s="241"/>
      <c r="O27" s="241"/>
      <c r="P27" s="242"/>
      <c r="Q27" s="242"/>
    </row>
    <row r="28" spans="2:17" ht="14" thickTop="1" x14ac:dyDescent="0.15">
      <c r="B28" s="202"/>
      <c r="C28" s="203"/>
      <c r="D28" s="226" t="s">
        <v>1719</v>
      </c>
      <c r="E28" s="201">
        <v>1029</v>
      </c>
      <c r="F28" s="201">
        <v>659</v>
      </c>
      <c r="G28" s="201">
        <v>459</v>
      </c>
      <c r="H28" s="217">
        <v>338</v>
      </c>
      <c r="I28" s="201">
        <v>257</v>
      </c>
      <c r="J28" s="201">
        <v>203</v>
      </c>
      <c r="K28" s="252">
        <v>164</v>
      </c>
      <c r="L28" s="233">
        <v>135</v>
      </c>
      <c r="M28" s="233">
        <v>114</v>
      </c>
      <c r="N28" s="233"/>
      <c r="O28" s="233"/>
      <c r="P28" s="234"/>
      <c r="Q28" s="234"/>
    </row>
    <row r="29" spans="2:17" ht="16" x14ac:dyDescent="0.2">
      <c r="B29" s="221" t="s">
        <v>1710</v>
      </c>
      <c r="C29" s="231">
        <v>7.3</v>
      </c>
      <c r="D29" s="225" t="s">
        <v>1720</v>
      </c>
      <c r="E29" s="205">
        <v>7.1999999999999995E-2</v>
      </c>
      <c r="F29" s="205">
        <v>0.111</v>
      </c>
      <c r="G29" s="205">
        <v>0.159</v>
      </c>
      <c r="H29" s="206">
        <v>0.219</v>
      </c>
      <c r="I29" s="205">
        <v>0.28799999999999998</v>
      </c>
      <c r="J29" s="205">
        <v>0.36599999999999999</v>
      </c>
      <c r="K29" s="211">
        <v>0.45100000000000001</v>
      </c>
      <c r="L29" s="212">
        <v>0.54700000000000004</v>
      </c>
      <c r="M29" s="212">
        <v>0.67300000000000004</v>
      </c>
      <c r="N29" s="212"/>
      <c r="O29" s="212"/>
      <c r="P29" s="215"/>
      <c r="Q29" s="215"/>
    </row>
    <row r="30" spans="2:17" x14ac:dyDescent="0.15">
      <c r="B30" s="202"/>
      <c r="C30" s="293">
        <f>C29*10.76391042*0.4535924</f>
        <v>35.641724113787504</v>
      </c>
      <c r="D30" s="224" t="s">
        <v>1730</v>
      </c>
      <c r="E30" s="205">
        <v>1029</v>
      </c>
      <c r="F30" s="205">
        <v>824</v>
      </c>
      <c r="G30" s="205">
        <v>686</v>
      </c>
      <c r="H30" s="206">
        <v>587</v>
      </c>
      <c r="I30" s="205">
        <v>514</v>
      </c>
      <c r="J30" s="205">
        <v>458</v>
      </c>
      <c r="K30" s="211">
        <v>412</v>
      </c>
      <c r="L30" s="212">
        <v>375</v>
      </c>
      <c r="M30" s="212">
        <v>343</v>
      </c>
      <c r="N30" s="212"/>
      <c r="O30" s="212"/>
      <c r="P30" s="215"/>
      <c r="Q30" s="215"/>
    </row>
    <row r="31" spans="2:17" ht="14" thickBot="1" x14ac:dyDescent="0.2">
      <c r="B31" s="235"/>
      <c r="C31" s="236"/>
      <c r="D31" s="237" t="s">
        <v>1720</v>
      </c>
      <c r="E31" s="238">
        <v>5.7000000000000002E-2</v>
      </c>
      <c r="F31" s="238">
        <v>0.09</v>
      </c>
      <c r="G31" s="238">
        <v>0.129</v>
      </c>
      <c r="H31" s="239">
        <v>0.17599999999999999</v>
      </c>
      <c r="I31" s="238">
        <v>0.23100000000000001</v>
      </c>
      <c r="J31" s="238">
        <v>0.29299999999999998</v>
      </c>
      <c r="K31" s="240">
        <v>0.36</v>
      </c>
      <c r="L31" s="241">
        <v>0.434</v>
      </c>
      <c r="M31" s="241">
        <v>0.51800000000000002</v>
      </c>
      <c r="N31" s="241"/>
      <c r="O31" s="241"/>
      <c r="P31" s="242"/>
      <c r="Q31" s="242"/>
    </row>
    <row r="32" spans="2:17" ht="14" thickTop="1" x14ac:dyDescent="0.15">
      <c r="B32" s="244"/>
      <c r="C32" s="245"/>
      <c r="D32" s="246" t="s">
        <v>1719</v>
      </c>
      <c r="E32" s="247">
        <v>1072</v>
      </c>
      <c r="F32" s="247">
        <v>686</v>
      </c>
      <c r="G32" s="247">
        <v>476</v>
      </c>
      <c r="H32" s="248">
        <v>350</v>
      </c>
      <c r="I32" s="247">
        <v>268</v>
      </c>
      <c r="J32" s="247">
        <v>212</v>
      </c>
      <c r="K32" s="248">
        <v>172</v>
      </c>
      <c r="L32" s="249">
        <v>142</v>
      </c>
      <c r="M32" s="249">
        <v>119</v>
      </c>
      <c r="N32" s="249">
        <v>101</v>
      </c>
      <c r="O32" s="249">
        <v>87</v>
      </c>
      <c r="P32" s="250"/>
      <c r="Q32" s="250"/>
    </row>
    <row r="33" spans="2:17" ht="16" x14ac:dyDescent="0.2">
      <c r="B33" s="221" t="s">
        <v>1711</v>
      </c>
      <c r="C33" s="231">
        <v>6.1</v>
      </c>
      <c r="D33" s="224" t="s">
        <v>1720</v>
      </c>
      <c r="E33" s="206">
        <v>5.7000000000000002E-2</v>
      </c>
      <c r="F33" s="205">
        <v>0.09</v>
      </c>
      <c r="G33" s="205">
        <v>0.129</v>
      </c>
      <c r="H33" s="206">
        <v>0.17599999999999999</v>
      </c>
      <c r="I33" s="205">
        <v>0.23100000000000001</v>
      </c>
      <c r="J33" s="205">
        <v>0.29099999999999998</v>
      </c>
      <c r="K33" s="206">
        <v>0.35799999999999998</v>
      </c>
      <c r="L33" s="212">
        <v>0.433</v>
      </c>
      <c r="M33" s="216">
        <v>0.52</v>
      </c>
      <c r="N33" s="212">
        <v>0.60799999999999998</v>
      </c>
      <c r="O33" s="212">
        <v>0.70399999999999996</v>
      </c>
      <c r="P33" s="215"/>
      <c r="Q33" s="215"/>
    </row>
    <row r="34" spans="2:17" x14ac:dyDescent="0.15">
      <c r="B34" s="202"/>
      <c r="C34" s="293">
        <f>C33*10.76391042*0.4535924</f>
        <v>29.782810560836126</v>
      </c>
      <c r="D34" s="224" t="s">
        <v>1730</v>
      </c>
      <c r="E34" s="206">
        <v>1072</v>
      </c>
      <c r="F34" s="205">
        <v>858</v>
      </c>
      <c r="G34" s="205">
        <v>716</v>
      </c>
      <c r="H34" s="206">
        <v>613</v>
      </c>
      <c r="I34" s="205">
        <v>536</v>
      </c>
      <c r="J34" s="205">
        <v>477</v>
      </c>
      <c r="K34" s="206">
        <v>430</v>
      </c>
      <c r="L34" s="212">
        <v>390</v>
      </c>
      <c r="M34" s="212">
        <v>358</v>
      </c>
      <c r="N34" s="212">
        <v>330</v>
      </c>
      <c r="O34" s="212">
        <v>306</v>
      </c>
      <c r="P34" s="215"/>
      <c r="Q34" s="215"/>
    </row>
    <row r="35" spans="2:17" ht="14" thickBot="1" x14ac:dyDescent="0.2">
      <c r="B35" s="235"/>
      <c r="C35" s="236"/>
      <c r="D35" s="237" t="s">
        <v>1720</v>
      </c>
      <c r="E35" s="239">
        <v>4.5999999999999999E-2</v>
      </c>
      <c r="F35" s="238">
        <v>7.1999999999999995E-2</v>
      </c>
      <c r="G35" s="238">
        <v>0.104</v>
      </c>
      <c r="H35" s="239">
        <v>0.14099999999999999</v>
      </c>
      <c r="I35" s="238">
        <v>0.183</v>
      </c>
      <c r="J35" s="238">
        <v>0.23300000000000001</v>
      </c>
      <c r="K35" s="239">
        <v>0.28799999999999998</v>
      </c>
      <c r="L35" s="241">
        <v>0.34899999999999998</v>
      </c>
      <c r="M35" s="251">
        <v>0.41599999999999998</v>
      </c>
      <c r="N35" s="241">
        <v>0.48699999999999999</v>
      </c>
      <c r="O35" s="241">
        <v>0.56499999999999995</v>
      </c>
      <c r="P35" s="242"/>
      <c r="Q35" s="242"/>
    </row>
    <row r="36" spans="2:17" ht="14" thickTop="1" x14ac:dyDescent="0.15">
      <c r="B36" s="244"/>
      <c r="C36" s="253"/>
      <c r="D36" s="246" t="s">
        <v>1719</v>
      </c>
      <c r="E36" s="248">
        <v>1608</v>
      </c>
      <c r="F36" s="247">
        <v>1028</v>
      </c>
      <c r="G36" s="247">
        <v>716</v>
      </c>
      <c r="H36" s="248">
        <v>526</v>
      </c>
      <c r="I36" s="247">
        <v>403</v>
      </c>
      <c r="J36" s="247">
        <v>318</v>
      </c>
      <c r="K36" s="248">
        <v>258</v>
      </c>
      <c r="L36" s="247">
        <v>213</v>
      </c>
      <c r="M36" s="249">
        <v>179</v>
      </c>
      <c r="N36" s="249">
        <v>152</v>
      </c>
      <c r="O36" s="249">
        <v>131</v>
      </c>
      <c r="P36" s="250"/>
      <c r="Q36" s="250"/>
    </row>
    <row r="37" spans="2:17" ht="16" x14ac:dyDescent="0.2">
      <c r="B37" s="221" t="s">
        <v>1712</v>
      </c>
      <c r="C37" s="231">
        <v>8.9</v>
      </c>
      <c r="D37" s="225" t="s">
        <v>1720</v>
      </c>
      <c r="E37" s="206">
        <v>5.7000000000000002E-2</v>
      </c>
      <c r="F37" s="205">
        <v>0.09</v>
      </c>
      <c r="G37" s="205">
        <v>0.129</v>
      </c>
      <c r="H37" s="206">
        <v>0.17599999999999999</v>
      </c>
      <c r="I37" s="205">
        <v>0.23100000000000001</v>
      </c>
      <c r="J37" s="205">
        <v>0.29099999999999998</v>
      </c>
      <c r="K37" s="206">
        <v>0.35799999999999998</v>
      </c>
      <c r="L37" s="205">
        <v>0.433</v>
      </c>
      <c r="M37" s="216">
        <v>0.52</v>
      </c>
      <c r="N37" s="212">
        <v>0.60799999999999998</v>
      </c>
      <c r="O37" s="212">
        <v>0.70399999999999996</v>
      </c>
      <c r="P37" s="215"/>
      <c r="Q37" s="215"/>
    </row>
    <row r="38" spans="2:17" x14ac:dyDescent="0.15">
      <c r="B38" s="202"/>
      <c r="C38" s="293">
        <f>C37*10.76391042*0.4535924</f>
        <v>43.453608851055996</v>
      </c>
      <c r="D38" s="224" t="s">
        <v>1730</v>
      </c>
      <c r="E38" s="206">
        <v>1608</v>
      </c>
      <c r="F38" s="205">
        <v>1285</v>
      </c>
      <c r="G38" s="205">
        <v>1073</v>
      </c>
      <c r="H38" s="206">
        <v>918</v>
      </c>
      <c r="I38" s="205">
        <v>803</v>
      </c>
      <c r="J38" s="205">
        <v>716</v>
      </c>
      <c r="K38" s="206">
        <v>644</v>
      </c>
      <c r="L38" s="205">
        <v>585</v>
      </c>
      <c r="M38" s="212">
        <v>536</v>
      </c>
      <c r="N38" s="212">
        <v>495</v>
      </c>
      <c r="O38" s="212">
        <v>459</v>
      </c>
      <c r="P38" s="215"/>
      <c r="Q38" s="215"/>
    </row>
    <row r="39" spans="2:17" ht="14" thickBot="1" x14ac:dyDescent="0.2">
      <c r="B39" s="235"/>
      <c r="C39" s="236"/>
      <c r="D39" s="237" t="s">
        <v>1720</v>
      </c>
      <c r="E39" s="239">
        <v>4.5999999999999999E-2</v>
      </c>
      <c r="F39" s="238">
        <v>7.1999999999999995E-2</v>
      </c>
      <c r="G39" s="238">
        <v>0.104</v>
      </c>
      <c r="H39" s="239">
        <v>0.14099999999999999</v>
      </c>
      <c r="I39" s="238">
        <v>0.183</v>
      </c>
      <c r="J39" s="238">
        <v>0.23300000000000001</v>
      </c>
      <c r="K39" s="239">
        <v>0.28799999999999998</v>
      </c>
      <c r="L39" s="238">
        <v>0.34899999999999998</v>
      </c>
      <c r="M39" s="241">
        <v>0.41599999999999998</v>
      </c>
      <c r="N39" s="241">
        <v>0.48699999999999999</v>
      </c>
      <c r="O39" s="241">
        <v>0.56499999999999995</v>
      </c>
      <c r="P39" s="242"/>
      <c r="Q39" s="242"/>
    </row>
    <row r="40" spans="2:17" ht="14" thickTop="1" x14ac:dyDescent="0.15">
      <c r="B40" s="202"/>
      <c r="C40" s="203"/>
      <c r="D40" s="226" t="s">
        <v>1719</v>
      </c>
      <c r="E40" s="217">
        <v>1544</v>
      </c>
      <c r="F40" s="201">
        <v>0.98699999999999999</v>
      </c>
      <c r="G40" s="201">
        <v>686</v>
      </c>
      <c r="H40" s="217">
        <v>505</v>
      </c>
      <c r="I40" s="201">
        <v>387</v>
      </c>
      <c r="J40" s="201">
        <v>306</v>
      </c>
      <c r="K40" s="217">
        <v>248</v>
      </c>
      <c r="L40" s="201">
        <v>205</v>
      </c>
      <c r="M40" s="201">
        <v>172</v>
      </c>
      <c r="N40" s="233">
        <v>149</v>
      </c>
      <c r="O40" s="233">
        <v>128</v>
      </c>
      <c r="P40" s="252">
        <v>96</v>
      </c>
      <c r="Q40" s="252">
        <v>75</v>
      </c>
    </row>
    <row r="41" spans="2:17" ht="16" x14ac:dyDescent="0.2">
      <c r="B41" s="221" t="s">
        <v>1713</v>
      </c>
      <c r="C41" s="231">
        <v>7.3</v>
      </c>
      <c r="D41" s="223" t="s">
        <v>1720</v>
      </c>
      <c r="E41" s="206">
        <v>4.7E-2</v>
      </c>
      <c r="F41" s="205">
        <v>7.4999999999999997E-2</v>
      </c>
      <c r="G41" s="205">
        <v>0.106</v>
      </c>
      <c r="H41" s="206">
        <v>0.14699999999999999</v>
      </c>
      <c r="I41" s="205">
        <v>0.192</v>
      </c>
      <c r="J41" s="205">
        <v>0.24299999999999999</v>
      </c>
      <c r="K41" s="219">
        <v>0.3</v>
      </c>
      <c r="L41" s="205">
        <v>0.36499999999999999</v>
      </c>
      <c r="M41" s="205">
        <v>0.433</v>
      </c>
      <c r="N41" s="212">
        <v>0.50600000000000001</v>
      </c>
      <c r="O41" s="212">
        <v>0.58699999999999997</v>
      </c>
      <c r="P41" s="211">
        <v>774</v>
      </c>
      <c r="Q41" s="211">
        <v>0.97799999999999998</v>
      </c>
    </row>
    <row r="42" spans="2:17" x14ac:dyDescent="0.15">
      <c r="B42" s="202"/>
      <c r="C42" s="293">
        <f>C41*10.76391042*0.4535924</f>
        <v>35.641724113787504</v>
      </c>
      <c r="D42" s="224" t="s">
        <v>1730</v>
      </c>
      <c r="E42" s="206">
        <v>1544</v>
      </c>
      <c r="F42" s="205">
        <v>1235</v>
      </c>
      <c r="G42" s="205">
        <v>1029</v>
      </c>
      <c r="H42" s="206">
        <v>883</v>
      </c>
      <c r="I42" s="205">
        <v>772</v>
      </c>
      <c r="J42" s="205">
        <v>687</v>
      </c>
      <c r="K42" s="206">
        <v>619</v>
      </c>
      <c r="L42" s="205">
        <v>563</v>
      </c>
      <c r="M42" s="205">
        <v>515</v>
      </c>
      <c r="N42" s="212">
        <v>475</v>
      </c>
      <c r="O42" s="212">
        <v>441</v>
      </c>
      <c r="P42" s="211">
        <v>386</v>
      </c>
      <c r="Q42" s="211">
        <v>342</v>
      </c>
    </row>
    <row r="43" spans="2:17" ht="14" thickBot="1" x14ac:dyDescent="0.2">
      <c r="B43" s="235"/>
      <c r="C43" s="236"/>
      <c r="D43" s="237" t="s">
        <v>1720</v>
      </c>
      <c r="E43" s="239">
        <v>3.7999999999999999E-2</v>
      </c>
      <c r="F43" s="238">
        <v>5.8999999999999997E-2</v>
      </c>
      <c r="G43" s="238">
        <v>8.6999999999999994E-2</v>
      </c>
      <c r="H43" s="239">
        <v>0.11700000000000001</v>
      </c>
      <c r="I43" s="238">
        <v>0.154</v>
      </c>
      <c r="J43" s="238">
        <v>0.19500000000000001</v>
      </c>
      <c r="K43" s="239">
        <v>0.24099999999999999</v>
      </c>
      <c r="L43" s="238">
        <v>0.28899999999999998</v>
      </c>
      <c r="M43" s="238">
        <v>0.34699999999999998</v>
      </c>
      <c r="N43" s="241">
        <v>0.40600000000000003</v>
      </c>
      <c r="O43" s="251">
        <v>0.47</v>
      </c>
      <c r="P43" s="240">
        <v>614</v>
      </c>
      <c r="Q43" s="240">
        <v>0.77700000000000002</v>
      </c>
    </row>
    <row r="44" spans="2:17" ht="14" thickTop="1" x14ac:dyDescent="0.15">
      <c r="B44" s="244"/>
      <c r="C44" s="253"/>
      <c r="D44" s="246" t="s">
        <v>1719</v>
      </c>
      <c r="E44" s="248">
        <v>2321</v>
      </c>
      <c r="F44" s="247">
        <v>1485</v>
      </c>
      <c r="G44" s="247">
        <v>1031</v>
      </c>
      <c r="H44" s="248">
        <v>758</v>
      </c>
      <c r="I44" s="247">
        <v>581</v>
      </c>
      <c r="J44" s="247">
        <v>458</v>
      </c>
      <c r="K44" s="248">
        <v>371</v>
      </c>
      <c r="L44" s="247">
        <v>307</v>
      </c>
      <c r="M44" s="247">
        <v>260</v>
      </c>
      <c r="N44" s="247">
        <v>222</v>
      </c>
      <c r="O44" s="249">
        <v>191</v>
      </c>
      <c r="P44" s="254">
        <v>145</v>
      </c>
      <c r="Q44" s="254">
        <v>115</v>
      </c>
    </row>
    <row r="45" spans="2:17" ht="16" x14ac:dyDescent="0.2">
      <c r="B45" s="221" t="s">
        <v>1714</v>
      </c>
      <c r="C45" s="231">
        <v>10.6</v>
      </c>
      <c r="D45" s="225" t="s">
        <v>1720</v>
      </c>
      <c r="E45" s="206">
        <v>4.7E-2</v>
      </c>
      <c r="F45" s="205">
        <v>7.4999999999999997E-2</v>
      </c>
      <c r="G45" s="205">
        <v>0.106</v>
      </c>
      <c r="H45" s="206">
        <v>0.14699999999999999</v>
      </c>
      <c r="I45" s="205">
        <v>0.192</v>
      </c>
      <c r="J45" s="205">
        <v>0.24299999999999999</v>
      </c>
      <c r="K45" s="219">
        <v>0.3</v>
      </c>
      <c r="L45" s="205">
        <v>0.36499999999999999</v>
      </c>
      <c r="M45" s="205">
        <v>0.433</v>
      </c>
      <c r="N45" s="205">
        <v>0.50600000000000001</v>
      </c>
      <c r="O45" s="212">
        <v>0.58699999999999997</v>
      </c>
      <c r="P45" s="211">
        <v>0.77400000000000002</v>
      </c>
      <c r="Q45" s="211">
        <v>0.97799999999999998</v>
      </c>
    </row>
    <row r="46" spans="2:17" x14ac:dyDescent="0.15">
      <c r="B46" s="202"/>
      <c r="C46" s="293">
        <f>C45*10.76391042*0.4535924</f>
        <v>51.753736384403766</v>
      </c>
      <c r="D46" s="224" t="s">
        <v>1730</v>
      </c>
      <c r="E46" s="206">
        <v>2321</v>
      </c>
      <c r="F46" s="205">
        <v>1856</v>
      </c>
      <c r="G46" s="205">
        <v>1547</v>
      </c>
      <c r="H46" s="206">
        <v>1325</v>
      </c>
      <c r="I46" s="205">
        <v>1159</v>
      </c>
      <c r="J46" s="205">
        <v>1031</v>
      </c>
      <c r="K46" s="206">
        <v>928</v>
      </c>
      <c r="L46" s="205">
        <v>844</v>
      </c>
      <c r="M46" s="205">
        <v>773</v>
      </c>
      <c r="N46" s="205">
        <v>714</v>
      </c>
      <c r="O46" s="212">
        <v>663</v>
      </c>
      <c r="P46" s="211">
        <v>581</v>
      </c>
      <c r="Q46" s="211">
        <v>515</v>
      </c>
    </row>
    <row r="47" spans="2:17" ht="14" thickBot="1" x14ac:dyDescent="0.2">
      <c r="B47" s="235"/>
      <c r="C47" s="236"/>
      <c r="D47" s="237" t="s">
        <v>1720</v>
      </c>
      <c r="E47" s="239">
        <v>3.7999999999999999E-2</v>
      </c>
      <c r="F47" s="238">
        <v>5.8999999999999997E-2</v>
      </c>
      <c r="G47" s="238">
        <v>8.6999999999999994E-2</v>
      </c>
      <c r="H47" s="239">
        <v>0.11700000000000001</v>
      </c>
      <c r="I47" s="238">
        <v>0.154</v>
      </c>
      <c r="J47" s="238">
        <v>0.19500000000000001</v>
      </c>
      <c r="K47" s="239">
        <v>0.24099999999999999</v>
      </c>
      <c r="L47" s="238">
        <v>0.28899999999999998</v>
      </c>
      <c r="M47" s="238">
        <v>0.34699999999999998</v>
      </c>
      <c r="N47" s="238">
        <v>0.40600000000000003</v>
      </c>
      <c r="O47" s="251">
        <v>0.47</v>
      </c>
      <c r="P47" s="240">
        <v>614</v>
      </c>
      <c r="Q47" s="240">
        <v>0.77700000000000002</v>
      </c>
    </row>
    <row r="48" spans="2:17" ht="14" thickTop="1" x14ac:dyDescent="0.15">
      <c r="B48" s="244"/>
      <c r="C48" s="253"/>
      <c r="D48" s="246" t="s">
        <v>1719</v>
      </c>
      <c r="E48" s="248">
        <v>3151</v>
      </c>
      <c r="F48" s="247">
        <v>2016</v>
      </c>
      <c r="G48" s="247">
        <v>1401</v>
      </c>
      <c r="H48" s="248">
        <v>1029</v>
      </c>
      <c r="I48" s="247">
        <v>788</v>
      </c>
      <c r="J48" s="247">
        <v>622</v>
      </c>
      <c r="K48" s="248">
        <v>505</v>
      </c>
      <c r="L48" s="247">
        <v>416</v>
      </c>
      <c r="M48" s="247">
        <v>351</v>
      </c>
      <c r="N48" s="247">
        <v>299</v>
      </c>
      <c r="O48" s="247">
        <v>259</v>
      </c>
      <c r="P48" s="254">
        <v>197</v>
      </c>
      <c r="Q48" s="254">
        <v>155</v>
      </c>
    </row>
    <row r="49" spans="2:17" ht="16" x14ac:dyDescent="0.2">
      <c r="B49" s="221" t="s">
        <v>1715</v>
      </c>
      <c r="C49" s="231">
        <v>12.2</v>
      </c>
      <c r="D49" s="225" t="s">
        <v>1720</v>
      </c>
      <c r="E49" s="206">
        <v>4.2000000000000003E-2</v>
      </c>
      <c r="F49" s="205">
        <v>6.4000000000000001E-2</v>
      </c>
      <c r="G49" s="205">
        <v>9.1999999999999998E-2</v>
      </c>
      <c r="H49" s="206">
        <v>0.126</v>
      </c>
      <c r="I49" s="205">
        <v>0.16500000000000001</v>
      </c>
      <c r="J49" s="205">
        <v>0.20799999999999999</v>
      </c>
      <c r="K49" s="206">
        <v>0.25800000000000001</v>
      </c>
      <c r="L49" s="220">
        <v>0.31</v>
      </c>
      <c r="M49" s="205">
        <v>0.371</v>
      </c>
      <c r="N49" s="205">
        <v>0.435</v>
      </c>
      <c r="O49" s="205">
        <v>0.50600000000000001</v>
      </c>
      <c r="P49" s="211">
        <v>0.66400000000000003</v>
      </c>
      <c r="Q49" s="211">
        <v>0.83799999999999997</v>
      </c>
    </row>
    <row r="50" spans="2:17" x14ac:dyDescent="0.15">
      <c r="B50" s="202"/>
      <c r="C50" s="293">
        <f>C49*10.76391042*0.4535924</f>
        <v>59.565621121672251</v>
      </c>
      <c r="D50" s="224" t="s">
        <v>1730</v>
      </c>
      <c r="E50" s="206">
        <v>3151</v>
      </c>
      <c r="F50" s="205">
        <v>2521</v>
      </c>
      <c r="G50" s="205">
        <v>2100</v>
      </c>
      <c r="H50" s="206">
        <v>1800</v>
      </c>
      <c r="I50" s="205">
        <v>1575</v>
      </c>
      <c r="J50" s="205">
        <v>1400</v>
      </c>
      <c r="K50" s="206">
        <v>1260</v>
      </c>
      <c r="L50" s="205">
        <v>1145</v>
      </c>
      <c r="M50" s="205">
        <v>1049</v>
      </c>
      <c r="N50" s="205">
        <v>969</v>
      </c>
      <c r="O50" s="205">
        <v>899</v>
      </c>
      <c r="P50" s="211">
        <v>786</v>
      </c>
      <c r="Q50" s="211">
        <v>700</v>
      </c>
    </row>
    <row r="51" spans="2:17" ht="14" thickBot="1" x14ac:dyDescent="0.2">
      <c r="B51" s="235"/>
      <c r="C51" s="236"/>
      <c r="D51" s="237" t="s">
        <v>1720</v>
      </c>
      <c r="E51" s="239">
        <v>3.3000000000000002E-2</v>
      </c>
      <c r="F51" s="238">
        <v>5.1999999999999998E-2</v>
      </c>
      <c r="G51" s="238">
        <v>7.3999999999999996E-2</v>
      </c>
      <c r="H51" s="239">
        <v>0.10100000000000001</v>
      </c>
      <c r="I51" s="238">
        <v>0.13200000000000001</v>
      </c>
      <c r="J51" s="238">
        <v>0.16700000000000001</v>
      </c>
      <c r="K51" s="239">
        <v>0.20599999999999999</v>
      </c>
      <c r="L51" s="238">
        <v>0.249</v>
      </c>
      <c r="M51" s="238">
        <v>0.29699999999999999</v>
      </c>
      <c r="N51" s="238">
        <v>0.34699999999999998</v>
      </c>
      <c r="O51" s="238">
        <v>0.40300000000000002</v>
      </c>
      <c r="P51" s="240">
        <v>0.52700000000000002</v>
      </c>
      <c r="Q51" s="240">
        <v>0.66700000000000004</v>
      </c>
    </row>
    <row r="52" spans="2:17" ht="14" thickTop="1" x14ac:dyDescent="0.15">
      <c r="B52" s="244"/>
      <c r="C52" s="253"/>
      <c r="D52" s="246" t="s">
        <v>1719</v>
      </c>
      <c r="E52" s="248">
        <v>4116</v>
      </c>
      <c r="F52" s="247">
        <v>2633</v>
      </c>
      <c r="G52" s="247">
        <v>1829</v>
      </c>
      <c r="H52" s="248">
        <v>1344</v>
      </c>
      <c r="I52" s="247">
        <v>1029</v>
      </c>
      <c r="J52" s="247">
        <v>813</v>
      </c>
      <c r="K52" s="248">
        <v>659</v>
      </c>
      <c r="L52" s="247">
        <v>546</v>
      </c>
      <c r="M52" s="247">
        <v>460</v>
      </c>
      <c r="N52" s="247">
        <v>393</v>
      </c>
      <c r="O52" s="247">
        <v>339</v>
      </c>
      <c r="P52" s="248">
        <v>258</v>
      </c>
      <c r="Q52" s="254">
        <v>204</v>
      </c>
    </row>
    <row r="53" spans="2:17" ht="16" x14ac:dyDescent="0.2">
      <c r="B53" s="221" t="s">
        <v>1716</v>
      </c>
      <c r="C53" s="231">
        <v>13.9</v>
      </c>
      <c r="D53" s="225" t="s">
        <v>1720</v>
      </c>
      <c r="E53" s="206">
        <v>3.5999999999999997E-2</v>
      </c>
      <c r="F53" s="205">
        <v>5.6000000000000001E-2</v>
      </c>
      <c r="G53" s="205">
        <v>8.1000000000000003E-2</v>
      </c>
      <c r="H53" s="206">
        <v>0.111</v>
      </c>
      <c r="I53" s="205">
        <v>0.14399999999999999</v>
      </c>
      <c r="J53" s="205">
        <v>0.183</v>
      </c>
      <c r="K53" s="206">
        <v>0.22600000000000001</v>
      </c>
      <c r="L53" s="205">
        <v>0.27300000000000002</v>
      </c>
      <c r="M53" s="205">
        <v>0.32500000000000001</v>
      </c>
      <c r="N53" s="205">
        <v>0.38400000000000001</v>
      </c>
      <c r="O53" s="205">
        <v>0.44700000000000001</v>
      </c>
      <c r="P53" s="219">
        <v>0.57999999999999996</v>
      </c>
      <c r="Q53" s="211">
        <v>0.73199999999999998</v>
      </c>
    </row>
    <row r="54" spans="2:17" x14ac:dyDescent="0.15">
      <c r="B54" s="202"/>
      <c r="C54" s="293">
        <f>C53*10.76391042*0.4535924</f>
        <v>67.865748655020042</v>
      </c>
      <c r="D54" s="224" t="s">
        <v>1730</v>
      </c>
      <c r="E54" s="206">
        <v>4116</v>
      </c>
      <c r="F54" s="205">
        <v>3292</v>
      </c>
      <c r="G54" s="205">
        <v>2745</v>
      </c>
      <c r="H54" s="206">
        <v>2351</v>
      </c>
      <c r="I54" s="205">
        <v>2058</v>
      </c>
      <c r="J54" s="205">
        <v>1828</v>
      </c>
      <c r="K54" s="206">
        <v>1646</v>
      </c>
      <c r="L54" s="205">
        <v>1496</v>
      </c>
      <c r="M54" s="205">
        <v>1370</v>
      </c>
      <c r="N54" s="205">
        <v>1266</v>
      </c>
      <c r="O54" s="205">
        <v>1175</v>
      </c>
      <c r="P54" s="206">
        <v>1027</v>
      </c>
      <c r="Q54" s="211">
        <v>914</v>
      </c>
    </row>
    <row r="55" spans="2:17" ht="14" thickBot="1" x14ac:dyDescent="0.2">
      <c r="B55" s="235"/>
      <c r="C55" s="236"/>
      <c r="D55" s="237" t="s">
        <v>1720</v>
      </c>
      <c r="E55" s="239">
        <v>2.9000000000000001E-2</v>
      </c>
      <c r="F55" s="238">
        <v>4.4999999999999998E-2</v>
      </c>
      <c r="G55" s="238">
        <v>6.4000000000000001E-2</v>
      </c>
      <c r="H55" s="239">
        <v>8.7999999999999995E-2</v>
      </c>
      <c r="I55" s="238">
        <v>0.115</v>
      </c>
      <c r="J55" s="238">
        <v>0.14499999999999999</v>
      </c>
      <c r="K55" s="255">
        <v>0.18</v>
      </c>
      <c r="L55" s="238">
        <v>0.217</v>
      </c>
      <c r="M55" s="238">
        <v>0.25900000000000001</v>
      </c>
      <c r="N55" s="238">
        <v>0.30299999999999999</v>
      </c>
      <c r="O55" s="238">
        <v>0.35299999999999998</v>
      </c>
      <c r="P55" s="255">
        <v>0.46</v>
      </c>
      <c r="Q55" s="240">
        <v>0.58299999999999996</v>
      </c>
    </row>
    <row r="56" spans="2:17" ht="14" thickTop="1" x14ac:dyDescent="0.15">
      <c r="B56" s="202"/>
      <c r="C56" s="203"/>
      <c r="D56" s="226" t="s">
        <v>1719</v>
      </c>
      <c r="E56" s="217">
        <v>5209</v>
      </c>
      <c r="F56" s="201">
        <v>3332</v>
      </c>
      <c r="G56" s="201">
        <v>2314</v>
      </c>
      <c r="H56" s="217">
        <v>1670</v>
      </c>
      <c r="I56" s="201">
        <v>1302</v>
      </c>
      <c r="J56" s="201">
        <v>1028</v>
      </c>
      <c r="K56" s="217">
        <v>835</v>
      </c>
      <c r="L56" s="201">
        <v>689</v>
      </c>
      <c r="M56" s="201">
        <v>583</v>
      </c>
      <c r="N56" s="201">
        <v>496</v>
      </c>
      <c r="O56" s="201">
        <v>428</v>
      </c>
      <c r="P56" s="217">
        <v>327</v>
      </c>
      <c r="Q56" s="217">
        <v>259</v>
      </c>
    </row>
    <row r="57" spans="2:17" ht="16" x14ac:dyDescent="0.2">
      <c r="B57" s="221" t="s">
        <v>1717</v>
      </c>
      <c r="C57" s="231">
        <v>15.4</v>
      </c>
      <c r="D57" s="225" t="s">
        <v>1720</v>
      </c>
      <c r="E57" s="206">
        <v>3.2000000000000001E-2</v>
      </c>
      <c r="F57" s="205">
        <v>0.05</v>
      </c>
      <c r="G57" s="205">
        <v>7.1999999999999995E-2</v>
      </c>
      <c r="H57" s="206">
        <v>9.8000000000000004E-2</v>
      </c>
      <c r="I57" s="205">
        <v>0.127</v>
      </c>
      <c r="J57" s="205">
        <v>0.16200000000000001</v>
      </c>
      <c r="K57" s="206">
        <v>0.19900000000000001</v>
      </c>
      <c r="L57" s="205">
        <v>0.24099999999999999</v>
      </c>
      <c r="M57" s="205">
        <v>0.28699999999999998</v>
      </c>
      <c r="N57" s="205">
        <v>0.33800000000000002</v>
      </c>
      <c r="O57" s="205">
        <v>0.39300000000000002</v>
      </c>
      <c r="P57" s="206">
        <v>0.51200000000000001</v>
      </c>
      <c r="Q57" s="206">
        <v>0.64600000000000002</v>
      </c>
    </row>
    <row r="58" spans="2:17" x14ac:dyDescent="0.15">
      <c r="B58" s="202"/>
      <c r="C58" s="293">
        <f>C57*10.76391042*0.4535924</f>
        <v>75.18939059620925</v>
      </c>
      <c r="D58" s="224" t="s">
        <v>1730</v>
      </c>
      <c r="E58" s="206">
        <v>5209</v>
      </c>
      <c r="F58" s="205">
        <v>4167</v>
      </c>
      <c r="G58" s="205">
        <v>3473</v>
      </c>
      <c r="H58" s="206">
        <v>2916</v>
      </c>
      <c r="I58" s="205">
        <v>2604</v>
      </c>
      <c r="J58" s="205">
        <v>2314</v>
      </c>
      <c r="K58" s="206">
        <v>2082</v>
      </c>
      <c r="L58" s="205">
        <v>1892</v>
      </c>
      <c r="M58" s="205">
        <v>1733</v>
      </c>
      <c r="N58" s="205">
        <v>1601</v>
      </c>
      <c r="O58" s="205">
        <v>1487</v>
      </c>
      <c r="P58" s="206">
        <v>1301</v>
      </c>
      <c r="Q58" s="206">
        <v>1157</v>
      </c>
    </row>
    <row r="59" spans="2:17" ht="14" thickBot="1" x14ac:dyDescent="0.2">
      <c r="B59" s="235"/>
      <c r="C59" s="236"/>
      <c r="D59" s="237" t="s">
        <v>1720</v>
      </c>
      <c r="E59" s="239">
        <v>2.5999999999999999E-2</v>
      </c>
      <c r="F59" s="238">
        <v>3.9E-2</v>
      </c>
      <c r="G59" s="238">
        <v>5.7000000000000002E-2</v>
      </c>
      <c r="H59" s="239">
        <v>7.9000000000000001E-2</v>
      </c>
      <c r="I59" s="238">
        <v>0.10199999999999999</v>
      </c>
      <c r="J59" s="238">
        <v>0.129</v>
      </c>
      <c r="K59" s="255">
        <v>0.16</v>
      </c>
      <c r="L59" s="238">
        <v>0.19400000000000001</v>
      </c>
      <c r="M59" s="256">
        <v>0.23</v>
      </c>
      <c r="N59" s="256">
        <v>0.27</v>
      </c>
      <c r="O59" s="238">
        <v>0.314</v>
      </c>
      <c r="P59" s="255">
        <v>0.41</v>
      </c>
      <c r="Q59" s="239">
        <v>0.51800000000000002</v>
      </c>
    </row>
    <row r="60" spans="2:17" ht="14" thickTop="1" x14ac:dyDescent="0.15">
      <c r="B60" s="257"/>
      <c r="C60" s="253"/>
      <c r="D60" s="243" t="s">
        <v>1719</v>
      </c>
      <c r="E60" s="217">
        <v>6432</v>
      </c>
      <c r="F60" s="201">
        <v>4115</v>
      </c>
      <c r="G60" s="201">
        <v>2858</v>
      </c>
      <c r="H60" s="217">
        <v>2099</v>
      </c>
      <c r="I60" s="201">
        <v>1609</v>
      </c>
      <c r="J60" s="201">
        <v>1271</v>
      </c>
      <c r="K60" s="217">
        <v>1029</v>
      </c>
      <c r="L60" s="201">
        <v>850</v>
      </c>
      <c r="M60" s="201">
        <v>720</v>
      </c>
      <c r="N60" s="201">
        <v>613</v>
      </c>
      <c r="O60" s="201">
        <v>529</v>
      </c>
      <c r="P60" s="217">
        <v>405</v>
      </c>
      <c r="Q60" s="217">
        <v>320</v>
      </c>
    </row>
    <row r="61" spans="2:17" ht="16" x14ac:dyDescent="0.2">
      <c r="B61" s="221" t="s">
        <v>1718</v>
      </c>
      <c r="C61" s="231">
        <v>17.100000000000001</v>
      </c>
      <c r="D61" s="225" t="s">
        <v>1720</v>
      </c>
      <c r="E61" s="206">
        <v>2.8000000000000001E-2</v>
      </c>
      <c r="F61" s="205">
        <v>4.3999999999999997E-2</v>
      </c>
      <c r="G61" s="205">
        <v>6.4000000000000001E-2</v>
      </c>
      <c r="H61" s="206">
        <v>8.7999999999999995E-2</v>
      </c>
      <c r="I61" s="205">
        <v>0.11600000000000001</v>
      </c>
      <c r="J61" s="205">
        <v>0.14499999999999999</v>
      </c>
      <c r="K61" s="219">
        <v>0.18</v>
      </c>
      <c r="L61" s="205">
        <v>0.217</v>
      </c>
      <c r="M61" s="220">
        <v>0.26</v>
      </c>
      <c r="N61" s="205">
        <v>0.30499999999999999</v>
      </c>
      <c r="O61" s="205">
        <v>0.35399999999999998</v>
      </c>
      <c r="P61" s="206">
        <v>0.46500000000000002</v>
      </c>
      <c r="Q61" s="206">
        <v>0.58599999999999997</v>
      </c>
    </row>
    <row r="62" spans="2:17" x14ac:dyDescent="0.15">
      <c r="B62" s="202"/>
      <c r="C62" s="293">
        <f>C61*10.76391042*0.4535924</f>
        <v>83.489518129557027</v>
      </c>
      <c r="D62" s="225" t="s">
        <v>1730</v>
      </c>
      <c r="E62" s="206">
        <v>6432</v>
      </c>
      <c r="F62" s="205">
        <v>5147</v>
      </c>
      <c r="G62" s="205">
        <v>4286</v>
      </c>
      <c r="H62" s="206">
        <v>3673</v>
      </c>
      <c r="I62" s="205">
        <v>3214</v>
      </c>
      <c r="J62" s="205">
        <v>2858</v>
      </c>
      <c r="K62" s="206">
        <v>2571</v>
      </c>
      <c r="L62" s="205">
        <v>2338</v>
      </c>
      <c r="M62" s="205">
        <v>2141</v>
      </c>
      <c r="N62" s="205">
        <v>1977</v>
      </c>
      <c r="O62" s="205">
        <v>1836</v>
      </c>
      <c r="P62" s="206">
        <v>1607</v>
      </c>
      <c r="Q62" s="206">
        <v>1429</v>
      </c>
    </row>
    <row r="63" spans="2:17" ht="14" thickBot="1" x14ac:dyDescent="0.2">
      <c r="B63" s="235"/>
      <c r="C63" s="236"/>
      <c r="D63" s="258" t="s">
        <v>1720</v>
      </c>
      <c r="E63" s="239">
        <v>2.3E-2</v>
      </c>
      <c r="F63" s="238">
        <v>3.5999999999999997E-2</v>
      </c>
      <c r="G63" s="238">
        <v>5.0999999999999997E-2</v>
      </c>
      <c r="H63" s="239">
        <v>7.0999999999999994E-2</v>
      </c>
      <c r="I63" s="238">
        <v>9.1999999999999998E-2</v>
      </c>
      <c r="J63" s="238">
        <v>0.11600000000000001</v>
      </c>
      <c r="K63" s="239">
        <v>0.14399999999999999</v>
      </c>
      <c r="L63" s="238">
        <v>0.17299999999999999</v>
      </c>
      <c r="M63" s="238">
        <v>0.20699999999999999</v>
      </c>
      <c r="N63" s="238">
        <v>0.24199999999999999</v>
      </c>
      <c r="O63" s="238">
        <v>0.28199999999999997</v>
      </c>
      <c r="P63" s="239">
        <v>0.36899999999999999</v>
      </c>
      <c r="Q63" s="239">
        <v>0.46700000000000003</v>
      </c>
    </row>
    <row r="64" spans="2:17" ht="14" thickTop="1" x14ac:dyDescent="0.15">
      <c r="B64" s="1"/>
      <c r="C64" s="200"/>
      <c r="D64" s="227"/>
      <c r="P64" s="1"/>
      <c r="Q64" s="1"/>
    </row>
    <row r="65" spans="2:4" x14ac:dyDescent="0.15">
      <c r="B65" s="1"/>
      <c r="C65" s="200"/>
      <c r="D65" s="227"/>
    </row>
    <row r="66" spans="2:4" x14ac:dyDescent="0.15">
      <c r="B66" s="1"/>
      <c r="C66" s="200"/>
      <c r="D66" s="227"/>
    </row>
    <row r="67" spans="2:4" x14ac:dyDescent="0.15">
      <c r="B67" s="1"/>
      <c r="D67" s="228"/>
    </row>
    <row r="68" spans="2:4" x14ac:dyDescent="0.15">
      <c r="B68" s="1"/>
      <c r="D68" s="228"/>
    </row>
    <row r="69" spans="2:4" x14ac:dyDescent="0.15">
      <c r="D69" s="228"/>
    </row>
    <row r="70" spans="2:4" x14ac:dyDescent="0.15">
      <c r="D70" s="228"/>
    </row>
    <row r="71" spans="2:4" x14ac:dyDescent="0.15">
      <c r="D71" s="228"/>
    </row>
    <row r="72" spans="2:4" x14ac:dyDescent="0.15">
      <c r="D72" s="228"/>
    </row>
    <row r="73" spans="2:4" x14ac:dyDescent="0.15">
      <c r="D73" s="228"/>
    </row>
    <row r="74" spans="2:4" x14ac:dyDescent="0.15">
      <c r="D74" s="228"/>
    </row>
    <row r="75" spans="2:4" x14ac:dyDescent="0.15">
      <c r="D75" s="228"/>
    </row>
    <row r="76" spans="2:4" x14ac:dyDescent="0.15">
      <c r="D76" s="228"/>
    </row>
    <row r="77" spans="2:4" x14ac:dyDescent="0.15">
      <c r="D77" s="228"/>
    </row>
    <row r="78" spans="2:4" x14ac:dyDescent="0.15">
      <c r="D78" s="228"/>
    </row>
    <row r="79" spans="2:4" x14ac:dyDescent="0.15">
      <c r="D79" s="228"/>
    </row>
    <row r="80" spans="2:4" x14ac:dyDescent="0.15">
      <c r="D80" s="228"/>
    </row>
    <row r="81" spans="4:4" x14ac:dyDescent="0.15">
      <c r="D81" s="228"/>
    </row>
    <row r="82" spans="4:4" x14ac:dyDescent="0.15">
      <c r="D82" s="228"/>
    </row>
    <row r="83" spans="4:4" x14ac:dyDescent="0.15">
      <c r="D83" s="228"/>
    </row>
    <row r="84" spans="4:4" x14ac:dyDescent="0.15">
      <c r="D84" s="228"/>
    </row>
    <row r="85" spans="4:4" x14ac:dyDescent="0.15">
      <c r="D85" s="228"/>
    </row>
    <row r="86" spans="4:4" x14ac:dyDescent="0.15">
      <c r="D86" s="228"/>
    </row>
    <row r="87" spans="4:4" x14ac:dyDescent="0.15">
      <c r="D87" s="228"/>
    </row>
    <row r="88" spans="4:4" x14ac:dyDescent="0.15">
      <c r="D88" s="228"/>
    </row>
    <row r="89" spans="4:4" x14ac:dyDescent="0.15">
      <c r="D89" s="228"/>
    </row>
    <row r="90" spans="4:4" x14ac:dyDescent="0.15">
      <c r="D90" s="228"/>
    </row>
    <row r="91" spans="4:4" x14ac:dyDescent="0.15">
      <c r="D91" s="228"/>
    </row>
    <row r="92" spans="4:4" x14ac:dyDescent="0.15">
      <c r="D92" s="228"/>
    </row>
    <row r="93" spans="4:4" x14ac:dyDescent="0.15">
      <c r="D93" s="228"/>
    </row>
    <row r="94" spans="4:4" x14ac:dyDescent="0.15">
      <c r="D94" s="228"/>
    </row>
    <row r="95" spans="4:4" x14ac:dyDescent="0.15">
      <c r="D95" s="228"/>
    </row>
    <row r="96" spans="4:4" x14ac:dyDescent="0.15">
      <c r="D96" s="228"/>
    </row>
    <row r="97" spans="4:4" x14ac:dyDescent="0.15">
      <c r="D97" s="228"/>
    </row>
    <row r="98" spans="4:4" x14ac:dyDescent="0.15">
      <c r="D98" s="228"/>
    </row>
    <row r="99" spans="4:4" x14ac:dyDescent="0.15">
      <c r="D99" s="228"/>
    </row>
  </sheetData>
  <phoneticPr fontId="80" type="noConversion"/>
  <pageMargins left="0.75" right="0.75" top="1" bottom="1" header="0.5" footer="0.5"/>
  <pageSetup orientation="portrait"/>
  <headerFooter alignWithMargins="0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45C69-1828-E548-A18F-42C8431AA1EE}">
  <dimension ref="B3:O198"/>
  <sheetViews>
    <sheetView showGridLines="0" topLeftCell="A182" workbookViewId="0"/>
  </sheetViews>
  <sheetFormatPr baseColWidth="10" defaultColWidth="8.83203125" defaultRowHeight="13" x14ac:dyDescent="0.15"/>
  <cols>
    <col min="1" max="1" width="0.6640625" customWidth="1"/>
    <col min="2" max="2" width="11.33203125" customWidth="1"/>
    <col min="3" max="3" width="12.83203125" customWidth="1"/>
    <col min="4" max="4" width="16.33203125" customWidth="1"/>
    <col min="5" max="5" width="16.5" customWidth="1"/>
    <col min="6" max="7" width="0" hidden="1" customWidth="1"/>
    <col min="8" max="8" width="12.6640625" customWidth="1"/>
    <col min="9" max="9" width="12.33203125" customWidth="1"/>
    <col min="10" max="10" width="13.1640625" customWidth="1"/>
    <col min="11" max="11" width="13.83203125" customWidth="1"/>
    <col min="12" max="12" width="13.6640625" customWidth="1"/>
    <col min="13" max="14" width="0" hidden="1" customWidth="1"/>
    <col min="15" max="15" width="12" customWidth="1"/>
  </cols>
  <sheetData>
    <row r="3" spans="2:14" ht="16" x14ac:dyDescent="0.2">
      <c r="B3" s="773" t="s">
        <v>117</v>
      </c>
      <c r="I3" s="773" t="s">
        <v>117</v>
      </c>
    </row>
    <row r="4" spans="2:14" ht="16" x14ac:dyDescent="0.2">
      <c r="B4" s="773" t="s">
        <v>285</v>
      </c>
      <c r="I4" s="773" t="s">
        <v>285</v>
      </c>
    </row>
    <row r="5" spans="2:14" ht="14" thickBot="1" x14ac:dyDescent="0.2">
      <c r="B5" s="837" t="s">
        <v>284</v>
      </c>
      <c r="I5" s="837" t="s">
        <v>283</v>
      </c>
    </row>
    <row r="6" spans="2:14" ht="14" thickTop="1" x14ac:dyDescent="0.15">
      <c r="B6" s="818" t="s">
        <v>1052</v>
      </c>
      <c r="C6" s="919" t="s">
        <v>1062</v>
      </c>
      <c r="D6" s="844" t="s">
        <v>118</v>
      </c>
      <c r="E6" s="847" t="s">
        <v>119</v>
      </c>
      <c r="I6" s="816" t="s">
        <v>1052</v>
      </c>
      <c r="J6" s="919" t="s">
        <v>1062</v>
      </c>
      <c r="K6" s="844" t="s">
        <v>118</v>
      </c>
      <c r="L6" s="845" t="s">
        <v>119</v>
      </c>
      <c r="M6" s="846"/>
      <c r="N6" s="846"/>
    </row>
    <row r="7" spans="2:14" ht="14" thickBot="1" x14ac:dyDescent="0.2">
      <c r="B7" s="823" t="s">
        <v>1487</v>
      </c>
      <c r="C7" s="823"/>
      <c r="D7" s="822" t="s">
        <v>1753</v>
      </c>
      <c r="E7" s="835" t="s">
        <v>1753</v>
      </c>
      <c r="I7" s="920" t="s">
        <v>1487</v>
      </c>
      <c r="J7" s="823"/>
      <c r="K7" s="823" t="s">
        <v>1754</v>
      </c>
      <c r="L7" s="823" t="s">
        <v>1754</v>
      </c>
      <c r="M7" s="826"/>
      <c r="N7" s="826"/>
    </row>
    <row r="8" spans="2:14" ht="14" thickTop="1" x14ac:dyDescent="0.15">
      <c r="B8" s="843">
        <v>0.5</v>
      </c>
      <c r="C8" s="1001">
        <v>1.25</v>
      </c>
      <c r="D8" s="416">
        <f t="shared" ref="D8:D16" si="0">IF(C8=0," ",IF(C8&gt;0,+C8+F8))</f>
        <v>2.09375</v>
      </c>
      <c r="E8" s="416">
        <f t="shared" ref="E8:E16" si="1">IF(C8=0," ",IF(C8&gt;0,+C8+G8))</f>
        <v>2.25</v>
      </c>
      <c r="F8" s="838">
        <f>(0.6875+0.15625)</f>
        <v>0.84375</v>
      </c>
      <c r="G8" s="838">
        <f>(0.6875+0.3125)</f>
        <v>1</v>
      </c>
      <c r="I8" s="842">
        <v>13</v>
      </c>
      <c r="J8" s="848">
        <v>32</v>
      </c>
      <c r="K8" s="416">
        <f t="shared" ref="K8:K16" si="2">IF(J8=0," ",IF(J8&gt;0,+J8+M8))</f>
        <v>53.431249999999999</v>
      </c>
      <c r="L8" s="416">
        <f t="shared" ref="L8:L16" si="3">IF(J8=0," ",IF(J8&gt;0,+J8+N8))</f>
        <v>57.4</v>
      </c>
      <c r="M8" s="838">
        <f>(0.6875+0.15625)*25.4</f>
        <v>21.431249999999999</v>
      </c>
      <c r="N8" s="838">
        <f>(0.6875+0.3125)*25.4</f>
        <v>25.4</v>
      </c>
    </row>
    <row r="9" spans="2:14" x14ac:dyDescent="0.15">
      <c r="B9" s="841">
        <v>0.625</v>
      </c>
      <c r="C9" s="1000"/>
      <c r="D9" s="419" t="str">
        <f t="shared" si="0"/>
        <v xml:space="preserve"> </v>
      </c>
      <c r="E9" s="419" t="str">
        <f t="shared" si="1"/>
        <v xml:space="preserve"> </v>
      </c>
      <c r="F9" s="838">
        <f>(0.875+0.15625)</f>
        <v>1.03125</v>
      </c>
      <c r="G9" s="838">
        <f>(0.875+0.3125)</f>
        <v>1.1875</v>
      </c>
      <c r="I9" s="101">
        <v>16</v>
      </c>
      <c r="J9" s="849"/>
      <c r="K9" s="419" t="str">
        <f t="shared" si="2"/>
        <v xml:space="preserve"> </v>
      </c>
      <c r="L9" s="419" t="str">
        <f t="shared" si="3"/>
        <v xml:space="preserve"> </v>
      </c>
      <c r="M9" s="838">
        <f>(0.875+0.15625)*25.4</f>
        <v>26.193749999999998</v>
      </c>
      <c r="N9" s="838">
        <f>(0.875+0.3125)*25.4</f>
        <v>30.162499999999998</v>
      </c>
    </row>
    <row r="10" spans="2:14" x14ac:dyDescent="0.15">
      <c r="B10" s="841">
        <v>0.75</v>
      </c>
      <c r="C10" s="1000"/>
      <c r="D10" s="419" t="str">
        <f t="shared" si="0"/>
        <v xml:space="preserve"> </v>
      </c>
      <c r="E10" s="419" t="str">
        <f t="shared" si="1"/>
        <v xml:space="preserve"> </v>
      </c>
      <c r="F10">
        <f>(1+0.15625)</f>
        <v>1.15625</v>
      </c>
      <c r="G10">
        <f>(1+0.3125)</f>
        <v>1.3125</v>
      </c>
      <c r="I10" s="101">
        <v>19</v>
      </c>
      <c r="J10" s="849"/>
      <c r="K10" s="419" t="str">
        <f t="shared" si="2"/>
        <v xml:space="preserve"> </v>
      </c>
      <c r="L10" s="419" t="str">
        <f t="shared" si="3"/>
        <v xml:space="preserve"> </v>
      </c>
      <c r="M10">
        <f>(1+0.15625)*25.4</f>
        <v>29.368749999999999</v>
      </c>
      <c r="N10">
        <f>(1+0.3125)*25.4</f>
        <v>33.337499999999999</v>
      </c>
    </row>
    <row r="11" spans="2:14" x14ac:dyDescent="0.15">
      <c r="B11" s="841">
        <v>0.875</v>
      </c>
      <c r="C11" s="1000"/>
      <c r="D11" s="419" t="str">
        <f t="shared" si="0"/>
        <v xml:space="preserve"> </v>
      </c>
      <c r="E11" s="419" t="str">
        <f t="shared" si="1"/>
        <v xml:space="preserve"> </v>
      </c>
      <c r="F11">
        <f>(1.125+0.15625)</f>
        <v>1.28125</v>
      </c>
      <c r="G11">
        <f>(1.125+0.3125)</f>
        <v>1.4375</v>
      </c>
      <c r="I11" s="101">
        <v>22</v>
      </c>
      <c r="J11" s="849"/>
      <c r="K11" s="419" t="str">
        <f t="shared" si="2"/>
        <v xml:space="preserve"> </v>
      </c>
      <c r="L11" s="419" t="str">
        <f t="shared" si="3"/>
        <v xml:space="preserve"> </v>
      </c>
      <c r="M11">
        <f>(1.125+0.15625)*25.4</f>
        <v>32.543749999999996</v>
      </c>
      <c r="N11">
        <f>(1.125+0.3125)*25.4</f>
        <v>36.512499999999996</v>
      </c>
    </row>
    <row r="12" spans="2:14" x14ac:dyDescent="0.15">
      <c r="B12" s="841">
        <v>1</v>
      </c>
      <c r="C12" s="1000"/>
      <c r="D12" s="419" t="str">
        <f t="shared" si="0"/>
        <v xml:space="preserve"> </v>
      </c>
      <c r="E12" s="419" t="str">
        <f t="shared" si="1"/>
        <v xml:space="preserve"> </v>
      </c>
      <c r="F12">
        <f>(1.25+0.15625)</f>
        <v>1.40625</v>
      </c>
      <c r="G12">
        <f>(1.25+0.3125)</f>
        <v>1.5625</v>
      </c>
      <c r="I12" s="101">
        <v>25</v>
      </c>
      <c r="J12" s="849"/>
      <c r="K12" s="419" t="str">
        <f t="shared" si="2"/>
        <v xml:space="preserve"> </v>
      </c>
      <c r="L12" s="419" t="str">
        <f t="shared" si="3"/>
        <v xml:space="preserve"> </v>
      </c>
      <c r="M12">
        <f>(1.25+0.15625)*25.4</f>
        <v>35.71875</v>
      </c>
      <c r="N12">
        <f>(1.25+0.3125)*25.4</f>
        <v>39.6875</v>
      </c>
    </row>
    <row r="13" spans="2:14" x14ac:dyDescent="0.15">
      <c r="B13" s="841">
        <v>1.125</v>
      </c>
      <c r="C13" s="1000"/>
      <c r="D13" s="419" t="str">
        <f t="shared" si="0"/>
        <v xml:space="preserve"> </v>
      </c>
      <c r="E13" s="419" t="str">
        <f t="shared" si="1"/>
        <v xml:space="preserve"> </v>
      </c>
      <c r="F13">
        <f>(1.5+0.15625)</f>
        <v>1.65625</v>
      </c>
      <c r="G13">
        <f>(1.5+0.3125)</f>
        <v>1.8125</v>
      </c>
      <c r="I13" s="101">
        <v>30</v>
      </c>
      <c r="J13" s="849"/>
      <c r="K13" s="419" t="str">
        <f t="shared" si="2"/>
        <v xml:space="preserve"> </v>
      </c>
      <c r="L13" s="419" t="str">
        <f t="shared" si="3"/>
        <v xml:space="preserve"> </v>
      </c>
      <c r="M13">
        <f>(1.5+0.15625)*25.4</f>
        <v>42.068749999999994</v>
      </c>
      <c r="N13">
        <f>(1.5+0.3125)*25.4</f>
        <v>46.037499999999994</v>
      </c>
    </row>
    <row r="14" spans="2:14" x14ac:dyDescent="0.15">
      <c r="B14" s="841">
        <v>1.25</v>
      </c>
      <c r="C14" s="1000"/>
      <c r="D14" s="419" t="str">
        <f t="shared" si="0"/>
        <v xml:space="preserve"> </v>
      </c>
      <c r="E14" s="419" t="str">
        <f t="shared" si="1"/>
        <v xml:space="preserve"> </v>
      </c>
      <c r="F14">
        <f>(1.625+0.15625)</f>
        <v>1.78125</v>
      </c>
      <c r="G14">
        <f>(1.625+0.3125)</f>
        <v>1.9375</v>
      </c>
      <c r="I14" s="101">
        <v>32</v>
      </c>
      <c r="J14" s="849"/>
      <c r="K14" s="419" t="str">
        <f t="shared" si="2"/>
        <v xml:space="preserve"> </v>
      </c>
      <c r="L14" s="419" t="str">
        <f t="shared" si="3"/>
        <v xml:space="preserve"> </v>
      </c>
      <c r="M14">
        <f>(1.625+0.15625)*25.4</f>
        <v>45.243749999999999</v>
      </c>
      <c r="N14">
        <f>(1.625+0.3125)*25.4</f>
        <v>49.212499999999999</v>
      </c>
    </row>
    <row r="15" spans="2:14" x14ac:dyDescent="0.15">
      <c r="B15" s="841">
        <v>1.375</v>
      </c>
      <c r="C15" s="1000"/>
      <c r="D15" s="419" t="str">
        <f t="shared" si="0"/>
        <v xml:space="preserve"> </v>
      </c>
      <c r="E15" s="419" t="str">
        <f t="shared" si="1"/>
        <v xml:space="preserve"> </v>
      </c>
      <c r="F15">
        <f>(1.75+0.15625)</f>
        <v>1.90625</v>
      </c>
      <c r="G15">
        <f>(1.75+0.3125)</f>
        <v>2.0625</v>
      </c>
      <c r="I15" s="101">
        <v>35</v>
      </c>
      <c r="J15" s="849"/>
      <c r="K15" s="419" t="str">
        <f t="shared" si="2"/>
        <v xml:space="preserve"> </v>
      </c>
      <c r="L15" s="419" t="str">
        <f t="shared" si="3"/>
        <v xml:space="preserve"> </v>
      </c>
      <c r="M15">
        <f>(1.75+0.15625)*25.4</f>
        <v>48.418749999999996</v>
      </c>
      <c r="N15">
        <f>(1.75+0.3125)*25.4</f>
        <v>52.387499999999996</v>
      </c>
    </row>
    <row r="16" spans="2:14" x14ac:dyDescent="0.15">
      <c r="B16" s="841">
        <v>1.5</v>
      </c>
      <c r="C16" s="1000"/>
      <c r="D16" s="419" t="str">
        <f t="shared" si="0"/>
        <v xml:space="preserve"> </v>
      </c>
      <c r="E16" s="419" t="str">
        <f t="shared" si="1"/>
        <v xml:space="preserve"> </v>
      </c>
      <c r="F16">
        <f>(1.875+0.15625)</f>
        <v>2.03125</v>
      </c>
      <c r="G16">
        <f>(1.875+0.3125)</f>
        <v>2.1875</v>
      </c>
      <c r="I16" s="101">
        <v>38</v>
      </c>
      <c r="J16" s="849"/>
      <c r="K16" s="419" t="str">
        <f t="shared" si="2"/>
        <v xml:space="preserve"> </v>
      </c>
      <c r="L16" s="419" t="str">
        <f t="shared" si="3"/>
        <v xml:space="preserve"> </v>
      </c>
      <c r="M16">
        <f>(1.875+0.15625)*25.4</f>
        <v>51.59375</v>
      </c>
      <c r="N16">
        <f>(1.875+0.3125)*25.4</f>
        <v>55.5625</v>
      </c>
    </row>
    <row r="17" spans="2:10" x14ac:dyDescent="0.15">
      <c r="B17" s="839" t="s">
        <v>120</v>
      </c>
      <c r="I17" s="839" t="s">
        <v>120</v>
      </c>
    </row>
    <row r="18" spans="2:10" x14ac:dyDescent="0.15">
      <c r="B18" s="840" t="s">
        <v>121</v>
      </c>
      <c r="I18" s="840" t="s">
        <v>121</v>
      </c>
    </row>
    <row r="19" spans="2:10" ht="16" x14ac:dyDescent="0.2">
      <c r="B19" s="903" t="s">
        <v>261</v>
      </c>
      <c r="I19" s="840"/>
    </row>
    <row r="20" spans="2:10" x14ac:dyDescent="0.15">
      <c r="B20" s="840" t="s">
        <v>281</v>
      </c>
      <c r="I20" s="840"/>
    </row>
    <row r="21" spans="2:10" x14ac:dyDescent="0.15">
      <c r="B21" s="790" t="s">
        <v>282</v>
      </c>
      <c r="I21" s="840"/>
    </row>
    <row r="22" spans="2:10" x14ac:dyDescent="0.15">
      <c r="B22" s="840" t="s">
        <v>262</v>
      </c>
      <c r="I22" s="840"/>
    </row>
    <row r="23" spans="2:10" x14ac:dyDescent="0.15">
      <c r="B23" s="916" t="s">
        <v>286</v>
      </c>
      <c r="I23" s="840"/>
    </row>
    <row r="24" spans="2:10" x14ac:dyDescent="0.15">
      <c r="B24" s="837" t="s">
        <v>263</v>
      </c>
      <c r="I24" s="840"/>
    </row>
    <row r="25" spans="2:10" ht="14" thickBot="1" x14ac:dyDescent="0.2">
      <c r="B25" s="840"/>
      <c r="I25" s="840"/>
    </row>
    <row r="26" spans="2:10" ht="17" thickTop="1" x14ac:dyDescent="0.2">
      <c r="B26" s="904" t="s">
        <v>1432</v>
      </c>
      <c r="C26" s="911" t="s">
        <v>264</v>
      </c>
      <c r="D26" s="859"/>
      <c r="E26" s="911" t="s">
        <v>268</v>
      </c>
      <c r="F26" s="859"/>
      <c r="G26" s="858"/>
      <c r="H26" s="859"/>
      <c r="I26" s="989" t="s">
        <v>328</v>
      </c>
      <c r="J26" s="859"/>
    </row>
    <row r="27" spans="2:10" ht="16" x14ac:dyDescent="0.2">
      <c r="B27" s="905" t="s">
        <v>1052</v>
      </c>
      <c r="C27" s="860" t="s">
        <v>332</v>
      </c>
      <c r="D27" s="861"/>
      <c r="E27" s="860" t="s">
        <v>330</v>
      </c>
      <c r="F27" s="861"/>
      <c r="H27" s="861"/>
      <c r="I27" s="988" t="s">
        <v>329</v>
      </c>
      <c r="J27" s="861"/>
    </row>
    <row r="28" spans="2:10" ht="17" thickBot="1" x14ac:dyDescent="0.25">
      <c r="B28" s="905" t="s">
        <v>845</v>
      </c>
      <c r="C28" s="860" t="s">
        <v>333</v>
      </c>
      <c r="D28" s="861"/>
      <c r="E28" s="860" t="s">
        <v>331</v>
      </c>
      <c r="F28" s="861"/>
      <c r="H28" s="861"/>
      <c r="I28" s="988" t="s">
        <v>327</v>
      </c>
      <c r="J28" s="861"/>
    </row>
    <row r="29" spans="2:10" ht="15" thickTop="1" thickBot="1" x14ac:dyDescent="0.2">
      <c r="B29" s="1046" t="s">
        <v>505</v>
      </c>
      <c r="C29" s="985" t="s">
        <v>1753</v>
      </c>
      <c r="D29" s="985" t="s">
        <v>161</v>
      </c>
      <c r="E29" s="985" t="s">
        <v>1753</v>
      </c>
      <c r="F29" s="985" t="s">
        <v>161</v>
      </c>
      <c r="G29" s="865"/>
      <c r="H29" s="985" t="s">
        <v>161</v>
      </c>
      <c r="I29" s="985" t="s">
        <v>1753</v>
      </c>
      <c r="J29" s="985" t="s">
        <v>161</v>
      </c>
    </row>
    <row r="30" spans="2:10" ht="14" thickTop="1" x14ac:dyDescent="0.15">
      <c r="B30" s="164" t="s">
        <v>415</v>
      </c>
      <c r="C30" s="983" t="s">
        <v>265</v>
      </c>
      <c r="D30" s="980">
        <f>0.6875*25.4</f>
        <v>17.462499999999999</v>
      </c>
      <c r="E30" s="907" t="s">
        <v>269</v>
      </c>
      <c r="F30" s="917"/>
      <c r="G30" s="917"/>
      <c r="H30" s="986">
        <f>1.1875*25.4</f>
        <v>30.162499999999998</v>
      </c>
      <c r="I30" s="907" t="s">
        <v>186</v>
      </c>
      <c r="J30" s="980">
        <f>1.5*25.4</f>
        <v>38.099999999999994</v>
      </c>
    </row>
    <row r="31" spans="2:10" x14ac:dyDescent="0.15">
      <c r="B31" s="58" t="s">
        <v>472</v>
      </c>
      <c r="C31" s="984" t="s">
        <v>181</v>
      </c>
      <c r="D31" s="640">
        <f>0.875*25.4</f>
        <v>22.224999999999998</v>
      </c>
      <c r="E31" s="75" t="s">
        <v>186</v>
      </c>
      <c r="F31" s="918"/>
      <c r="G31" s="918"/>
      <c r="H31" s="987">
        <f>1.5*25.4</f>
        <v>38.099999999999994</v>
      </c>
      <c r="I31" s="75" t="s">
        <v>267</v>
      </c>
      <c r="J31" s="640">
        <f>1.875*25.4</f>
        <v>47.625</v>
      </c>
    </row>
    <row r="32" spans="2:10" x14ac:dyDescent="0.15">
      <c r="B32" s="58" t="s">
        <v>416</v>
      </c>
      <c r="C32" s="984" t="s">
        <v>182</v>
      </c>
      <c r="D32" s="640">
        <v>25</v>
      </c>
      <c r="E32" s="75" t="s">
        <v>266</v>
      </c>
      <c r="F32" s="918"/>
      <c r="G32" s="918"/>
      <c r="H32" s="987">
        <f>1.75*25.4</f>
        <v>44.449999999999996</v>
      </c>
      <c r="I32" s="75" t="s">
        <v>274</v>
      </c>
      <c r="J32" s="640">
        <f>2.125*25.4</f>
        <v>53.974999999999994</v>
      </c>
    </row>
    <row r="33" spans="2:10" x14ac:dyDescent="0.15">
      <c r="B33" s="58" t="s">
        <v>468</v>
      </c>
      <c r="C33" s="984" t="s">
        <v>183</v>
      </c>
      <c r="D33" s="640">
        <f>1.125*25.4</f>
        <v>28.574999999999999</v>
      </c>
      <c r="E33" s="75" t="s">
        <v>252</v>
      </c>
      <c r="F33" s="918"/>
      <c r="G33" s="918"/>
      <c r="H33" s="987">
        <f>2*25.4</f>
        <v>50.8</v>
      </c>
      <c r="I33" s="75" t="s">
        <v>275</v>
      </c>
      <c r="J33" s="640">
        <f>2.375*25.4</f>
        <v>60.324999999999996</v>
      </c>
    </row>
    <row r="34" spans="2:10" x14ac:dyDescent="0.15">
      <c r="B34" s="58" t="s">
        <v>417</v>
      </c>
      <c r="C34" s="984" t="s">
        <v>184</v>
      </c>
      <c r="D34" s="640">
        <f>1.25*25.4</f>
        <v>31.75</v>
      </c>
      <c r="E34" s="75" t="s">
        <v>253</v>
      </c>
      <c r="F34" s="918"/>
      <c r="G34" s="918"/>
      <c r="H34" s="987">
        <f>2.25*25.4</f>
        <v>57.15</v>
      </c>
      <c r="I34" s="75" t="s">
        <v>276</v>
      </c>
      <c r="J34" s="640">
        <f>2.75*25.4</f>
        <v>69.849999999999994</v>
      </c>
    </row>
    <row r="35" spans="2:10" x14ac:dyDescent="0.15">
      <c r="B35" s="58" t="s">
        <v>458</v>
      </c>
      <c r="C35" s="984" t="s">
        <v>186</v>
      </c>
      <c r="D35" s="640">
        <f>1.5*25.4</f>
        <v>38.099999999999994</v>
      </c>
      <c r="E35" s="75" t="s">
        <v>270</v>
      </c>
      <c r="F35" s="918"/>
      <c r="G35" s="918"/>
      <c r="H35" s="987">
        <f>2.625*25.4</f>
        <v>66.674999999999997</v>
      </c>
      <c r="I35" s="75" t="s">
        <v>272</v>
      </c>
      <c r="J35" s="640">
        <f>3.125*25.4</f>
        <v>79.375</v>
      </c>
    </row>
    <row r="36" spans="2:10" x14ac:dyDescent="0.15">
      <c r="B36" s="58" t="s">
        <v>469</v>
      </c>
      <c r="C36" s="984" t="s">
        <v>259</v>
      </c>
      <c r="D36" s="640">
        <f>1.625*25.4</f>
        <v>41.274999999999999</v>
      </c>
      <c r="E36" s="75" t="s">
        <v>271</v>
      </c>
      <c r="F36" s="918"/>
      <c r="G36" s="918"/>
      <c r="H36" s="987">
        <f>2.875*25.4</f>
        <v>73.024999999999991</v>
      </c>
      <c r="I36" s="75" t="s">
        <v>277</v>
      </c>
      <c r="J36" s="640">
        <f>3.25*25.4</f>
        <v>82.55</v>
      </c>
    </row>
    <row r="37" spans="2:10" x14ac:dyDescent="0.15">
      <c r="B37" s="58" t="s">
        <v>459</v>
      </c>
      <c r="C37" s="984" t="s">
        <v>266</v>
      </c>
      <c r="D37" s="640">
        <f>1.75*25.4</f>
        <v>44.449999999999996</v>
      </c>
      <c r="E37" s="75" t="s">
        <v>272</v>
      </c>
      <c r="F37" s="918"/>
      <c r="G37" s="918"/>
      <c r="H37" s="987">
        <f>3.125*25.4</f>
        <v>79.375</v>
      </c>
      <c r="I37" s="75" t="s">
        <v>278</v>
      </c>
      <c r="J37" s="640">
        <f>3.625*25.4</f>
        <v>92.074999999999989</v>
      </c>
    </row>
    <row r="38" spans="2:10" x14ac:dyDescent="0.15">
      <c r="B38" s="58" t="s">
        <v>470</v>
      </c>
      <c r="C38" s="984" t="s">
        <v>267</v>
      </c>
      <c r="D38" s="640">
        <f>1.875*25.4</f>
        <v>47.625</v>
      </c>
      <c r="E38" s="75" t="s">
        <v>273</v>
      </c>
      <c r="F38" s="918"/>
      <c r="G38" s="918"/>
      <c r="H38" s="987">
        <f>3.375*25.4</f>
        <v>85.724999999999994</v>
      </c>
      <c r="I38" s="75" t="s">
        <v>279</v>
      </c>
      <c r="J38" s="640">
        <f>3.75*25.4</f>
        <v>95.25</v>
      </c>
    </row>
    <row r="40" spans="2:10" ht="16" x14ac:dyDescent="0.2">
      <c r="B40" s="903" t="s">
        <v>242</v>
      </c>
    </row>
    <row r="41" spans="2:10" x14ac:dyDescent="0.15">
      <c r="B41" t="s">
        <v>173</v>
      </c>
    </row>
    <row r="42" spans="2:10" x14ac:dyDescent="0.15">
      <c r="B42" t="s">
        <v>174</v>
      </c>
    </row>
    <row r="43" spans="2:10" x14ac:dyDescent="0.15">
      <c r="B43" t="s">
        <v>312</v>
      </c>
    </row>
    <row r="44" spans="2:10" x14ac:dyDescent="0.15">
      <c r="B44" s="839" t="s">
        <v>175</v>
      </c>
    </row>
    <row r="45" spans="2:10" x14ac:dyDescent="0.15">
      <c r="B45" s="956" t="s">
        <v>310</v>
      </c>
    </row>
    <row r="46" spans="2:10" x14ac:dyDescent="0.15">
      <c r="B46" s="956" t="s">
        <v>311</v>
      </c>
    </row>
    <row r="47" spans="2:10" ht="16" x14ac:dyDescent="0.2">
      <c r="B47" s="903" t="s">
        <v>176</v>
      </c>
    </row>
    <row r="48" spans="2:10" x14ac:dyDescent="0.15">
      <c r="B48" t="s">
        <v>177</v>
      </c>
    </row>
    <row r="50" spans="2:12" ht="14" thickBot="1" x14ac:dyDescent="0.2"/>
    <row r="51" spans="2:12" ht="18" thickTop="1" thickBot="1" x14ac:dyDescent="0.25">
      <c r="B51" s="921"/>
      <c r="C51" s="922" t="s">
        <v>337</v>
      </c>
      <c r="D51" s="923"/>
      <c r="E51" s="924"/>
      <c r="I51" s="921"/>
      <c r="J51" s="922" t="s">
        <v>338</v>
      </c>
      <c r="K51" s="923"/>
      <c r="L51" s="924"/>
    </row>
    <row r="52" spans="2:12" ht="17" thickTop="1" x14ac:dyDescent="0.2">
      <c r="B52" s="925" t="s">
        <v>1432</v>
      </c>
      <c r="C52" s="921" t="s">
        <v>188</v>
      </c>
      <c r="D52" s="921" t="s">
        <v>189</v>
      </c>
      <c r="E52" s="921" t="s">
        <v>191</v>
      </c>
      <c r="I52" s="925" t="s">
        <v>1432</v>
      </c>
      <c r="J52" s="921" t="s">
        <v>188</v>
      </c>
      <c r="K52" s="921" t="s">
        <v>189</v>
      </c>
      <c r="L52" s="921" t="s">
        <v>191</v>
      </c>
    </row>
    <row r="53" spans="2:12" ht="16" x14ac:dyDescent="0.2">
      <c r="B53" s="925" t="s">
        <v>1052</v>
      </c>
      <c r="C53" s="925" t="s">
        <v>1882</v>
      </c>
      <c r="D53" s="925" t="s">
        <v>190</v>
      </c>
      <c r="E53" s="925" t="s">
        <v>190</v>
      </c>
      <c r="I53" s="925" t="s">
        <v>1052</v>
      </c>
      <c r="J53" s="925" t="s">
        <v>1882</v>
      </c>
      <c r="K53" s="925" t="s">
        <v>190</v>
      </c>
      <c r="L53" s="925" t="s">
        <v>190</v>
      </c>
    </row>
    <row r="54" spans="2:12" ht="17" thickBot="1" x14ac:dyDescent="0.25">
      <c r="B54" s="926" t="s">
        <v>845</v>
      </c>
      <c r="C54" s="927"/>
      <c r="D54" s="926" t="s">
        <v>1882</v>
      </c>
      <c r="E54" s="926" t="s">
        <v>1882</v>
      </c>
      <c r="I54" s="926" t="s">
        <v>845</v>
      </c>
      <c r="J54" s="927"/>
      <c r="K54" s="926" t="s">
        <v>1882</v>
      </c>
      <c r="L54" s="926" t="s">
        <v>1882</v>
      </c>
    </row>
    <row r="55" spans="2:12" ht="14" thickTop="1" x14ac:dyDescent="0.15">
      <c r="B55" s="908" t="s">
        <v>178</v>
      </c>
      <c r="C55" s="907" t="s">
        <v>179</v>
      </c>
      <c r="D55" s="907" t="s">
        <v>200</v>
      </c>
      <c r="E55" s="907" t="s">
        <v>210</v>
      </c>
      <c r="I55" s="908">
        <v>13</v>
      </c>
      <c r="J55" s="907">
        <v>16</v>
      </c>
      <c r="K55" s="907" t="s">
        <v>221</v>
      </c>
      <c r="L55" s="907" t="s">
        <v>231</v>
      </c>
    </row>
    <row r="56" spans="2:12" x14ac:dyDescent="0.15">
      <c r="B56" s="101" t="s">
        <v>179</v>
      </c>
      <c r="C56" s="75" t="s">
        <v>192</v>
      </c>
      <c r="D56" s="75" t="s">
        <v>201</v>
      </c>
      <c r="E56" s="75" t="s">
        <v>211</v>
      </c>
      <c r="I56" s="101">
        <v>16</v>
      </c>
      <c r="J56" s="75">
        <v>21</v>
      </c>
      <c r="K56" s="75" t="s">
        <v>222</v>
      </c>
      <c r="L56" s="75" t="s">
        <v>232</v>
      </c>
    </row>
    <row r="57" spans="2:12" x14ac:dyDescent="0.15">
      <c r="B57" s="101" t="s">
        <v>180</v>
      </c>
      <c r="C57" s="75" t="s">
        <v>193</v>
      </c>
      <c r="D57" s="75" t="s">
        <v>202</v>
      </c>
      <c r="E57" s="75" t="s">
        <v>212</v>
      </c>
      <c r="I57" s="101">
        <v>19</v>
      </c>
      <c r="J57" s="75">
        <v>24</v>
      </c>
      <c r="K57" s="75" t="s">
        <v>223</v>
      </c>
      <c r="L57" s="75" t="s">
        <v>233</v>
      </c>
    </row>
    <row r="58" spans="2:12" x14ac:dyDescent="0.15">
      <c r="B58" s="101" t="s">
        <v>181</v>
      </c>
      <c r="C58" s="75" t="s">
        <v>194</v>
      </c>
      <c r="D58" s="75" t="s">
        <v>203</v>
      </c>
      <c r="E58" s="75" t="s">
        <v>213</v>
      </c>
      <c r="I58" s="101">
        <v>22</v>
      </c>
      <c r="J58" s="75">
        <v>27</v>
      </c>
      <c r="K58" s="75" t="s">
        <v>224</v>
      </c>
      <c r="L58" s="75" t="s">
        <v>234</v>
      </c>
    </row>
    <row r="59" spans="2:12" x14ac:dyDescent="0.15">
      <c r="B59" s="101" t="s">
        <v>182</v>
      </c>
      <c r="C59" s="75" t="s">
        <v>184</v>
      </c>
      <c r="D59" s="75" t="s">
        <v>204</v>
      </c>
      <c r="E59" s="75" t="s">
        <v>214</v>
      </c>
      <c r="I59" s="101">
        <v>25</v>
      </c>
      <c r="J59" s="75">
        <v>32</v>
      </c>
      <c r="K59" s="75" t="s">
        <v>225</v>
      </c>
      <c r="L59" s="75" t="s">
        <v>235</v>
      </c>
    </row>
    <row r="60" spans="2:12" x14ac:dyDescent="0.15">
      <c r="B60" s="101" t="s">
        <v>183</v>
      </c>
      <c r="C60" s="75" t="s">
        <v>195</v>
      </c>
      <c r="D60" s="75" t="s">
        <v>205</v>
      </c>
      <c r="E60" s="75" t="s">
        <v>215</v>
      </c>
      <c r="I60" s="101">
        <v>29</v>
      </c>
      <c r="J60" s="75">
        <v>37</v>
      </c>
      <c r="K60" s="75" t="s">
        <v>226</v>
      </c>
      <c r="L60" s="75" t="s">
        <v>236</v>
      </c>
    </row>
    <row r="61" spans="2:12" x14ac:dyDescent="0.15">
      <c r="B61" s="101" t="s">
        <v>184</v>
      </c>
      <c r="C61" s="75" t="s">
        <v>196</v>
      </c>
      <c r="D61" s="75" t="s">
        <v>206</v>
      </c>
      <c r="E61" s="75" t="s">
        <v>216</v>
      </c>
      <c r="I61" s="101">
        <v>32</v>
      </c>
      <c r="J61" s="75">
        <v>40</v>
      </c>
      <c r="K61" s="75" t="s">
        <v>227</v>
      </c>
      <c r="L61" s="75" t="s">
        <v>237</v>
      </c>
    </row>
    <row r="62" spans="2:12" x14ac:dyDescent="0.15">
      <c r="B62" s="101" t="s">
        <v>185</v>
      </c>
      <c r="C62" s="75" t="s">
        <v>197</v>
      </c>
      <c r="D62" s="75" t="s">
        <v>207</v>
      </c>
      <c r="E62" s="75" t="s">
        <v>217</v>
      </c>
      <c r="I62" s="101">
        <v>35</v>
      </c>
      <c r="J62" s="75">
        <v>43</v>
      </c>
      <c r="K62" s="75" t="s">
        <v>228</v>
      </c>
      <c r="L62" s="75" t="s">
        <v>238</v>
      </c>
    </row>
    <row r="63" spans="2:12" x14ac:dyDescent="0.15">
      <c r="B63" s="101" t="s">
        <v>186</v>
      </c>
      <c r="C63" s="75" t="s">
        <v>198</v>
      </c>
      <c r="D63" s="75" t="s">
        <v>208</v>
      </c>
      <c r="E63" s="75" t="s">
        <v>218</v>
      </c>
      <c r="I63" s="101">
        <v>38</v>
      </c>
      <c r="J63" s="75">
        <v>46</v>
      </c>
      <c r="K63" s="75" t="s">
        <v>229</v>
      </c>
      <c r="L63" s="75" t="s">
        <v>239</v>
      </c>
    </row>
    <row r="64" spans="2:12" x14ac:dyDescent="0.15">
      <c r="B64" s="101" t="s">
        <v>187</v>
      </c>
      <c r="C64" s="75" t="s">
        <v>199</v>
      </c>
      <c r="D64" s="75" t="s">
        <v>209</v>
      </c>
      <c r="E64" s="75" t="s">
        <v>241</v>
      </c>
      <c r="I64" s="101" t="s">
        <v>219</v>
      </c>
      <c r="J64" s="75" t="s">
        <v>220</v>
      </c>
      <c r="K64" s="75" t="s">
        <v>230</v>
      </c>
      <c r="L64" s="75" t="s">
        <v>240</v>
      </c>
    </row>
    <row r="67" spans="2:12" ht="16" x14ac:dyDescent="0.2">
      <c r="B67" s="903" t="s">
        <v>243</v>
      </c>
    </row>
    <row r="68" spans="2:12" x14ac:dyDescent="0.15">
      <c r="B68" t="s">
        <v>244</v>
      </c>
    </row>
    <row r="69" spans="2:12" x14ac:dyDescent="0.15">
      <c r="B69" t="s">
        <v>245</v>
      </c>
    </row>
    <row r="71" spans="2:12" ht="16" x14ac:dyDescent="0.2">
      <c r="B71" s="903" t="s">
        <v>247</v>
      </c>
      <c r="I71" s="903" t="s">
        <v>334</v>
      </c>
    </row>
    <row r="72" spans="2:12" x14ac:dyDescent="0.15">
      <c r="B72" s="17" t="s">
        <v>246</v>
      </c>
      <c r="I72" s="17" t="s">
        <v>246</v>
      </c>
    </row>
    <row r="73" spans="2:12" ht="14" thickBot="1" x14ac:dyDescent="0.2"/>
    <row r="74" spans="2:12" ht="17" thickTop="1" x14ac:dyDescent="0.2">
      <c r="B74" s="904" t="s">
        <v>1432</v>
      </c>
      <c r="C74" s="904" t="s">
        <v>250</v>
      </c>
      <c r="D74" s="911" t="s">
        <v>256</v>
      </c>
      <c r="E74" s="859"/>
      <c r="I74" s="904" t="s">
        <v>1432</v>
      </c>
      <c r="J74" s="904" t="s">
        <v>250</v>
      </c>
      <c r="K74" s="911" t="s">
        <v>256</v>
      </c>
      <c r="L74" s="859"/>
    </row>
    <row r="75" spans="2:12" ht="16" x14ac:dyDescent="0.2">
      <c r="B75" s="905" t="s">
        <v>1052</v>
      </c>
      <c r="C75" s="905" t="s">
        <v>251</v>
      </c>
      <c r="D75" s="909" t="s">
        <v>257</v>
      </c>
      <c r="E75" s="861"/>
      <c r="I75" s="905" t="s">
        <v>1052</v>
      </c>
      <c r="J75" s="905" t="s">
        <v>251</v>
      </c>
      <c r="K75" s="909" t="s">
        <v>257</v>
      </c>
      <c r="L75" s="861"/>
    </row>
    <row r="76" spans="2:12" ht="17" thickBot="1" x14ac:dyDescent="0.25">
      <c r="B76" s="906" t="s">
        <v>845</v>
      </c>
      <c r="C76" s="906" t="s">
        <v>249</v>
      </c>
      <c r="D76" s="910" t="s">
        <v>258</v>
      </c>
      <c r="E76" s="867"/>
      <c r="I76" s="906" t="s">
        <v>845</v>
      </c>
      <c r="J76" s="906" t="s">
        <v>249</v>
      </c>
      <c r="K76" s="910" t="s">
        <v>258</v>
      </c>
      <c r="L76" s="867"/>
    </row>
    <row r="77" spans="2:12" ht="14" thickTop="1" x14ac:dyDescent="0.15">
      <c r="B77" s="908" t="s">
        <v>178</v>
      </c>
      <c r="C77" s="907" t="s">
        <v>181</v>
      </c>
      <c r="D77" s="914" t="s">
        <v>180</v>
      </c>
      <c r="E77" s="912"/>
      <c r="I77" s="978">
        <f>0.5*25.4</f>
        <v>12.7</v>
      </c>
      <c r="J77" s="980">
        <f>0.875*25.4</f>
        <v>22.224999999999998</v>
      </c>
      <c r="K77" s="981">
        <f>0.75*25.4</f>
        <v>19.049999999999997</v>
      </c>
      <c r="L77" s="912"/>
    </row>
    <row r="78" spans="2:12" x14ac:dyDescent="0.15">
      <c r="B78" s="101" t="s">
        <v>179</v>
      </c>
      <c r="C78" s="75" t="s">
        <v>183</v>
      </c>
      <c r="D78" s="915" t="s">
        <v>181</v>
      </c>
      <c r="E78" s="913"/>
      <c r="I78" s="979">
        <f>0.625*25.4</f>
        <v>15.875</v>
      </c>
      <c r="J78" s="640">
        <f>1.125*25.4</f>
        <v>28.574999999999999</v>
      </c>
      <c r="K78" s="982">
        <f>0.875*25.4</f>
        <v>22.224999999999998</v>
      </c>
      <c r="L78" s="913"/>
    </row>
    <row r="79" spans="2:12" x14ac:dyDescent="0.15">
      <c r="B79" s="101" t="s">
        <v>180</v>
      </c>
      <c r="C79" s="75" t="s">
        <v>184</v>
      </c>
      <c r="D79" s="915" t="s">
        <v>182</v>
      </c>
      <c r="E79" s="913"/>
      <c r="I79" s="979">
        <f>0.75*25.4</f>
        <v>19.049999999999997</v>
      </c>
      <c r="J79" s="640">
        <f>1.25*25.4</f>
        <v>31.75</v>
      </c>
      <c r="K79" s="982">
        <v>25</v>
      </c>
      <c r="L79" s="913"/>
    </row>
    <row r="80" spans="2:12" ht="16" x14ac:dyDescent="0.2">
      <c r="B80" s="101" t="s">
        <v>181</v>
      </c>
      <c r="C80" s="75" t="s">
        <v>255</v>
      </c>
      <c r="D80" s="915" t="s">
        <v>183</v>
      </c>
      <c r="E80" s="913"/>
      <c r="I80" s="979">
        <f>0.875*25.4</f>
        <v>22.224999999999998</v>
      </c>
      <c r="J80" s="640">
        <f>1.5*25.4</f>
        <v>38.099999999999994</v>
      </c>
      <c r="K80" s="982">
        <f>1.125*25.4</f>
        <v>28.574999999999999</v>
      </c>
      <c r="L80" s="913"/>
    </row>
    <row r="81" spans="2:12" ht="16" x14ac:dyDescent="0.2">
      <c r="B81" s="101" t="s">
        <v>182</v>
      </c>
      <c r="C81" s="75" t="s">
        <v>254</v>
      </c>
      <c r="D81" s="915" t="s">
        <v>184</v>
      </c>
      <c r="E81" s="913"/>
      <c r="I81" s="979">
        <v>25</v>
      </c>
      <c r="J81" s="640">
        <f>1.75*25.4</f>
        <v>44.449999999999996</v>
      </c>
      <c r="K81" s="982">
        <f>1.25*25.4</f>
        <v>31.75</v>
      </c>
      <c r="L81" s="913"/>
    </row>
    <row r="82" spans="2:12" x14ac:dyDescent="0.15">
      <c r="B82" s="101" t="s">
        <v>183</v>
      </c>
      <c r="C82" s="75" t="s">
        <v>252</v>
      </c>
      <c r="D82" s="915" t="s">
        <v>186</v>
      </c>
      <c r="E82" s="913"/>
      <c r="I82" s="979">
        <f>1.125*25.4</f>
        <v>28.574999999999999</v>
      </c>
      <c r="J82" s="640">
        <f>2*25.4</f>
        <v>50.8</v>
      </c>
      <c r="K82" s="982">
        <f>1.5*25.4</f>
        <v>38.099999999999994</v>
      </c>
      <c r="L82" s="913"/>
    </row>
    <row r="83" spans="2:12" x14ac:dyDescent="0.15">
      <c r="B83" s="101" t="s">
        <v>184</v>
      </c>
      <c r="C83" s="75" t="s">
        <v>253</v>
      </c>
      <c r="D83" s="915" t="s">
        <v>259</v>
      </c>
      <c r="E83" s="913"/>
      <c r="I83" s="979">
        <f>1.25*25.4</f>
        <v>31.75</v>
      </c>
      <c r="J83" s="640">
        <f>2.25*25.4</f>
        <v>57.15</v>
      </c>
      <c r="K83" s="982">
        <f>1.625*25.4</f>
        <v>41.274999999999999</v>
      </c>
      <c r="L83" s="913"/>
    </row>
    <row r="84" spans="2:12" x14ac:dyDescent="0.15">
      <c r="B84" s="101" t="s">
        <v>248</v>
      </c>
      <c r="C84" s="75" t="s">
        <v>324</v>
      </c>
      <c r="D84" s="915" t="s">
        <v>325</v>
      </c>
      <c r="E84" s="913"/>
      <c r="I84" s="101" t="s">
        <v>323</v>
      </c>
      <c r="J84" s="75" t="s">
        <v>324</v>
      </c>
      <c r="K84" s="915" t="s">
        <v>325</v>
      </c>
      <c r="L84" s="913"/>
    </row>
    <row r="85" spans="2:12" x14ac:dyDescent="0.15">
      <c r="B85" s="228" t="s">
        <v>260</v>
      </c>
      <c r="I85" s="228" t="s">
        <v>326</v>
      </c>
    </row>
    <row r="86" spans="2:12" x14ac:dyDescent="0.15">
      <c r="B86" s="228"/>
      <c r="I86" s="228"/>
    </row>
    <row r="87" spans="2:12" x14ac:dyDescent="0.15">
      <c r="B87" s="228"/>
      <c r="I87" s="228"/>
    </row>
    <row r="88" spans="2:12" x14ac:dyDescent="0.15">
      <c r="B88" s="228"/>
      <c r="I88" s="228"/>
    </row>
    <row r="89" spans="2:12" ht="14" thickBot="1" x14ac:dyDescent="0.2">
      <c r="B89" s="228"/>
      <c r="C89" s="992"/>
      <c r="D89" s="992"/>
      <c r="E89" s="992"/>
      <c r="F89" s="826"/>
      <c r="G89" s="826"/>
      <c r="I89" s="228"/>
    </row>
    <row r="90" spans="2:12" ht="14" thickTop="1" x14ac:dyDescent="0.15">
      <c r="B90" s="228"/>
      <c r="H90" s="991"/>
      <c r="I90" s="228"/>
    </row>
    <row r="91" spans="2:12" x14ac:dyDescent="0.15">
      <c r="B91" s="228"/>
      <c r="H91" s="991"/>
      <c r="I91" s="228"/>
    </row>
    <row r="92" spans="2:12" x14ac:dyDescent="0.15">
      <c r="B92" s="228"/>
      <c r="H92" s="991"/>
      <c r="I92" s="228"/>
    </row>
    <row r="93" spans="2:12" x14ac:dyDescent="0.15">
      <c r="B93" s="228"/>
      <c r="H93" s="991"/>
      <c r="I93" s="228"/>
    </row>
    <row r="94" spans="2:12" x14ac:dyDescent="0.15">
      <c r="B94" s="228"/>
      <c r="H94" s="991"/>
      <c r="I94" s="228"/>
    </row>
    <row r="95" spans="2:12" x14ac:dyDescent="0.15">
      <c r="B95" s="228"/>
      <c r="H95" s="991"/>
      <c r="I95" s="228"/>
    </row>
    <row r="96" spans="2:12" x14ac:dyDescent="0.15">
      <c r="B96" s="228"/>
      <c r="H96" s="991"/>
      <c r="I96" s="228"/>
    </row>
    <row r="97" spans="2:12" x14ac:dyDescent="0.15">
      <c r="B97" s="228"/>
      <c r="H97" s="991"/>
      <c r="I97" s="228"/>
    </row>
    <row r="98" spans="2:12" x14ac:dyDescent="0.15">
      <c r="B98" s="228"/>
      <c r="H98" s="991"/>
      <c r="I98" s="228"/>
    </row>
    <row r="99" spans="2:12" x14ac:dyDescent="0.15">
      <c r="B99" s="228"/>
      <c r="H99" s="991"/>
      <c r="I99" s="228"/>
    </row>
    <row r="100" spans="2:12" x14ac:dyDescent="0.15">
      <c r="B100" s="228"/>
      <c r="H100" s="991"/>
      <c r="I100" s="228"/>
    </row>
    <row r="101" spans="2:12" x14ac:dyDescent="0.15">
      <c r="B101" s="228"/>
      <c r="I101" s="228"/>
    </row>
    <row r="102" spans="2:12" x14ac:dyDescent="0.15">
      <c r="B102" s="228"/>
      <c r="I102" s="228"/>
      <c r="L102" s="17"/>
    </row>
    <row r="103" spans="2:12" ht="14" thickBot="1" x14ac:dyDescent="0.2">
      <c r="B103" s="228"/>
      <c r="I103" s="228"/>
      <c r="L103" s="17"/>
    </row>
    <row r="104" spans="2:12" ht="14" thickTop="1" x14ac:dyDescent="0.15">
      <c r="B104" s="993"/>
      <c r="C104" s="857"/>
      <c r="D104" s="858"/>
      <c r="E104" s="859"/>
      <c r="H104" s="857"/>
      <c r="I104" s="995"/>
      <c r="J104" s="859"/>
      <c r="L104" s="17"/>
    </row>
    <row r="105" spans="2:12" ht="16" x14ac:dyDescent="0.2">
      <c r="B105" s="994" t="s">
        <v>1052</v>
      </c>
      <c r="C105" s="860"/>
      <c r="E105" s="861"/>
      <c r="H105" s="860"/>
      <c r="I105" s="228"/>
      <c r="J105" s="861"/>
      <c r="L105" s="17"/>
    </row>
    <row r="106" spans="2:12" ht="17" thickBot="1" x14ac:dyDescent="0.25">
      <c r="B106" s="994" t="s">
        <v>845</v>
      </c>
      <c r="C106" s="860"/>
      <c r="D106" s="28" t="s">
        <v>412</v>
      </c>
      <c r="E106" s="861"/>
      <c r="H106" s="860"/>
      <c r="I106" s="28" t="s">
        <v>412</v>
      </c>
      <c r="J106" s="861"/>
    </row>
    <row r="107" spans="2:12" ht="18" thickTop="1" thickBot="1" x14ac:dyDescent="0.25">
      <c r="B107" s="1045" t="s">
        <v>505</v>
      </c>
      <c r="C107" s="996" t="s">
        <v>1823</v>
      </c>
      <c r="D107" s="996" t="s">
        <v>1824</v>
      </c>
      <c r="E107" s="996" t="s">
        <v>1730</v>
      </c>
      <c r="F107" s="996"/>
      <c r="G107" s="996"/>
      <c r="H107" s="996" t="s">
        <v>1823</v>
      </c>
      <c r="I107" s="996" t="s">
        <v>1824</v>
      </c>
      <c r="J107" s="996" t="s">
        <v>1730</v>
      </c>
    </row>
    <row r="108" spans="2:12" ht="14" thickTop="1" x14ac:dyDescent="0.15">
      <c r="B108" s="1044" t="s">
        <v>504</v>
      </c>
      <c r="C108" s="997" t="s">
        <v>416</v>
      </c>
      <c r="D108" s="907" t="s">
        <v>415</v>
      </c>
      <c r="E108" s="907" t="s">
        <v>415</v>
      </c>
      <c r="F108" s="907"/>
      <c r="G108" s="907"/>
      <c r="H108" s="75" t="s">
        <v>417</v>
      </c>
      <c r="I108" s="75" t="s">
        <v>468</v>
      </c>
      <c r="J108" s="907" t="s">
        <v>472</v>
      </c>
    </row>
    <row r="109" spans="2:12" x14ac:dyDescent="0.15">
      <c r="B109" s="58" t="s">
        <v>413</v>
      </c>
      <c r="C109" s="952" t="s">
        <v>458</v>
      </c>
      <c r="D109" s="75" t="s">
        <v>416</v>
      </c>
      <c r="E109" s="75" t="s">
        <v>416</v>
      </c>
      <c r="F109" s="75"/>
      <c r="G109" s="75"/>
      <c r="H109" s="75" t="s">
        <v>459</v>
      </c>
      <c r="I109" s="75" t="s">
        <v>458</v>
      </c>
      <c r="J109" s="75" t="s">
        <v>416</v>
      </c>
      <c r="K109" s="1041"/>
    </row>
    <row r="110" spans="2:12" x14ac:dyDescent="0.15">
      <c r="B110" s="164" t="s">
        <v>415</v>
      </c>
      <c r="C110" s="952" t="s">
        <v>459</v>
      </c>
      <c r="D110" s="75" t="s">
        <v>468</v>
      </c>
      <c r="E110" s="75" t="s">
        <v>468</v>
      </c>
      <c r="F110" s="75"/>
      <c r="G110" s="75"/>
      <c r="H110" s="75" t="s">
        <v>471</v>
      </c>
      <c r="I110" s="75" t="s">
        <v>459</v>
      </c>
      <c r="J110" s="75" t="s">
        <v>468</v>
      </c>
    </row>
    <row r="111" spans="2:12" x14ac:dyDescent="0.15">
      <c r="B111" s="58" t="s">
        <v>472</v>
      </c>
      <c r="C111" s="952" t="s">
        <v>460</v>
      </c>
      <c r="D111" s="75" t="s">
        <v>417</v>
      </c>
      <c r="E111" s="75" t="s">
        <v>417</v>
      </c>
      <c r="F111" s="75"/>
      <c r="G111" s="75"/>
      <c r="H111" s="75" t="s">
        <v>462</v>
      </c>
      <c r="I111" s="75" t="s">
        <v>470</v>
      </c>
      <c r="J111" s="75" t="s">
        <v>458</v>
      </c>
    </row>
    <row r="112" spans="2:12" x14ac:dyDescent="0.15">
      <c r="B112" s="58" t="s">
        <v>416</v>
      </c>
      <c r="C112" s="1042" t="s">
        <v>461</v>
      </c>
      <c r="D112" s="75" t="s">
        <v>458</v>
      </c>
      <c r="E112" s="75" t="s">
        <v>458</v>
      </c>
      <c r="F112" s="75"/>
      <c r="G112" s="75"/>
      <c r="H112" s="75" t="s">
        <v>464</v>
      </c>
      <c r="I112" s="75" t="s">
        <v>478</v>
      </c>
      <c r="J112" s="75" t="s">
        <v>469</v>
      </c>
    </row>
    <row r="113" spans="2:10" x14ac:dyDescent="0.15">
      <c r="B113" s="58" t="s">
        <v>468</v>
      </c>
      <c r="C113" s="952" t="s">
        <v>462</v>
      </c>
      <c r="D113" s="75" t="s">
        <v>469</v>
      </c>
      <c r="E113" s="75" t="s">
        <v>469</v>
      </c>
      <c r="F113" s="75"/>
      <c r="G113" s="75"/>
      <c r="H113" s="75" t="s">
        <v>473</v>
      </c>
      <c r="I113" s="75" t="s">
        <v>461</v>
      </c>
      <c r="J113" s="75" t="s">
        <v>478</v>
      </c>
    </row>
    <row r="114" spans="2:10" x14ac:dyDescent="0.15">
      <c r="B114" s="58" t="s">
        <v>417</v>
      </c>
      <c r="C114" s="952" t="s">
        <v>463</v>
      </c>
      <c r="D114" s="75" t="s">
        <v>459</v>
      </c>
      <c r="E114" s="75" t="s">
        <v>459</v>
      </c>
      <c r="F114" s="75"/>
      <c r="G114" s="75"/>
      <c r="H114" s="75" t="s">
        <v>474</v>
      </c>
      <c r="I114" s="75" t="s">
        <v>462</v>
      </c>
      <c r="J114" s="75" t="s">
        <v>461</v>
      </c>
    </row>
    <row r="115" spans="2:10" x14ac:dyDescent="0.15">
      <c r="B115" s="58" t="s">
        <v>458</v>
      </c>
      <c r="C115" s="952" t="s">
        <v>464</v>
      </c>
      <c r="D115" s="75" t="s">
        <v>470</v>
      </c>
      <c r="E115" s="75" t="s">
        <v>470</v>
      </c>
      <c r="F115" s="75"/>
      <c r="G115" s="75"/>
      <c r="H115" s="75" t="s">
        <v>467</v>
      </c>
      <c r="I115" s="75" t="s">
        <v>479</v>
      </c>
      <c r="J115" s="75" t="s">
        <v>461</v>
      </c>
    </row>
    <row r="116" spans="2:10" x14ac:dyDescent="0.15">
      <c r="B116" s="58" t="s">
        <v>469</v>
      </c>
      <c r="C116" s="952" t="s">
        <v>465</v>
      </c>
      <c r="D116" s="75" t="s">
        <v>460</v>
      </c>
      <c r="E116" s="75" t="s">
        <v>460</v>
      </c>
      <c r="F116" s="75"/>
      <c r="G116" s="75"/>
      <c r="H116" s="75" t="s">
        <v>475</v>
      </c>
      <c r="I116" s="75" t="s">
        <v>480</v>
      </c>
      <c r="J116" s="75" t="s">
        <v>482</v>
      </c>
    </row>
    <row r="117" spans="2:10" x14ac:dyDescent="0.15">
      <c r="B117" s="58" t="s">
        <v>459</v>
      </c>
      <c r="C117" s="952" t="s">
        <v>466</v>
      </c>
      <c r="D117" s="75" t="s">
        <v>471</v>
      </c>
      <c r="E117" s="75" t="s">
        <v>471</v>
      </c>
      <c r="F117" s="75"/>
      <c r="G117" s="75"/>
      <c r="H117" s="75" t="s">
        <v>476</v>
      </c>
      <c r="I117" s="75" t="s">
        <v>481</v>
      </c>
      <c r="J117" s="75" t="s">
        <v>479</v>
      </c>
    </row>
    <row r="118" spans="2:10" x14ac:dyDescent="0.15">
      <c r="B118" s="58" t="s">
        <v>470</v>
      </c>
      <c r="C118" s="952" t="s">
        <v>467</v>
      </c>
      <c r="D118" s="75" t="s">
        <v>461</v>
      </c>
      <c r="E118" s="75" t="s">
        <v>461</v>
      </c>
      <c r="F118" s="75"/>
      <c r="G118" s="75"/>
      <c r="H118" s="75" t="s">
        <v>477</v>
      </c>
      <c r="I118" s="75" t="s">
        <v>465</v>
      </c>
      <c r="J118" s="75" t="s">
        <v>480</v>
      </c>
    </row>
    <row r="120" spans="2:10" x14ac:dyDescent="0.15">
      <c r="C120" s="957"/>
    </row>
    <row r="123" spans="2:10" x14ac:dyDescent="0.15">
      <c r="I123" s="957"/>
    </row>
    <row r="126" spans="2:10" ht="14" thickBot="1" x14ac:dyDescent="0.2"/>
    <row r="127" spans="2:10" ht="14" thickTop="1" x14ac:dyDescent="0.15">
      <c r="B127" s="931"/>
      <c r="C127" s="932" t="s">
        <v>291</v>
      </c>
      <c r="D127" s="933"/>
      <c r="E127" s="934"/>
      <c r="F127" s="935"/>
      <c r="G127" s="935"/>
      <c r="H127" s="932" t="s">
        <v>295</v>
      </c>
      <c r="I127" s="934"/>
    </row>
    <row r="128" spans="2:10" ht="17" thickBot="1" x14ac:dyDescent="0.25">
      <c r="B128" s="925" t="s">
        <v>1432</v>
      </c>
      <c r="C128" s="936" t="s">
        <v>292</v>
      </c>
      <c r="D128" s="937"/>
      <c r="E128" s="938"/>
      <c r="F128" s="935"/>
      <c r="G128" s="935"/>
      <c r="H128" s="936" t="s">
        <v>293</v>
      </c>
      <c r="I128" s="938"/>
    </row>
    <row r="129" spans="2:9" ht="17" thickTop="1" x14ac:dyDescent="0.2">
      <c r="B129" s="925" t="s">
        <v>287</v>
      </c>
      <c r="C129" s="939" t="s">
        <v>288</v>
      </c>
      <c r="D129" s="939" t="s">
        <v>289</v>
      </c>
      <c r="E129" s="939" t="s">
        <v>280</v>
      </c>
      <c r="F129" s="935"/>
      <c r="G129" s="935"/>
      <c r="H129" s="939" t="s">
        <v>288</v>
      </c>
      <c r="I129" s="939" t="s">
        <v>289</v>
      </c>
    </row>
    <row r="130" spans="2:9" ht="17" thickBot="1" x14ac:dyDescent="0.25">
      <c r="B130" s="926" t="s">
        <v>1720</v>
      </c>
      <c r="C130" s="940" t="s">
        <v>290</v>
      </c>
      <c r="D130" s="941" t="s">
        <v>1846</v>
      </c>
      <c r="E130" s="941" t="s">
        <v>1782</v>
      </c>
      <c r="F130" s="935"/>
      <c r="G130" s="935"/>
      <c r="H130" s="940" t="s">
        <v>294</v>
      </c>
      <c r="I130" s="941" t="s">
        <v>1846</v>
      </c>
    </row>
    <row r="131" spans="2:9" ht="14" thickTop="1" x14ac:dyDescent="0.15">
      <c r="B131" s="1007" t="s">
        <v>415</v>
      </c>
      <c r="C131" s="82" t="s">
        <v>468</v>
      </c>
      <c r="D131" s="82" t="s">
        <v>487</v>
      </c>
      <c r="E131" s="82" t="s">
        <v>417</v>
      </c>
      <c r="F131" s="82"/>
      <c r="G131" s="82"/>
      <c r="H131" s="82" t="s">
        <v>468</v>
      </c>
      <c r="I131" s="82" t="s">
        <v>496</v>
      </c>
    </row>
    <row r="132" spans="2:9" x14ac:dyDescent="0.15">
      <c r="B132" s="99" t="s">
        <v>472</v>
      </c>
      <c r="C132" s="75" t="s">
        <v>483</v>
      </c>
      <c r="D132" s="75" t="s">
        <v>488</v>
      </c>
      <c r="E132" s="75" t="s">
        <v>469</v>
      </c>
      <c r="F132" s="75"/>
      <c r="G132" s="75"/>
      <c r="H132" s="75" t="s">
        <v>483</v>
      </c>
      <c r="I132" s="75" t="s">
        <v>491</v>
      </c>
    </row>
    <row r="133" spans="2:9" x14ac:dyDescent="0.15">
      <c r="B133" s="99" t="s">
        <v>416</v>
      </c>
      <c r="C133" s="75" t="s">
        <v>469</v>
      </c>
      <c r="D133" s="75" t="s">
        <v>489</v>
      </c>
      <c r="E133" s="75" t="s">
        <v>459</v>
      </c>
      <c r="F133" s="75"/>
      <c r="G133" s="75"/>
      <c r="H133" s="75" t="s">
        <v>469</v>
      </c>
      <c r="I133" s="75" t="s">
        <v>497</v>
      </c>
    </row>
    <row r="134" spans="2:9" x14ac:dyDescent="0.15">
      <c r="B134" s="99" t="s">
        <v>468</v>
      </c>
      <c r="C134" s="75" t="s">
        <v>484</v>
      </c>
      <c r="D134" s="75" t="s">
        <v>490</v>
      </c>
      <c r="E134" s="75" t="s">
        <v>470</v>
      </c>
      <c r="F134" s="75"/>
      <c r="G134" s="75"/>
      <c r="H134" s="75" t="s">
        <v>484</v>
      </c>
      <c r="I134" s="75" t="s">
        <v>498</v>
      </c>
    </row>
    <row r="135" spans="2:9" x14ac:dyDescent="0.15">
      <c r="B135" s="1043"/>
      <c r="C135" s="942"/>
      <c r="D135" s="942"/>
      <c r="E135" s="942"/>
      <c r="F135" s="942"/>
      <c r="G135" s="942"/>
      <c r="H135" s="942"/>
      <c r="I135" s="942"/>
    </row>
    <row r="136" spans="2:9" x14ac:dyDescent="0.15">
      <c r="B136" s="99" t="s">
        <v>417</v>
      </c>
      <c r="C136" s="75" t="s">
        <v>460</v>
      </c>
      <c r="D136" s="75" t="s">
        <v>491</v>
      </c>
      <c r="E136" s="75" t="s">
        <v>471</v>
      </c>
      <c r="F136" s="75"/>
      <c r="G136" s="75"/>
      <c r="H136" s="75" t="s">
        <v>460</v>
      </c>
      <c r="I136" s="75" t="s">
        <v>499</v>
      </c>
    </row>
    <row r="137" spans="2:9" x14ac:dyDescent="0.15">
      <c r="B137" s="99" t="s">
        <v>458</v>
      </c>
      <c r="C137" s="75" t="s">
        <v>485</v>
      </c>
      <c r="D137" s="75" t="s">
        <v>492</v>
      </c>
      <c r="E137" s="75" t="s">
        <v>482</v>
      </c>
      <c r="F137" s="75"/>
      <c r="G137" s="75"/>
      <c r="H137" s="75" t="s">
        <v>485</v>
      </c>
      <c r="I137" s="943" t="s">
        <v>500</v>
      </c>
    </row>
    <row r="138" spans="2:9" x14ac:dyDescent="0.15">
      <c r="B138" s="99" t="s">
        <v>469</v>
      </c>
      <c r="C138" s="75" t="s">
        <v>482</v>
      </c>
      <c r="D138" s="75" t="s">
        <v>493</v>
      </c>
      <c r="E138" s="75" t="s">
        <v>482</v>
      </c>
      <c r="F138" s="75"/>
      <c r="G138" s="75"/>
      <c r="H138" s="75" t="s">
        <v>482</v>
      </c>
      <c r="I138" s="75" t="s">
        <v>501</v>
      </c>
    </row>
    <row r="139" spans="2:9" x14ac:dyDescent="0.15">
      <c r="B139" s="99" t="s">
        <v>459</v>
      </c>
      <c r="C139" s="75" t="s">
        <v>486</v>
      </c>
      <c r="D139" s="75" t="s">
        <v>494</v>
      </c>
      <c r="E139" s="75" t="s">
        <v>479</v>
      </c>
      <c r="F139" s="75"/>
      <c r="G139" s="75"/>
      <c r="H139" s="75" t="s">
        <v>486</v>
      </c>
      <c r="I139" s="75" t="s">
        <v>502</v>
      </c>
    </row>
    <row r="140" spans="2:9" x14ac:dyDescent="0.15">
      <c r="B140" s="1043"/>
      <c r="C140" s="942"/>
      <c r="D140" s="942"/>
      <c r="E140" s="942"/>
      <c r="F140" s="942"/>
      <c r="G140" s="942"/>
      <c r="H140" s="942"/>
      <c r="I140" s="942"/>
    </row>
    <row r="141" spans="2:9" x14ac:dyDescent="0.15">
      <c r="B141" s="99" t="s">
        <v>470</v>
      </c>
      <c r="C141" s="75" t="s">
        <v>463</v>
      </c>
      <c r="D141" s="75" t="s">
        <v>495</v>
      </c>
      <c r="E141" s="75" t="s">
        <v>479</v>
      </c>
      <c r="F141" s="75"/>
      <c r="G141" s="75"/>
      <c r="H141" s="75" t="s">
        <v>463</v>
      </c>
      <c r="I141" s="75" t="s">
        <v>503</v>
      </c>
    </row>
    <row r="142" spans="2:9" x14ac:dyDescent="0.15">
      <c r="B142" s="389"/>
      <c r="C142" s="28"/>
      <c r="D142" s="28"/>
      <c r="E142" s="28"/>
      <c r="F142" s="28"/>
      <c r="G142" s="28"/>
      <c r="H142" s="28"/>
      <c r="I142" s="28"/>
    </row>
    <row r="144" spans="2:9" ht="14" thickBot="1" x14ac:dyDescent="0.2"/>
    <row r="145" spans="2:11" ht="18" thickTop="1" thickBot="1" x14ac:dyDescent="0.25">
      <c r="B145" s="931"/>
      <c r="C145" s="883" t="s">
        <v>300</v>
      </c>
      <c r="D145" s="875"/>
      <c r="E145" s="875"/>
      <c r="F145" s="875"/>
      <c r="G145" s="875"/>
      <c r="H145" s="884"/>
      <c r="I145" s="948" t="s">
        <v>308</v>
      </c>
      <c r="J145" s="875"/>
      <c r="K145" s="884"/>
    </row>
    <row r="146" spans="2:11" ht="17" thickTop="1" x14ac:dyDescent="0.2">
      <c r="B146" s="925" t="s">
        <v>1432</v>
      </c>
      <c r="C146" s="928" t="s">
        <v>1432</v>
      </c>
      <c r="D146" s="928" t="s">
        <v>1432</v>
      </c>
      <c r="E146" s="947" t="s">
        <v>298</v>
      </c>
      <c r="F146" s="858"/>
      <c r="G146" s="858"/>
      <c r="H146" s="859"/>
      <c r="I146" s="928" t="s">
        <v>305</v>
      </c>
      <c r="K146" s="944" t="s">
        <v>302</v>
      </c>
    </row>
    <row r="147" spans="2:11" ht="17" thickBot="1" x14ac:dyDescent="0.25">
      <c r="B147" s="925" t="s">
        <v>287</v>
      </c>
      <c r="C147" s="944" t="s">
        <v>1486</v>
      </c>
      <c r="D147" s="944" t="s">
        <v>296</v>
      </c>
      <c r="E147" s="945"/>
      <c r="F147" s="865"/>
      <c r="G147" s="865"/>
      <c r="H147" s="867"/>
      <c r="I147" s="944" t="s">
        <v>306</v>
      </c>
      <c r="J147" s="944" t="s">
        <v>301</v>
      </c>
      <c r="K147" s="944" t="s">
        <v>303</v>
      </c>
    </row>
    <row r="148" spans="2:11" ht="18" thickTop="1" thickBot="1" x14ac:dyDescent="0.25">
      <c r="B148" s="926" t="s">
        <v>1720</v>
      </c>
      <c r="C148" s="930" t="s">
        <v>296</v>
      </c>
      <c r="D148" s="929" t="s">
        <v>299</v>
      </c>
      <c r="E148" s="946" t="s">
        <v>297</v>
      </c>
      <c r="F148" s="946"/>
      <c r="G148" s="946"/>
      <c r="H148" s="946" t="s">
        <v>1110</v>
      </c>
      <c r="I148" s="929" t="s">
        <v>307</v>
      </c>
      <c r="J148" s="929" t="s">
        <v>1490</v>
      </c>
      <c r="K148" s="929" t="s">
        <v>1490</v>
      </c>
    </row>
    <row r="149" spans="2:11" ht="14" thickTop="1" x14ac:dyDescent="0.15">
      <c r="B149" s="1007" t="s">
        <v>415</v>
      </c>
      <c r="C149" s="907" t="s">
        <v>483</v>
      </c>
      <c r="D149" s="907" t="s">
        <v>507</v>
      </c>
      <c r="E149" s="907" t="s">
        <v>509</v>
      </c>
      <c r="F149" s="907"/>
      <c r="G149" s="907"/>
      <c r="H149" s="962" t="s">
        <v>510</v>
      </c>
      <c r="I149" s="951" t="s">
        <v>471</v>
      </c>
      <c r="J149" s="907" t="s">
        <v>487</v>
      </c>
      <c r="K149" s="953" t="s">
        <v>309</v>
      </c>
    </row>
    <row r="150" spans="2:11" x14ac:dyDescent="0.15">
      <c r="B150" s="99" t="s">
        <v>472</v>
      </c>
      <c r="C150" s="75" t="s">
        <v>506</v>
      </c>
      <c r="D150" s="75" t="s">
        <v>492</v>
      </c>
      <c r="E150" s="75" t="s">
        <v>511</v>
      </c>
      <c r="F150" s="75"/>
      <c r="G150" s="75"/>
      <c r="H150" s="949" t="s">
        <v>510</v>
      </c>
      <c r="I150" s="952" t="s">
        <v>471</v>
      </c>
      <c r="J150" s="75" t="s">
        <v>487</v>
      </c>
      <c r="K150" s="955" t="s">
        <v>309</v>
      </c>
    </row>
    <row r="151" spans="2:11" x14ac:dyDescent="0.15">
      <c r="B151" s="99" t="s">
        <v>416</v>
      </c>
      <c r="C151" s="75" t="s">
        <v>503</v>
      </c>
      <c r="D151" s="75" t="s">
        <v>508</v>
      </c>
      <c r="E151" s="75" t="s">
        <v>511</v>
      </c>
      <c r="F151" s="75"/>
      <c r="G151" s="75"/>
      <c r="H151" s="949" t="s">
        <v>510</v>
      </c>
      <c r="I151" s="952" t="s">
        <v>471</v>
      </c>
      <c r="J151" s="75" t="s">
        <v>487</v>
      </c>
      <c r="K151" s="955" t="s">
        <v>309</v>
      </c>
    </row>
    <row r="152" spans="2:11" x14ac:dyDescent="0.15">
      <c r="B152" s="99" t="s">
        <v>468</v>
      </c>
      <c r="C152" s="75" t="s">
        <v>471</v>
      </c>
      <c r="D152" s="75" t="s">
        <v>495</v>
      </c>
      <c r="E152" s="75" t="s">
        <v>512</v>
      </c>
      <c r="F152" s="75"/>
      <c r="G152" s="75"/>
      <c r="H152" s="949" t="s">
        <v>510</v>
      </c>
      <c r="I152" s="952" t="s">
        <v>471</v>
      </c>
      <c r="J152" s="75" t="s">
        <v>487</v>
      </c>
      <c r="K152" s="954" t="s">
        <v>309</v>
      </c>
    </row>
    <row r="153" spans="2:11" x14ac:dyDescent="0.15">
      <c r="B153" s="1043"/>
      <c r="C153" s="79"/>
      <c r="D153" s="79"/>
      <c r="E153" s="79"/>
      <c r="F153" s="79"/>
      <c r="G153" s="79"/>
      <c r="H153" s="950"/>
      <c r="I153" s="81"/>
      <c r="J153" s="79"/>
      <c r="K153" s="79"/>
    </row>
    <row r="154" spans="2:11" x14ac:dyDescent="0.15">
      <c r="B154" s="99" t="s">
        <v>417</v>
      </c>
      <c r="C154" s="75" t="s">
        <v>482</v>
      </c>
      <c r="D154" s="75" t="s">
        <v>458</v>
      </c>
      <c r="E154" s="75" t="s">
        <v>512</v>
      </c>
      <c r="F154" s="75"/>
      <c r="G154" s="75"/>
      <c r="H154" s="949" t="s">
        <v>510</v>
      </c>
      <c r="I154" s="952" t="s">
        <v>471</v>
      </c>
      <c r="J154" s="75" t="s">
        <v>487</v>
      </c>
      <c r="K154" s="955" t="s">
        <v>309</v>
      </c>
    </row>
    <row r="155" spans="2:11" x14ac:dyDescent="0.15">
      <c r="B155" s="99" t="s">
        <v>458</v>
      </c>
      <c r="C155" s="75" t="s">
        <v>479</v>
      </c>
      <c r="D155" s="75" t="s">
        <v>469</v>
      </c>
      <c r="E155" s="75" t="s">
        <v>512</v>
      </c>
      <c r="F155" s="75"/>
      <c r="G155" s="75"/>
      <c r="H155" s="949" t="s">
        <v>510</v>
      </c>
      <c r="I155" s="77" t="s">
        <v>479</v>
      </c>
      <c r="J155" s="75" t="s">
        <v>487</v>
      </c>
      <c r="K155" s="955" t="s">
        <v>309</v>
      </c>
    </row>
    <row r="156" spans="2:11" x14ac:dyDescent="0.15">
      <c r="B156" s="99" t="s">
        <v>469</v>
      </c>
      <c r="C156" s="75" t="s">
        <v>480</v>
      </c>
      <c r="D156" s="75" t="s">
        <v>459</v>
      </c>
      <c r="E156" s="75" t="s">
        <v>512</v>
      </c>
      <c r="F156" s="75"/>
      <c r="G156" s="75"/>
      <c r="H156" s="949" t="s">
        <v>510</v>
      </c>
      <c r="I156" s="77" t="s">
        <v>479</v>
      </c>
      <c r="J156" s="75" t="s">
        <v>487</v>
      </c>
      <c r="K156" s="955" t="s">
        <v>309</v>
      </c>
    </row>
    <row r="157" spans="2:11" x14ac:dyDescent="0.15">
      <c r="B157" s="99" t="s">
        <v>459</v>
      </c>
      <c r="C157" s="75" t="s">
        <v>481</v>
      </c>
      <c r="D157" s="75" t="s">
        <v>470</v>
      </c>
      <c r="E157" s="75" t="s">
        <v>512</v>
      </c>
      <c r="F157" s="75"/>
      <c r="G157" s="75"/>
      <c r="H157" s="949" t="s">
        <v>510</v>
      </c>
      <c r="I157" s="77" t="s">
        <v>479</v>
      </c>
      <c r="J157" s="75" t="s">
        <v>487</v>
      </c>
      <c r="K157" s="955" t="s">
        <v>309</v>
      </c>
    </row>
    <row r="158" spans="2:11" x14ac:dyDescent="0.15">
      <c r="B158" s="1043"/>
      <c r="C158" s="79"/>
      <c r="D158" s="79"/>
      <c r="E158" s="79"/>
      <c r="F158" s="79"/>
      <c r="G158" s="79"/>
      <c r="H158" s="950"/>
      <c r="I158" s="81"/>
      <c r="J158" s="79"/>
      <c r="K158" s="79"/>
    </row>
    <row r="159" spans="2:11" x14ac:dyDescent="0.15">
      <c r="B159" s="99" t="s">
        <v>470</v>
      </c>
      <c r="C159" s="75" t="s">
        <v>473</v>
      </c>
      <c r="D159" s="75" t="s">
        <v>460</v>
      </c>
      <c r="E159" s="75" t="s">
        <v>512</v>
      </c>
      <c r="F159" s="75"/>
      <c r="G159" s="75"/>
      <c r="H159" s="949" t="s">
        <v>510</v>
      </c>
      <c r="I159" s="77" t="s">
        <v>479</v>
      </c>
      <c r="J159" s="75" t="s">
        <v>487</v>
      </c>
      <c r="K159" s="955" t="s">
        <v>309</v>
      </c>
    </row>
    <row r="161" spans="2:15" ht="14" thickBot="1" x14ac:dyDescent="0.2"/>
    <row r="162" spans="2:15" ht="17" thickTop="1" x14ac:dyDescent="0.2">
      <c r="B162" s="928" t="s">
        <v>1782</v>
      </c>
      <c r="C162" s="858"/>
      <c r="D162" s="858"/>
      <c r="E162" s="958" t="s">
        <v>315</v>
      </c>
      <c r="F162" s="858"/>
      <c r="G162" s="858"/>
      <c r="H162" s="858"/>
      <c r="I162" s="858"/>
      <c r="J162" s="858"/>
      <c r="K162" s="858"/>
      <c r="L162" s="858"/>
      <c r="M162" s="858"/>
      <c r="N162" s="858"/>
      <c r="O162" s="859"/>
    </row>
    <row r="163" spans="2:15" x14ac:dyDescent="0.15">
      <c r="B163" s="944" t="s">
        <v>313</v>
      </c>
      <c r="O163" s="861"/>
    </row>
    <row r="164" spans="2:15" ht="17" thickBot="1" x14ac:dyDescent="0.25">
      <c r="B164" s="944" t="s">
        <v>314</v>
      </c>
      <c r="D164" s="29"/>
      <c r="E164" s="29" t="s">
        <v>513</v>
      </c>
      <c r="O164" s="861"/>
    </row>
    <row r="165" spans="2:15" ht="15" thickTop="1" thickBot="1" x14ac:dyDescent="0.2">
      <c r="B165" s="1051" t="s">
        <v>505</v>
      </c>
      <c r="C165" s="1047" t="s">
        <v>415</v>
      </c>
      <c r="D165" s="1047" t="s">
        <v>472</v>
      </c>
      <c r="E165" s="1047" t="s">
        <v>416</v>
      </c>
      <c r="F165" s="1047"/>
      <c r="G165" s="1047"/>
      <c r="H165" s="1047" t="s">
        <v>468</v>
      </c>
      <c r="I165" s="1047" t="s">
        <v>417</v>
      </c>
      <c r="J165" s="1047" t="s">
        <v>458</v>
      </c>
      <c r="K165" s="1047" t="s">
        <v>469</v>
      </c>
      <c r="L165" s="1047" t="s">
        <v>459</v>
      </c>
      <c r="M165" s="1047"/>
      <c r="N165" s="1047"/>
      <c r="O165" s="1047" t="s">
        <v>470</v>
      </c>
    </row>
    <row r="166" spans="2:15" ht="14" thickTop="1" x14ac:dyDescent="0.15">
      <c r="B166" s="1048" t="s">
        <v>417</v>
      </c>
      <c r="C166" s="907" t="s">
        <v>527</v>
      </c>
      <c r="D166" s="907" t="s">
        <v>544</v>
      </c>
      <c r="E166" s="907" t="s">
        <v>565</v>
      </c>
      <c r="F166" s="907"/>
      <c r="G166" s="907"/>
      <c r="H166" s="976"/>
      <c r="I166" s="976"/>
      <c r="J166" s="976"/>
      <c r="K166" s="976"/>
      <c r="L166" s="976"/>
      <c r="M166" s="976"/>
      <c r="N166" s="976"/>
      <c r="O166" s="976"/>
    </row>
    <row r="167" spans="2:15" x14ac:dyDescent="0.15">
      <c r="B167" s="1049" t="s">
        <v>469</v>
      </c>
      <c r="C167" s="75" t="s">
        <v>525</v>
      </c>
      <c r="D167" s="75" t="s">
        <v>545</v>
      </c>
      <c r="E167" s="75" t="s">
        <v>566</v>
      </c>
      <c r="F167" s="75"/>
      <c r="G167" s="75"/>
      <c r="H167" s="75" t="s">
        <v>589</v>
      </c>
      <c r="I167" s="75" t="s">
        <v>610</v>
      </c>
      <c r="J167" s="977"/>
      <c r="K167" s="977"/>
      <c r="L167" s="977"/>
      <c r="M167" s="977"/>
      <c r="N167" s="977"/>
      <c r="O167" s="977"/>
    </row>
    <row r="168" spans="2:15" x14ac:dyDescent="0.15">
      <c r="B168" s="1049" t="s">
        <v>470</v>
      </c>
      <c r="C168" s="75" t="s">
        <v>526</v>
      </c>
      <c r="D168" s="75" t="s">
        <v>546</v>
      </c>
      <c r="E168" s="75" t="s">
        <v>567</v>
      </c>
      <c r="F168" s="75"/>
      <c r="G168" s="75"/>
      <c r="H168" s="75" t="s">
        <v>590</v>
      </c>
      <c r="I168" s="75" t="s">
        <v>611</v>
      </c>
      <c r="J168" s="75" t="s">
        <v>628</v>
      </c>
      <c r="K168" s="75" t="s">
        <v>649</v>
      </c>
      <c r="L168" s="977"/>
      <c r="M168" s="977"/>
      <c r="N168" s="977"/>
      <c r="O168" s="977"/>
    </row>
    <row r="169" spans="2:15" x14ac:dyDescent="0.15">
      <c r="B169" s="1049" t="s">
        <v>471</v>
      </c>
      <c r="C169" s="75" t="s">
        <v>528</v>
      </c>
      <c r="D169" s="75" t="s">
        <v>547</v>
      </c>
      <c r="E169" s="75" t="s">
        <v>568</v>
      </c>
      <c r="F169" s="75"/>
      <c r="G169" s="75"/>
      <c r="H169" s="75" t="s">
        <v>591</v>
      </c>
      <c r="I169" s="75" t="s">
        <v>612</v>
      </c>
      <c r="J169" s="75" t="s">
        <v>608</v>
      </c>
      <c r="K169" s="75" t="s">
        <v>650</v>
      </c>
      <c r="L169" s="75" t="s">
        <v>667</v>
      </c>
      <c r="M169" s="75"/>
      <c r="N169" s="75"/>
      <c r="O169" s="75" t="s">
        <v>685</v>
      </c>
    </row>
    <row r="170" spans="2:15" x14ac:dyDescent="0.15">
      <c r="B170" s="1049" t="s">
        <v>482</v>
      </c>
      <c r="C170" s="75" t="s">
        <v>529</v>
      </c>
      <c r="D170" s="75" t="s">
        <v>548</v>
      </c>
      <c r="E170" s="75" t="s">
        <v>569</v>
      </c>
      <c r="F170" s="75"/>
      <c r="G170" s="75"/>
      <c r="H170" s="75" t="s">
        <v>592</v>
      </c>
      <c r="I170" s="75" t="s">
        <v>613</v>
      </c>
      <c r="J170" s="75" t="s">
        <v>629</v>
      </c>
      <c r="K170" s="75" t="s">
        <v>651</v>
      </c>
      <c r="L170" s="75" t="s">
        <v>668</v>
      </c>
      <c r="M170" s="75"/>
      <c r="N170" s="75"/>
      <c r="O170" s="75" t="s">
        <v>686</v>
      </c>
    </row>
    <row r="171" spans="2:15" x14ac:dyDescent="0.15">
      <c r="B171" s="1049" t="s">
        <v>479</v>
      </c>
      <c r="C171" s="75" t="s">
        <v>530</v>
      </c>
      <c r="D171" s="75" t="s">
        <v>549</v>
      </c>
      <c r="E171" s="75" t="s">
        <v>570</v>
      </c>
      <c r="F171" s="75"/>
      <c r="G171" s="75"/>
      <c r="H171" s="75" t="s">
        <v>593</v>
      </c>
      <c r="I171" s="75" t="s">
        <v>601</v>
      </c>
      <c r="J171" s="75" t="s">
        <v>630</v>
      </c>
      <c r="K171" s="75" t="s">
        <v>652</v>
      </c>
      <c r="L171" s="75" t="s">
        <v>669</v>
      </c>
      <c r="M171" s="75"/>
      <c r="N171" s="75"/>
      <c r="O171" s="75" t="s">
        <v>687</v>
      </c>
    </row>
    <row r="172" spans="2:15" x14ac:dyDescent="0.15">
      <c r="B172" s="1049" t="s">
        <v>480</v>
      </c>
      <c r="C172" s="75" t="s">
        <v>531</v>
      </c>
      <c r="D172" s="75" t="s">
        <v>550</v>
      </c>
      <c r="E172" s="75" t="s">
        <v>571</v>
      </c>
      <c r="F172" s="75"/>
      <c r="G172" s="75"/>
      <c r="H172" s="75" t="s">
        <v>594</v>
      </c>
      <c r="I172" s="75" t="s">
        <v>614</v>
      </c>
      <c r="J172" s="75" t="s">
        <v>631</v>
      </c>
      <c r="K172" s="75" t="s">
        <v>653</v>
      </c>
      <c r="L172" s="75" t="s">
        <v>670</v>
      </c>
      <c r="M172" s="75"/>
      <c r="N172" s="75"/>
      <c r="O172" s="75" t="s">
        <v>688</v>
      </c>
    </row>
    <row r="173" spans="2:15" x14ac:dyDescent="0.15">
      <c r="B173" s="1049" t="s">
        <v>481</v>
      </c>
      <c r="C173" s="75" t="s">
        <v>532</v>
      </c>
      <c r="D173" s="75" t="s">
        <v>551</v>
      </c>
      <c r="E173" s="75" t="s">
        <v>572</v>
      </c>
      <c r="F173" s="75"/>
      <c r="G173" s="75"/>
      <c r="H173" s="75" t="s">
        <v>595</v>
      </c>
      <c r="I173" s="75" t="s">
        <v>615</v>
      </c>
      <c r="J173" s="75" t="s">
        <v>632</v>
      </c>
      <c r="K173" s="75" t="s">
        <v>642</v>
      </c>
      <c r="L173" s="75" t="s">
        <v>671</v>
      </c>
      <c r="M173" s="75"/>
      <c r="N173" s="75"/>
      <c r="O173" s="75" t="s">
        <v>689</v>
      </c>
    </row>
    <row r="174" spans="2:15" x14ac:dyDescent="0.15">
      <c r="B174" s="1049" t="s">
        <v>473</v>
      </c>
      <c r="C174" s="75" t="s">
        <v>533</v>
      </c>
      <c r="D174" s="75" t="s">
        <v>552</v>
      </c>
      <c r="E174" s="75" t="s">
        <v>573</v>
      </c>
      <c r="F174" s="75"/>
      <c r="G174" s="75"/>
      <c r="H174" s="75" t="s">
        <v>596</v>
      </c>
      <c r="I174" s="75" t="s">
        <v>605</v>
      </c>
      <c r="J174" s="75" t="s">
        <v>633</v>
      </c>
      <c r="K174" s="75" t="s">
        <v>655</v>
      </c>
      <c r="L174" s="75" t="s">
        <v>672</v>
      </c>
      <c r="M174" s="75"/>
      <c r="N174" s="75"/>
      <c r="O174" s="75" t="s">
        <v>690</v>
      </c>
    </row>
    <row r="175" spans="2:15" x14ac:dyDescent="0.15">
      <c r="B175" s="1049" t="s">
        <v>474</v>
      </c>
      <c r="C175" s="75" t="s">
        <v>534</v>
      </c>
      <c r="D175" s="75" t="s">
        <v>553</v>
      </c>
      <c r="E175" s="75" t="s">
        <v>574</v>
      </c>
      <c r="F175" s="75"/>
      <c r="G175" s="75"/>
      <c r="H175" s="75" t="s">
        <v>597</v>
      </c>
      <c r="I175" s="75" t="s">
        <v>606</v>
      </c>
      <c r="J175" s="75" t="s">
        <v>634</v>
      </c>
      <c r="K175" s="75" t="s">
        <v>656</v>
      </c>
      <c r="L175" s="75" t="s">
        <v>673</v>
      </c>
      <c r="M175" s="75"/>
      <c r="N175" s="75"/>
      <c r="O175" s="75" t="s">
        <v>691</v>
      </c>
    </row>
    <row r="176" spans="2:15" x14ac:dyDescent="0.15">
      <c r="B176" s="1049" t="s">
        <v>514</v>
      </c>
      <c r="C176" s="75" t="s">
        <v>640</v>
      </c>
      <c r="D176" s="75" t="s">
        <v>554</v>
      </c>
      <c r="E176" s="75" t="s">
        <v>575</v>
      </c>
      <c r="F176" s="75"/>
      <c r="G176" s="75"/>
      <c r="H176" s="75" t="s">
        <v>598</v>
      </c>
      <c r="I176" s="75" t="s">
        <v>616</v>
      </c>
      <c r="J176" s="75" t="s">
        <v>635</v>
      </c>
      <c r="K176" s="75" t="s">
        <v>657</v>
      </c>
      <c r="L176" s="75" t="s">
        <v>674</v>
      </c>
      <c r="M176" s="75"/>
      <c r="N176" s="75"/>
      <c r="O176" s="75" t="s">
        <v>682</v>
      </c>
    </row>
    <row r="177" spans="2:15" x14ac:dyDescent="0.15">
      <c r="B177" s="1049" t="s">
        <v>515</v>
      </c>
      <c r="C177" s="75" t="s">
        <v>535</v>
      </c>
      <c r="D177" s="75" t="s">
        <v>555</v>
      </c>
      <c r="E177" s="75" t="s">
        <v>576</v>
      </c>
      <c r="F177" s="75"/>
      <c r="G177" s="75"/>
      <c r="H177" s="75" t="s">
        <v>599</v>
      </c>
      <c r="I177" s="75" t="s">
        <v>617</v>
      </c>
      <c r="J177" s="75" t="s">
        <v>636</v>
      </c>
      <c r="K177" s="75" t="s">
        <v>647</v>
      </c>
      <c r="L177" s="75" t="s">
        <v>675</v>
      </c>
      <c r="M177" s="75"/>
      <c r="N177" s="75"/>
      <c r="O177" s="75" t="s">
        <v>692</v>
      </c>
    </row>
    <row r="178" spans="2:15" x14ac:dyDescent="0.15">
      <c r="B178" s="1049" t="s">
        <v>516</v>
      </c>
      <c r="C178" s="75" t="s">
        <v>536</v>
      </c>
      <c r="D178" s="75" t="s">
        <v>556</v>
      </c>
      <c r="E178" s="75" t="s">
        <v>577</v>
      </c>
      <c r="F178" s="75"/>
      <c r="G178" s="75"/>
      <c r="H178" s="75" t="s">
        <v>600</v>
      </c>
      <c r="I178" s="75" t="s">
        <v>618</v>
      </c>
      <c r="J178" s="75" t="s">
        <v>637</v>
      </c>
      <c r="K178" s="75" t="s">
        <v>658</v>
      </c>
      <c r="L178" s="75" t="s">
        <v>676</v>
      </c>
      <c r="M178" s="75"/>
      <c r="N178" s="75"/>
      <c r="O178" s="75" t="s">
        <v>693</v>
      </c>
    </row>
    <row r="179" spans="2:15" x14ac:dyDescent="0.15">
      <c r="B179" s="1049" t="s">
        <v>517</v>
      </c>
      <c r="C179" s="75" t="s">
        <v>537</v>
      </c>
      <c r="D179" s="75" t="s">
        <v>557</v>
      </c>
      <c r="E179" s="75" t="s">
        <v>578</v>
      </c>
      <c r="F179" s="75"/>
      <c r="G179" s="75"/>
      <c r="H179" s="75" t="s">
        <v>601</v>
      </c>
      <c r="I179" s="75" t="s">
        <v>619</v>
      </c>
      <c r="J179" s="75" t="s">
        <v>638</v>
      </c>
      <c r="K179" s="75" t="s">
        <v>659</v>
      </c>
      <c r="L179" s="75" t="s">
        <v>677</v>
      </c>
      <c r="M179" s="75"/>
      <c r="N179" s="75"/>
      <c r="O179" s="75" t="s">
        <v>694</v>
      </c>
    </row>
    <row r="180" spans="2:15" x14ac:dyDescent="0.15">
      <c r="B180" s="1049" t="s">
        <v>518</v>
      </c>
      <c r="C180" s="75" t="s">
        <v>538</v>
      </c>
      <c r="D180" s="75" t="s">
        <v>558</v>
      </c>
      <c r="E180" s="75" t="s">
        <v>579</v>
      </c>
      <c r="F180" s="75"/>
      <c r="G180" s="75"/>
      <c r="H180" s="75" t="s">
        <v>602</v>
      </c>
      <c r="I180" s="75" t="s">
        <v>620</v>
      </c>
      <c r="J180" s="75" t="s">
        <v>641</v>
      </c>
      <c r="K180" s="75" t="s">
        <v>660</v>
      </c>
      <c r="L180" s="75" t="s">
        <v>678</v>
      </c>
      <c r="M180" s="75"/>
      <c r="N180" s="75"/>
      <c r="O180" s="75" t="s">
        <v>695</v>
      </c>
    </row>
    <row r="181" spans="2:15" x14ac:dyDescent="0.15">
      <c r="B181" s="1049" t="s">
        <v>519</v>
      </c>
      <c r="C181" s="75" t="s">
        <v>539</v>
      </c>
      <c r="D181" s="75" t="s">
        <v>559</v>
      </c>
      <c r="E181" s="75" t="s">
        <v>580</v>
      </c>
      <c r="F181" s="75"/>
      <c r="G181" s="75"/>
      <c r="H181" s="75" t="s">
        <v>603</v>
      </c>
      <c r="I181" s="75" t="s">
        <v>621</v>
      </c>
      <c r="J181" s="75" t="s">
        <v>642</v>
      </c>
      <c r="K181" s="75" t="s">
        <v>661</v>
      </c>
      <c r="L181" s="75" t="s">
        <v>679</v>
      </c>
      <c r="M181" s="75"/>
      <c r="N181" s="75"/>
      <c r="O181" s="75" t="s">
        <v>696</v>
      </c>
    </row>
    <row r="182" spans="2:15" x14ac:dyDescent="0.15">
      <c r="B182" s="1049" t="s">
        <v>520</v>
      </c>
      <c r="C182" s="75" t="s">
        <v>540</v>
      </c>
      <c r="D182" s="75" t="s">
        <v>560</v>
      </c>
      <c r="E182" s="75" t="s">
        <v>581</v>
      </c>
      <c r="F182" s="75"/>
      <c r="G182" s="75"/>
      <c r="H182" s="75" t="s">
        <v>604</v>
      </c>
      <c r="I182" s="75" t="s">
        <v>622</v>
      </c>
      <c r="J182" s="75" t="s">
        <v>643</v>
      </c>
      <c r="K182" s="75" t="s">
        <v>662</v>
      </c>
      <c r="L182" s="75" t="s">
        <v>680</v>
      </c>
      <c r="M182" s="75"/>
      <c r="N182" s="75"/>
      <c r="O182" s="75" t="s">
        <v>697</v>
      </c>
    </row>
    <row r="183" spans="2:15" x14ac:dyDescent="0.15">
      <c r="B183" s="1049" t="s">
        <v>521</v>
      </c>
      <c r="C183" s="75" t="s">
        <v>639</v>
      </c>
      <c r="D183" s="75" t="s">
        <v>561</v>
      </c>
      <c r="E183" s="75" t="s">
        <v>582</v>
      </c>
      <c r="F183" s="75"/>
      <c r="G183" s="75"/>
      <c r="H183" s="75" t="s">
        <v>605</v>
      </c>
      <c r="I183" s="75" t="s">
        <v>623</v>
      </c>
      <c r="J183" s="75" t="s">
        <v>644</v>
      </c>
      <c r="K183" s="75" t="s">
        <v>663</v>
      </c>
      <c r="L183" s="75" t="s">
        <v>681</v>
      </c>
      <c r="M183" s="75"/>
      <c r="N183" s="75"/>
      <c r="O183" s="75" t="s">
        <v>698</v>
      </c>
    </row>
    <row r="184" spans="2:15" x14ac:dyDescent="0.15">
      <c r="B184" s="1049" t="s">
        <v>522</v>
      </c>
      <c r="C184" s="75" t="s">
        <v>541</v>
      </c>
      <c r="D184" s="75" t="s">
        <v>562</v>
      </c>
      <c r="E184" s="75" t="s">
        <v>583</v>
      </c>
      <c r="F184" s="75"/>
      <c r="G184" s="75"/>
      <c r="H184" s="75" t="s">
        <v>606</v>
      </c>
      <c r="I184" s="75" t="s">
        <v>624</v>
      </c>
      <c r="J184" s="75" t="s">
        <v>645</v>
      </c>
      <c r="K184" s="75" t="s">
        <v>664</v>
      </c>
      <c r="L184" s="75" t="s">
        <v>682</v>
      </c>
      <c r="M184" s="75"/>
      <c r="N184" s="75"/>
      <c r="O184" s="75" t="s">
        <v>699</v>
      </c>
    </row>
    <row r="185" spans="2:15" x14ac:dyDescent="0.15">
      <c r="B185" s="1049" t="s">
        <v>523</v>
      </c>
      <c r="C185" s="75" t="s">
        <v>542</v>
      </c>
      <c r="D185" s="75" t="s">
        <v>563</v>
      </c>
      <c r="E185" s="75" t="s">
        <v>584</v>
      </c>
      <c r="F185" s="75"/>
      <c r="G185" s="75"/>
      <c r="H185" s="75" t="s">
        <v>607</v>
      </c>
      <c r="I185" s="75" t="s">
        <v>625</v>
      </c>
      <c r="J185" s="75" t="s">
        <v>646</v>
      </c>
      <c r="K185" s="75" t="s">
        <v>665</v>
      </c>
      <c r="L185" s="75" t="s">
        <v>683</v>
      </c>
      <c r="M185" s="75"/>
      <c r="N185" s="75"/>
      <c r="O185" s="75" t="s">
        <v>700</v>
      </c>
    </row>
    <row r="186" spans="2:15" ht="14" thickBot="1" x14ac:dyDescent="0.2">
      <c r="B186" s="1050" t="s">
        <v>524</v>
      </c>
      <c r="C186" s="630" t="s">
        <v>543</v>
      </c>
      <c r="D186" s="630" t="s">
        <v>564</v>
      </c>
      <c r="E186" s="630" t="s">
        <v>585</v>
      </c>
      <c r="F186" s="630"/>
      <c r="G186" s="630"/>
      <c r="H186" s="630" t="s">
        <v>608</v>
      </c>
      <c r="I186" s="630" t="s">
        <v>626</v>
      </c>
      <c r="J186" s="630" t="s">
        <v>647</v>
      </c>
      <c r="K186" s="630" t="s">
        <v>666</v>
      </c>
      <c r="L186" s="630" t="s">
        <v>684</v>
      </c>
      <c r="M186" s="630"/>
      <c r="N186" s="630"/>
      <c r="O186" s="630" t="s">
        <v>654</v>
      </c>
    </row>
    <row r="187" spans="2:15" ht="14" thickTop="1" x14ac:dyDescent="0.15">
      <c r="B187" s="939" t="s">
        <v>335</v>
      </c>
      <c r="C187" s="960"/>
      <c r="D187" s="961"/>
      <c r="E187" s="961"/>
      <c r="F187" s="961"/>
      <c r="G187" s="961"/>
      <c r="H187" s="961"/>
      <c r="I187" s="961"/>
      <c r="J187" s="961"/>
      <c r="K187" s="961"/>
      <c r="L187" s="961"/>
      <c r="M187" s="961"/>
      <c r="N187" s="961"/>
      <c r="O187" s="962"/>
    </row>
    <row r="188" spans="2:15" x14ac:dyDescent="0.15">
      <c r="B188" s="959" t="s">
        <v>336</v>
      </c>
      <c r="C188" s="963" t="s">
        <v>586</v>
      </c>
      <c r="D188" s="964" t="s">
        <v>587</v>
      </c>
      <c r="E188" s="964" t="s">
        <v>588</v>
      </c>
      <c r="F188" s="964"/>
      <c r="G188" s="964"/>
      <c r="H188" s="964" t="s">
        <v>609</v>
      </c>
      <c r="I188" s="964" t="s">
        <v>627</v>
      </c>
      <c r="J188" s="964" t="s">
        <v>648</v>
      </c>
      <c r="K188" s="964" t="s">
        <v>701</v>
      </c>
      <c r="L188" s="964" t="s">
        <v>702</v>
      </c>
      <c r="M188" s="964"/>
      <c r="N188" s="964"/>
      <c r="O188" s="990" t="s">
        <v>703</v>
      </c>
    </row>
    <row r="189" spans="2:15" ht="14" thickBot="1" x14ac:dyDescent="0.2">
      <c r="B189" s="941" t="s">
        <v>320</v>
      </c>
      <c r="C189" s="965"/>
      <c r="D189" s="966"/>
      <c r="E189" s="966"/>
      <c r="F189" s="966"/>
      <c r="G189" s="966"/>
      <c r="H189" s="966"/>
      <c r="I189" s="966"/>
      <c r="J189" s="966"/>
      <c r="K189" s="966"/>
      <c r="L189" s="966"/>
      <c r="M189" s="966"/>
      <c r="N189" s="966"/>
      <c r="O189" s="967"/>
    </row>
    <row r="190" spans="2:15" ht="14" thickTop="1" x14ac:dyDescent="0.15">
      <c r="B190" s="939" t="s">
        <v>318</v>
      </c>
      <c r="C190" s="960"/>
      <c r="D190" s="961"/>
      <c r="E190" s="961"/>
      <c r="F190" s="961"/>
      <c r="G190" s="961"/>
      <c r="H190" s="961"/>
      <c r="I190" s="961"/>
      <c r="J190" s="961"/>
      <c r="K190" s="961"/>
      <c r="L190" s="961"/>
      <c r="M190" s="961"/>
      <c r="N190" s="961"/>
      <c r="O190" s="962"/>
    </row>
    <row r="191" spans="2:15" x14ac:dyDescent="0.15">
      <c r="B191" s="959" t="s">
        <v>319</v>
      </c>
      <c r="C191" s="963" t="s">
        <v>704</v>
      </c>
      <c r="D191" s="964" t="s">
        <v>705</v>
      </c>
      <c r="E191" s="964" t="s">
        <v>706</v>
      </c>
      <c r="F191" s="964"/>
      <c r="G191" s="964"/>
      <c r="H191" s="968" t="s">
        <v>707</v>
      </c>
      <c r="I191" s="964" t="s">
        <v>708</v>
      </c>
      <c r="J191" s="964" t="s">
        <v>709</v>
      </c>
      <c r="K191" s="964" t="s">
        <v>710</v>
      </c>
      <c r="L191" s="964" t="s">
        <v>711</v>
      </c>
      <c r="M191" s="964"/>
      <c r="N191" s="964"/>
      <c r="O191" s="969" t="s">
        <v>712</v>
      </c>
    </row>
    <row r="192" spans="2:15" ht="14" thickBot="1" x14ac:dyDescent="0.2">
      <c r="B192" s="941" t="s">
        <v>320</v>
      </c>
      <c r="C192" s="965"/>
      <c r="D192" s="966"/>
      <c r="E192" s="966"/>
      <c r="F192" s="966"/>
      <c r="G192" s="966"/>
      <c r="H192" s="966"/>
      <c r="I192" s="966"/>
      <c r="J192" s="966"/>
      <c r="K192" s="966"/>
      <c r="L192" s="966"/>
      <c r="M192" s="966"/>
      <c r="N192" s="966"/>
      <c r="O192" s="967"/>
    </row>
    <row r="193" spans="2:15" ht="14" thickTop="1" x14ac:dyDescent="0.15">
      <c r="B193" s="939" t="s">
        <v>318</v>
      </c>
      <c r="C193" s="960"/>
      <c r="D193" s="961"/>
      <c r="E193" s="961"/>
      <c r="F193" s="961"/>
      <c r="G193" s="961"/>
      <c r="H193" s="961"/>
      <c r="I193" s="961"/>
      <c r="J193" s="961"/>
      <c r="K193" s="961"/>
      <c r="L193" s="970"/>
      <c r="M193" s="970"/>
      <c r="N193" s="970"/>
      <c r="O193" s="971"/>
    </row>
    <row r="194" spans="2:15" x14ac:dyDescent="0.15">
      <c r="B194" s="959">
        <v>100</v>
      </c>
      <c r="C194" s="963"/>
      <c r="D194" s="964"/>
      <c r="E194" s="964"/>
      <c r="F194" s="964"/>
      <c r="G194" s="964"/>
      <c r="H194" s="964"/>
      <c r="I194" s="964"/>
      <c r="J194" s="964"/>
      <c r="K194" s="964"/>
      <c r="L194" s="972"/>
      <c r="M194" s="972"/>
      <c r="N194" s="972"/>
      <c r="O194" s="973"/>
    </row>
    <row r="195" spans="2:15" x14ac:dyDescent="0.15">
      <c r="B195" s="959" t="s">
        <v>321</v>
      </c>
      <c r="C195" s="963" t="s">
        <v>713</v>
      </c>
      <c r="D195" s="964" t="s">
        <v>714</v>
      </c>
      <c r="E195" s="964" t="s">
        <v>715</v>
      </c>
      <c r="F195" s="964"/>
      <c r="G195" s="964"/>
      <c r="H195" s="964" t="s">
        <v>716</v>
      </c>
      <c r="I195" s="964" t="s">
        <v>526</v>
      </c>
      <c r="J195" s="964" t="s">
        <v>717</v>
      </c>
      <c r="K195" s="964" t="s">
        <v>535</v>
      </c>
      <c r="L195" s="972"/>
      <c r="M195" s="972"/>
      <c r="N195" s="972"/>
      <c r="O195" s="973"/>
    </row>
    <row r="196" spans="2:15" x14ac:dyDescent="0.15">
      <c r="B196" s="959" t="s">
        <v>322</v>
      </c>
      <c r="C196" s="963"/>
      <c r="D196" s="964"/>
      <c r="E196" s="964"/>
      <c r="F196" s="964"/>
      <c r="G196" s="964"/>
      <c r="H196" s="964"/>
      <c r="I196" s="964"/>
      <c r="J196" s="964"/>
      <c r="K196" s="964"/>
      <c r="L196" s="972"/>
      <c r="M196" s="972"/>
      <c r="N196" s="972"/>
      <c r="O196" s="973"/>
    </row>
    <row r="197" spans="2:15" ht="14" thickBot="1" x14ac:dyDescent="0.2">
      <c r="B197" s="941" t="s">
        <v>320</v>
      </c>
      <c r="C197" s="965"/>
      <c r="D197" s="966"/>
      <c r="E197" s="966"/>
      <c r="F197" s="966"/>
      <c r="G197" s="966"/>
      <c r="H197" s="966"/>
      <c r="I197" s="966"/>
      <c r="J197" s="966"/>
      <c r="K197" s="966"/>
      <c r="L197" s="974"/>
      <c r="M197" s="974"/>
      <c r="N197" s="974"/>
      <c r="O197" s="975"/>
    </row>
    <row r="198" spans="2:15" ht="14" thickTop="1" x14ac:dyDescent="0.15"/>
  </sheetData>
  <phoneticPr fontId="80" type="noConversion"/>
  <pageMargins left="0.75" right="0.75" top="1" bottom="1" header="0.5" footer="0.5"/>
  <pageSetup orientation="portrait"/>
  <headerFooter alignWithMargins="0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74FA7-F4EF-264E-B19E-2620F48E7620}">
  <dimension ref="A1:N27"/>
  <sheetViews>
    <sheetView showGridLines="0" zoomScale="85" workbookViewId="0"/>
  </sheetViews>
  <sheetFormatPr baseColWidth="10" defaultColWidth="8.83203125" defaultRowHeight="13" x14ac:dyDescent="0.15"/>
  <cols>
    <col min="1" max="1" width="1" customWidth="1"/>
    <col min="2" max="2" width="12.1640625" customWidth="1"/>
    <col min="3" max="3" width="10.5" bestFit="1" customWidth="1"/>
    <col min="4" max="4" width="13.33203125" customWidth="1"/>
    <col min="5" max="6" width="11.5" customWidth="1"/>
    <col min="7" max="7" width="13.5" customWidth="1"/>
    <col min="8" max="8" width="12.83203125" customWidth="1"/>
    <col min="9" max="9" width="13.5" customWidth="1"/>
    <col min="10" max="10" width="12.83203125" customWidth="1"/>
    <col min="11" max="11" width="13.5" customWidth="1"/>
    <col min="12" max="12" width="13.33203125" customWidth="1"/>
    <col min="13" max="13" width="13" customWidth="1"/>
    <col min="14" max="14" width="13.33203125" customWidth="1"/>
  </cols>
  <sheetData>
    <row r="1" spans="1:14" ht="23" x14ac:dyDescent="0.25">
      <c r="A1" s="756" t="s">
        <v>1755</v>
      </c>
      <c r="E1" s="380" t="s">
        <v>1773</v>
      </c>
      <c r="K1" s="188" t="s">
        <v>1775</v>
      </c>
    </row>
    <row r="2" spans="1:14" ht="17" thickBot="1" x14ac:dyDescent="0.25">
      <c r="B2" s="112">
        <f ca="1">NOW()</f>
        <v>45636.449309606483</v>
      </c>
      <c r="E2" s="187"/>
      <c r="G2" s="481">
        <f>IF(D18=0," ",IF(D18&gt;0,+D18))</f>
        <v>10</v>
      </c>
    </row>
    <row r="3" spans="1:14" ht="16" x14ac:dyDescent="0.2">
      <c r="A3" s="112"/>
      <c r="E3" s="35"/>
      <c r="G3" s="481">
        <f>IF(D25=0," ",IF(D25&gt;0,+D25))</f>
        <v>450</v>
      </c>
      <c r="K3" s="295" t="s">
        <v>1776</v>
      </c>
      <c r="L3" s="422" t="s">
        <v>1777</v>
      </c>
      <c r="M3" s="423" t="s">
        <v>1778</v>
      </c>
    </row>
    <row r="4" spans="1:14" ht="17" thickBot="1" x14ac:dyDescent="0.25">
      <c r="B4" s="35" t="s">
        <v>1671</v>
      </c>
      <c r="C4" s="187"/>
      <c r="H4" s="35"/>
      <c r="K4" s="431" t="s">
        <v>1753</v>
      </c>
      <c r="L4" s="424" t="s">
        <v>1780</v>
      </c>
      <c r="M4" s="425" t="s">
        <v>1779</v>
      </c>
    </row>
    <row r="5" spans="1:14" ht="17" thickBot="1" x14ac:dyDescent="0.25">
      <c r="B5" s="481">
        <f>IF(E18=0," ",IF(E18&gt;0,+E18))</f>
        <v>0.75</v>
      </c>
      <c r="K5" s="798">
        <v>0.75</v>
      </c>
      <c r="L5" s="421">
        <f>IF(K5=0," ",IF(K5&gt;0,+K5*144*0.28356481))</f>
        <v>30.62499948</v>
      </c>
      <c r="M5" s="421">
        <f>IF(K5=0," ",IF(K5&gt;0,+L5*10.76391042*0.4535924))</f>
        <v>149.5243537604172</v>
      </c>
    </row>
    <row r="6" spans="1:14" ht="16" x14ac:dyDescent="0.2">
      <c r="B6" s="481">
        <f>IF(E25=0," ",IF(E25&gt;0,+E25))</f>
        <v>25</v>
      </c>
      <c r="K6" s="389" t="s">
        <v>1767</v>
      </c>
    </row>
    <row r="7" spans="1:14" ht="17" thickBot="1" x14ac:dyDescent="0.25">
      <c r="H7" s="35"/>
    </row>
    <row r="8" spans="1:14" ht="18" x14ac:dyDescent="0.2">
      <c r="F8" s="380" t="s">
        <v>1774</v>
      </c>
      <c r="K8" s="295" t="s">
        <v>1776</v>
      </c>
      <c r="L8" s="422" t="s">
        <v>1777</v>
      </c>
      <c r="M8" s="423" t="s">
        <v>1778</v>
      </c>
    </row>
    <row r="9" spans="1:14" ht="19" thickBot="1" x14ac:dyDescent="0.25">
      <c r="C9" s="380" t="s">
        <v>846</v>
      </c>
      <c r="D9" s="481">
        <f>IF(B18=0," ",IF(B18&gt;0,+B18))</f>
        <v>48</v>
      </c>
      <c r="F9" s="481">
        <f>IF(C18=0," ",IF(C18&gt;0,+C18))</f>
        <v>0.375</v>
      </c>
      <c r="I9" s="420" t="s">
        <v>1762</v>
      </c>
      <c r="J9" s="420" t="s">
        <v>1763</v>
      </c>
      <c r="K9" s="431" t="s">
        <v>1754</v>
      </c>
      <c r="L9" s="424" t="s">
        <v>1780</v>
      </c>
      <c r="M9" s="425" t="s">
        <v>1779</v>
      </c>
    </row>
    <row r="10" spans="1:14" ht="19" thickBot="1" x14ac:dyDescent="0.25">
      <c r="C10" s="380" t="s">
        <v>1672</v>
      </c>
      <c r="D10" s="481">
        <f>IF(B25=0," ",IF(B25&gt;0,+B25))</f>
        <v>1200</v>
      </c>
      <c r="F10" s="1059">
        <f>IF(C25=0," ",IF(C25&gt;0,+C25))</f>
        <v>10</v>
      </c>
      <c r="I10" s="481">
        <f>IF(B18=0," ",IF(B18&gt;0,B18-(E18*2)))</f>
        <v>46.5</v>
      </c>
      <c r="J10" s="1060">
        <f>IF(B25=0," ",IF(B25&gt;0,B25-(E25*2)))</f>
        <v>1150</v>
      </c>
      <c r="K10" s="799">
        <v>19.05</v>
      </c>
      <c r="L10" s="303">
        <f>IF(K10=0," ",IF(K10&gt;0,+K10/25.4*144*0.28356481))</f>
        <v>30.624999480000003</v>
      </c>
      <c r="M10" s="303">
        <f>IF(K10=0," ",IF(K10&gt;0,+L10*10.76391042*0.4535924))</f>
        <v>149.52435376041723</v>
      </c>
    </row>
    <row r="11" spans="1:14" ht="18" x14ac:dyDescent="0.2">
      <c r="F11" s="380"/>
      <c r="K11" s="389" t="s">
        <v>1767</v>
      </c>
    </row>
    <row r="14" spans="1:14" ht="19" thickBot="1" x14ac:dyDescent="0.25">
      <c r="A14" s="133"/>
      <c r="B14" s="755" t="s">
        <v>1756</v>
      </c>
      <c r="C14" s="133"/>
      <c r="D14" s="133"/>
      <c r="E14" s="133"/>
      <c r="F14" s="133"/>
    </row>
    <row r="15" spans="1:14" ht="16" x14ac:dyDescent="0.2">
      <c r="A15" s="286"/>
      <c r="B15" s="422" t="s">
        <v>846</v>
      </c>
      <c r="C15" s="443" t="s">
        <v>856</v>
      </c>
      <c r="D15" s="422" t="s">
        <v>858</v>
      </c>
      <c r="E15" s="422" t="s">
        <v>859</v>
      </c>
      <c r="F15" s="422" t="s">
        <v>1781</v>
      </c>
      <c r="G15" s="422" t="s">
        <v>1435</v>
      </c>
      <c r="H15" s="301" t="s">
        <v>1792</v>
      </c>
      <c r="I15" s="301" t="s">
        <v>1789</v>
      </c>
      <c r="J15" s="301" t="s">
        <v>1781</v>
      </c>
      <c r="K15" s="301" t="s">
        <v>1787</v>
      </c>
      <c r="L15" s="301" t="s">
        <v>1787</v>
      </c>
      <c r="M15" s="301" t="s">
        <v>1786</v>
      </c>
      <c r="N15" s="301" t="s">
        <v>1786</v>
      </c>
    </row>
    <row r="16" spans="1:14" ht="16" x14ac:dyDescent="0.2">
      <c r="A16" s="286"/>
      <c r="B16" s="390" t="s">
        <v>1753</v>
      </c>
      <c r="C16" s="444" t="s">
        <v>1753</v>
      </c>
      <c r="D16" s="390" t="s">
        <v>1753</v>
      </c>
      <c r="E16" s="390" t="s">
        <v>1753</v>
      </c>
      <c r="F16" s="292" t="s">
        <v>1435</v>
      </c>
      <c r="G16" s="292" t="s">
        <v>1435</v>
      </c>
      <c r="H16" s="427" t="s">
        <v>1758</v>
      </c>
      <c r="I16" s="297" t="s">
        <v>1758</v>
      </c>
      <c r="J16" s="434" t="s">
        <v>1782</v>
      </c>
      <c r="K16" s="434" t="s">
        <v>1784</v>
      </c>
      <c r="L16" s="434" t="s">
        <v>1784</v>
      </c>
      <c r="M16" s="434" t="s">
        <v>1784</v>
      </c>
      <c r="N16" s="434" t="s">
        <v>1784</v>
      </c>
    </row>
    <row r="17" spans="1:14" ht="17" thickBot="1" x14ac:dyDescent="0.25">
      <c r="A17" s="294"/>
      <c r="B17" s="124" t="s">
        <v>855</v>
      </c>
      <c r="C17" s="445" t="s">
        <v>857</v>
      </c>
      <c r="D17" s="124" t="s">
        <v>1046</v>
      </c>
      <c r="E17" s="124" t="s">
        <v>892</v>
      </c>
      <c r="F17" s="430" t="s">
        <v>1745</v>
      </c>
      <c r="G17" s="124" t="s">
        <v>1504</v>
      </c>
      <c r="H17" s="428" t="s">
        <v>1760</v>
      </c>
      <c r="I17" s="412" t="s">
        <v>1761</v>
      </c>
      <c r="J17" s="435" t="s">
        <v>1783</v>
      </c>
      <c r="K17" s="435" t="s">
        <v>1759</v>
      </c>
      <c r="L17" s="436" t="s">
        <v>1785</v>
      </c>
      <c r="M17" s="435" t="s">
        <v>1759</v>
      </c>
      <c r="N17" s="436" t="s">
        <v>1785</v>
      </c>
    </row>
    <row r="18" spans="1:14" ht="17" thickBot="1" x14ac:dyDescent="0.25">
      <c r="A18" s="296" t="s">
        <v>850</v>
      </c>
      <c r="B18" s="795">
        <v>48</v>
      </c>
      <c r="C18" s="796">
        <v>0.375</v>
      </c>
      <c r="D18" s="796">
        <v>10</v>
      </c>
      <c r="E18" s="796">
        <v>0.75</v>
      </c>
      <c r="F18" s="426">
        <f>((B18-(E18*2))*C18*12*0.28356481)+(D18*E18*12*0.28356481)*2</f>
        <v>110.3776022925</v>
      </c>
      <c r="G18" s="429">
        <f>F18*3.2808399*0.4535924</f>
        <v>164.25997902297101</v>
      </c>
      <c r="H18" s="299">
        <f>((B18-(E18*2))*2+(D18*4)+(E18*4)-(C18*2))*12/144</f>
        <v>11.270833333333334</v>
      </c>
      <c r="I18" s="300">
        <f>H18*3.2808399*0.09290304</f>
        <v>3.4353500052217325</v>
      </c>
      <c r="J18" s="797">
        <v>10</v>
      </c>
      <c r="K18" s="303">
        <f>D18/12*J18*2</f>
        <v>16.666666666666668</v>
      </c>
      <c r="L18" s="303">
        <f>K18*0.09290304</f>
        <v>1.5483840000000002</v>
      </c>
      <c r="M18" s="303">
        <f>I10/12*J18</f>
        <v>38.75</v>
      </c>
      <c r="N18" s="303">
        <f>M18*0.09290304</f>
        <v>3.5999928000000003</v>
      </c>
    </row>
    <row r="19" spans="1:14" x14ac:dyDescent="0.15">
      <c r="B19" s="389" t="s">
        <v>1767</v>
      </c>
      <c r="C19" s="389" t="s">
        <v>1767</v>
      </c>
      <c r="D19" s="389" t="s">
        <v>1767</v>
      </c>
      <c r="E19" s="389" t="s">
        <v>1767</v>
      </c>
      <c r="F19" s="433" t="s">
        <v>1790</v>
      </c>
      <c r="G19" s="440" t="s">
        <v>1791</v>
      </c>
      <c r="J19" s="389" t="s">
        <v>1767</v>
      </c>
      <c r="K19" s="433" t="s">
        <v>1790</v>
      </c>
      <c r="L19" s="440" t="s">
        <v>1791</v>
      </c>
      <c r="M19" s="433" t="s">
        <v>1790</v>
      </c>
      <c r="N19" s="440" t="s">
        <v>1791</v>
      </c>
    </row>
    <row r="20" spans="1:14" ht="17" thickBot="1" x14ac:dyDescent="0.25">
      <c r="C20" s="29" t="s">
        <v>1793</v>
      </c>
      <c r="D20" s="29"/>
      <c r="F20" s="438">
        <f>F18*J18</f>
        <v>1103.776022925</v>
      </c>
      <c r="G20" s="437">
        <f>F20*0.4535924</f>
        <v>500.66441530100576</v>
      </c>
      <c r="I20" s="29" t="s">
        <v>1794</v>
      </c>
      <c r="K20" s="437">
        <f>K18*144*E18*0.28356481</f>
        <v>510.41665799999998</v>
      </c>
      <c r="L20" s="439">
        <f>K20*0.4535924</f>
        <v>231.5211169021992</v>
      </c>
      <c r="M20" s="437">
        <f>M18*144*C18*0.28356481</f>
        <v>593.35936492500002</v>
      </c>
      <c r="N20" s="439">
        <f>M20*0.4535924</f>
        <v>269.14329839880656</v>
      </c>
    </row>
    <row r="21" spans="1:14" ht="19" thickBot="1" x14ac:dyDescent="0.25">
      <c r="B21" s="755" t="s">
        <v>1757</v>
      </c>
    </row>
    <row r="22" spans="1:14" ht="16" x14ac:dyDescent="0.2">
      <c r="B22" s="295" t="s">
        <v>846</v>
      </c>
      <c r="C22" s="422" t="s">
        <v>856</v>
      </c>
      <c r="D22" s="422" t="s">
        <v>858</v>
      </c>
      <c r="E22" s="422" t="s">
        <v>859</v>
      </c>
      <c r="F22" s="422" t="s">
        <v>1435</v>
      </c>
      <c r="G22" s="422" t="s">
        <v>1435</v>
      </c>
      <c r="H22" s="441" t="s">
        <v>1792</v>
      </c>
      <c r="I22" s="301" t="s">
        <v>1789</v>
      </c>
      <c r="J22" s="301" t="s">
        <v>1781</v>
      </c>
      <c r="K22" s="301" t="s">
        <v>1787</v>
      </c>
      <c r="L22" s="301" t="s">
        <v>1787</v>
      </c>
      <c r="M22" s="301" t="s">
        <v>1786</v>
      </c>
      <c r="N22" s="301" t="s">
        <v>1786</v>
      </c>
    </row>
    <row r="23" spans="1:14" ht="16" x14ac:dyDescent="0.2">
      <c r="B23" s="432" t="s">
        <v>1754</v>
      </c>
      <c r="C23" s="390" t="s">
        <v>1754</v>
      </c>
      <c r="D23" s="390" t="s">
        <v>1754</v>
      </c>
      <c r="E23" s="390" t="s">
        <v>1754</v>
      </c>
      <c r="F23" s="292"/>
      <c r="G23" s="292"/>
      <c r="H23" s="292" t="s">
        <v>1758</v>
      </c>
      <c r="I23" s="297" t="s">
        <v>1758</v>
      </c>
      <c r="J23" s="434" t="s">
        <v>1782</v>
      </c>
      <c r="K23" s="434" t="s">
        <v>1784</v>
      </c>
      <c r="L23" s="434" t="s">
        <v>1784</v>
      </c>
      <c r="M23" s="434" t="s">
        <v>1784</v>
      </c>
      <c r="N23" s="434" t="s">
        <v>1784</v>
      </c>
    </row>
    <row r="24" spans="1:14" ht="17" thickBot="1" x14ac:dyDescent="0.25">
      <c r="B24" s="123" t="s">
        <v>855</v>
      </c>
      <c r="C24" s="124" t="s">
        <v>857</v>
      </c>
      <c r="D24" s="124" t="s">
        <v>1046</v>
      </c>
      <c r="E24" s="124" t="s">
        <v>892</v>
      </c>
      <c r="F24" s="430" t="s">
        <v>1745</v>
      </c>
      <c r="G24" s="124" t="s">
        <v>1504</v>
      </c>
      <c r="H24" s="442" t="s">
        <v>1760</v>
      </c>
      <c r="I24" s="412" t="s">
        <v>1761</v>
      </c>
      <c r="J24" s="436" t="s">
        <v>1788</v>
      </c>
      <c r="K24" s="435" t="s">
        <v>1792</v>
      </c>
      <c r="L24" s="436" t="s">
        <v>1785</v>
      </c>
      <c r="M24" s="435" t="s">
        <v>1792</v>
      </c>
      <c r="N24" s="436" t="s">
        <v>1785</v>
      </c>
    </row>
    <row r="25" spans="1:14" ht="17" thickBot="1" x14ac:dyDescent="0.25">
      <c r="B25" s="800">
        <v>1200</v>
      </c>
      <c r="C25" s="799">
        <v>10</v>
      </c>
      <c r="D25" s="799">
        <v>450</v>
      </c>
      <c r="E25" s="799">
        <v>25</v>
      </c>
      <c r="F25" s="298">
        <f>((B25-(E25*2))/25.4*(C25/25.4)*12*0.28356481)+(D25/25.4)*((E25/25.4)*12*0.28356481)*2</f>
        <v>179.32674449748902</v>
      </c>
      <c r="G25" s="300">
        <f>F25*3.2808399*0.4535924</f>
        <v>266.86761333478194</v>
      </c>
      <c r="H25" s="299">
        <f>((B25/25.4-(E25/25.4*2))*2+(D25/25.4*4)+(E25/25.4*4)-(C25/25.4*2))*12/144</f>
        <v>13.713910761154859</v>
      </c>
      <c r="I25" s="300">
        <f>H25*3.2808399*0.09290304</f>
        <v>4.1800000063536018</v>
      </c>
      <c r="J25" s="797">
        <v>1</v>
      </c>
      <c r="K25" s="303">
        <f>(D25*0.00328084)*2*(J25*3.2808399)</f>
        <v>9.6875196997644011</v>
      </c>
      <c r="L25" s="303">
        <f>K25*0.09290304</f>
        <v>0.90000003016800023</v>
      </c>
      <c r="M25" s="303">
        <f>(J10*0.0032808399)*(J25*1000/25.4/12)</f>
        <v>12.378496998031496</v>
      </c>
      <c r="N25" s="303">
        <f>M25*0.09290304</f>
        <v>1.1500000017480001</v>
      </c>
    </row>
    <row r="26" spans="1:14" x14ac:dyDescent="0.15">
      <c r="B26" s="389" t="s">
        <v>1767</v>
      </c>
      <c r="C26" s="389" t="s">
        <v>1767</v>
      </c>
      <c r="D26" s="389" t="s">
        <v>1767</v>
      </c>
      <c r="E26" s="389" t="s">
        <v>1767</v>
      </c>
      <c r="F26" s="433" t="s">
        <v>1790</v>
      </c>
      <c r="G26" s="440" t="s">
        <v>1791</v>
      </c>
      <c r="J26" s="389" t="s">
        <v>1767</v>
      </c>
      <c r="K26" s="433" t="s">
        <v>1790</v>
      </c>
      <c r="L26" s="440" t="s">
        <v>1791</v>
      </c>
      <c r="M26" s="433" t="s">
        <v>1790</v>
      </c>
      <c r="N26" s="440" t="s">
        <v>1791</v>
      </c>
    </row>
    <row r="27" spans="1:14" ht="17" thickBot="1" x14ac:dyDescent="0.25">
      <c r="C27" s="29" t="s">
        <v>1793</v>
      </c>
      <c r="D27" s="29"/>
      <c r="F27" s="438">
        <f>F25*J25*3.2808399</f>
        <v>588.3423384844674</v>
      </c>
      <c r="G27" s="437">
        <f>F27*0.4535924</f>
        <v>266.86761333478194</v>
      </c>
      <c r="I27" s="29" t="s">
        <v>1794</v>
      </c>
      <c r="K27" s="437">
        <f>K25*144*E25/25.4*0.28356481</f>
        <v>389.34420704432358</v>
      </c>
      <c r="L27" s="439">
        <f>K27*0.4535924</f>
        <v>176.60357329933163</v>
      </c>
      <c r="M27" s="437">
        <f>M25*144*C25/25.4*0.28356481</f>
        <v>198.99814389915809</v>
      </c>
      <c r="N27" s="439">
        <f>M27*0.4535924</f>
        <v>90.264045686764476</v>
      </c>
    </row>
  </sheetData>
  <phoneticPr fontId="80" type="noConversion"/>
  <pageMargins left="0.75" right="0.75" top="1" bottom="1" header="0.5" footer="0.5"/>
  <pageSetup orientation="portrait"/>
  <headerFooter alignWithMargins="0"/>
  <drawing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9230A-583C-3B48-A063-FB1600977E35}">
  <dimension ref="B1:AM116"/>
  <sheetViews>
    <sheetView showGridLines="0" workbookViewId="0"/>
  </sheetViews>
  <sheetFormatPr baseColWidth="10" defaultColWidth="8.83203125" defaultRowHeight="13" x14ac:dyDescent="0.15"/>
  <cols>
    <col min="1" max="1" width="2.6640625" customWidth="1"/>
    <col min="2" max="2" width="12.6640625" customWidth="1"/>
    <col min="3" max="3" width="9.5" bestFit="1" customWidth="1"/>
    <col min="4" max="4" width="8.83203125" customWidth="1"/>
    <col min="5" max="5" width="12.5" customWidth="1"/>
    <col min="6" max="6" width="10" customWidth="1"/>
    <col min="7" max="7" width="8.1640625" customWidth="1"/>
    <col min="8" max="8" width="9.5" customWidth="1"/>
    <col min="9" max="9" width="10.6640625" hidden="1" customWidth="1"/>
    <col min="10" max="10" width="0" hidden="1" customWidth="1"/>
    <col min="11" max="11" width="12.6640625" hidden="1" customWidth="1"/>
    <col min="12" max="12" width="8.83203125" customWidth="1"/>
    <col min="13" max="13" width="13" customWidth="1"/>
    <col min="14" max="14" width="5.5" customWidth="1"/>
    <col min="15" max="15" width="8.83203125" customWidth="1"/>
    <col min="16" max="16" width="8.33203125" customWidth="1"/>
    <col min="17" max="21" width="8.83203125" customWidth="1"/>
    <col min="22" max="35" width="9.1640625" hidden="1" customWidth="1"/>
    <col min="36" max="36" width="8.83203125" customWidth="1"/>
    <col min="37" max="37" width="6.6640625" customWidth="1"/>
  </cols>
  <sheetData>
    <row r="1" spans="2:31" ht="18" thickTop="1" thickBot="1" x14ac:dyDescent="0.25">
      <c r="B1" s="446" t="s">
        <v>115</v>
      </c>
      <c r="W1" s="816" t="s">
        <v>113</v>
      </c>
      <c r="X1" s="817" t="s">
        <v>1776</v>
      </c>
      <c r="Y1" s="818" t="s">
        <v>114</v>
      </c>
      <c r="Z1" s="818" t="s">
        <v>1782</v>
      </c>
      <c r="AA1" s="819" t="s">
        <v>1784</v>
      </c>
      <c r="AB1" s="819" t="s">
        <v>1435</v>
      </c>
      <c r="AC1" s="834" t="s">
        <v>1435</v>
      </c>
      <c r="AD1" s="831" t="s">
        <v>1776</v>
      </c>
      <c r="AE1" s="820" t="s">
        <v>1777</v>
      </c>
    </row>
    <row r="2" spans="2:31" ht="15" thickTop="1" thickBot="1" x14ac:dyDescent="0.2">
      <c r="B2" s="816" t="s">
        <v>113</v>
      </c>
      <c r="C2" s="817" t="s">
        <v>1776</v>
      </c>
      <c r="D2" s="818" t="s">
        <v>114</v>
      </c>
      <c r="E2" s="818" t="s">
        <v>1782</v>
      </c>
      <c r="F2" s="819" t="s">
        <v>1784</v>
      </c>
      <c r="G2" s="819" t="s">
        <v>1435</v>
      </c>
      <c r="H2" s="834" t="s">
        <v>1435</v>
      </c>
      <c r="I2" s="831" t="s">
        <v>1776</v>
      </c>
      <c r="J2" s="820" t="s">
        <v>1777</v>
      </c>
      <c r="K2" s="821" t="s">
        <v>1778</v>
      </c>
      <c r="L2" s="579"/>
      <c r="M2" s="579"/>
      <c r="W2" s="830"/>
      <c r="X2" s="822" t="s">
        <v>1753</v>
      </c>
      <c r="Y2" s="822" t="s">
        <v>1753</v>
      </c>
      <c r="Z2" s="822" t="s">
        <v>1753</v>
      </c>
      <c r="AA2" s="824" t="s">
        <v>1759</v>
      </c>
      <c r="AB2" s="825" t="s">
        <v>1857</v>
      </c>
      <c r="AC2" s="835" t="s">
        <v>1791</v>
      </c>
      <c r="AD2" s="836" t="s">
        <v>1753</v>
      </c>
      <c r="AE2" s="827" t="s">
        <v>1780</v>
      </c>
    </row>
    <row r="3" spans="2:31" ht="15" thickTop="1" thickBot="1" x14ac:dyDescent="0.2">
      <c r="B3" s="830"/>
      <c r="C3" s="822" t="s">
        <v>1754</v>
      </c>
      <c r="D3" s="822" t="s">
        <v>1754</v>
      </c>
      <c r="E3" s="822" t="s">
        <v>1754</v>
      </c>
      <c r="F3" s="824" t="s">
        <v>1785</v>
      </c>
      <c r="G3" s="825" t="s">
        <v>1791</v>
      </c>
      <c r="H3" s="835" t="s">
        <v>1857</v>
      </c>
      <c r="I3" s="832" t="s">
        <v>1754</v>
      </c>
      <c r="J3" s="827" t="s">
        <v>1780</v>
      </c>
      <c r="K3" s="828" t="s">
        <v>1779</v>
      </c>
      <c r="L3" s="579"/>
      <c r="M3" s="579"/>
      <c r="W3" s="850">
        <v>1</v>
      </c>
      <c r="X3" s="851">
        <f>G20</f>
        <v>0.5</v>
      </c>
      <c r="Y3" s="851">
        <f>H14</f>
        <v>6.5</v>
      </c>
      <c r="Z3" s="851">
        <v>12</v>
      </c>
      <c r="AA3" s="853">
        <f>W3*(Y3/12)*(Z3/12)</f>
        <v>0.54166666666666663</v>
      </c>
      <c r="AB3" s="853">
        <f>AE3*(Y3/12)*(Z3/12)*W3</f>
        <v>11.059027589999999</v>
      </c>
      <c r="AC3" s="854">
        <f>AB3*0.45359229</f>
        <v>5.0162896497212808</v>
      </c>
      <c r="AD3" s="833">
        <f>X3</f>
        <v>0.5</v>
      </c>
      <c r="AE3" s="829">
        <f>AD3*144*0.28356481</f>
        <v>20.416666320000001</v>
      </c>
    </row>
    <row r="4" spans="2:31" ht="18" thickTop="1" thickBot="1" x14ac:dyDescent="0.25">
      <c r="B4" s="850">
        <v>1</v>
      </c>
      <c r="C4" s="850">
        <v>25.4</v>
      </c>
      <c r="D4" s="850">
        <v>800</v>
      </c>
      <c r="E4" s="850">
        <v>800</v>
      </c>
      <c r="F4" s="853">
        <f>B4*(D4/1000)*(E4/1000)</f>
        <v>0.64000000000000012</v>
      </c>
      <c r="G4" s="853">
        <f>K4*(D4/1000)*(E4/1000)*B4</f>
        <v>127.59411520888938</v>
      </c>
      <c r="H4" s="855">
        <f>G4*2.204623</f>
        <v>281.29692105416734</v>
      </c>
      <c r="I4" s="833">
        <f>C4</f>
        <v>25.4</v>
      </c>
      <c r="J4" s="829">
        <f>I4/25.4*144*0.28356481</f>
        <v>40.833332640000002</v>
      </c>
      <c r="K4" s="829">
        <f>J4*10.76391042*0.4535924</f>
        <v>199.36580501388963</v>
      </c>
      <c r="L4" s="856"/>
      <c r="M4" s="856"/>
      <c r="W4" s="446" t="s">
        <v>116</v>
      </c>
    </row>
    <row r="5" spans="2:31" ht="14" thickTop="1" x14ac:dyDescent="0.15">
      <c r="B5" s="761" t="s">
        <v>1795</v>
      </c>
      <c r="C5" s="761" t="s">
        <v>1795</v>
      </c>
      <c r="D5" s="761" t="s">
        <v>1795</v>
      </c>
      <c r="E5" s="761" t="s">
        <v>1795</v>
      </c>
      <c r="W5" s="816" t="s">
        <v>113</v>
      </c>
      <c r="X5" s="817" t="s">
        <v>1776</v>
      </c>
      <c r="Y5" s="818" t="s">
        <v>114</v>
      </c>
      <c r="Z5" s="818" t="s">
        <v>1782</v>
      </c>
      <c r="AA5" s="819" t="s">
        <v>1784</v>
      </c>
      <c r="AB5" s="819" t="s">
        <v>1435</v>
      </c>
      <c r="AC5" s="834" t="s">
        <v>1435</v>
      </c>
      <c r="AD5" s="831" t="s">
        <v>1776</v>
      </c>
      <c r="AE5" s="820" t="s">
        <v>1777</v>
      </c>
    </row>
    <row r="6" spans="2:31" ht="14" thickBot="1" x14ac:dyDescent="0.2">
      <c r="W6" s="830"/>
      <c r="X6" s="822" t="s">
        <v>1753</v>
      </c>
      <c r="Y6" s="822" t="s">
        <v>1753</v>
      </c>
      <c r="Z6" s="822" t="s">
        <v>1753</v>
      </c>
      <c r="AA6" s="824" t="s">
        <v>1759</v>
      </c>
      <c r="AB6" s="825" t="s">
        <v>1857</v>
      </c>
      <c r="AC6" s="835" t="s">
        <v>1791</v>
      </c>
      <c r="AD6" s="836" t="s">
        <v>1753</v>
      </c>
      <c r="AE6" s="827" t="s">
        <v>1780</v>
      </c>
    </row>
    <row r="7" spans="2:31" ht="18" thickTop="1" thickBot="1" x14ac:dyDescent="0.25">
      <c r="B7" s="446" t="s">
        <v>116</v>
      </c>
      <c r="W7" s="850">
        <v>1</v>
      </c>
      <c r="X7" s="851">
        <f>M23</f>
        <v>0.25</v>
      </c>
      <c r="Y7" s="851">
        <f>M19-X3</f>
        <v>11.5</v>
      </c>
      <c r="Z7" s="851">
        <v>12</v>
      </c>
      <c r="AA7" s="853">
        <f>W7*(Y7/12)*(Z7/12)</f>
        <v>0.95833333333333337</v>
      </c>
      <c r="AB7" s="853">
        <f>AE7*(Y7/12)*(Z7/12)*W7</f>
        <v>9.7829859450000001</v>
      </c>
      <c r="AC7" s="854">
        <f>AB7*0.45359229</f>
        <v>4.4374869978303639</v>
      </c>
      <c r="AD7" s="833">
        <f>X7</f>
        <v>0.25</v>
      </c>
      <c r="AE7" s="829">
        <f>AD7*144*0.28356481</f>
        <v>10.20833316</v>
      </c>
    </row>
    <row r="8" spans="2:31" ht="14" thickTop="1" x14ac:dyDescent="0.15">
      <c r="B8" s="816" t="s">
        <v>113</v>
      </c>
      <c r="C8" s="817" t="s">
        <v>1776</v>
      </c>
      <c r="D8" s="818" t="s">
        <v>114</v>
      </c>
      <c r="E8" s="818" t="s">
        <v>1782</v>
      </c>
      <c r="F8" s="819" t="s">
        <v>1784</v>
      </c>
      <c r="G8" s="819" t="s">
        <v>1435</v>
      </c>
      <c r="H8" s="834" t="s">
        <v>1435</v>
      </c>
      <c r="I8" s="831" t="s">
        <v>1776</v>
      </c>
      <c r="J8" s="820" t="s">
        <v>1777</v>
      </c>
      <c r="K8" s="821" t="s">
        <v>1778</v>
      </c>
      <c r="L8" s="579"/>
      <c r="M8" s="579"/>
    </row>
    <row r="9" spans="2:31" ht="14" thickBot="1" x14ac:dyDescent="0.2">
      <c r="B9" s="830"/>
      <c r="C9" s="822" t="s">
        <v>1753</v>
      </c>
      <c r="D9" s="822" t="s">
        <v>1753</v>
      </c>
      <c r="E9" s="822" t="s">
        <v>1753</v>
      </c>
      <c r="F9" s="824" t="s">
        <v>1759</v>
      </c>
      <c r="G9" s="825" t="s">
        <v>1857</v>
      </c>
      <c r="H9" s="835" t="s">
        <v>1791</v>
      </c>
      <c r="I9" s="836" t="s">
        <v>1753</v>
      </c>
      <c r="J9" s="827" t="s">
        <v>1780</v>
      </c>
      <c r="K9" s="828" t="s">
        <v>1779</v>
      </c>
      <c r="L9" s="579"/>
      <c r="M9" s="579"/>
    </row>
    <row r="10" spans="2:31" ht="15" thickTop="1" thickBot="1" x14ac:dyDescent="0.2">
      <c r="B10" s="850">
        <v>1</v>
      </c>
      <c r="C10" s="851">
        <v>0.75</v>
      </c>
      <c r="D10" s="851">
        <v>18</v>
      </c>
      <c r="E10" s="851">
        <v>15</v>
      </c>
      <c r="F10" s="853">
        <f>B10*(D10/12)*(E10/12)</f>
        <v>1.875</v>
      </c>
      <c r="G10" s="853">
        <f>J10*(D10/12)*(E10/12)*B10</f>
        <v>57.421874025000001</v>
      </c>
      <c r="H10" s="854">
        <f>G10*0.45359229</f>
        <v>26.046119335091269</v>
      </c>
      <c r="I10" s="833">
        <f>C10</f>
        <v>0.75</v>
      </c>
      <c r="J10" s="829">
        <f>I10*144*0.28356481</f>
        <v>30.62499948</v>
      </c>
      <c r="K10" s="829">
        <f>J10*10.76391042*0.4535924</f>
        <v>149.5243537604172</v>
      </c>
      <c r="L10" s="856"/>
      <c r="M10" s="856"/>
    </row>
    <row r="11" spans="2:31" ht="14" thickBot="1" x14ac:dyDescent="0.2">
      <c r="B11" s="761" t="s">
        <v>1795</v>
      </c>
      <c r="C11" s="761" t="s">
        <v>1795</v>
      </c>
      <c r="D11" s="761" t="s">
        <v>1795</v>
      </c>
      <c r="E11" s="761" t="s">
        <v>1795</v>
      </c>
    </row>
    <row r="12" spans="2:31" ht="14" thickTop="1" x14ac:dyDescent="0.15">
      <c r="B12" s="857"/>
      <c r="C12" s="858"/>
      <c r="D12" s="858"/>
      <c r="E12" s="859"/>
      <c r="F12" s="857"/>
      <c r="G12" s="858"/>
      <c r="H12" s="858"/>
      <c r="I12" s="858"/>
      <c r="J12" s="858"/>
      <c r="K12" s="858"/>
      <c r="L12" s="858"/>
      <c r="M12" s="859"/>
    </row>
    <row r="13" spans="2:31" ht="14" thickBot="1" x14ac:dyDescent="0.2">
      <c r="B13" s="860"/>
      <c r="E13" s="861"/>
      <c r="F13" s="860"/>
      <c r="H13" s="28" t="s">
        <v>1753</v>
      </c>
      <c r="M13" s="861"/>
    </row>
    <row r="14" spans="2:31" ht="17" thickBot="1" x14ac:dyDescent="0.25">
      <c r="B14" s="860"/>
      <c r="C14" s="28" t="s">
        <v>122</v>
      </c>
      <c r="E14" s="861"/>
      <c r="F14" s="860"/>
      <c r="H14" s="852">
        <v>6.5</v>
      </c>
      <c r="M14" s="861"/>
    </row>
    <row r="15" spans="2:31" ht="17" thickBot="1" x14ac:dyDescent="0.25">
      <c r="B15" s="860"/>
      <c r="C15" s="852">
        <v>22.25</v>
      </c>
      <c r="E15" s="861"/>
      <c r="F15" s="860"/>
      <c r="H15" s="761" t="s">
        <v>1795</v>
      </c>
      <c r="M15" s="861"/>
    </row>
    <row r="16" spans="2:31" x14ac:dyDescent="0.15">
      <c r="B16" s="860"/>
      <c r="C16" s="761" t="s">
        <v>1795</v>
      </c>
      <c r="E16" s="861"/>
      <c r="F16" s="860"/>
      <c r="M16" s="861"/>
    </row>
    <row r="17" spans="2:35" x14ac:dyDescent="0.15">
      <c r="B17" s="860"/>
      <c r="E17" s="861"/>
      <c r="F17" s="860"/>
      <c r="M17" s="861"/>
    </row>
    <row r="18" spans="2:35" ht="14" thickBot="1" x14ac:dyDescent="0.2">
      <c r="B18" s="860"/>
      <c r="E18" s="862" t="s">
        <v>125</v>
      </c>
      <c r="F18" s="860"/>
      <c r="J18" s="28" t="s">
        <v>126</v>
      </c>
      <c r="M18" s="868" t="s">
        <v>126</v>
      </c>
    </row>
    <row r="19" spans="2:35" ht="17" thickBot="1" x14ac:dyDescent="0.25">
      <c r="B19" s="860"/>
      <c r="E19" s="863">
        <f>Y27</f>
        <v>227.16550633813472</v>
      </c>
      <c r="F19" s="860"/>
      <c r="G19" s="28" t="s">
        <v>1753</v>
      </c>
      <c r="J19" s="852">
        <v>12.75</v>
      </c>
      <c r="M19" s="869">
        <v>12</v>
      </c>
    </row>
    <row r="20" spans="2:35" ht="17" thickBot="1" x14ac:dyDescent="0.25">
      <c r="B20" s="860"/>
      <c r="E20" s="862" t="s">
        <v>124</v>
      </c>
      <c r="F20" s="860"/>
      <c r="G20" s="852">
        <v>0.5</v>
      </c>
      <c r="J20" s="761" t="s">
        <v>1795</v>
      </c>
      <c r="M20" s="870"/>
    </row>
    <row r="21" spans="2:35" ht="17" thickBot="1" x14ac:dyDescent="0.25">
      <c r="B21" s="860"/>
      <c r="E21" s="863">
        <f>Z27</f>
        <v>338.05953862779324</v>
      </c>
      <c r="F21" s="860"/>
      <c r="G21" s="761" t="s">
        <v>1795</v>
      </c>
      <c r="M21" s="861"/>
    </row>
    <row r="22" spans="2:35" ht="14" thickBot="1" x14ac:dyDescent="0.2">
      <c r="B22" s="860"/>
      <c r="E22" s="861"/>
      <c r="F22" s="860"/>
      <c r="M22" s="868" t="s">
        <v>1753</v>
      </c>
    </row>
    <row r="23" spans="2:35" ht="17" thickBot="1" x14ac:dyDescent="0.25">
      <c r="B23" s="860"/>
      <c r="E23" s="861"/>
      <c r="F23" s="860"/>
      <c r="I23" s="852">
        <v>12.75</v>
      </c>
      <c r="M23" s="869">
        <v>0.25</v>
      </c>
      <c r="W23" s="35" t="s">
        <v>1692</v>
      </c>
    </row>
    <row r="24" spans="2:35" ht="16" x14ac:dyDescent="0.2">
      <c r="B24" s="860"/>
      <c r="E24" s="861"/>
      <c r="F24" s="860"/>
      <c r="I24" s="761" t="s">
        <v>1795</v>
      </c>
      <c r="M24" s="870" t="s">
        <v>1795</v>
      </c>
      <c r="W24" s="60" t="s">
        <v>1507</v>
      </c>
      <c r="X24" s="60" t="s">
        <v>1433</v>
      </c>
      <c r="Y24" s="107" t="s">
        <v>1435</v>
      </c>
      <c r="Z24" s="107" t="s">
        <v>1435</v>
      </c>
      <c r="AA24" s="107" t="s">
        <v>1741</v>
      </c>
      <c r="AB24" s="107" t="s">
        <v>1509</v>
      </c>
      <c r="AC24" s="107" t="s">
        <v>1511</v>
      </c>
      <c r="AD24" s="107" t="s">
        <v>1741</v>
      </c>
    </row>
    <row r="25" spans="2:35" ht="17" thickBot="1" x14ac:dyDescent="0.25">
      <c r="B25" s="860"/>
      <c r="D25" s="28" t="s">
        <v>123</v>
      </c>
      <c r="E25" s="861"/>
      <c r="F25" s="860"/>
      <c r="M25" s="861"/>
      <c r="W25" s="390"/>
      <c r="X25" s="390"/>
      <c r="Y25" s="391"/>
      <c r="Z25" s="391"/>
      <c r="AA25" s="391"/>
      <c r="AB25" s="391"/>
      <c r="AC25" s="391"/>
      <c r="AD25" s="391"/>
    </row>
    <row r="26" spans="2:35" ht="17" thickBot="1" x14ac:dyDescent="0.25">
      <c r="B26" s="860"/>
      <c r="D26" s="999">
        <v>1</v>
      </c>
      <c r="E26" s="861"/>
      <c r="F26" s="860"/>
      <c r="G26" s="1" t="s">
        <v>125</v>
      </c>
      <c r="H26" s="1" t="s">
        <v>124</v>
      </c>
      <c r="M26" s="861"/>
      <c r="W26" s="108" t="s">
        <v>1485</v>
      </c>
      <c r="X26" s="108" t="s">
        <v>1508</v>
      </c>
      <c r="Y26" s="108" t="s">
        <v>1506</v>
      </c>
      <c r="Z26" s="108" t="s">
        <v>1504</v>
      </c>
      <c r="AA26" s="109" t="s">
        <v>1742</v>
      </c>
      <c r="AB26" s="291" t="s">
        <v>1512</v>
      </c>
      <c r="AC26" s="291" t="s">
        <v>1513</v>
      </c>
      <c r="AD26" s="109" t="s">
        <v>1740</v>
      </c>
    </row>
    <row r="27" spans="2:35" ht="17" thickBot="1" x14ac:dyDescent="0.25">
      <c r="B27" s="864"/>
      <c r="C27" s="865"/>
      <c r="D27" s="866" t="s">
        <v>1795</v>
      </c>
      <c r="E27" s="867"/>
      <c r="F27" s="864"/>
      <c r="G27" s="871">
        <f>AB3+AB7</f>
        <v>20.842013535</v>
      </c>
      <c r="H27" s="872">
        <f>G27*3.2808399*0.4535924</f>
        <v>31.016335152699732</v>
      </c>
      <c r="I27" s="865"/>
      <c r="J27" s="865"/>
      <c r="K27" s="865"/>
      <c r="L27" s="865"/>
      <c r="M27" s="867"/>
      <c r="W27" s="106">
        <f>C15</f>
        <v>22.25</v>
      </c>
      <c r="X27" s="106">
        <f>D26</f>
        <v>1</v>
      </c>
      <c r="Y27" s="118">
        <f>AI29</f>
        <v>227.16550633813472</v>
      </c>
      <c r="Z27" s="110">
        <f>Y27*3.2808399*0.4535924</f>
        <v>338.05953862779324</v>
      </c>
      <c r="AA27" s="110">
        <f>(W27*3.14159265*12)/144</f>
        <v>5.8250363718750009</v>
      </c>
      <c r="AB27" s="110">
        <f>(((AH27*AH27)*3.14159265*12)/1728)*62.4</f>
        <v>139.5603447377344</v>
      </c>
      <c r="AC27" s="110">
        <f>AB27+Y27</f>
        <v>366.72585107586912</v>
      </c>
      <c r="AD27" s="268">
        <f>AA27*0.09290304*3.2808399</f>
        <v>1.7754710888462166</v>
      </c>
      <c r="AH27">
        <f>W27/2-X27</f>
        <v>10.125</v>
      </c>
      <c r="AI27">
        <f>(AH27*AH27*3.14159265)*12*0.28356481</f>
        <v>1095.9065346209582</v>
      </c>
    </row>
    <row r="28" spans="2:35" ht="14" thickTop="1" x14ac:dyDescent="0.15">
      <c r="W28" s="17" t="s">
        <v>1510</v>
      </c>
      <c r="AH28">
        <f>W27/2</f>
        <v>11.125</v>
      </c>
      <c r="AI28">
        <f>(AH28*AH28*3.14159265)*12*0.28356481</f>
        <v>1323.0720409590929</v>
      </c>
    </row>
    <row r="29" spans="2:35" ht="14" thickBot="1" x14ac:dyDescent="0.2">
      <c r="AI29">
        <f>AI28-AI27</f>
        <v>227.16550633813472</v>
      </c>
    </row>
    <row r="30" spans="2:35" ht="15" thickTop="1" thickBot="1" x14ac:dyDescent="0.2">
      <c r="B30" s="898" t="s">
        <v>127</v>
      </c>
      <c r="C30" s="874"/>
      <c r="D30" s="874"/>
      <c r="E30" s="879"/>
      <c r="F30" s="883"/>
      <c r="G30" s="890" t="s">
        <v>128</v>
      </c>
      <c r="H30" s="875"/>
      <c r="I30" s="875"/>
      <c r="J30" s="875"/>
      <c r="K30" s="873"/>
      <c r="L30" s="875"/>
      <c r="M30" s="884"/>
    </row>
    <row r="31" spans="2:35" ht="15" thickTop="1" thickBot="1" x14ac:dyDescent="0.2">
      <c r="B31" s="860"/>
      <c r="E31" s="861"/>
      <c r="F31" s="860"/>
      <c r="M31" s="861"/>
    </row>
    <row r="32" spans="2:35" ht="14" thickBot="1" x14ac:dyDescent="0.2">
      <c r="B32" s="899" t="s">
        <v>129</v>
      </c>
      <c r="C32" s="877">
        <v>4</v>
      </c>
      <c r="D32" t="s">
        <v>130</v>
      </c>
      <c r="E32" s="861"/>
      <c r="F32" s="860"/>
      <c r="G32" s="462" t="s">
        <v>131</v>
      </c>
      <c r="H32" s="876">
        <v>12.7</v>
      </c>
      <c r="I32" t="s">
        <v>132</v>
      </c>
      <c r="K32" s="462"/>
      <c r="L32" t="s">
        <v>132</v>
      </c>
      <c r="M32" s="861"/>
    </row>
    <row r="33" spans="2:13" ht="14" thickBot="1" x14ac:dyDescent="0.2">
      <c r="B33" s="899"/>
      <c r="E33" s="861"/>
      <c r="F33" s="860"/>
      <c r="K33" s="462"/>
      <c r="M33" s="861"/>
    </row>
    <row r="34" spans="2:13" ht="14" thickBot="1" x14ac:dyDescent="0.2">
      <c r="B34" s="899" t="s">
        <v>133</v>
      </c>
      <c r="C34" s="877">
        <v>6</v>
      </c>
      <c r="D34" t="s">
        <v>130</v>
      </c>
      <c r="E34" s="861"/>
      <c r="F34" s="860"/>
      <c r="K34" s="462"/>
      <c r="M34" s="861"/>
    </row>
    <row r="35" spans="2:13" ht="14" thickBot="1" x14ac:dyDescent="0.2">
      <c r="B35" s="899"/>
      <c r="E35" s="861"/>
      <c r="F35" s="860"/>
      <c r="G35" s="880" t="s">
        <v>134</v>
      </c>
      <c r="H35" s="885">
        <f>ROUND((H32/25.4/2)^2*3.14159*12*490/1728,3)</f>
        <v>0.66800000000000004</v>
      </c>
      <c r="K35" s="462"/>
      <c r="M35" s="861"/>
    </row>
    <row r="36" spans="2:13" ht="14" thickBot="1" x14ac:dyDescent="0.2">
      <c r="B36" s="899" t="s">
        <v>135</v>
      </c>
      <c r="C36" s="878">
        <v>0.75</v>
      </c>
      <c r="D36" t="s">
        <v>130</v>
      </c>
      <c r="E36" s="861"/>
      <c r="F36" s="860"/>
      <c r="G36" s="880" t="s">
        <v>162</v>
      </c>
      <c r="H36" s="894">
        <f>H35*3.2808399*0.4535924</f>
        <v>0.99409358156351579</v>
      </c>
      <c r="K36" s="462"/>
      <c r="M36" s="861"/>
    </row>
    <row r="37" spans="2:13" ht="14" thickBot="1" x14ac:dyDescent="0.2">
      <c r="B37" s="899"/>
      <c r="E37" s="861"/>
      <c r="F37" s="860"/>
      <c r="M37" s="861"/>
    </row>
    <row r="38" spans="2:13" ht="15" thickTop="1" thickBot="1" x14ac:dyDescent="0.2">
      <c r="B38" s="899"/>
      <c r="E38" s="861"/>
      <c r="F38" s="883"/>
      <c r="G38" s="890" t="s">
        <v>136</v>
      </c>
      <c r="H38" s="875"/>
      <c r="I38" s="875"/>
      <c r="J38" s="875"/>
      <c r="K38" s="887"/>
      <c r="L38" s="875"/>
      <c r="M38" s="884"/>
    </row>
    <row r="39" spans="2:13" ht="15" thickTop="1" thickBot="1" x14ac:dyDescent="0.2">
      <c r="B39" s="900" t="s">
        <v>134</v>
      </c>
      <c r="C39" s="17">
        <f>ROUND(((C32+C34-C36)*12*490*C36)/1728,2)</f>
        <v>23.61</v>
      </c>
      <c r="E39" s="861"/>
      <c r="F39" s="860"/>
      <c r="M39" s="861"/>
    </row>
    <row r="40" spans="2:13" ht="14" thickBot="1" x14ac:dyDescent="0.2">
      <c r="B40" s="900" t="s">
        <v>162</v>
      </c>
      <c r="C40" s="894">
        <f>C39*3.2808399*0.4535924</f>
        <v>35.135553084902099</v>
      </c>
      <c r="E40" s="861"/>
      <c r="F40" s="860"/>
      <c r="G40" s="462" t="s">
        <v>131</v>
      </c>
      <c r="H40" s="876">
        <v>0.5</v>
      </c>
      <c r="I40" t="s">
        <v>130</v>
      </c>
      <c r="K40" s="17"/>
      <c r="L40" t="s">
        <v>130</v>
      </c>
      <c r="M40" s="861"/>
    </row>
    <row r="41" spans="2:13" x14ac:dyDescent="0.15">
      <c r="B41" s="900" t="s">
        <v>137</v>
      </c>
      <c r="C41" s="881">
        <f>ROUND((($C$32-$C$36)*$C$36/2+$C$34*$C$34/2)/($C$32+$C$34-$C$36),2)</f>
        <v>2.08</v>
      </c>
      <c r="D41" s="17" t="s">
        <v>130</v>
      </c>
      <c r="E41" s="861"/>
      <c r="F41" s="860"/>
      <c r="M41" s="861"/>
    </row>
    <row r="42" spans="2:13" x14ac:dyDescent="0.15">
      <c r="B42" s="899"/>
      <c r="C42" s="881"/>
      <c r="E42" s="861"/>
      <c r="F42" s="860"/>
      <c r="M42" s="861"/>
    </row>
    <row r="43" spans="2:13" x14ac:dyDescent="0.15">
      <c r="B43" s="900" t="s">
        <v>138</v>
      </c>
      <c r="C43" s="17">
        <f>ROUND((($C$32*$C$32/2)+($C$34-$C$36)*$C$36/2)/($C$32+$C$34-$C$36),2)</f>
        <v>1.08</v>
      </c>
      <c r="D43" s="17" t="s">
        <v>130</v>
      </c>
      <c r="E43" s="861"/>
      <c r="F43" s="860"/>
      <c r="G43" s="880" t="s">
        <v>134</v>
      </c>
      <c r="H43" s="885">
        <f>ROUND((H40/2)^2*3.14159*12*490/1728,3)</f>
        <v>0.66800000000000004</v>
      </c>
      <c r="M43" s="861"/>
    </row>
    <row r="44" spans="2:13" x14ac:dyDescent="0.15">
      <c r="B44" s="899"/>
      <c r="C44" s="17"/>
      <c r="E44" s="861"/>
      <c r="F44" s="860"/>
      <c r="G44" s="880" t="s">
        <v>162</v>
      </c>
      <c r="H44" s="894">
        <f>H43*3.2808399*0.4535924</f>
        <v>0.99409358156351579</v>
      </c>
      <c r="M44" s="861"/>
    </row>
    <row r="45" spans="2:13" ht="14" thickBot="1" x14ac:dyDescent="0.2">
      <c r="B45" s="901"/>
      <c r="E45" s="861"/>
      <c r="F45" s="860"/>
      <c r="G45" s="880"/>
      <c r="H45" s="885"/>
      <c r="M45" s="861"/>
    </row>
    <row r="46" spans="2:13" ht="15" thickTop="1" thickBot="1" x14ac:dyDescent="0.2">
      <c r="B46" s="898" t="s">
        <v>139</v>
      </c>
      <c r="C46" s="875"/>
      <c r="D46" s="875"/>
      <c r="E46" s="884"/>
      <c r="F46" s="883"/>
      <c r="G46" s="890" t="s">
        <v>140</v>
      </c>
      <c r="H46" s="875"/>
      <c r="I46" s="875"/>
      <c r="J46" s="875"/>
      <c r="K46" s="875"/>
      <c r="L46" s="875"/>
      <c r="M46" s="884"/>
    </row>
    <row r="47" spans="2:13" ht="15" thickTop="1" thickBot="1" x14ac:dyDescent="0.2">
      <c r="B47" s="860"/>
      <c r="E47" s="861"/>
      <c r="F47" s="860"/>
      <c r="K47" s="886"/>
      <c r="M47" s="861"/>
    </row>
    <row r="48" spans="2:13" ht="14" thickBot="1" x14ac:dyDescent="0.2">
      <c r="B48" s="899" t="s">
        <v>133</v>
      </c>
      <c r="C48" s="877">
        <v>12</v>
      </c>
      <c r="D48" t="s">
        <v>130</v>
      </c>
      <c r="E48" s="861"/>
      <c r="F48" s="860"/>
      <c r="G48" t="s">
        <v>141</v>
      </c>
      <c r="M48" s="861"/>
    </row>
    <row r="49" spans="2:13" ht="14" thickBot="1" x14ac:dyDescent="0.2">
      <c r="B49" s="899"/>
      <c r="E49" s="861"/>
      <c r="F49" s="860"/>
      <c r="M49" s="861"/>
    </row>
    <row r="50" spans="2:13" ht="14" thickBot="1" x14ac:dyDescent="0.2">
      <c r="B50" s="899" t="s">
        <v>135</v>
      </c>
      <c r="C50" s="878">
        <v>0.75</v>
      </c>
      <c r="D50" t="s">
        <v>130</v>
      </c>
      <c r="E50" s="861"/>
      <c r="F50" s="860"/>
      <c r="G50" t="s">
        <v>142</v>
      </c>
      <c r="M50" s="861"/>
    </row>
    <row r="51" spans="2:13" x14ac:dyDescent="0.15">
      <c r="B51" s="899"/>
      <c r="E51" s="861"/>
      <c r="F51" s="860"/>
      <c r="M51" s="861"/>
    </row>
    <row r="52" spans="2:13" x14ac:dyDescent="0.15">
      <c r="B52" s="899"/>
      <c r="E52" s="861"/>
      <c r="F52" s="860"/>
      <c r="G52" t="s">
        <v>143</v>
      </c>
      <c r="M52" s="861"/>
    </row>
    <row r="53" spans="2:13" x14ac:dyDescent="0.15">
      <c r="B53" s="900" t="s">
        <v>134</v>
      </c>
      <c r="C53" s="17">
        <f>ROUND(C48*C50*12*490/1728,2)</f>
        <v>30.63</v>
      </c>
      <c r="E53" s="861"/>
      <c r="F53" s="860"/>
      <c r="M53" s="861"/>
    </row>
    <row r="54" spans="2:13" x14ac:dyDescent="0.15">
      <c r="B54" s="860"/>
      <c r="E54" s="861"/>
      <c r="F54" s="860"/>
      <c r="G54" t="s">
        <v>144</v>
      </c>
      <c r="M54" s="861"/>
    </row>
    <row r="55" spans="2:13" ht="14" thickBot="1" x14ac:dyDescent="0.2">
      <c r="B55" s="860"/>
      <c r="E55" s="861"/>
      <c r="F55" s="860"/>
      <c r="M55" s="861"/>
    </row>
    <row r="56" spans="2:13" ht="15" thickTop="1" thickBot="1" x14ac:dyDescent="0.2">
      <c r="B56" s="898" t="s">
        <v>139</v>
      </c>
      <c r="C56" s="875"/>
      <c r="D56" s="875"/>
      <c r="E56" s="884"/>
      <c r="F56" s="860"/>
      <c r="G56" t="s">
        <v>145</v>
      </c>
      <c r="M56" s="861"/>
    </row>
    <row r="57" spans="2:13" ht="15" thickTop="1" thickBot="1" x14ac:dyDescent="0.2">
      <c r="B57" s="860"/>
      <c r="E57" s="861"/>
      <c r="F57" s="860"/>
      <c r="M57" s="861"/>
    </row>
    <row r="58" spans="2:13" ht="14" thickBot="1" x14ac:dyDescent="0.2">
      <c r="B58" s="899" t="s">
        <v>133</v>
      </c>
      <c r="C58" s="877">
        <v>305</v>
      </c>
      <c r="D58" t="s">
        <v>132</v>
      </c>
      <c r="E58" s="861"/>
      <c r="F58" s="860"/>
      <c r="G58" t="s">
        <v>146</v>
      </c>
      <c r="M58" s="861"/>
    </row>
    <row r="59" spans="2:13" ht="14" thickBot="1" x14ac:dyDescent="0.2">
      <c r="B59" s="899"/>
      <c r="E59" s="861"/>
      <c r="F59" s="860"/>
      <c r="M59" s="861"/>
    </row>
    <row r="60" spans="2:13" ht="14" thickBot="1" x14ac:dyDescent="0.2">
      <c r="B60" s="899" t="s">
        <v>135</v>
      </c>
      <c r="C60" s="878">
        <v>3</v>
      </c>
      <c r="D60" t="s">
        <v>132</v>
      </c>
      <c r="E60" s="861"/>
      <c r="F60" s="860"/>
      <c r="G60" t="s">
        <v>147</v>
      </c>
      <c r="M60" s="861"/>
    </row>
    <row r="61" spans="2:13" x14ac:dyDescent="0.15">
      <c r="B61" s="899"/>
      <c r="E61" s="861"/>
      <c r="F61" s="860"/>
      <c r="M61" s="861"/>
    </row>
    <row r="62" spans="2:13" x14ac:dyDescent="0.15">
      <c r="B62" s="899"/>
      <c r="E62" s="861"/>
      <c r="F62" s="860"/>
      <c r="G62" t="s">
        <v>148</v>
      </c>
      <c r="M62" s="861"/>
    </row>
    <row r="63" spans="2:13" x14ac:dyDescent="0.15">
      <c r="B63" s="900" t="s">
        <v>134</v>
      </c>
      <c r="C63" s="17">
        <f>ROUND(C58*C60*0.00155*12*490/1728,2)</f>
        <v>4.83</v>
      </c>
      <c r="E63" s="861"/>
      <c r="F63" s="860"/>
      <c r="M63" s="861"/>
    </row>
    <row r="64" spans="2:13" x14ac:dyDescent="0.15">
      <c r="B64" s="900"/>
      <c r="C64" s="17"/>
      <c r="E64" s="861"/>
      <c r="F64" s="860"/>
      <c r="G64" t="s">
        <v>149</v>
      </c>
      <c r="M64" s="861"/>
    </row>
    <row r="65" spans="2:13" ht="14" thickBot="1" x14ac:dyDescent="0.2">
      <c r="B65" s="860"/>
      <c r="E65" s="861"/>
      <c r="F65" s="860"/>
      <c r="M65" s="861"/>
    </row>
    <row r="66" spans="2:13" ht="15" thickTop="1" thickBot="1" x14ac:dyDescent="0.2">
      <c r="B66" s="898" t="s">
        <v>150</v>
      </c>
      <c r="C66" s="875"/>
      <c r="D66" s="875"/>
      <c r="E66" s="884"/>
      <c r="F66" s="860"/>
      <c r="G66" t="s">
        <v>151</v>
      </c>
      <c r="M66" s="861"/>
    </row>
    <row r="67" spans="2:13" ht="15" thickTop="1" thickBot="1" x14ac:dyDescent="0.2">
      <c r="B67" s="860"/>
      <c r="E67" s="861"/>
      <c r="F67" s="860"/>
      <c r="M67" s="861"/>
    </row>
    <row r="68" spans="2:13" ht="15" thickTop="1" thickBot="1" x14ac:dyDescent="0.2">
      <c r="B68" s="899" t="s">
        <v>152</v>
      </c>
      <c r="C68" s="877">
        <v>12.75</v>
      </c>
      <c r="D68" t="s">
        <v>130</v>
      </c>
      <c r="E68" s="861"/>
      <c r="F68" s="893"/>
      <c r="G68" s="890" t="s">
        <v>153</v>
      </c>
      <c r="H68" s="875"/>
      <c r="I68" s="875"/>
      <c r="J68" s="875"/>
      <c r="K68" s="875"/>
      <c r="L68" s="875"/>
      <c r="M68" s="884"/>
    </row>
    <row r="69" spans="2:13" ht="14" thickBot="1" x14ac:dyDescent="0.2">
      <c r="B69" s="899"/>
      <c r="E69" s="861"/>
      <c r="F69" s="860"/>
      <c r="M69" s="861"/>
    </row>
    <row r="70" spans="2:13" ht="14" thickBot="1" x14ac:dyDescent="0.2">
      <c r="B70" s="899" t="s">
        <v>154</v>
      </c>
      <c r="C70" s="878">
        <v>0.5</v>
      </c>
      <c r="D70" t="s">
        <v>130</v>
      </c>
      <c r="E70" s="861"/>
      <c r="F70" s="860"/>
      <c r="G70" t="s">
        <v>155</v>
      </c>
      <c r="M70" s="861"/>
    </row>
    <row r="71" spans="2:13" x14ac:dyDescent="0.15">
      <c r="B71" s="899"/>
      <c r="E71" s="861"/>
      <c r="F71" s="860"/>
      <c r="M71" s="861"/>
    </row>
    <row r="72" spans="2:13" x14ac:dyDescent="0.15">
      <c r="B72" s="899"/>
      <c r="E72" s="861"/>
      <c r="F72" s="860"/>
      <c r="G72" t="s">
        <v>156</v>
      </c>
      <c r="M72" s="861"/>
    </row>
    <row r="73" spans="2:13" x14ac:dyDescent="0.15">
      <c r="B73" s="900" t="s">
        <v>134</v>
      </c>
      <c r="C73" s="17">
        <f>ROUND(3.14156*((C68/2)^2-(C68/2-C70)^2)*12*490/1728,2)</f>
        <v>65.48</v>
      </c>
      <c r="E73" s="861"/>
      <c r="F73" s="860"/>
      <c r="M73" s="861"/>
    </row>
    <row r="74" spans="2:13" x14ac:dyDescent="0.15">
      <c r="B74" s="900" t="s">
        <v>162</v>
      </c>
      <c r="C74" s="894">
        <f>C73*3.2808399*0.4535924</f>
        <v>97.444981617932655</v>
      </c>
      <c r="E74" s="861"/>
      <c r="F74" s="860"/>
      <c r="M74" s="861"/>
    </row>
    <row r="75" spans="2:13" x14ac:dyDescent="0.15">
      <c r="B75" s="860"/>
      <c r="E75" s="861"/>
      <c r="F75" s="860"/>
      <c r="M75" s="861"/>
    </row>
    <row r="76" spans="2:13" x14ac:dyDescent="0.15">
      <c r="B76" s="860"/>
      <c r="E76" s="861"/>
      <c r="F76" s="860"/>
      <c r="M76" s="861"/>
    </row>
    <row r="77" spans="2:13" ht="14" thickBot="1" x14ac:dyDescent="0.2">
      <c r="B77" s="860"/>
      <c r="E77" s="861"/>
      <c r="F77" s="860"/>
      <c r="M77" s="861"/>
    </row>
    <row r="78" spans="2:13" ht="15" thickTop="1" thickBot="1" x14ac:dyDescent="0.2">
      <c r="B78" s="898" t="s">
        <v>157</v>
      </c>
      <c r="C78" s="890"/>
      <c r="D78" s="890"/>
      <c r="E78" s="891"/>
      <c r="F78" s="892"/>
      <c r="G78" s="889" t="s">
        <v>158</v>
      </c>
      <c r="H78" s="890"/>
      <c r="I78" s="890"/>
      <c r="J78" s="890"/>
      <c r="K78" s="890"/>
      <c r="L78" s="890"/>
      <c r="M78" s="891"/>
    </row>
    <row r="79" spans="2:13" ht="15" thickTop="1" thickBot="1" x14ac:dyDescent="0.2">
      <c r="B79" s="860"/>
      <c r="E79" s="861"/>
      <c r="F79" s="860"/>
      <c r="M79" s="861"/>
    </row>
    <row r="80" spans="2:13" ht="14" thickBot="1" x14ac:dyDescent="0.2">
      <c r="B80" s="899" t="s">
        <v>129</v>
      </c>
      <c r="C80" s="888">
        <v>102</v>
      </c>
      <c r="D80" t="s">
        <v>92</v>
      </c>
      <c r="E80" s="861"/>
      <c r="F80" s="860"/>
      <c r="G80" s="462" t="s">
        <v>129</v>
      </c>
      <c r="H80" s="888">
        <v>305</v>
      </c>
      <c r="I80" t="s">
        <v>92</v>
      </c>
      <c r="L80" t="s">
        <v>92</v>
      </c>
      <c r="M80" s="861"/>
    </row>
    <row r="81" spans="2:39" ht="14" thickBot="1" x14ac:dyDescent="0.2">
      <c r="B81" s="899"/>
      <c r="E81" s="861"/>
      <c r="F81" s="860"/>
      <c r="G81" s="462"/>
      <c r="M81" s="861"/>
    </row>
    <row r="82" spans="2:39" ht="14" thickBot="1" x14ac:dyDescent="0.2">
      <c r="B82" s="899" t="s">
        <v>135</v>
      </c>
      <c r="C82" s="888">
        <v>10</v>
      </c>
      <c r="D82" t="s">
        <v>92</v>
      </c>
      <c r="E82" s="861"/>
      <c r="F82" s="860"/>
      <c r="G82" s="462" t="s">
        <v>135</v>
      </c>
      <c r="H82" s="888">
        <v>10</v>
      </c>
      <c r="I82" t="s">
        <v>92</v>
      </c>
      <c r="L82" t="s">
        <v>92</v>
      </c>
      <c r="M82" s="861"/>
    </row>
    <row r="83" spans="2:39" ht="14" thickBot="1" x14ac:dyDescent="0.2">
      <c r="B83" s="899"/>
      <c r="E83" s="861"/>
      <c r="F83" s="860"/>
      <c r="G83" s="462"/>
      <c r="M83" s="861"/>
    </row>
    <row r="84" spans="2:39" ht="14" thickBot="1" x14ac:dyDescent="0.2">
      <c r="B84" s="899" t="s">
        <v>133</v>
      </c>
      <c r="C84" s="888">
        <v>102</v>
      </c>
      <c r="D84" t="s">
        <v>92</v>
      </c>
      <c r="E84" s="861"/>
      <c r="F84" s="860"/>
      <c r="G84" s="462" t="s">
        <v>159</v>
      </c>
      <c r="H84" s="888">
        <v>102</v>
      </c>
      <c r="I84" t="s">
        <v>92</v>
      </c>
      <c r="L84" t="s">
        <v>92</v>
      </c>
      <c r="M84" s="861"/>
    </row>
    <row r="85" spans="2:39" ht="14" thickBot="1" x14ac:dyDescent="0.2">
      <c r="B85" s="860"/>
      <c r="E85" s="861"/>
      <c r="F85" s="860"/>
      <c r="M85" s="861"/>
    </row>
    <row r="86" spans="2:39" ht="14" thickBot="1" x14ac:dyDescent="0.2">
      <c r="B86" s="899" t="s">
        <v>135</v>
      </c>
      <c r="C86" s="888">
        <v>10</v>
      </c>
      <c r="D86" t="s">
        <v>92</v>
      </c>
      <c r="E86" s="861"/>
      <c r="F86" s="860"/>
      <c r="G86" s="462" t="s">
        <v>135</v>
      </c>
      <c r="H86" s="888">
        <v>15</v>
      </c>
      <c r="I86" t="s">
        <v>92</v>
      </c>
      <c r="L86" t="s">
        <v>92</v>
      </c>
      <c r="M86" s="861"/>
    </row>
    <row r="87" spans="2:39" x14ac:dyDescent="0.15">
      <c r="B87" s="860"/>
      <c r="E87" s="861"/>
      <c r="F87" s="860"/>
      <c r="M87" s="861"/>
    </row>
    <row r="88" spans="2:39" x14ac:dyDescent="0.15">
      <c r="B88" s="902" t="s">
        <v>160</v>
      </c>
      <c r="C88" s="881">
        <f>ROUND((C80*C82+(C84-C82)*C86)*7850/10^6,2)</f>
        <v>15.23</v>
      </c>
      <c r="E88" s="861"/>
      <c r="F88" s="860"/>
      <c r="G88" s="17" t="s">
        <v>160</v>
      </c>
      <c r="H88" s="881">
        <f>ROUND((H80*H82+(H84-H82)*H86)*7850/10^6,2)</f>
        <v>34.78</v>
      </c>
      <c r="M88" s="861"/>
    </row>
    <row r="89" spans="2:39" x14ac:dyDescent="0.15">
      <c r="B89" s="860"/>
      <c r="E89" s="861"/>
      <c r="F89" s="860"/>
      <c r="M89" s="861"/>
    </row>
    <row r="90" spans="2:39" x14ac:dyDescent="0.15">
      <c r="B90" s="900" t="s">
        <v>137</v>
      </c>
      <c r="C90" s="882">
        <f>ROUND((($C$80*$C$82)*($C$82/2)+(($C$84-$C$82)*$C$86*($C$82+($C$84-$C$82)/2)))/($C$80*$C$82+(($C$84-$C$82)*$C$86)),0)</f>
        <v>29</v>
      </c>
      <c r="D90" s="17" t="s">
        <v>161</v>
      </c>
      <c r="E90" s="861"/>
      <c r="F90" s="860"/>
      <c r="G90" s="880" t="s">
        <v>137</v>
      </c>
      <c r="H90" s="882">
        <f>ROUND($H$84/2,0)</f>
        <v>51</v>
      </c>
      <c r="I90" s="17" t="s">
        <v>161</v>
      </c>
      <c r="L90" s="17" t="s">
        <v>161</v>
      </c>
      <c r="M90" s="861"/>
    </row>
    <row r="91" spans="2:39" x14ac:dyDescent="0.15">
      <c r="B91" s="899"/>
      <c r="C91" s="881"/>
      <c r="E91" s="861"/>
      <c r="F91" s="860"/>
      <c r="G91" s="462"/>
      <c r="H91" s="881"/>
      <c r="M91" s="861"/>
    </row>
    <row r="92" spans="2:39" x14ac:dyDescent="0.15">
      <c r="B92" s="900" t="s">
        <v>138</v>
      </c>
      <c r="C92" s="882">
        <f>ROUND((($C$80*$C$82)*($C$80/2)+(($C$84-$C$82)*$C$86*($C$86/2)))/($C$80*$C$82+(($C$84-$C$82)*$C$86)),0)</f>
        <v>29</v>
      </c>
      <c r="D92" s="17" t="s">
        <v>161</v>
      </c>
      <c r="E92" s="861"/>
      <c r="F92" s="860"/>
      <c r="G92" s="880" t="s">
        <v>138</v>
      </c>
      <c r="H92" s="882">
        <f>ROUND((($H$80*$H$82)*($H$80/2)+(($H$84-$H$82)*$H$86*($H$86/2)))/($H$80*$H$82+(($H$84-$H$82)*$H$86)),0)</f>
        <v>107</v>
      </c>
      <c r="I92" s="17" t="s">
        <v>161</v>
      </c>
      <c r="L92" s="17" t="s">
        <v>161</v>
      </c>
      <c r="M92" s="861"/>
    </row>
    <row r="93" spans="2:39" ht="14" thickBot="1" x14ac:dyDescent="0.2">
      <c r="B93" s="864"/>
      <c r="C93" s="865"/>
      <c r="D93" s="865"/>
      <c r="E93" s="867"/>
      <c r="F93" s="864"/>
      <c r="G93" s="865"/>
      <c r="H93" s="865"/>
      <c r="I93" s="865"/>
      <c r="J93" s="865"/>
      <c r="K93" s="865"/>
      <c r="L93" s="865"/>
      <c r="M93" s="867"/>
    </row>
    <row r="94" spans="2:39" ht="15" thickTop="1" thickBot="1" x14ac:dyDescent="0.2">
      <c r="B94" s="898" t="s">
        <v>171</v>
      </c>
      <c r="C94" s="890"/>
      <c r="D94" s="890"/>
      <c r="E94" s="891"/>
      <c r="F94" s="889" t="s">
        <v>172</v>
      </c>
      <c r="G94" s="890"/>
      <c r="H94" s="890"/>
      <c r="I94" s="891"/>
      <c r="J94" s="875"/>
      <c r="K94" s="875"/>
      <c r="L94" s="875"/>
      <c r="M94" s="884"/>
      <c r="AK94" t="s">
        <v>164</v>
      </c>
      <c r="AL94" s="447">
        <f>C96</f>
        <v>12</v>
      </c>
      <c r="AM94">
        <f>AL94*AL94</f>
        <v>144</v>
      </c>
    </row>
    <row r="95" spans="2:39" ht="15" thickTop="1" thickBot="1" x14ac:dyDescent="0.2">
      <c r="B95" s="860"/>
      <c r="E95" s="859"/>
      <c r="M95" s="861"/>
      <c r="AK95" t="s">
        <v>165</v>
      </c>
      <c r="AL95" s="447">
        <f>C98</f>
        <v>10.25</v>
      </c>
      <c r="AM95">
        <f>AL95*AL95</f>
        <v>105.0625</v>
      </c>
    </row>
    <row r="96" spans="2:39" ht="14" thickBot="1" x14ac:dyDescent="0.2">
      <c r="B96" s="860"/>
      <c r="C96" s="896">
        <v>12</v>
      </c>
      <c r="E96" s="861"/>
      <c r="H96" s="896">
        <v>304.8</v>
      </c>
      <c r="M96" s="861"/>
      <c r="AK96" t="s">
        <v>166</v>
      </c>
      <c r="AL96" s="447">
        <f>C109</f>
        <v>36</v>
      </c>
      <c r="AM96">
        <f>AL96*AL96</f>
        <v>1296</v>
      </c>
    </row>
    <row r="97" spans="2:39" ht="14" thickBot="1" x14ac:dyDescent="0.2">
      <c r="B97" s="860"/>
      <c r="E97" s="861"/>
      <c r="H97" s="897"/>
      <c r="M97" s="861"/>
      <c r="AK97" t="s">
        <v>167</v>
      </c>
      <c r="AL97" s="447">
        <f>C107</f>
        <v>34.25</v>
      </c>
      <c r="AM97">
        <f>AL97*AL97</f>
        <v>1173.0625</v>
      </c>
    </row>
    <row r="98" spans="2:39" ht="14" thickBot="1" x14ac:dyDescent="0.2">
      <c r="B98" s="860"/>
      <c r="C98" s="896">
        <v>10.25</v>
      </c>
      <c r="E98" s="998">
        <f>(C96-C98)/2</f>
        <v>0.875</v>
      </c>
      <c r="H98" s="896">
        <v>260.35000000000002</v>
      </c>
      <c r="M98" s="998">
        <f>(H96-H98)/2</f>
        <v>22.224999999999994</v>
      </c>
      <c r="AK98" t="s">
        <v>168</v>
      </c>
      <c r="AL98" s="447">
        <f>E102</f>
        <v>30</v>
      </c>
      <c r="AM98">
        <f>AL98*AL98</f>
        <v>900</v>
      </c>
    </row>
    <row r="99" spans="2:39" x14ac:dyDescent="0.15">
      <c r="B99" s="860"/>
      <c r="E99" s="861"/>
      <c r="M99" s="861"/>
    </row>
    <row r="100" spans="2:39" x14ac:dyDescent="0.15">
      <c r="B100" s="860"/>
      <c r="E100" s="861"/>
      <c r="M100" s="861"/>
      <c r="AL100">
        <f>0.2618*AL98</f>
        <v>7.8539999999999992</v>
      </c>
    </row>
    <row r="101" spans="2:39" ht="14" thickBot="1" x14ac:dyDescent="0.2">
      <c r="B101" s="860"/>
      <c r="E101" s="861"/>
      <c r="M101" s="861"/>
      <c r="AL101">
        <f>((AM96+(AL96*AL94)+AM94))-((AM97+(AL97*AL95+AM95)))</f>
        <v>242.8125</v>
      </c>
    </row>
    <row r="102" spans="2:39" ht="14" thickBot="1" x14ac:dyDescent="0.2">
      <c r="B102" s="860"/>
      <c r="E102" s="895">
        <v>30</v>
      </c>
      <c r="M102" s="895">
        <v>762</v>
      </c>
      <c r="AL102">
        <f>AL100*AL101</f>
        <v>1907.0493749999998</v>
      </c>
    </row>
    <row r="103" spans="2:39" x14ac:dyDescent="0.15">
      <c r="B103" s="860"/>
      <c r="E103" s="870" t="s">
        <v>1753</v>
      </c>
      <c r="M103" s="870" t="s">
        <v>161</v>
      </c>
      <c r="AL103">
        <f>AL102*0.28356481</f>
        <v>540.77209368249373</v>
      </c>
    </row>
    <row r="104" spans="2:39" x14ac:dyDescent="0.15">
      <c r="B104" s="860"/>
      <c r="E104" s="861"/>
      <c r="M104" s="861"/>
    </row>
    <row r="105" spans="2:39" x14ac:dyDescent="0.15">
      <c r="B105" s="860"/>
      <c r="E105" s="861"/>
      <c r="M105" s="861"/>
      <c r="AK105" t="s">
        <v>164</v>
      </c>
      <c r="AL105" s="447">
        <f>H96/25.4</f>
        <v>12.000000000000002</v>
      </c>
      <c r="AM105">
        <f>AL105*AL105</f>
        <v>144.00000000000006</v>
      </c>
    </row>
    <row r="106" spans="2:39" ht="14" thickBot="1" x14ac:dyDescent="0.2">
      <c r="B106" s="860"/>
      <c r="E106" s="861"/>
      <c r="M106" s="861"/>
      <c r="AK106" t="s">
        <v>165</v>
      </c>
      <c r="AL106" s="447">
        <f>H98/25.4</f>
        <v>10.250000000000002</v>
      </c>
      <c r="AM106">
        <f>AL106*AL106</f>
        <v>105.06250000000004</v>
      </c>
    </row>
    <row r="107" spans="2:39" ht="14" thickBot="1" x14ac:dyDescent="0.2">
      <c r="B107" s="860"/>
      <c r="C107" s="896">
        <v>34.25</v>
      </c>
      <c r="E107" s="862">
        <f>(C109-C107)/2</f>
        <v>0.875</v>
      </c>
      <c r="H107" s="896">
        <v>869.95</v>
      </c>
      <c r="M107" s="862">
        <f>(H109-H107)/2</f>
        <v>22.224999999999966</v>
      </c>
      <c r="AK107" t="s">
        <v>166</v>
      </c>
      <c r="AL107" s="447">
        <f>H109/25.4</f>
        <v>36</v>
      </c>
      <c r="AM107">
        <f>AL107*AL107</f>
        <v>1296</v>
      </c>
    </row>
    <row r="108" spans="2:39" ht="14" thickBot="1" x14ac:dyDescent="0.2">
      <c r="B108" s="860"/>
      <c r="E108" s="861"/>
      <c r="M108" s="861"/>
      <c r="AK108" t="s">
        <v>167</v>
      </c>
      <c r="AL108" s="447">
        <f>H107/25.4</f>
        <v>34.250000000000007</v>
      </c>
      <c r="AM108">
        <f>AL108*AL108</f>
        <v>1173.0625000000005</v>
      </c>
    </row>
    <row r="109" spans="2:39" ht="14" thickBot="1" x14ac:dyDescent="0.2">
      <c r="B109" s="860"/>
      <c r="C109" s="896">
        <v>36</v>
      </c>
      <c r="E109" s="861"/>
      <c r="H109" s="896">
        <v>914.4</v>
      </c>
      <c r="M109" s="861"/>
      <c r="AK109" t="s">
        <v>168</v>
      </c>
      <c r="AL109" s="447">
        <f>M102/25.4</f>
        <v>30</v>
      </c>
      <c r="AM109">
        <f>AL109*AL109</f>
        <v>900</v>
      </c>
    </row>
    <row r="110" spans="2:39" x14ac:dyDescent="0.15">
      <c r="B110" s="860"/>
      <c r="C110" s="579" t="s">
        <v>163</v>
      </c>
      <c r="E110" s="861"/>
      <c r="H110" s="579" t="s">
        <v>163</v>
      </c>
      <c r="M110" s="861"/>
    </row>
    <row r="111" spans="2:39" x14ac:dyDescent="0.15">
      <c r="B111" s="860"/>
      <c r="C111" s="761" t="s">
        <v>1753</v>
      </c>
      <c r="E111" s="861"/>
      <c r="H111" s="761" t="s">
        <v>161</v>
      </c>
      <c r="M111" s="861"/>
      <c r="AL111">
        <f>0.2618*AL109</f>
        <v>7.8539999999999992</v>
      </c>
    </row>
    <row r="112" spans="2:39" x14ac:dyDescent="0.15">
      <c r="B112" s="860"/>
      <c r="E112" s="861"/>
      <c r="M112" s="861"/>
      <c r="AL112">
        <f>((AM107+(AL107*AL105)+AM105))-((AM108+(AL108*AL106+AM106)))</f>
        <v>242.81249999999932</v>
      </c>
    </row>
    <row r="113" spans="2:38" x14ac:dyDescent="0.15">
      <c r="B113" s="900" t="s">
        <v>169</v>
      </c>
      <c r="C113" s="17">
        <f>AL103</f>
        <v>540.77209368249373</v>
      </c>
      <c r="E113" s="861"/>
      <c r="G113" s="880" t="s">
        <v>169</v>
      </c>
      <c r="H113" s="17">
        <f>AL114</f>
        <v>540.77209368249214</v>
      </c>
      <c r="M113" s="861"/>
      <c r="AL113">
        <f>AL111*AL112</f>
        <v>1907.0493749999944</v>
      </c>
    </row>
    <row r="114" spans="2:38" x14ac:dyDescent="0.15">
      <c r="B114" s="900" t="s">
        <v>170</v>
      </c>
      <c r="C114" s="894">
        <f>C113*0.4535924</f>
        <v>245.29011182646718</v>
      </c>
      <c r="E114" s="861"/>
      <c r="G114" s="880" t="s">
        <v>170</v>
      </c>
      <c r="H114" s="894">
        <f>H113*0.4535924</f>
        <v>245.29011182646644</v>
      </c>
      <c r="M114" s="861"/>
      <c r="AL114">
        <f>AL113*0.28356481</f>
        <v>540.77209368249214</v>
      </c>
    </row>
    <row r="115" spans="2:38" ht="14" thickBot="1" x14ac:dyDescent="0.2">
      <c r="B115" s="864"/>
      <c r="C115" s="865"/>
      <c r="D115" s="865"/>
      <c r="E115" s="867"/>
      <c r="F115" s="865"/>
      <c r="G115" s="865"/>
      <c r="H115" s="865"/>
      <c r="L115" s="865"/>
      <c r="M115" s="867"/>
    </row>
    <row r="116" spans="2:38" ht="14" thickTop="1" x14ac:dyDescent="0.15"/>
  </sheetData>
  <phoneticPr fontId="80" type="noConversion"/>
  <pageMargins left="0.75" right="0.75" top="1" bottom="1" header="0.5" footer="0.5"/>
  <pageSetup orientation="portrait"/>
  <headerFooter alignWithMargins="0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2CA52-6651-3848-9D9D-B77A9DA9688B}">
  <dimension ref="B1:Y200"/>
  <sheetViews>
    <sheetView showGridLines="0" topLeftCell="C174" zoomScale="75" workbookViewId="0">
      <selection activeCell="N167" sqref="N167"/>
    </sheetView>
  </sheetViews>
  <sheetFormatPr baseColWidth="10" defaultColWidth="8.83203125" defaultRowHeight="13" x14ac:dyDescent="0.15"/>
  <cols>
    <col min="1" max="1" width="4" customWidth="1"/>
    <col min="2" max="2" width="4.5" customWidth="1"/>
    <col min="3" max="3" width="11" customWidth="1"/>
    <col min="4" max="4" width="11.6640625" bestFit="1" customWidth="1"/>
    <col min="5" max="5" width="9.33203125" customWidth="1"/>
    <col min="6" max="6" width="11.1640625" customWidth="1"/>
    <col min="7" max="7" width="11.5" customWidth="1"/>
    <col min="8" max="8" width="9.83203125" bestFit="1" customWidth="1"/>
    <col min="9" max="9" width="10.83203125" customWidth="1"/>
    <col min="10" max="10" width="8.83203125" customWidth="1"/>
    <col min="11" max="11" width="11.33203125" customWidth="1"/>
    <col min="12" max="12" width="11" customWidth="1"/>
    <col min="13" max="13" width="10.83203125" customWidth="1"/>
    <col min="14" max="14" width="11.1640625" bestFit="1" customWidth="1"/>
    <col min="15" max="15" width="12.5" bestFit="1" customWidth="1"/>
    <col min="16" max="16" width="8.83203125" customWidth="1"/>
    <col min="17" max="17" width="16.6640625" customWidth="1"/>
    <col min="18" max="18" width="9" hidden="1" customWidth="1"/>
    <col min="19" max="19" width="11.6640625" hidden="1" customWidth="1"/>
    <col min="20" max="20" width="10.33203125" hidden="1" customWidth="1"/>
    <col min="21" max="21" width="7.83203125" hidden="1" customWidth="1"/>
    <col min="22" max="22" width="13.83203125" hidden="1" customWidth="1"/>
    <col min="23" max="23" width="9.1640625" hidden="1" customWidth="1"/>
    <col min="24" max="24" width="10.1640625" hidden="1" customWidth="1"/>
    <col min="25" max="25" width="10.5" hidden="1" customWidth="1"/>
  </cols>
  <sheetData>
    <row r="1" spans="2:25" ht="20" x14ac:dyDescent="0.2">
      <c r="B1" s="450"/>
      <c r="C1" s="451"/>
      <c r="D1" s="467" t="s">
        <v>1805</v>
      </c>
      <c r="E1" s="451"/>
      <c r="F1" s="451"/>
      <c r="G1" s="451"/>
      <c r="H1" s="451"/>
      <c r="I1" s="451"/>
      <c r="J1" s="451"/>
      <c r="K1" s="451"/>
      <c r="L1" s="451"/>
      <c r="M1" s="451"/>
      <c r="N1" s="451"/>
      <c r="O1" s="451"/>
      <c r="P1" s="452"/>
    </row>
    <row r="2" spans="2:25" ht="20" x14ac:dyDescent="0.2">
      <c r="B2" s="453"/>
      <c r="C2" s="478">
        <f ca="1">NOW()</f>
        <v>45636.449309606483</v>
      </c>
      <c r="D2" s="463"/>
      <c r="P2" s="454"/>
    </row>
    <row r="3" spans="2:25" ht="14" thickBot="1" x14ac:dyDescent="0.2">
      <c r="B3" s="453"/>
      <c r="C3" s="28" t="s">
        <v>1753</v>
      </c>
      <c r="H3" s="28" t="s">
        <v>1783</v>
      </c>
      <c r="P3" s="454"/>
    </row>
    <row r="4" spans="2:25" ht="17" thickBot="1" x14ac:dyDescent="0.25">
      <c r="B4" s="453"/>
      <c r="C4" s="466">
        <f>X21</f>
        <v>8.898041644848794</v>
      </c>
      <c r="H4" s="812">
        <v>9</v>
      </c>
      <c r="P4" s="454"/>
    </row>
    <row r="5" spans="2:25" ht="16" x14ac:dyDescent="0.2">
      <c r="B5" s="453"/>
      <c r="H5" s="448" t="s">
        <v>1795</v>
      </c>
      <c r="N5" s="471" t="s">
        <v>1806</v>
      </c>
      <c r="O5" s="472"/>
      <c r="P5" s="454"/>
    </row>
    <row r="6" spans="2:25" ht="14" thickBot="1" x14ac:dyDescent="0.2">
      <c r="B6" s="453"/>
      <c r="N6" s="207" t="s">
        <v>1783</v>
      </c>
      <c r="O6" s="473" t="s">
        <v>1788</v>
      </c>
      <c r="P6" s="454"/>
      <c r="R6" s="447">
        <f>H4-((D19/2+2)+(L11/2+2))/12</f>
        <v>7.692708333333333</v>
      </c>
      <c r="S6">
        <f>R6*R6</f>
        <v>59.177761501736107</v>
      </c>
    </row>
    <row r="7" spans="2:25" ht="17" thickBot="1" x14ac:dyDescent="0.25">
      <c r="B7" s="453"/>
      <c r="C7" s="28" t="s">
        <v>1753</v>
      </c>
      <c r="N7" s="474">
        <f>G19</f>
        <v>8.6433056671566799</v>
      </c>
      <c r="O7" s="475">
        <f>N7/3.2808399</f>
        <v>2.6344795633449469</v>
      </c>
      <c r="P7" s="454"/>
      <c r="R7">
        <f>N15-C8/12</f>
        <v>3.979166666666667</v>
      </c>
      <c r="S7">
        <f>R7*R7</f>
        <v>15.833767361111114</v>
      </c>
    </row>
    <row r="8" spans="2:25" ht="17" thickBot="1" x14ac:dyDescent="0.25">
      <c r="B8" s="453"/>
      <c r="C8" s="811">
        <v>12.25</v>
      </c>
      <c r="P8" s="454"/>
      <c r="S8">
        <f>SUM(S6:S7)</f>
        <v>75.011528862847229</v>
      </c>
    </row>
    <row r="9" spans="2:25" ht="16" x14ac:dyDescent="0.2">
      <c r="B9" s="453"/>
      <c r="C9" s="448" t="s">
        <v>1795</v>
      </c>
      <c r="I9" s="28"/>
      <c r="P9" s="454"/>
      <c r="S9" s="447">
        <f>I14/12</f>
        <v>0.55208333333333337</v>
      </c>
    </row>
    <row r="10" spans="2:25" ht="14" thickBot="1" x14ac:dyDescent="0.2">
      <c r="B10" s="453"/>
      <c r="L10" s="28" t="s">
        <v>1753</v>
      </c>
      <c r="P10" s="454"/>
      <c r="S10">
        <f>S9*S9</f>
        <v>0.30479600694444448</v>
      </c>
    </row>
    <row r="11" spans="2:25" ht="17" thickBot="1" x14ac:dyDescent="0.25">
      <c r="B11" s="453"/>
      <c r="H11" s="303">
        <f>X15+Y17</f>
        <v>31.005682246927336</v>
      </c>
      <c r="I11" s="448"/>
      <c r="L11" s="811">
        <v>10.625</v>
      </c>
      <c r="P11" s="454"/>
      <c r="S11">
        <f>S8-S10</f>
        <v>74.706732855902786</v>
      </c>
    </row>
    <row r="12" spans="2:25" ht="16" x14ac:dyDescent="0.2">
      <c r="B12" s="453"/>
      <c r="L12" s="448" t="s">
        <v>1795</v>
      </c>
      <c r="P12" s="454"/>
      <c r="S12" s="447">
        <f>SQRT(S11)</f>
        <v>8.6433056671566799</v>
      </c>
    </row>
    <row r="13" spans="2:25" ht="14" thickBot="1" x14ac:dyDescent="0.2">
      <c r="B13" s="453"/>
      <c r="I13" s="28" t="s">
        <v>1753</v>
      </c>
      <c r="P13" s="454"/>
    </row>
    <row r="14" spans="2:25" ht="18" thickTop="1" thickBot="1" x14ac:dyDescent="0.25">
      <c r="B14" s="453"/>
      <c r="I14" s="811">
        <v>6.625</v>
      </c>
      <c r="N14" s="28" t="s">
        <v>1783</v>
      </c>
      <c r="P14" s="454"/>
      <c r="S14" s="763" t="s">
        <v>96</v>
      </c>
      <c r="T14" s="764" t="s">
        <v>94</v>
      </c>
      <c r="V14" s="763" t="s">
        <v>95</v>
      </c>
      <c r="W14" s="769" t="s">
        <v>1823</v>
      </c>
      <c r="X14" s="769" t="s">
        <v>1824</v>
      </c>
      <c r="Y14" s="771" t="s">
        <v>1730</v>
      </c>
    </row>
    <row r="15" spans="2:25" ht="17" thickBot="1" x14ac:dyDescent="0.25">
      <c r="B15" s="453"/>
      <c r="I15" s="448" t="s">
        <v>1795</v>
      </c>
      <c r="N15" s="812">
        <v>5</v>
      </c>
      <c r="P15" s="454"/>
      <c r="S15" s="766">
        <f>N15-(C8/12)</f>
        <v>3.979166666666667</v>
      </c>
      <c r="T15" s="1166">
        <f>R6</f>
        <v>7.692708333333333</v>
      </c>
      <c r="U15" s="761"/>
      <c r="V15" s="766">
        <f>SQRT(SUMSQ(S15)+SUMSQ(T15))</f>
        <v>8.6609196314737407</v>
      </c>
      <c r="W15" s="767">
        <v>90</v>
      </c>
      <c r="X15" s="777">
        <f>ATAN(S15/T15)*180/PI()</f>
        <v>27.35093108700644</v>
      </c>
      <c r="Y15" s="778">
        <f>ATAN(T15/S15)*180/PI()</f>
        <v>62.649068912993563</v>
      </c>
    </row>
    <row r="16" spans="2:25" ht="17" thickTop="1" x14ac:dyDescent="0.2">
      <c r="B16" s="453"/>
      <c r="N16" s="448" t="s">
        <v>1795</v>
      </c>
      <c r="O16" s="448"/>
      <c r="P16" s="454"/>
      <c r="S16" s="763" t="s">
        <v>96</v>
      </c>
      <c r="T16" s="764" t="s">
        <v>94</v>
      </c>
      <c r="V16" s="763" t="s">
        <v>95</v>
      </c>
      <c r="W16" s="769" t="s">
        <v>1823</v>
      </c>
      <c r="X16" s="769" t="s">
        <v>1824</v>
      </c>
      <c r="Y16" s="771" t="s">
        <v>1730</v>
      </c>
    </row>
    <row r="17" spans="2:25" ht="17" thickBot="1" x14ac:dyDescent="0.25">
      <c r="B17" s="453"/>
      <c r="P17" s="454"/>
      <c r="S17" s="766">
        <f>S12</f>
        <v>8.6433056671566799</v>
      </c>
      <c r="T17" s="1166">
        <f>I14/12</f>
        <v>0.55208333333333337</v>
      </c>
      <c r="U17" s="761"/>
      <c r="V17" s="766">
        <f>SQRT(SUMSQ(S17)+SUMSQ(T17))</f>
        <v>8.6609196314737407</v>
      </c>
      <c r="W17" s="767">
        <v>90</v>
      </c>
      <c r="X17" s="777">
        <f>ATAN(S17/T17)*180/PI()</f>
        <v>86.345248840079108</v>
      </c>
      <c r="Y17" s="778">
        <f>ATAN(T17/S17)*180/PI()</f>
        <v>3.6547511599208966</v>
      </c>
    </row>
    <row r="18" spans="2:25" ht="18" thickTop="1" thickBot="1" x14ac:dyDescent="0.25">
      <c r="B18" s="453"/>
      <c r="D18" s="28" t="s">
        <v>1753</v>
      </c>
      <c r="G18" s="28" t="s">
        <v>1783</v>
      </c>
      <c r="P18" s="454"/>
      <c r="S18" s="763" t="s">
        <v>96</v>
      </c>
      <c r="T18" s="771" t="s">
        <v>1730</v>
      </c>
      <c r="V18" s="763" t="s">
        <v>95</v>
      </c>
      <c r="W18" s="769" t="s">
        <v>1823</v>
      </c>
      <c r="X18" s="770" t="s">
        <v>94</v>
      </c>
      <c r="Y18" s="772" t="s">
        <v>1824</v>
      </c>
    </row>
    <row r="19" spans="2:25" ht="17" thickBot="1" x14ac:dyDescent="0.25">
      <c r="B19" s="453"/>
      <c r="D19" s="811">
        <v>12.75</v>
      </c>
      <c r="G19" s="449">
        <f>S12</f>
        <v>8.6433056671566799</v>
      </c>
      <c r="P19" s="454"/>
      <c r="S19" s="1167">
        <f>I14/2</f>
        <v>3.3125</v>
      </c>
      <c r="T19" s="1168">
        <f>90-H11</f>
        <v>58.994317753072664</v>
      </c>
      <c r="U19" s="761"/>
      <c r="V19" s="766">
        <f>S19/COS(T19*PI()/180)</f>
        <v>6.4305019947142119</v>
      </c>
      <c r="W19" s="767">
        <v>90</v>
      </c>
      <c r="X19" s="768">
        <f>S19*TAN(T19*PI()/180)</f>
        <v>5.5116875504715859</v>
      </c>
      <c r="Y19" s="778">
        <f>90-T19</f>
        <v>31.005682246927336</v>
      </c>
    </row>
    <row r="20" spans="2:25" ht="17" thickTop="1" x14ac:dyDescent="0.2">
      <c r="B20" s="453"/>
      <c r="D20" s="448" t="s">
        <v>1795</v>
      </c>
      <c r="P20" s="454"/>
      <c r="S20" s="763" t="s">
        <v>96</v>
      </c>
      <c r="T20" s="771" t="s">
        <v>1730</v>
      </c>
      <c r="V20" s="763" t="s">
        <v>95</v>
      </c>
      <c r="W20" s="769" t="s">
        <v>1823</v>
      </c>
      <c r="X20" s="770" t="s">
        <v>94</v>
      </c>
      <c r="Y20" s="772" t="s">
        <v>1824</v>
      </c>
    </row>
    <row r="21" spans="2:25" ht="17" thickBot="1" x14ac:dyDescent="0.25">
      <c r="B21" s="453"/>
      <c r="P21" s="454"/>
      <c r="S21" s="806">
        <f>V19+2+(D19/2)</f>
        <v>14.805501994714213</v>
      </c>
      <c r="T21" s="1168">
        <f>H11</f>
        <v>31.005682246927336</v>
      </c>
      <c r="U21" s="761"/>
      <c r="V21" s="766">
        <f>S21/COS(T21*PI()/180)</f>
        <v>17.273622504528401</v>
      </c>
      <c r="W21" s="767">
        <v>90</v>
      </c>
      <c r="X21" s="768">
        <f>S21*TAN(T21*PI()/180)</f>
        <v>8.898041644848794</v>
      </c>
      <c r="Y21" s="778">
        <f>90-T21</f>
        <v>58.994317753072664</v>
      </c>
    </row>
    <row r="22" spans="2:25" ht="18" thickTop="1" thickBot="1" x14ac:dyDescent="0.25">
      <c r="B22" s="453"/>
      <c r="L22" s="28" t="s">
        <v>1753</v>
      </c>
      <c r="P22" s="454"/>
      <c r="S22" s="763" t="s">
        <v>96</v>
      </c>
      <c r="T22" s="771" t="s">
        <v>1730</v>
      </c>
      <c r="V22" s="763" t="s">
        <v>95</v>
      </c>
      <c r="W22" s="769" t="s">
        <v>1823</v>
      </c>
      <c r="X22" s="770" t="s">
        <v>94</v>
      </c>
      <c r="Y22" s="772" t="s">
        <v>1824</v>
      </c>
    </row>
    <row r="23" spans="2:25" ht="17" thickBot="1" x14ac:dyDescent="0.25">
      <c r="B23" s="453"/>
      <c r="L23" s="466">
        <f>X23</f>
        <v>8.2594838133732313</v>
      </c>
      <c r="N23" s="447"/>
      <c r="P23" s="454"/>
      <c r="S23" s="806">
        <f>V19+2+(L11/2)</f>
        <v>13.743001994714213</v>
      </c>
      <c r="T23" s="1168">
        <f>T21</f>
        <v>31.005682246927336</v>
      </c>
      <c r="U23" s="761"/>
      <c r="V23" s="766">
        <f>S23/COS(T23*PI()/180)</f>
        <v>16.034000645194364</v>
      </c>
      <c r="W23" s="767">
        <v>90</v>
      </c>
      <c r="X23" s="768">
        <f>S23*TAN(T23*PI()/180)</f>
        <v>8.2594838133732313</v>
      </c>
      <c r="Y23" s="778">
        <f>90-T23</f>
        <v>58.994317753072664</v>
      </c>
    </row>
    <row r="24" spans="2:25" x14ac:dyDescent="0.15">
      <c r="B24" s="453"/>
      <c r="N24" s="447"/>
      <c r="P24" s="454"/>
    </row>
    <row r="25" spans="2:25" x14ac:dyDescent="0.15">
      <c r="B25" s="453"/>
      <c r="N25" s="447"/>
      <c r="P25" s="454"/>
    </row>
    <row r="26" spans="2:25" x14ac:dyDescent="0.15">
      <c r="B26" s="453"/>
      <c r="P26" s="454"/>
    </row>
    <row r="27" spans="2:25" x14ac:dyDescent="0.15">
      <c r="B27" s="453"/>
      <c r="P27" s="454"/>
    </row>
    <row r="28" spans="2:25" x14ac:dyDescent="0.15">
      <c r="B28" s="453"/>
      <c r="P28" s="454"/>
    </row>
    <row r="29" spans="2:25" x14ac:dyDescent="0.15">
      <c r="B29" s="453"/>
      <c r="P29" s="454"/>
    </row>
    <row r="30" spans="2:25" ht="14" thickBot="1" x14ac:dyDescent="0.2">
      <c r="B30" s="455"/>
      <c r="C30" s="456"/>
      <c r="D30" s="456"/>
      <c r="E30" s="456"/>
      <c r="F30" s="456"/>
      <c r="G30" s="456"/>
      <c r="H30" s="456"/>
      <c r="I30" s="456"/>
      <c r="J30" s="456"/>
      <c r="K30" s="456"/>
      <c r="L30" s="456"/>
      <c r="M30" s="456"/>
      <c r="N30" s="456"/>
      <c r="O30" s="456"/>
      <c r="P30" s="457"/>
    </row>
    <row r="31" spans="2:25" x14ac:dyDescent="0.15">
      <c r="B31" s="450"/>
      <c r="C31" s="451"/>
      <c r="D31" s="451"/>
      <c r="E31" s="451"/>
      <c r="F31" s="451"/>
      <c r="G31" s="451"/>
      <c r="H31" s="451"/>
      <c r="I31" s="451"/>
      <c r="J31" s="451"/>
      <c r="K31" s="451"/>
      <c r="L31" s="451"/>
      <c r="M31" s="451"/>
      <c r="N31" s="451"/>
      <c r="O31" s="451"/>
      <c r="P31" s="452"/>
    </row>
    <row r="32" spans="2:25" ht="20" x14ac:dyDescent="0.2">
      <c r="B32" s="453"/>
      <c r="D32" s="468" t="s">
        <v>1807</v>
      </c>
      <c r="P32" s="454"/>
    </row>
    <row r="33" spans="2:25" ht="14" thickBot="1" x14ac:dyDescent="0.2">
      <c r="B33" s="453"/>
      <c r="D33" s="464"/>
      <c r="H33" s="28" t="s">
        <v>1783</v>
      </c>
      <c r="N33" s="404"/>
      <c r="O33" s="294"/>
      <c r="P33" s="454"/>
    </row>
    <row r="34" spans="2:25" ht="17" thickBot="1" x14ac:dyDescent="0.25">
      <c r="B34" s="453"/>
      <c r="D34" s="28" t="s">
        <v>1753</v>
      </c>
      <c r="H34" s="812">
        <v>25</v>
      </c>
      <c r="N34" s="476"/>
      <c r="O34" s="477"/>
      <c r="P34" s="454"/>
      <c r="T34" s="461">
        <f>H34*H34</f>
        <v>625</v>
      </c>
      <c r="U34" s="460">
        <f>(C40-D35)/12</f>
        <v>1.5833333333333333</v>
      </c>
    </row>
    <row r="35" spans="2:25" ht="17" thickBot="1" x14ac:dyDescent="0.25">
      <c r="B35" s="453"/>
      <c r="D35" s="811">
        <v>5</v>
      </c>
      <c r="H35" s="448" t="s">
        <v>1795</v>
      </c>
      <c r="P35" s="454"/>
      <c r="S35" s="461">
        <f>N47-D35/12+M59/12</f>
        <v>25.583333333333332</v>
      </c>
      <c r="T35" s="461">
        <f>S35*S35</f>
        <v>654.50694444444434</v>
      </c>
    </row>
    <row r="36" spans="2:25" ht="16" x14ac:dyDescent="0.2">
      <c r="B36" s="453"/>
      <c r="D36" s="448" t="s">
        <v>1795</v>
      </c>
      <c r="H36" s="458"/>
      <c r="N36" s="471" t="s">
        <v>1806</v>
      </c>
      <c r="O36" s="472"/>
      <c r="P36" s="454"/>
      <c r="T36" s="447">
        <f>SUM(T34:T35)</f>
        <v>1279.5069444444443</v>
      </c>
    </row>
    <row r="37" spans="2:25" ht="17" thickBot="1" x14ac:dyDescent="0.25">
      <c r="B37" s="453"/>
      <c r="G37" s="28" t="s">
        <v>1753</v>
      </c>
      <c r="H37" s="448"/>
      <c r="N37" s="207" t="s">
        <v>1783</v>
      </c>
      <c r="O37" s="473" t="s">
        <v>1788</v>
      </c>
      <c r="P37" s="454"/>
    </row>
    <row r="38" spans="2:25" ht="17" thickBot="1" x14ac:dyDescent="0.25">
      <c r="B38" s="453"/>
      <c r="G38" s="303">
        <f>U42*12</f>
        <v>18.566775244299674</v>
      </c>
      <c r="N38" s="474">
        <f>G51</f>
        <v>33.196495710289391</v>
      </c>
      <c r="O38" s="475">
        <f>N38/3.2808399</f>
        <v>10.118291877116402</v>
      </c>
      <c r="P38" s="454"/>
      <c r="R38" s="447"/>
    </row>
    <row r="39" spans="2:25" ht="14" thickBot="1" x14ac:dyDescent="0.2">
      <c r="B39" s="453"/>
      <c r="C39" s="28" t="s">
        <v>1753</v>
      </c>
      <c r="H39" s="28" t="s">
        <v>1783</v>
      </c>
      <c r="P39" s="454"/>
      <c r="T39" s="462" t="s">
        <v>1796</v>
      </c>
      <c r="U39" s="15">
        <f>(C40-D35)/12</f>
        <v>1.5833333333333333</v>
      </c>
      <c r="V39" s="461">
        <f>(I46/2)/12</f>
        <v>0.53125</v>
      </c>
    </row>
    <row r="40" spans="2:25" ht="17" thickBot="1" x14ac:dyDescent="0.25">
      <c r="B40" s="453"/>
      <c r="C40" s="811">
        <v>24</v>
      </c>
      <c r="H40" s="466">
        <f>H34-(G38+K50)/12</f>
        <v>22.475570032573291</v>
      </c>
      <c r="P40" s="454"/>
      <c r="T40" s="462" t="s">
        <v>1797</v>
      </c>
      <c r="U40" s="461">
        <f>S35</f>
        <v>25.583333333333332</v>
      </c>
    </row>
    <row r="41" spans="2:25" ht="16" x14ac:dyDescent="0.2">
      <c r="B41" s="453"/>
      <c r="C41" s="448" t="s">
        <v>1795</v>
      </c>
      <c r="I41" s="28"/>
      <c r="P41" s="454"/>
      <c r="S41" s="447"/>
      <c r="T41" s="462" t="s">
        <v>1798</v>
      </c>
      <c r="U41" s="447">
        <f>H34</f>
        <v>25</v>
      </c>
    </row>
    <row r="42" spans="2:25" ht="14" thickBot="1" x14ac:dyDescent="0.2">
      <c r="B42" s="453"/>
      <c r="L42" s="28"/>
      <c r="P42" s="454"/>
      <c r="T42" s="462" t="s">
        <v>1799</v>
      </c>
      <c r="U42" s="460">
        <f>(U41/U40)*U39</f>
        <v>1.5472312703583062</v>
      </c>
    </row>
    <row r="43" spans="2:25" ht="17" thickBot="1" x14ac:dyDescent="0.25">
      <c r="B43" s="453"/>
      <c r="C43" s="28" t="s">
        <v>1753</v>
      </c>
      <c r="H43" s="303">
        <f>X48</f>
        <v>44.339287185224734</v>
      </c>
      <c r="I43" s="448"/>
      <c r="L43" s="459"/>
      <c r="P43" s="454"/>
    </row>
    <row r="44" spans="2:25" ht="17" thickBot="1" x14ac:dyDescent="0.25">
      <c r="B44" s="453"/>
      <c r="C44" s="470">
        <f>(U42-U46)*12</f>
        <v>9.6533549898031268</v>
      </c>
      <c r="L44" s="448"/>
      <c r="P44" s="454"/>
      <c r="S44" s="447"/>
      <c r="T44" s="462" t="s">
        <v>1800</v>
      </c>
      <c r="U44" s="461">
        <f>V39</f>
        <v>0.53125</v>
      </c>
      <c r="V44">
        <f>U44*U44+U45*U45</f>
        <v>0.55172958773103686</v>
      </c>
    </row>
    <row r="45" spans="2:25" ht="14" thickBot="1" x14ac:dyDescent="0.2">
      <c r="B45" s="453"/>
      <c r="I45" s="28" t="s">
        <v>1753</v>
      </c>
      <c r="P45" s="454"/>
      <c r="T45" s="462" t="s">
        <v>1801</v>
      </c>
      <c r="U45">
        <f>(U41/U40)*V39</f>
        <v>0.51913680781758953</v>
      </c>
    </row>
    <row r="46" spans="2:25" ht="15" thickBot="1" x14ac:dyDescent="0.2">
      <c r="B46" s="453"/>
      <c r="I46" s="813">
        <v>12.75</v>
      </c>
      <c r="N46" s="28" t="s">
        <v>1783</v>
      </c>
      <c r="P46" s="454"/>
      <c r="T46" s="462" t="s">
        <v>1802</v>
      </c>
      <c r="U46">
        <f>SQRT(V44)</f>
        <v>0.74278502120804568</v>
      </c>
    </row>
    <row r="47" spans="2:25" ht="18" thickTop="1" thickBot="1" x14ac:dyDescent="0.25">
      <c r="B47" s="453"/>
      <c r="I47" s="448" t="s">
        <v>1795</v>
      </c>
      <c r="N47" s="812">
        <v>25</v>
      </c>
      <c r="P47" s="454"/>
      <c r="S47" s="763" t="s">
        <v>96</v>
      </c>
      <c r="T47" s="764" t="s">
        <v>94</v>
      </c>
      <c r="V47" s="763" t="s">
        <v>95</v>
      </c>
      <c r="W47" s="769" t="s">
        <v>1823</v>
      </c>
      <c r="X47" s="769" t="s">
        <v>1824</v>
      </c>
      <c r="Y47" s="771" t="s">
        <v>1730</v>
      </c>
    </row>
    <row r="48" spans="2:25" ht="17" thickBot="1" x14ac:dyDescent="0.25">
      <c r="B48" s="453"/>
      <c r="N48" s="448" t="s">
        <v>1795</v>
      </c>
      <c r="O48" s="448"/>
      <c r="P48" s="454"/>
      <c r="S48" s="766">
        <f>H40</f>
        <v>22.475570032573291</v>
      </c>
      <c r="T48" s="1166">
        <f>D50</f>
        <v>23</v>
      </c>
      <c r="U48" s="761"/>
      <c r="V48" s="766">
        <f>SQRT(SUMSQ(S48)+SUMSQ(T48))</f>
        <v>32.158222094654214</v>
      </c>
      <c r="W48" s="767">
        <v>90</v>
      </c>
      <c r="X48" s="777">
        <f>ATAN(S48/T48)*180/PI()</f>
        <v>44.339287185224734</v>
      </c>
      <c r="Y48" s="778">
        <f>ATAN(T48/S48)*180/PI()</f>
        <v>45.660712814775266</v>
      </c>
    </row>
    <row r="49" spans="2:22" ht="15" thickTop="1" thickBot="1" x14ac:dyDescent="0.2">
      <c r="B49" s="453"/>
      <c r="D49" s="28" t="s">
        <v>1783</v>
      </c>
      <c r="K49" s="28" t="s">
        <v>1753</v>
      </c>
      <c r="P49" s="454"/>
    </row>
    <row r="50" spans="2:22" ht="17" thickBot="1" x14ac:dyDescent="0.25">
      <c r="B50" s="453"/>
      <c r="D50" s="466">
        <f>N47-C40/12</f>
        <v>23</v>
      </c>
      <c r="G50" s="28" t="s">
        <v>1783</v>
      </c>
      <c r="K50" s="469">
        <f>U56*12</f>
        <v>11.726384364820847</v>
      </c>
      <c r="P50" s="454"/>
    </row>
    <row r="51" spans="2:22" ht="17" thickBot="1" x14ac:dyDescent="0.25">
      <c r="B51" s="453"/>
      <c r="D51" s="459"/>
      <c r="G51" s="449">
        <f>V63</f>
        <v>33.196495710289391</v>
      </c>
      <c r="P51" s="454"/>
    </row>
    <row r="52" spans="2:22" ht="17" thickBot="1" x14ac:dyDescent="0.25">
      <c r="B52" s="453"/>
      <c r="D52" s="448"/>
      <c r="K52" s="28" t="s">
        <v>1753</v>
      </c>
      <c r="P52" s="454"/>
    </row>
    <row r="53" spans="2:22" ht="17" thickBot="1" x14ac:dyDescent="0.25">
      <c r="B53" s="453"/>
      <c r="K53" s="469">
        <f>K50-U46*12</f>
        <v>2.8129641103242982</v>
      </c>
      <c r="P53" s="454"/>
    </row>
    <row r="54" spans="2:22" x14ac:dyDescent="0.15">
      <c r="B54" s="453"/>
      <c r="P54" s="454"/>
    </row>
    <row r="55" spans="2:22" x14ac:dyDescent="0.15">
      <c r="B55" s="453"/>
      <c r="P55" s="454"/>
      <c r="T55" s="462" t="s">
        <v>1803</v>
      </c>
      <c r="U55" s="15">
        <f>M59</f>
        <v>12</v>
      </c>
    </row>
    <row r="56" spans="2:22" x14ac:dyDescent="0.15">
      <c r="B56" s="453"/>
      <c r="P56" s="454"/>
      <c r="T56" s="462" t="s">
        <v>1804</v>
      </c>
      <c r="U56" s="460">
        <f>(U41/U40)*M59/12</f>
        <v>0.9771986970684039</v>
      </c>
    </row>
    <row r="57" spans="2:22" x14ac:dyDescent="0.15">
      <c r="B57" s="453"/>
      <c r="P57" s="454"/>
      <c r="T57" s="462"/>
    </row>
    <row r="58" spans="2:22" ht="14" thickBot="1" x14ac:dyDescent="0.2">
      <c r="B58" s="453"/>
      <c r="M58" s="28" t="s">
        <v>1753</v>
      </c>
      <c r="P58" s="454"/>
      <c r="T58" s="462"/>
      <c r="U58">
        <f>H34-(C44/12+K53/12)</f>
        <v>23.96114007498938</v>
      </c>
      <c r="V58">
        <f>U58*U58</f>
        <v>574.13623369326206</v>
      </c>
    </row>
    <row r="59" spans="2:22" ht="17" thickBot="1" x14ac:dyDescent="0.25">
      <c r="B59" s="453"/>
      <c r="M59" s="811">
        <v>12</v>
      </c>
      <c r="P59" s="454"/>
      <c r="U59" s="15">
        <f>N47-C40/12</f>
        <v>23</v>
      </c>
      <c r="V59" s="15">
        <f>U59*U59</f>
        <v>529</v>
      </c>
    </row>
    <row r="60" spans="2:22" ht="16" x14ac:dyDescent="0.2">
      <c r="B60" s="453"/>
      <c r="M60" s="448" t="s">
        <v>1795</v>
      </c>
      <c r="P60" s="454"/>
      <c r="V60" s="460">
        <f>SUM(V58:V59)</f>
        <v>1103.1362336932621</v>
      </c>
    </row>
    <row r="61" spans="2:22" x14ac:dyDescent="0.15">
      <c r="B61" s="453"/>
      <c r="M61" s="28"/>
      <c r="P61" s="454"/>
      <c r="U61" s="15">
        <f>I46/12</f>
        <v>1.0625</v>
      </c>
      <c r="V61" s="15">
        <f>U61*U61</f>
        <v>1.12890625</v>
      </c>
    </row>
    <row r="62" spans="2:22" ht="14" thickBot="1" x14ac:dyDescent="0.2">
      <c r="B62" s="455"/>
      <c r="C62" s="456"/>
      <c r="D62" s="456"/>
      <c r="E62" s="456"/>
      <c r="F62" s="456"/>
      <c r="G62" s="456"/>
      <c r="H62" s="456"/>
      <c r="I62" s="456"/>
      <c r="J62" s="456"/>
      <c r="K62" s="456"/>
      <c r="L62" s="456"/>
      <c r="M62" s="465"/>
      <c r="N62" s="456"/>
      <c r="O62" s="456"/>
      <c r="P62" s="457"/>
      <c r="V62" s="447">
        <f>V60-V61</f>
        <v>1102.0073274432621</v>
      </c>
    </row>
    <row r="63" spans="2:22" x14ac:dyDescent="0.15">
      <c r="B63" s="450"/>
      <c r="C63" s="451"/>
      <c r="D63" s="451"/>
      <c r="E63" s="451"/>
      <c r="F63" s="451"/>
      <c r="G63" s="451"/>
      <c r="H63" s="451"/>
      <c r="I63" s="451"/>
      <c r="J63" s="451"/>
      <c r="K63" s="451"/>
      <c r="L63" s="451"/>
      <c r="M63" s="451"/>
      <c r="N63" s="451"/>
      <c r="O63" s="451"/>
      <c r="P63" s="452"/>
      <c r="V63">
        <f>SQRT(V62)</f>
        <v>33.196495710289391</v>
      </c>
    </row>
    <row r="64" spans="2:22" ht="20" x14ac:dyDescent="0.2">
      <c r="B64" s="453"/>
      <c r="D64" s="468" t="s">
        <v>1807</v>
      </c>
      <c r="P64" s="454"/>
    </row>
    <row r="65" spans="2:25" ht="14" thickBot="1" x14ac:dyDescent="0.2">
      <c r="B65" s="453"/>
      <c r="D65" s="464"/>
      <c r="H65" s="28" t="s">
        <v>1783</v>
      </c>
      <c r="N65" s="404"/>
      <c r="O65" s="294"/>
      <c r="P65" s="454"/>
    </row>
    <row r="66" spans="2:25" ht="17" thickBot="1" x14ac:dyDescent="0.25">
      <c r="B66" s="453"/>
      <c r="D66" s="28" t="s">
        <v>1753</v>
      </c>
      <c r="H66" s="812">
        <v>6</v>
      </c>
      <c r="N66" s="476"/>
      <c r="O66" s="477"/>
      <c r="P66" s="454"/>
      <c r="T66" s="461">
        <f>H66*H66</f>
        <v>36</v>
      </c>
      <c r="U66" s="460">
        <f>(C72-D67)/12</f>
        <v>1.25</v>
      </c>
    </row>
    <row r="67" spans="2:25" ht="17" thickBot="1" x14ac:dyDescent="0.25">
      <c r="B67" s="453"/>
      <c r="D67" s="811">
        <v>10</v>
      </c>
      <c r="H67" s="448" t="s">
        <v>1795</v>
      </c>
      <c r="P67" s="454"/>
      <c r="S67" s="461">
        <f>N79-D67/12+M91/12</f>
        <v>24.166666666666668</v>
      </c>
      <c r="T67" s="461">
        <f>S67*S67</f>
        <v>584.02777777777783</v>
      </c>
    </row>
    <row r="68" spans="2:25" ht="17" thickBot="1" x14ac:dyDescent="0.25">
      <c r="B68" s="453"/>
      <c r="D68" s="448" t="s">
        <v>1795</v>
      </c>
      <c r="H68" s="458"/>
      <c r="N68" s="471" t="s">
        <v>1806</v>
      </c>
      <c r="O68" s="472"/>
      <c r="P68" s="454"/>
      <c r="T68" s="447">
        <f>SUM(T66:T67)</f>
        <v>620.02777777777783</v>
      </c>
    </row>
    <row r="69" spans="2:25" ht="18" thickTop="1" thickBot="1" x14ac:dyDescent="0.25">
      <c r="B69" s="453"/>
      <c r="G69" s="28" t="s">
        <v>1753</v>
      </c>
      <c r="H69" s="448"/>
      <c r="N69" s="207" t="s">
        <v>1783</v>
      </c>
      <c r="O69" s="473" t="s">
        <v>1788</v>
      </c>
      <c r="P69" s="454"/>
      <c r="S69" s="763" t="s">
        <v>96</v>
      </c>
      <c r="T69" s="764" t="s">
        <v>94</v>
      </c>
      <c r="V69" s="763" t="s">
        <v>95</v>
      </c>
      <c r="W69" s="769" t="s">
        <v>1823</v>
      </c>
      <c r="X69" s="769" t="s">
        <v>1824</v>
      </c>
      <c r="Y69" s="771" t="s">
        <v>1730</v>
      </c>
    </row>
    <row r="70" spans="2:25" ht="17" thickBot="1" x14ac:dyDescent="0.25">
      <c r="B70" s="453"/>
      <c r="G70" s="466">
        <f>U77*12</f>
        <v>3.7241379310344831</v>
      </c>
      <c r="N70" s="474">
        <f>G83</f>
        <v>24.025180161800755</v>
      </c>
      <c r="O70" s="475">
        <f>N70/3.2808399</f>
        <v>7.3228749021860997</v>
      </c>
      <c r="P70" s="454"/>
      <c r="R70" s="447"/>
      <c r="S70" s="766">
        <f>D82</f>
        <v>22.916666666666668</v>
      </c>
      <c r="T70" s="1166">
        <f>H72</f>
        <v>5.6896551724137927</v>
      </c>
      <c r="U70" s="761"/>
      <c r="V70" s="766">
        <f>SQRT(SUMSQ(S70)+SUMSQ(T70))</f>
        <v>23.612407481916922</v>
      </c>
      <c r="W70" s="767">
        <v>90</v>
      </c>
      <c r="X70" s="777">
        <f>ATAN(S70/T70)*180/PI()</f>
        <v>76.05676907944634</v>
      </c>
      <c r="Y70" s="778">
        <f>ATAN(T70/S70)*180/PI()</f>
        <v>13.943230920553665</v>
      </c>
    </row>
    <row r="71" spans="2:25" ht="14" thickBot="1" x14ac:dyDescent="0.2">
      <c r="B71" s="453"/>
      <c r="C71" s="28" t="s">
        <v>1753</v>
      </c>
      <c r="H71" s="28" t="s">
        <v>1783</v>
      </c>
      <c r="P71" s="454"/>
      <c r="T71" s="462"/>
      <c r="U71" s="15"/>
      <c r="V71" s="461"/>
    </row>
    <row r="72" spans="2:25" ht="17" thickBot="1" x14ac:dyDescent="0.25">
      <c r="B72" s="453"/>
      <c r="C72" s="811">
        <v>25</v>
      </c>
      <c r="H72" s="466">
        <f>H66-G70/12</f>
        <v>5.6896551724137927</v>
      </c>
      <c r="P72" s="454"/>
      <c r="T72" s="462" t="s">
        <v>1797</v>
      </c>
      <c r="U72" s="447">
        <f>N79-D67/12</f>
        <v>24.166666666666668</v>
      </c>
      <c r="V72">
        <f>U72*U72</f>
        <v>584.02777777777783</v>
      </c>
    </row>
    <row r="73" spans="2:25" ht="16" x14ac:dyDescent="0.2">
      <c r="B73" s="453"/>
      <c r="C73" s="448" t="s">
        <v>1795</v>
      </c>
      <c r="I73" s="28"/>
      <c r="P73" s="454"/>
      <c r="S73" s="447"/>
      <c r="T73" s="462" t="s">
        <v>1798</v>
      </c>
      <c r="U73" s="447">
        <f>H66</f>
        <v>6</v>
      </c>
      <c r="V73">
        <f>U73*U73</f>
        <v>36</v>
      </c>
    </row>
    <row r="74" spans="2:25" ht="14" thickBot="1" x14ac:dyDescent="0.2">
      <c r="B74" s="453"/>
      <c r="L74" s="28"/>
      <c r="P74" s="454"/>
      <c r="T74" s="462" t="s">
        <v>1809</v>
      </c>
      <c r="U74" s="447">
        <f>SQRT(V74)</f>
        <v>24.900356980930571</v>
      </c>
      <c r="V74">
        <f>SUM(V72:V73)</f>
        <v>620.02777777777783</v>
      </c>
    </row>
    <row r="75" spans="2:25" ht="17" thickBot="1" x14ac:dyDescent="0.25">
      <c r="B75" s="453"/>
      <c r="C75" s="28" t="s">
        <v>1753</v>
      </c>
      <c r="H75" s="303">
        <f>X70</f>
        <v>76.05676907944634</v>
      </c>
      <c r="I75" s="448"/>
      <c r="L75" s="459"/>
      <c r="P75" s="454"/>
    </row>
    <row r="76" spans="2:25" ht="17" thickBot="1" x14ac:dyDescent="0.25">
      <c r="B76" s="453"/>
      <c r="C76" s="470">
        <f>G70-(U82*12)</f>
        <v>-2.8444045139351326</v>
      </c>
      <c r="L76" s="448"/>
      <c r="P76" s="454"/>
      <c r="S76" s="447"/>
      <c r="T76" s="462" t="s">
        <v>1800</v>
      </c>
      <c r="U76" s="447">
        <f>(C72-D67)/12</f>
        <v>1.25</v>
      </c>
      <c r="V76" s="447">
        <f>U76*U76</f>
        <v>1.5625</v>
      </c>
    </row>
    <row r="77" spans="2:25" ht="14" thickBot="1" x14ac:dyDescent="0.2">
      <c r="B77" s="453"/>
      <c r="I77" s="28" t="s">
        <v>1753</v>
      </c>
      <c r="P77" s="454"/>
      <c r="T77" s="462" t="s">
        <v>1801</v>
      </c>
      <c r="U77" s="447">
        <f>U76*(U73/U72)</f>
        <v>0.31034482758620691</v>
      </c>
      <c r="V77" s="447">
        <f>U77*U77</f>
        <v>9.631391200951249E-2</v>
      </c>
    </row>
    <row r="78" spans="2:25" ht="15" thickBot="1" x14ac:dyDescent="0.2">
      <c r="B78" s="453"/>
      <c r="I78" s="813">
        <v>12.75</v>
      </c>
      <c r="N78" s="28" t="s">
        <v>1783</v>
      </c>
      <c r="P78" s="454"/>
      <c r="T78" s="462" t="s">
        <v>1802</v>
      </c>
      <c r="U78" s="447">
        <f>SQRT(V78)</f>
        <v>1.2879494990136502</v>
      </c>
      <c r="V78" s="447">
        <f>SUM(V76:V77)</f>
        <v>1.6588139120095124</v>
      </c>
    </row>
    <row r="79" spans="2:25" ht="17" thickBot="1" x14ac:dyDescent="0.25">
      <c r="B79" s="453"/>
      <c r="I79" s="448" t="s">
        <v>1795</v>
      </c>
      <c r="N79" s="812">
        <v>25</v>
      </c>
      <c r="P79" s="454"/>
      <c r="U79" s="447"/>
      <c r="V79" s="447"/>
    </row>
    <row r="80" spans="2:25" ht="16" x14ac:dyDescent="0.2">
      <c r="B80" s="453"/>
      <c r="K80" s="17"/>
      <c r="L80" s="28" t="s">
        <v>1808</v>
      </c>
      <c r="N80" s="448" t="s">
        <v>1795</v>
      </c>
      <c r="O80" s="448"/>
      <c r="P80" s="454"/>
      <c r="T80" s="462" t="s">
        <v>1803</v>
      </c>
      <c r="U80" s="447">
        <f>(I78/2)/12</f>
        <v>0.53125</v>
      </c>
      <c r="V80" s="447">
        <f>U80*U80</f>
        <v>0.2822265625</v>
      </c>
    </row>
    <row r="81" spans="2:22" ht="14" thickBot="1" x14ac:dyDescent="0.2">
      <c r="B81" s="453"/>
      <c r="D81" s="28" t="s">
        <v>1783</v>
      </c>
      <c r="K81" s="28"/>
      <c r="L81" s="28" t="s">
        <v>1753</v>
      </c>
      <c r="P81" s="454"/>
      <c r="T81" s="462" t="s">
        <v>1804</v>
      </c>
      <c r="U81" s="447">
        <f>U80*(U73/U72)</f>
        <v>0.13189655172413792</v>
      </c>
      <c r="V81" s="447">
        <f>U81*U81</f>
        <v>1.7396700356718187E-2</v>
      </c>
    </row>
    <row r="82" spans="2:22" ht="17" thickBot="1" x14ac:dyDescent="0.25">
      <c r="B82" s="453"/>
      <c r="D82" s="466">
        <f>N79-C72/12</f>
        <v>22.916666666666668</v>
      </c>
      <c r="G82" s="28" t="s">
        <v>1783</v>
      </c>
      <c r="K82" s="481"/>
      <c r="L82" s="811">
        <v>10.75</v>
      </c>
      <c r="P82" s="454"/>
      <c r="T82" s="462" t="s">
        <v>1810</v>
      </c>
      <c r="U82" s="447">
        <f>SQRT(V82)</f>
        <v>0.54737853708080131</v>
      </c>
      <c r="V82" s="447">
        <f>SUM(V80:V81)</f>
        <v>0.2996232628567182</v>
      </c>
    </row>
    <row r="83" spans="2:22" ht="17" thickBot="1" x14ac:dyDescent="0.25">
      <c r="B83" s="453"/>
      <c r="D83" s="459"/>
      <c r="G83" s="449">
        <f>U74-U78+U81-U85+U86</f>
        <v>24.025180161800755</v>
      </c>
      <c r="K83" s="448"/>
      <c r="L83" s="448" t="s">
        <v>1795</v>
      </c>
      <c r="P83" s="454"/>
      <c r="T83" s="462" t="s">
        <v>1811</v>
      </c>
      <c r="U83" s="447">
        <f>U84*(U72/U73)</f>
        <v>1.8041087962962963</v>
      </c>
      <c r="V83" s="447">
        <f>U83*U83</f>
        <v>3.2548085488736711</v>
      </c>
    </row>
    <row r="84" spans="2:22" ht="16" x14ac:dyDescent="0.2">
      <c r="B84" s="453"/>
      <c r="D84" s="448"/>
      <c r="K84" s="28"/>
      <c r="P84" s="454"/>
      <c r="T84" s="462" t="s">
        <v>1812</v>
      </c>
      <c r="U84" s="447">
        <f>(L82/2)/12</f>
        <v>0.44791666666666669</v>
      </c>
      <c r="V84" s="447">
        <f>U84*U84</f>
        <v>0.20062934027777779</v>
      </c>
    </row>
    <row r="85" spans="2:22" ht="16" x14ac:dyDescent="0.2">
      <c r="B85" s="453"/>
      <c r="K85" s="480"/>
      <c r="P85" s="454"/>
      <c r="T85" s="462" t="s">
        <v>1813</v>
      </c>
      <c r="U85" s="447">
        <f>SQRT(V85)</f>
        <v>1.8588808162847474</v>
      </c>
      <c r="V85" s="447">
        <f>SUM(V83:V84)</f>
        <v>3.4554378891514488</v>
      </c>
    </row>
    <row r="86" spans="2:22" x14ac:dyDescent="0.15">
      <c r="B86" s="453"/>
      <c r="P86" s="454"/>
      <c r="T86" s="462" t="s">
        <v>1814</v>
      </c>
      <c r="U86" s="447">
        <f>U87*(U72/U73)</f>
        <v>2.1397569444444442</v>
      </c>
      <c r="V86" s="447">
        <f>U86*U86</f>
        <v>4.5785597812982246</v>
      </c>
    </row>
    <row r="87" spans="2:22" x14ac:dyDescent="0.15">
      <c r="B87" s="453"/>
      <c r="P87" s="454"/>
      <c r="T87" s="462" t="s">
        <v>1815</v>
      </c>
      <c r="U87" s="447">
        <f>(I78/2)/12</f>
        <v>0.53125</v>
      </c>
      <c r="V87" s="447">
        <f>U87*U87</f>
        <v>0.2822265625</v>
      </c>
    </row>
    <row r="88" spans="2:22" x14ac:dyDescent="0.15">
      <c r="B88" s="453"/>
      <c r="P88" s="454"/>
      <c r="T88" s="462" t="s">
        <v>1816</v>
      </c>
      <c r="U88" s="447">
        <f>SQRT(V88)</f>
        <v>2.2047191076865609</v>
      </c>
      <c r="V88" s="447">
        <f>SUM(V86:V87)</f>
        <v>4.8607863437982246</v>
      </c>
    </row>
    <row r="89" spans="2:22" x14ac:dyDescent="0.15">
      <c r="B89" s="453"/>
      <c r="P89" s="454"/>
      <c r="T89" s="462"/>
      <c r="U89" s="447"/>
      <c r="V89" s="447"/>
    </row>
    <row r="90" spans="2:22" x14ac:dyDescent="0.15">
      <c r="B90" s="453"/>
      <c r="M90" s="28"/>
      <c r="P90" s="454"/>
      <c r="T90" s="462"/>
      <c r="U90" s="447"/>
      <c r="V90" s="447"/>
    </row>
    <row r="91" spans="2:22" ht="17" thickBot="1" x14ac:dyDescent="0.25">
      <c r="B91" s="453"/>
      <c r="F91" s="28" t="s">
        <v>1753</v>
      </c>
      <c r="M91" s="479"/>
      <c r="P91" s="454"/>
      <c r="T91" s="447">
        <f>H66-(C76/12)-(L82/2)/12</f>
        <v>5.7891170428279271</v>
      </c>
      <c r="U91" s="447">
        <f>T91*T91</f>
        <v>33.513876135560764</v>
      </c>
      <c r="V91" s="447"/>
    </row>
    <row r="92" spans="2:22" ht="17" thickBot="1" x14ac:dyDescent="0.25">
      <c r="B92" s="453"/>
      <c r="F92" s="470">
        <f>(D82-T93)*12</f>
        <v>-4.8073237366831592</v>
      </c>
      <c r="M92" s="448"/>
      <c r="P92" s="454"/>
      <c r="T92" s="482">
        <f>G83</f>
        <v>24.025180161800755</v>
      </c>
      <c r="U92">
        <f>T92*T92</f>
        <v>577.20928180698456</v>
      </c>
      <c r="V92" s="460"/>
    </row>
    <row r="93" spans="2:22" x14ac:dyDescent="0.15">
      <c r="B93" s="453"/>
      <c r="M93" s="28"/>
      <c r="P93" s="454"/>
      <c r="T93">
        <f>SQRT(U92-U91)</f>
        <v>23.317276978056931</v>
      </c>
      <c r="U93" s="15"/>
      <c r="V93" s="15"/>
    </row>
    <row r="94" spans="2:22" x14ac:dyDescent="0.15">
      <c r="B94" s="453"/>
      <c r="M94" s="486"/>
      <c r="P94" s="454"/>
      <c r="V94" s="447"/>
    </row>
    <row r="95" spans="2:22" ht="14" thickBot="1" x14ac:dyDescent="0.2">
      <c r="B95" s="483"/>
      <c r="C95" s="484"/>
      <c r="D95" s="484"/>
      <c r="E95" s="484"/>
      <c r="F95" s="484"/>
      <c r="G95" s="484"/>
      <c r="H95" s="484"/>
      <c r="I95" s="484"/>
      <c r="J95" s="484"/>
      <c r="K95" s="484"/>
      <c r="L95" s="484"/>
      <c r="M95" s="484"/>
      <c r="N95" s="484"/>
      <c r="O95" s="484"/>
      <c r="P95" s="485"/>
      <c r="Q95" s="133"/>
      <c r="R95" s="133"/>
      <c r="S95" s="133"/>
      <c r="T95" s="133"/>
      <c r="U95" s="133"/>
      <c r="V95">
        <f>SQRT(V94)</f>
        <v>0</v>
      </c>
    </row>
    <row r="96" spans="2:22" x14ac:dyDescent="0.15">
      <c r="B96" s="450"/>
      <c r="C96" s="451"/>
      <c r="D96" s="451"/>
      <c r="E96" s="451"/>
      <c r="F96" s="451"/>
      <c r="G96" s="451"/>
      <c r="H96" s="451"/>
      <c r="I96" s="451"/>
      <c r="J96" s="451"/>
      <c r="K96" s="451"/>
      <c r="L96" s="451"/>
      <c r="M96" s="451"/>
      <c r="N96" s="451"/>
      <c r="O96" s="451"/>
      <c r="P96" s="452"/>
      <c r="V96">
        <f>SQRT(V95)</f>
        <v>0</v>
      </c>
    </row>
    <row r="97" spans="2:22" ht="20" x14ac:dyDescent="0.2">
      <c r="B97" s="453"/>
      <c r="D97" s="468" t="s">
        <v>1817</v>
      </c>
      <c r="P97" s="454"/>
    </row>
    <row r="98" spans="2:22" ht="14" thickBot="1" x14ac:dyDescent="0.2">
      <c r="B98" s="453"/>
      <c r="D98" s="464"/>
      <c r="H98" s="28" t="s">
        <v>1783</v>
      </c>
      <c r="N98" s="404"/>
      <c r="O98" s="294"/>
      <c r="P98" s="454"/>
    </row>
    <row r="99" spans="2:22" ht="17" thickBot="1" x14ac:dyDescent="0.25">
      <c r="B99" s="453"/>
      <c r="D99" s="28"/>
      <c r="H99" s="812">
        <v>10.5</v>
      </c>
      <c r="N99" s="476"/>
      <c r="O99" s="477"/>
      <c r="P99" s="454"/>
      <c r="T99" s="461"/>
      <c r="U99" s="460"/>
    </row>
    <row r="100" spans="2:22" ht="17" thickBot="1" x14ac:dyDescent="0.25">
      <c r="B100" s="453"/>
      <c r="D100" s="479"/>
      <c r="H100" s="448" t="s">
        <v>1795</v>
      </c>
      <c r="P100" s="454"/>
      <c r="S100" s="461"/>
      <c r="T100" s="461"/>
    </row>
    <row r="101" spans="2:22" ht="16" x14ac:dyDescent="0.2">
      <c r="B101" s="453"/>
      <c r="D101" s="448"/>
      <c r="H101" s="458"/>
      <c r="N101" s="471" t="s">
        <v>1806</v>
      </c>
      <c r="O101" s="472"/>
      <c r="P101" s="454"/>
      <c r="T101" s="447"/>
    </row>
    <row r="102" spans="2:22" ht="17" thickBot="1" x14ac:dyDescent="0.25">
      <c r="B102" s="453"/>
      <c r="G102" s="28"/>
      <c r="H102" s="448"/>
      <c r="N102" s="207" t="s">
        <v>1783</v>
      </c>
      <c r="O102" s="473" t="s">
        <v>1788</v>
      </c>
      <c r="P102" s="454"/>
    </row>
    <row r="103" spans="2:22" ht="17" thickBot="1" x14ac:dyDescent="0.25">
      <c r="B103" s="453"/>
      <c r="G103" s="28" t="s">
        <v>1753</v>
      </c>
      <c r="N103" s="474">
        <f>G116</f>
        <v>13.421090796518843</v>
      </c>
      <c r="O103" s="475">
        <f>N103/3.2808399</f>
        <v>4.0907484685610056</v>
      </c>
      <c r="P103" s="454"/>
      <c r="R103" s="447"/>
    </row>
    <row r="104" spans="2:22" ht="17" thickBot="1" x14ac:dyDescent="0.25">
      <c r="B104" s="453"/>
      <c r="C104" s="28" t="s">
        <v>1753</v>
      </c>
      <c r="G104" s="466">
        <f>S112*12+1</f>
        <v>10.731881004110818</v>
      </c>
      <c r="H104" s="28"/>
      <c r="P104" s="454"/>
      <c r="T104" s="462"/>
      <c r="U104" s="15"/>
      <c r="V104" s="461"/>
    </row>
    <row r="105" spans="2:22" ht="17" thickBot="1" x14ac:dyDescent="0.25">
      <c r="B105" s="453"/>
      <c r="C105" s="811">
        <v>20</v>
      </c>
      <c r="H105" s="488"/>
      <c r="P105" s="454"/>
      <c r="T105" s="462"/>
      <c r="U105" s="447"/>
    </row>
    <row r="106" spans="2:22" ht="16" x14ac:dyDescent="0.2">
      <c r="B106" s="453"/>
      <c r="C106" s="448" t="s">
        <v>1795</v>
      </c>
      <c r="I106" s="28"/>
      <c r="P106" s="454"/>
      <c r="R106" s="462" t="s">
        <v>1797</v>
      </c>
      <c r="S106" s="447">
        <f>D115-2/12</f>
        <v>8.7916666666666679</v>
      </c>
      <c r="T106" s="462">
        <f>S106*S106</f>
        <v>77.2934027777778</v>
      </c>
      <c r="U106" s="447"/>
    </row>
    <row r="107" spans="2:22" ht="14" thickBot="1" x14ac:dyDescent="0.2">
      <c r="B107" s="453"/>
      <c r="L107" s="28"/>
      <c r="P107" s="454"/>
      <c r="R107" s="462" t="s">
        <v>1798</v>
      </c>
      <c r="S107" s="447">
        <f>H99-(L115/2+1)/12</f>
        <v>10.140625</v>
      </c>
      <c r="T107" s="462">
        <f>S107*S107</f>
        <v>102.832275390625</v>
      </c>
      <c r="U107" s="447"/>
    </row>
    <row r="108" spans="2:22" ht="17" thickBot="1" x14ac:dyDescent="0.25">
      <c r="B108" s="453"/>
      <c r="C108" s="28"/>
      <c r="H108" s="303">
        <f>Y114</f>
        <v>40.924464785848429</v>
      </c>
      <c r="I108" s="448"/>
      <c r="L108" s="459"/>
      <c r="P108" s="454"/>
      <c r="R108" s="462" t="s">
        <v>1809</v>
      </c>
      <c r="S108" s="482">
        <f>G116</f>
        <v>13.421090796518843</v>
      </c>
      <c r="T108">
        <f>SUM(T106:T107)</f>
        <v>180.1256781684028</v>
      </c>
    </row>
    <row r="109" spans="2:22" ht="16" x14ac:dyDescent="0.2">
      <c r="B109" s="453"/>
      <c r="C109" s="487"/>
      <c r="L109" s="448"/>
      <c r="P109" s="454"/>
      <c r="S109" s="447"/>
      <c r="T109" s="462"/>
      <c r="U109" s="447"/>
      <c r="V109" s="447"/>
    </row>
    <row r="110" spans="2:22" ht="14" thickBot="1" x14ac:dyDescent="0.2">
      <c r="B110" s="453"/>
      <c r="I110" s="28" t="s">
        <v>1753</v>
      </c>
      <c r="P110" s="454"/>
      <c r="R110" s="462" t="s">
        <v>1800</v>
      </c>
      <c r="S110" s="447">
        <f>(I111/2)/12</f>
        <v>0.53125</v>
      </c>
      <c r="T110" s="489">
        <f>S110*S110</f>
        <v>0.2822265625</v>
      </c>
      <c r="U110" s="447"/>
      <c r="V110" s="447"/>
    </row>
    <row r="111" spans="2:22" ht="15" thickBot="1" x14ac:dyDescent="0.2">
      <c r="B111" s="453"/>
      <c r="I111" s="813">
        <v>12.75</v>
      </c>
      <c r="N111" s="28" t="s">
        <v>1783</v>
      </c>
      <c r="P111" s="454"/>
      <c r="R111" s="462" t="s">
        <v>1801</v>
      </c>
      <c r="S111" s="447">
        <f>S110*(S107/S106)</f>
        <v>0.61276288507109</v>
      </c>
      <c r="T111" s="489">
        <f>S111*S111</f>
        <v>0.37547835332064583</v>
      </c>
      <c r="U111" s="447"/>
      <c r="V111" s="447"/>
    </row>
    <row r="112" spans="2:22" ht="17" thickBot="1" x14ac:dyDescent="0.25">
      <c r="B112" s="453"/>
      <c r="I112" s="448" t="s">
        <v>1795</v>
      </c>
      <c r="N112" s="812">
        <v>10.625</v>
      </c>
      <c r="P112" s="454"/>
      <c r="R112" s="462" t="s">
        <v>1802</v>
      </c>
      <c r="S112" s="447">
        <f>SQRT(T112)</f>
        <v>0.81099008367590153</v>
      </c>
      <c r="T112" s="447">
        <f>SUM(T110:T111)</f>
        <v>0.65770491582064583</v>
      </c>
      <c r="U112" s="447"/>
      <c r="V112" s="447"/>
    </row>
    <row r="113" spans="2:25" ht="17" thickTop="1" x14ac:dyDescent="0.2">
      <c r="B113" s="453"/>
      <c r="K113" s="17"/>
      <c r="L113" s="28"/>
      <c r="N113" s="448" t="s">
        <v>1795</v>
      </c>
      <c r="O113" s="448"/>
      <c r="P113" s="454"/>
      <c r="S113" s="763" t="s">
        <v>96</v>
      </c>
      <c r="T113" s="764" t="s">
        <v>94</v>
      </c>
      <c r="V113" s="763" t="s">
        <v>95</v>
      </c>
      <c r="W113" s="769" t="s">
        <v>1823</v>
      </c>
      <c r="X113" s="769" t="s">
        <v>1824</v>
      </c>
      <c r="Y113" s="771" t="s">
        <v>1730</v>
      </c>
    </row>
    <row r="114" spans="2:25" ht="17" thickBot="1" x14ac:dyDescent="0.25">
      <c r="B114" s="453"/>
      <c r="D114" s="28" t="s">
        <v>1783</v>
      </c>
      <c r="K114" s="28"/>
      <c r="L114" s="28" t="s">
        <v>1753</v>
      </c>
      <c r="P114" s="454"/>
      <c r="S114" s="766">
        <f>S116</f>
        <v>10.140625</v>
      </c>
      <c r="T114" s="1166">
        <f>S115</f>
        <v>8.7916666666666679</v>
      </c>
      <c r="U114" s="761"/>
      <c r="V114" s="766">
        <f>SQRT(SUMSQ(S114)+SUMSQ(T114))</f>
        <v>13.421090796518843</v>
      </c>
      <c r="W114" s="767">
        <v>90</v>
      </c>
      <c r="X114" s="777">
        <f>ATAN(S114/T114)*180/PI()</f>
        <v>49.075535214151579</v>
      </c>
      <c r="Y114" s="778">
        <f>ATAN(T114/S114)*180/PI()</f>
        <v>40.924464785848429</v>
      </c>
    </row>
    <row r="115" spans="2:25" ht="18" thickTop="1" thickBot="1" x14ac:dyDescent="0.25">
      <c r="B115" s="453"/>
      <c r="D115" s="466">
        <f>N112-C105/12</f>
        <v>8.9583333333333339</v>
      </c>
      <c r="G115" s="28" t="s">
        <v>1783</v>
      </c>
      <c r="K115" s="481"/>
      <c r="L115" s="811">
        <v>6.625</v>
      </c>
      <c r="P115" s="454"/>
      <c r="S115">
        <f>D115-(2/12)</f>
        <v>8.7916666666666679</v>
      </c>
      <c r="T115" s="462"/>
      <c r="U115" s="447"/>
      <c r="V115" s="447"/>
    </row>
    <row r="116" spans="2:25" ht="17" thickBot="1" x14ac:dyDescent="0.25">
      <c r="B116" s="453"/>
      <c r="D116" s="459"/>
      <c r="G116" s="449">
        <f>SQRT(T108)</f>
        <v>13.421090796518843</v>
      </c>
      <c r="K116" s="448"/>
      <c r="L116" s="448" t="s">
        <v>1795</v>
      </c>
      <c r="P116" s="454"/>
      <c r="S116" s="447">
        <f>H99-(1/12)-(L115/2)/12</f>
        <v>10.140625</v>
      </c>
      <c r="T116" s="462"/>
      <c r="U116" s="447"/>
      <c r="V116" s="447"/>
    </row>
    <row r="117" spans="2:25" ht="16" x14ac:dyDescent="0.2">
      <c r="B117" s="453"/>
      <c r="D117" s="448"/>
      <c r="K117" s="28"/>
      <c r="P117" s="454"/>
      <c r="T117" s="462"/>
      <c r="U117" s="447"/>
      <c r="V117" s="447"/>
    </row>
    <row r="118" spans="2:25" ht="16" x14ac:dyDescent="0.2">
      <c r="B118" s="453"/>
      <c r="K118" s="480"/>
      <c r="P118" s="454"/>
      <c r="T118" s="462"/>
      <c r="U118" s="447"/>
      <c r="V118" s="447"/>
    </row>
    <row r="119" spans="2:25" x14ac:dyDescent="0.15">
      <c r="B119" s="453"/>
      <c r="P119" s="454"/>
      <c r="T119" s="462"/>
      <c r="U119" s="447"/>
      <c r="V119" s="447"/>
    </row>
    <row r="120" spans="2:25" x14ac:dyDescent="0.15">
      <c r="B120" s="453"/>
      <c r="P120" s="454"/>
      <c r="T120" s="462"/>
      <c r="U120" s="447"/>
      <c r="V120" s="447"/>
    </row>
    <row r="121" spans="2:25" x14ac:dyDescent="0.15">
      <c r="B121" s="453"/>
      <c r="P121" s="454"/>
      <c r="T121" s="462"/>
      <c r="U121" s="447"/>
      <c r="V121" s="447"/>
    </row>
    <row r="122" spans="2:25" x14ac:dyDescent="0.15">
      <c r="B122" s="453"/>
      <c r="P122" s="454"/>
      <c r="T122" s="462"/>
      <c r="U122" s="447"/>
      <c r="V122" s="447"/>
    </row>
    <row r="123" spans="2:25" x14ac:dyDescent="0.15">
      <c r="B123" s="453"/>
      <c r="M123" s="28"/>
      <c r="P123" s="454"/>
      <c r="T123" s="462"/>
      <c r="U123" s="447"/>
      <c r="V123" s="447"/>
    </row>
    <row r="124" spans="2:25" ht="16" x14ac:dyDescent="0.2">
      <c r="B124" s="453"/>
      <c r="F124" s="28"/>
      <c r="M124" s="479"/>
      <c r="P124" s="454"/>
      <c r="T124" s="447"/>
      <c r="U124" s="447"/>
      <c r="V124" s="447"/>
    </row>
    <row r="125" spans="2:25" ht="16" x14ac:dyDescent="0.2">
      <c r="B125" s="453"/>
      <c r="F125" s="487"/>
      <c r="M125" s="448"/>
      <c r="P125" s="454"/>
      <c r="T125" s="482"/>
      <c r="V125" s="460"/>
    </row>
    <row r="126" spans="2:25" x14ac:dyDescent="0.15">
      <c r="B126" s="453"/>
      <c r="M126" s="28"/>
      <c r="P126" s="454"/>
      <c r="U126" s="15"/>
      <c r="V126" s="15"/>
    </row>
    <row r="127" spans="2:25" x14ac:dyDescent="0.15">
      <c r="B127" s="453"/>
      <c r="M127" s="486"/>
      <c r="P127" s="454"/>
      <c r="V127" s="447"/>
    </row>
    <row r="128" spans="2:25" ht="14" thickBot="1" x14ac:dyDescent="0.2">
      <c r="B128" s="483"/>
      <c r="C128" s="484"/>
      <c r="D128" s="484"/>
      <c r="E128" s="484"/>
      <c r="F128" s="484"/>
      <c r="G128" s="484"/>
      <c r="H128" s="484"/>
      <c r="I128" s="484"/>
      <c r="J128" s="484"/>
      <c r="K128" s="484"/>
      <c r="L128" s="484"/>
      <c r="M128" s="484"/>
      <c r="N128" s="484"/>
      <c r="O128" s="484"/>
      <c r="P128" s="485"/>
      <c r="Q128" s="133"/>
      <c r="R128" s="133"/>
      <c r="S128" s="133"/>
      <c r="T128" s="133"/>
      <c r="U128" s="133"/>
    </row>
    <row r="129" spans="2:21" ht="20" x14ac:dyDescent="0.2">
      <c r="B129" s="1120"/>
      <c r="C129" s="1121"/>
      <c r="D129" s="467" t="s">
        <v>786</v>
      </c>
      <c r="E129" s="1121"/>
      <c r="F129" s="1121"/>
      <c r="G129" s="1121"/>
      <c r="H129" s="1121"/>
      <c r="I129" s="1121"/>
      <c r="J129" s="1121"/>
      <c r="K129" s="1121"/>
      <c r="L129" s="1121"/>
      <c r="M129" s="1121"/>
      <c r="N129" s="1121"/>
      <c r="O129" s="1121"/>
      <c r="P129" s="1122"/>
      <c r="Q129" s="133"/>
      <c r="R129" s="133"/>
      <c r="S129" s="133"/>
      <c r="T129" s="133"/>
      <c r="U129" s="133"/>
    </row>
    <row r="130" spans="2:21" x14ac:dyDescent="0.15">
      <c r="B130" s="453"/>
      <c r="P130" s="454"/>
    </row>
    <row r="131" spans="2:21" ht="14" thickBot="1" x14ac:dyDescent="0.2">
      <c r="B131" s="453"/>
      <c r="H131" s="28" t="s">
        <v>161</v>
      </c>
      <c r="P131" s="454"/>
    </row>
    <row r="132" spans="2:21" ht="17" thickBot="1" x14ac:dyDescent="0.25">
      <c r="B132" s="453"/>
      <c r="H132" s="1114">
        <v>3000</v>
      </c>
      <c r="P132" s="454"/>
    </row>
    <row r="133" spans="2:21" ht="17" thickBot="1" x14ac:dyDescent="0.25">
      <c r="B133" s="453"/>
      <c r="C133" s="28" t="s">
        <v>161</v>
      </c>
      <c r="G133" s="28" t="s">
        <v>161</v>
      </c>
      <c r="H133" s="448" t="s">
        <v>1795</v>
      </c>
      <c r="P133" s="454"/>
    </row>
    <row r="134" spans="2:21" ht="17" thickBot="1" x14ac:dyDescent="0.25">
      <c r="B134" s="453"/>
      <c r="C134" s="1115">
        <f>C139/2</f>
        <v>273</v>
      </c>
      <c r="G134" s="1115">
        <f>((D150/2)+50+V152)-X150</f>
        <v>-183.5746909297344</v>
      </c>
      <c r="P134" s="454"/>
    </row>
    <row r="135" spans="2:21" ht="14" thickBot="1" x14ac:dyDescent="0.2">
      <c r="B135" s="453"/>
      <c r="P135" s="454"/>
    </row>
    <row r="136" spans="2:21" ht="16" x14ac:dyDescent="0.2">
      <c r="B136" s="453"/>
      <c r="N136" s="471" t="s">
        <v>1806</v>
      </c>
      <c r="O136" s="472"/>
      <c r="P136" s="454"/>
    </row>
    <row r="137" spans="2:21" ht="14" thickBot="1" x14ac:dyDescent="0.2">
      <c r="B137" s="453"/>
      <c r="N137" s="207" t="s">
        <v>1783</v>
      </c>
      <c r="O137" s="473" t="s">
        <v>1788</v>
      </c>
      <c r="P137" s="454"/>
      <c r="R137" s="1041">
        <f>H132-((D150/2+50)+(L142/2+50))</f>
        <v>2600</v>
      </c>
      <c r="S137">
        <f>R137*R137</f>
        <v>6760000</v>
      </c>
    </row>
    <row r="138" spans="2:21" ht="17" thickBot="1" x14ac:dyDescent="0.25">
      <c r="B138" s="453"/>
      <c r="C138" s="28" t="s">
        <v>161</v>
      </c>
      <c r="N138" s="474">
        <f>(G150/25.4)/12</f>
        <v>8.6012403646156681</v>
      </c>
      <c r="O138" s="475">
        <f>G150/1000</f>
        <v>2.6216580631348552</v>
      </c>
      <c r="P138" s="454"/>
      <c r="R138" s="1041">
        <f>N146-C139</f>
        <v>454</v>
      </c>
      <c r="S138">
        <f>R138*R138</f>
        <v>206116</v>
      </c>
    </row>
    <row r="139" spans="2:21" ht="17" thickBot="1" x14ac:dyDescent="0.25">
      <c r="B139" s="453"/>
      <c r="C139" s="1114">
        <v>546</v>
      </c>
      <c r="P139" s="454"/>
      <c r="S139">
        <f>SUM(S137:S138)</f>
        <v>6966116</v>
      </c>
    </row>
    <row r="140" spans="2:21" ht="16" x14ac:dyDescent="0.2">
      <c r="B140" s="453"/>
      <c r="C140" s="448" t="s">
        <v>1795</v>
      </c>
      <c r="I140" s="28"/>
      <c r="P140" s="454"/>
      <c r="S140" s="447">
        <f>I145</f>
        <v>305</v>
      </c>
    </row>
    <row r="141" spans="2:21" ht="14" thickBot="1" x14ac:dyDescent="0.2">
      <c r="B141" s="453"/>
      <c r="H141" s="28"/>
      <c r="L141" s="28" t="s">
        <v>161</v>
      </c>
      <c r="P141" s="454"/>
      <c r="S141">
        <f>S140*S140</f>
        <v>93025</v>
      </c>
    </row>
    <row r="142" spans="2:21" ht="17" thickBot="1" x14ac:dyDescent="0.25">
      <c r="B142" s="453"/>
      <c r="H142" s="1116">
        <f>X146+Y148</f>
        <v>16.54074139846421</v>
      </c>
      <c r="I142" s="448"/>
      <c r="L142" s="1114">
        <v>300</v>
      </c>
      <c r="P142" s="454"/>
      <c r="S142">
        <f>S139-S141</f>
        <v>6873091</v>
      </c>
    </row>
    <row r="143" spans="2:21" ht="16" x14ac:dyDescent="0.2">
      <c r="B143" s="453"/>
      <c r="H143" s="1"/>
      <c r="L143" s="448" t="s">
        <v>1795</v>
      </c>
      <c r="P143" s="454"/>
      <c r="S143" s="447">
        <f>SQRT(S142)</f>
        <v>2621.6580631348552</v>
      </c>
    </row>
    <row r="144" spans="2:21" ht="14" thickBot="1" x14ac:dyDescent="0.2">
      <c r="B144" s="453"/>
      <c r="I144" s="28" t="s">
        <v>161</v>
      </c>
      <c r="P144" s="454"/>
    </row>
    <row r="145" spans="2:25" ht="18" thickTop="1" thickBot="1" x14ac:dyDescent="0.25">
      <c r="B145" s="453"/>
      <c r="I145" s="1114">
        <v>305</v>
      </c>
      <c r="N145" s="28" t="s">
        <v>161</v>
      </c>
      <c r="P145" s="454"/>
      <c r="S145" s="763" t="s">
        <v>96</v>
      </c>
      <c r="T145" s="764" t="s">
        <v>94</v>
      </c>
      <c r="V145" s="763" t="s">
        <v>95</v>
      </c>
      <c r="W145" s="769" t="s">
        <v>1823</v>
      </c>
      <c r="X145" s="769" t="s">
        <v>1824</v>
      </c>
      <c r="Y145" s="771" t="s">
        <v>1730</v>
      </c>
    </row>
    <row r="146" spans="2:25" ht="17" thickBot="1" x14ac:dyDescent="0.25">
      <c r="B146" s="453"/>
      <c r="I146" s="448" t="s">
        <v>1795</v>
      </c>
      <c r="N146" s="1114">
        <v>1000</v>
      </c>
      <c r="P146" s="454"/>
      <c r="S146" s="1117">
        <f>N146-C139</f>
        <v>454</v>
      </c>
      <c r="T146" s="1118">
        <f>R137</f>
        <v>2600</v>
      </c>
      <c r="U146" s="761"/>
      <c r="V146" s="766">
        <f>SQRT(SUMSQ(S146)+SUMSQ(T146))</f>
        <v>2639.3400690324088</v>
      </c>
      <c r="W146" s="767">
        <v>90</v>
      </c>
      <c r="X146" s="777">
        <f>ATAN(S146/T146)*180/PI()</f>
        <v>9.9048620970516357</v>
      </c>
      <c r="Y146" s="778">
        <f>ATAN(T146/S146)*180/PI()</f>
        <v>80.095137902948366</v>
      </c>
    </row>
    <row r="147" spans="2:25" ht="17" thickTop="1" x14ac:dyDescent="0.2">
      <c r="B147" s="453"/>
      <c r="N147" s="448" t="s">
        <v>1795</v>
      </c>
      <c r="O147" s="448"/>
      <c r="P147" s="454"/>
      <c r="S147" s="763" t="s">
        <v>96</v>
      </c>
      <c r="T147" s="764" t="s">
        <v>94</v>
      </c>
      <c r="V147" s="763" t="s">
        <v>95</v>
      </c>
      <c r="W147" s="769" t="s">
        <v>1823</v>
      </c>
      <c r="X147" s="769" t="s">
        <v>1824</v>
      </c>
      <c r="Y147" s="771" t="s">
        <v>1730</v>
      </c>
    </row>
    <row r="148" spans="2:25" ht="17" thickBot="1" x14ac:dyDescent="0.25">
      <c r="B148" s="453"/>
      <c r="P148" s="454"/>
      <c r="S148" s="1117">
        <f>S143</f>
        <v>2621.6580631348552</v>
      </c>
      <c r="T148" s="1118">
        <f>I145</f>
        <v>305</v>
      </c>
      <c r="U148" s="761"/>
      <c r="V148" s="766">
        <f>SQRT(SUMSQ(S148)+SUMSQ(T148))</f>
        <v>2639.3400690324088</v>
      </c>
      <c r="W148" s="767">
        <v>90</v>
      </c>
      <c r="X148" s="777">
        <f>ATAN(S148/T148)*180/PI()</f>
        <v>83.364120698587428</v>
      </c>
      <c r="Y148" s="778">
        <f>ATAN(T148/S148)*180/PI()</f>
        <v>6.635879301412575</v>
      </c>
    </row>
    <row r="149" spans="2:25" ht="18" thickTop="1" thickBot="1" x14ac:dyDescent="0.25">
      <c r="B149" s="453"/>
      <c r="D149" s="28" t="s">
        <v>161</v>
      </c>
      <c r="G149" s="28" t="s">
        <v>161</v>
      </c>
      <c r="P149" s="454"/>
      <c r="S149" s="763" t="s">
        <v>96</v>
      </c>
      <c r="T149" s="771" t="s">
        <v>1824</v>
      </c>
      <c r="V149" s="763" t="s">
        <v>95</v>
      </c>
      <c r="W149" s="769" t="s">
        <v>1823</v>
      </c>
      <c r="X149" s="770" t="s">
        <v>94</v>
      </c>
      <c r="Y149" s="772" t="s">
        <v>1730</v>
      </c>
    </row>
    <row r="150" spans="2:25" ht="17" thickBot="1" x14ac:dyDescent="0.25">
      <c r="B150" s="453"/>
      <c r="D150" s="1114">
        <v>300</v>
      </c>
      <c r="G150" s="1115">
        <f>S143</f>
        <v>2621.6580631348552</v>
      </c>
      <c r="P150" s="454"/>
      <c r="S150" s="1117">
        <f>C134</f>
        <v>273</v>
      </c>
      <c r="T150" s="1119">
        <f>H142</f>
        <v>16.54074139846421</v>
      </c>
      <c r="U150" s="761"/>
      <c r="V150" s="766">
        <f>S150/SIN(T150*PI()/180)</f>
        <v>958.91400430679914</v>
      </c>
      <c r="W150" s="767">
        <v>90</v>
      </c>
      <c r="X150" s="768">
        <f>S150/TAN(T150*PI()/180)</f>
        <v>919.23178124763501</v>
      </c>
      <c r="Y150" s="778">
        <f>90-T150</f>
        <v>73.459258601535794</v>
      </c>
    </row>
    <row r="151" spans="2:25" ht="17" thickTop="1" x14ac:dyDescent="0.2">
      <c r="B151" s="453"/>
      <c r="D151" s="448" t="s">
        <v>1795</v>
      </c>
      <c r="P151" s="454"/>
      <c r="S151" s="763" t="s">
        <v>96</v>
      </c>
      <c r="T151" s="771" t="s">
        <v>1824</v>
      </c>
      <c r="V151" s="763" t="s">
        <v>95</v>
      </c>
      <c r="W151" s="769" t="s">
        <v>1823</v>
      </c>
      <c r="X151" s="770" t="s">
        <v>94</v>
      </c>
      <c r="Y151" s="772" t="s">
        <v>1730</v>
      </c>
    </row>
    <row r="152" spans="2:25" ht="17" thickBot="1" x14ac:dyDescent="0.25">
      <c r="B152" s="453"/>
      <c r="P152" s="454"/>
      <c r="S152" s="1117">
        <f>I145/2</f>
        <v>152.5</v>
      </c>
      <c r="T152" s="1119">
        <f>T150</f>
        <v>16.54074139846421</v>
      </c>
      <c r="U152" s="761"/>
      <c r="V152" s="766">
        <f>S152/SIN(T152*PI()/180)</f>
        <v>535.65709031790061</v>
      </c>
      <c r="W152" s="767">
        <v>90</v>
      </c>
      <c r="X152" s="768">
        <f>S152/TAN(T152*PI()/180)</f>
        <v>513.49028073356897</v>
      </c>
      <c r="Y152" s="778">
        <f>90-T152</f>
        <v>73.459258601535794</v>
      </c>
    </row>
    <row r="153" spans="2:25" ht="17" thickTop="1" x14ac:dyDescent="0.2">
      <c r="B153" s="453"/>
      <c r="P153" s="454"/>
      <c r="S153" s="763" t="s">
        <v>96</v>
      </c>
      <c r="T153" s="771" t="s">
        <v>1824</v>
      </c>
      <c r="V153" s="763" t="s">
        <v>95</v>
      </c>
      <c r="W153" s="769" t="s">
        <v>1823</v>
      </c>
      <c r="X153" s="770" t="s">
        <v>94</v>
      </c>
      <c r="Y153" s="772" t="s">
        <v>1730</v>
      </c>
    </row>
    <row r="154" spans="2:25" ht="17" thickBot="1" x14ac:dyDescent="0.25">
      <c r="B154" s="453"/>
      <c r="P154" s="454"/>
      <c r="S154" s="1117">
        <f>N146+M160-C134</f>
        <v>857</v>
      </c>
      <c r="T154" s="1119">
        <f>H142</f>
        <v>16.54074139846421</v>
      </c>
      <c r="U154" s="761"/>
      <c r="V154" s="766">
        <f>S154/SIN(T154*PI()/180)</f>
        <v>3010.2172223110874</v>
      </c>
      <c r="W154" s="767">
        <v>90</v>
      </c>
      <c r="X154" s="768">
        <f>S154/TAN(T154*PI()/180)</f>
        <v>2885.6470202535647</v>
      </c>
      <c r="Y154" s="778">
        <f>90-T154</f>
        <v>73.459258601535794</v>
      </c>
    </row>
    <row r="155" spans="2:25" ht="14" thickTop="1" x14ac:dyDescent="0.15">
      <c r="B155" s="453"/>
      <c r="P155" s="454"/>
    </row>
    <row r="156" spans="2:25" x14ac:dyDescent="0.15">
      <c r="B156" s="453"/>
      <c r="P156" s="454"/>
    </row>
    <row r="157" spans="2:25" x14ac:dyDescent="0.15">
      <c r="B157" s="453"/>
      <c r="P157" s="454"/>
    </row>
    <row r="158" spans="2:25" x14ac:dyDescent="0.15">
      <c r="B158" s="453"/>
      <c r="P158" s="454"/>
    </row>
    <row r="159" spans="2:25" ht="14" thickBot="1" x14ac:dyDescent="0.2">
      <c r="B159" s="453"/>
      <c r="M159" s="28" t="s">
        <v>161</v>
      </c>
      <c r="P159" s="454"/>
    </row>
    <row r="160" spans="2:25" ht="17" thickBot="1" x14ac:dyDescent="0.25">
      <c r="B160" s="453"/>
      <c r="E160" s="28" t="s">
        <v>161</v>
      </c>
      <c r="M160" s="1115">
        <f>E161/2</f>
        <v>130</v>
      </c>
      <c r="P160" s="454"/>
    </row>
    <row r="161" spans="2:21" ht="17" thickBot="1" x14ac:dyDescent="0.25">
      <c r="B161" s="453"/>
      <c r="E161" s="1114">
        <v>260</v>
      </c>
      <c r="L161" s="28" t="s">
        <v>161</v>
      </c>
      <c r="P161" s="454"/>
    </row>
    <row r="162" spans="2:21" ht="17" thickBot="1" x14ac:dyDescent="0.25">
      <c r="B162" s="453"/>
      <c r="E162" s="448" t="s">
        <v>1795</v>
      </c>
      <c r="L162" s="1115">
        <f>H132-G134-X154</f>
        <v>297.92767067616978</v>
      </c>
      <c r="P162" s="454"/>
    </row>
    <row r="163" spans="2:21" x14ac:dyDescent="0.15">
      <c r="B163" s="453"/>
      <c r="P163" s="454"/>
    </row>
    <row r="164" spans="2:21" ht="14" thickBot="1" x14ac:dyDescent="0.2">
      <c r="B164" s="455"/>
      <c r="C164" s="456"/>
      <c r="D164" s="456"/>
      <c r="E164" s="456"/>
      <c r="F164" s="456"/>
      <c r="G164" s="456"/>
      <c r="H164" s="456"/>
      <c r="I164" s="456"/>
      <c r="J164" s="456"/>
      <c r="K164" s="456"/>
      <c r="L164" s="456"/>
      <c r="M164" s="456"/>
      <c r="N164" s="456"/>
      <c r="O164" s="456"/>
      <c r="P164" s="457"/>
    </row>
    <row r="165" spans="2:21" ht="20" x14ac:dyDescent="0.2">
      <c r="B165" s="1120"/>
      <c r="C165" s="1121"/>
      <c r="D165" s="467" t="s">
        <v>785</v>
      </c>
      <c r="E165" s="1121"/>
      <c r="F165" s="1121"/>
      <c r="G165" s="1121"/>
      <c r="H165" s="1121"/>
      <c r="I165" s="1121"/>
      <c r="J165" s="1121"/>
      <c r="K165" s="1121"/>
      <c r="L165" s="1121"/>
      <c r="M165" s="1121"/>
      <c r="N165" s="1121"/>
      <c r="O165" s="1121"/>
      <c r="P165" s="1122"/>
      <c r="Q165" s="133"/>
      <c r="R165" s="133"/>
      <c r="S165" s="133"/>
      <c r="T165" s="133"/>
      <c r="U165" s="133"/>
    </row>
    <row r="166" spans="2:21" x14ac:dyDescent="0.15">
      <c r="B166" s="453"/>
      <c r="P166" s="454"/>
    </row>
    <row r="167" spans="2:21" ht="14" thickBot="1" x14ac:dyDescent="0.2">
      <c r="B167" s="453"/>
      <c r="H167" s="389" t="s">
        <v>784</v>
      </c>
      <c r="P167" s="454"/>
    </row>
    <row r="168" spans="2:21" ht="17" thickBot="1" x14ac:dyDescent="0.25">
      <c r="B168" s="453"/>
      <c r="H168" s="812">
        <v>10</v>
      </c>
      <c r="P168" s="454"/>
    </row>
    <row r="169" spans="2:21" ht="17" thickBot="1" x14ac:dyDescent="0.25">
      <c r="B169" s="453"/>
      <c r="C169" s="28" t="s">
        <v>1753</v>
      </c>
      <c r="G169" s="28" t="s">
        <v>1753</v>
      </c>
      <c r="H169" s="448" t="s">
        <v>1795</v>
      </c>
      <c r="P169" s="454"/>
    </row>
    <row r="170" spans="2:21" ht="17" thickBot="1" x14ac:dyDescent="0.25">
      <c r="B170" s="453"/>
      <c r="C170" s="466">
        <f>C175/2</f>
        <v>4.1875</v>
      </c>
      <c r="G170" s="466">
        <f>((D186/2)+2+V188)-X186</f>
        <v>12.382492190905031</v>
      </c>
      <c r="P170" s="454"/>
    </row>
    <row r="171" spans="2:21" ht="14" thickBot="1" x14ac:dyDescent="0.2">
      <c r="B171" s="453"/>
      <c r="P171" s="454"/>
    </row>
    <row r="172" spans="2:21" ht="16" x14ac:dyDescent="0.2">
      <c r="B172" s="453"/>
      <c r="N172" s="471" t="s">
        <v>1806</v>
      </c>
      <c r="O172" s="472"/>
      <c r="P172" s="454"/>
    </row>
    <row r="173" spans="2:21" ht="14" thickBot="1" x14ac:dyDescent="0.2">
      <c r="B173" s="453"/>
      <c r="N173" s="207" t="s">
        <v>1783</v>
      </c>
      <c r="O173" s="473" t="s">
        <v>1788</v>
      </c>
      <c r="P173" s="454"/>
      <c r="R173" s="1041">
        <f>(H168*12)-((D186/2+2)+(L178/2+2))</f>
        <v>104.625</v>
      </c>
      <c r="S173">
        <f>R173*R173</f>
        <v>10946.390625</v>
      </c>
    </row>
    <row r="174" spans="2:21" ht="17" thickBot="1" x14ac:dyDescent="0.25">
      <c r="B174" s="453"/>
      <c r="C174" s="389" t="s">
        <v>1753</v>
      </c>
      <c r="N174" s="474">
        <f>G186</f>
        <v>9.2693233789083962</v>
      </c>
      <c r="O174" s="475">
        <f>(N174*12*25.4)/1000</f>
        <v>2.825289765891279</v>
      </c>
      <c r="P174" s="454"/>
      <c r="R174" s="447">
        <f>(N182*12)-C175</f>
        <v>39.625</v>
      </c>
      <c r="S174">
        <f>R174*R174</f>
        <v>1570.140625</v>
      </c>
    </row>
    <row r="175" spans="2:21" ht="17" thickBot="1" x14ac:dyDescent="0.25">
      <c r="B175" s="453"/>
      <c r="C175" s="811">
        <v>8.375</v>
      </c>
      <c r="P175" s="454"/>
      <c r="S175">
        <f>SUM(S173:S174)</f>
        <v>12516.53125</v>
      </c>
    </row>
    <row r="176" spans="2:21" ht="16" x14ac:dyDescent="0.2">
      <c r="B176" s="453"/>
      <c r="C176" s="448" t="s">
        <v>1795</v>
      </c>
      <c r="I176" s="28"/>
      <c r="P176" s="454"/>
      <c r="S176" s="447">
        <f>I181</f>
        <v>12</v>
      </c>
    </row>
    <row r="177" spans="2:25" ht="14" thickBot="1" x14ac:dyDescent="0.2">
      <c r="B177" s="453"/>
      <c r="H177" s="28"/>
      <c r="L177" s="389" t="s">
        <v>1753</v>
      </c>
      <c r="P177" s="454"/>
      <c r="S177">
        <f>S176*S176</f>
        <v>144</v>
      </c>
    </row>
    <row r="178" spans="2:25" ht="17" thickBot="1" x14ac:dyDescent="0.25">
      <c r="B178" s="453"/>
      <c r="H178" s="1116">
        <f>X182+Y184</f>
        <v>26.900770411367812</v>
      </c>
      <c r="I178" s="448"/>
      <c r="L178" s="811">
        <v>12</v>
      </c>
      <c r="P178" s="454"/>
      <c r="S178">
        <f>S175-S177</f>
        <v>12372.53125</v>
      </c>
    </row>
    <row r="179" spans="2:25" ht="16" x14ac:dyDescent="0.2">
      <c r="B179" s="453"/>
      <c r="H179" s="1"/>
      <c r="L179" s="448" t="s">
        <v>1795</v>
      </c>
      <c r="P179" s="454"/>
      <c r="S179" s="447">
        <f>SQRT(S178)/12</f>
        <v>9.2693233789083962</v>
      </c>
    </row>
    <row r="180" spans="2:25" ht="14" thickBot="1" x14ac:dyDescent="0.2">
      <c r="B180" s="453"/>
      <c r="I180" s="389" t="s">
        <v>1753</v>
      </c>
      <c r="P180" s="454"/>
    </row>
    <row r="181" spans="2:25" ht="18" thickTop="1" thickBot="1" x14ac:dyDescent="0.25">
      <c r="B181" s="453"/>
      <c r="I181" s="811">
        <v>12</v>
      </c>
      <c r="N181" s="389" t="s">
        <v>784</v>
      </c>
      <c r="P181" s="454"/>
      <c r="S181" s="763" t="s">
        <v>96</v>
      </c>
      <c r="T181" s="764" t="s">
        <v>94</v>
      </c>
      <c r="V181" s="763" t="s">
        <v>95</v>
      </c>
      <c r="W181" s="769" t="s">
        <v>1823</v>
      </c>
      <c r="X181" s="769" t="s">
        <v>1824</v>
      </c>
      <c r="Y181" s="771" t="s">
        <v>1730</v>
      </c>
    </row>
    <row r="182" spans="2:25" ht="17" thickBot="1" x14ac:dyDescent="0.25">
      <c r="B182" s="453"/>
      <c r="I182" s="448" t="s">
        <v>1795</v>
      </c>
      <c r="N182" s="812">
        <v>4</v>
      </c>
      <c r="P182" s="454"/>
      <c r="S182" s="766">
        <f>(N182*12)-C175</f>
        <v>39.625</v>
      </c>
      <c r="T182" s="1118">
        <f>R173</f>
        <v>104.625</v>
      </c>
      <c r="U182" s="761"/>
      <c r="V182" s="766">
        <f>SQRT(SUMSQ(S182)+SUMSQ(T182))</f>
        <v>111.87730444553981</v>
      </c>
      <c r="W182" s="767">
        <v>90</v>
      </c>
      <c r="X182" s="777">
        <f>ATAN(S182/T182)*180/PI()</f>
        <v>20.743359118458752</v>
      </c>
      <c r="Y182" s="778">
        <f>ATAN(T182/S182)*180/PI()</f>
        <v>69.256640881541244</v>
      </c>
    </row>
    <row r="183" spans="2:25" ht="17" thickTop="1" x14ac:dyDescent="0.2">
      <c r="B183" s="453"/>
      <c r="N183" s="448" t="s">
        <v>1795</v>
      </c>
      <c r="O183" s="448"/>
      <c r="P183" s="454"/>
      <c r="S183" s="763" t="s">
        <v>96</v>
      </c>
      <c r="T183" s="764" t="s">
        <v>94</v>
      </c>
      <c r="V183" s="763" t="s">
        <v>95</v>
      </c>
      <c r="W183" s="769" t="s">
        <v>1823</v>
      </c>
      <c r="X183" s="769" t="s">
        <v>1824</v>
      </c>
      <c r="Y183" s="771" t="s">
        <v>1730</v>
      </c>
    </row>
    <row r="184" spans="2:25" ht="17" thickBot="1" x14ac:dyDescent="0.25">
      <c r="B184" s="453"/>
      <c r="P184" s="454"/>
      <c r="S184" s="766">
        <f>S179*12</f>
        <v>111.23188054690075</v>
      </c>
      <c r="T184" s="1166">
        <f>I181</f>
        <v>12</v>
      </c>
      <c r="U184" s="761"/>
      <c r="V184" s="766">
        <f>SQRT(SUMSQ(S184)+SUMSQ(T184))</f>
        <v>111.87730444553979</v>
      </c>
      <c r="W184" s="767">
        <v>90</v>
      </c>
      <c r="X184" s="777">
        <f>ATAN(S184/T184)*180/PI()</f>
        <v>83.842588707090954</v>
      </c>
      <c r="Y184" s="778">
        <f>ATAN(T184/S184)*180/PI()</f>
        <v>6.1574112929090594</v>
      </c>
    </row>
    <row r="185" spans="2:25" ht="18" thickTop="1" thickBot="1" x14ac:dyDescent="0.25">
      <c r="B185" s="453"/>
      <c r="D185" s="389" t="s">
        <v>1753</v>
      </c>
      <c r="G185" s="389" t="s">
        <v>784</v>
      </c>
      <c r="P185" s="454"/>
      <c r="S185" s="763" t="s">
        <v>96</v>
      </c>
      <c r="T185" s="771" t="s">
        <v>1824</v>
      </c>
      <c r="V185" s="763" t="s">
        <v>95</v>
      </c>
      <c r="W185" s="769" t="s">
        <v>1823</v>
      </c>
      <c r="X185" s="770" t="s">
        <v>94</v>
      </c>
      <c r="Y185" s="772" t="s">
        <v>1730</v>
      </c>
    </row>
    <row r="186" spans="2:25" ht="17" thickBot="1" x14ac:dyDescent="0.25">
      <c r="B186" s="453"/>
      <c r="D186" s="811">
        <v>10.75</v>
      </c>
      <c r="G186" s="466">
        <f>S179</f>
        <v>9.2693233789083962</v>
      </c>
      <c r="P186" s="454"/>
      <c r="S186" s="766">
        <f>C170</f>
        <v>4.1875</v>
      </c>
      <c r="T186" s="1119">
        <f>H178</f>
        <v>26.900770411367812</v>
      </c>
      <c r="U186" s="761"/>
      <c r="V186" s="766">
        <f>S186/SIN(T186*PI()/180)</f>
        <v>9.2552338092076809</v>
      </c>
      <c r="W186" s="767">
        <v>90</v>
      </c>
      <c r="X186" s="768">
        <f>S186/TAN(T186*PI()/180)</f>
        <v>8.253738341691049</v>
      </c>
      <c r="Y186" s="778">
        <f>90-T186</f>
        <v>63.099229588632184</v>
      </c>
    </row>
    <row r="187" spans="2:25" ht="17" thickTop="1" x14ac:dyDescent="0.2">
      <c r="B187" s="453"/>
      <c r="D187" s="448" t="s">
        <v>1795</v>
      </c>
      <c r="P187" s="454"/>
      <c r="S187" s="763" t="s">
        <v>96</v>
      </c>
      <c r="T187" s="771" t="s">
        <v>1824</v>
      </c>
      <c r="V187" s="763" t="s">
        <v>95</v>
      </c>
      <c r="W187" s="769" t="s">
        <v>1823</v>
      </c>
      <c r="X187" s="770" t="s">
        <v>94</v>
      </c>
      <c r="Y187" s="772" t="s">
        <v>1730</v>
      </c>
    </row>
    <row r="188" spans="2:25" ht="17" thickBot="1" x14ac:dyDescent="0.25">
      <c r="B188" s="453"/>
      <c r="P188" s="454"/>
      <c r="S188" s="766">
        <f>I181/2</f>
        <v>6</v>
      </c>
      <c r="T188" s="1119">
        <f>T186</f>
        <v>26.900770411367812</v>
      </c>
      <c r="U188" s="761"/>
      <c r="V188" s="766">
        <f>S188/SIN(T188*PI()/180)</f>
        <v>13.261230532596079</v>
      </c>
      <c r="W188" s="767">
        <v>90</v>
      </c>
      <c r="X188" s="768">
        <f>S188/TAN(T188*PI()/180)</f>
        <v>11.826251952273742</v>
      </c>
      <c r="Y188" s="778">
        <f>90-T188</f>
        <v>63.099229588632184</v>
      </c>
    </row>
    <row r="189" spans="2:25" ht="17" thickTop="1" x14ac:dyDescent="0.2">
      <c r="B189" s="453"/>
      <c r="P189" s="454"/>
      <c r="S189" s="763" t="s">
        <v>96</v>
      </c>
      <c r="T189" s="771" t="s">
        <v>1824</v>
      </c>
      <c r="V189" s="763" t="s">
        <v>95</v>
      </c>
      <c r="W189" s="769" t="s">
        <v>1823</v>
      </c>
      <c r="X189" s="770" t="s">
        <v>94</v>
      </c>
      <c r="Y189" s="772" t="s">
        <v>1730</v>
      </c>
    </row>
    <row r="190" spans="2:25" ht="17" thickBot="1" x14ac:dyDescent="0.25">
      <c r="B190" s="453"/>
      <c r="P190" s="454"/>
      <c r="S190" s="766">
        <f>N182*12+M196-C170</f>
        <v>47.125</v>
      </c>
      <c r="T190" s="1119">
        <f>H178</f>
        <v>26.900770411367812</v>
      </c>
      <c r="U190" s="761"/>
      <c r="V190" s="766">
        <f>S190/SIN(T190*PI()/180)</f>
        <v>104.15591480809837</v>
      </c>
      <c r="W190" s="767">
        <v>90</v>
      </c>
      <c r="X190" s="768">
        <f>S190/TAN(T190*PI()/180)</f>
        <v>92.885353875150017</v>
      </c>
      <c r="Y190" s="778">
        <f>90-T190</f>
        <v>63.099229588632184</v>
      </c>
    </row>
    <row r="191" spans="2:25" ht="14" thickTop="1" x14ac:dyDescent="0.15">
      <c r="B191" s="453"/>
      <c r="P191" s="454"/>
    </row>
    <row r="192" spans="2:25" x14ac:dyDescent="0.15">
      <c r="B192" s="453"/>
      <c r="P192" s="454"/>
    </row>
    <row r="193" spans="2:16" x14ac:dyDescent="0.15">
      <c r="B193" s="453"/>
      <c r="P193" s="454"/>
    </row>
    <row r="194" spans="2:16" x14ac:dyDescent="0.15">
      <c r="B194" s="453"/>
      <c r="P194" s="454"/>
    </row>
    <row r="195" spans="2:16" ht="14" thickBot="1" x14ac:dyDescent="0.2">
      <c r="B195" s="453"/>
      <c r="M195" s="28" t="s">
        <v>1753</v>
      </c>
      <c r="P195" s="454"/>
    </row>
    <row r="196" spans="2:16" ht="17" thickBot="1" x14ac:dyDescent="0.25">
      <c r="B196" s="453"/>
      <c r="E196" s="389" t="s">
        <v>1753</v>
      </c>
      <c r="M196" s="466">
        <f>E197/2</f>
        <v>3.3125</v>
      </c>
      <c r="N196" s="1169"/>
      <c r="P196" s="454"/>
    </row>
    <row r="197" spans="2:16" ht="15" thickBot="1" x14ac:dyDescent="0.2">
      <c r="B197" s="453"/>
      <c r="E197" s="813">
        <v>6.625</v>
      </c>
      <c r="L197" s="28" t="s">
        <v>1753</v>
      </c>
      <c r="P197" s="454"/>
    </row>
    <row r="198" spans="2:16" ht="17" thickBot="1" x14ac:dyDescent="0.25">
      <c r="B198" s="453"/>
      <c r="E198" s="448" t="s">
        <v>1795</v>
      </c>
      <c r="L198" s="466">
        <f>(H168*12)-G170-X190</f>
        <v>14.732153933944957</v>
      </c>
      <c r="P198" s="454"/>
    </row>
    <row r="199" spans="2:16" x14ac:dyDescent="0.15">
      <c r="B199" s="453"/>
      <c r="P199" s="454"/>
    </row>
    <row r="200" spans="2:16" ht="14" thickBot="1" x14ac:dyDescent="0.2">
      <c r="B200" s="455"/>
      <c r="C200" s="456"/>
      <c r="D200" s="456"/>
      <c r="E200" s="456"/>
      <c r="F200" s="456"/>
      <c r="G200" s="456"/>
      <c r="H200" s="456"/>
      <c r="I200" s="456"/>
      <c r="J200" s="456"/>
      <c r="K200" s="456"/>
      <c r="L200" s="456"/>
      <c r="M200" s="456"/>
      <c r="N200" s="456"/>
      <c r="O200" s="456"/>
      <c r="P200" s="457"/>
    </row>
  </sheetData>
  <phoneticPr fontId="80" type="noConversion"/>
  <pageMargins left="0.75" right="0.75" top="1" bottom="1" header="0.5" footer="0.5"/>
  <pageSetup orientation="portrait"/>
  <headerFooter alignWithMargins="0"/>
  <drawing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3A446-63C5-844C-BC66-215C7AABF367}">
  <dimension ref="B1:M42"/>
  <sheetViews>
    <sheetView showGridLines="0" workbookViewId="0">
      <pane ySplit="13" topLeftCell="A14" activePane="bottomLeft" state="frozen"/>
      <selection pane="bottomLeft" activeCell="T40" sqref="T40"/>
    </sheetView>
  </sheetViews>
  <sheetFormatPr baseColWidth="10" defaultColWidth="8.83203125" defaultRowHeight="13" x14ac:dyDescent="0.15"/>
  <cols>
    <col min="1" max="1" width="5" customWidth="1"/>
    <col min="2" max="2" width="8.83203125" customWidth="1"/>
    <col min="3" max="3" width="10.83203125" customWidth="1"/>
    <col min="4" max="4" width="11.33203125" customWidth="1"/>
    <col min="5" max="5" width="11.6640625" customWidth="1"/>
    <col min="6" max="6" width="12.5" customWidth="1"/>
    <col min="7" max="7" width="10.83203125" customWidth="1"/>
    <col min="8" max="8" width="10.5" customWidth="1"/>
    <col min="9" max="9" width="10" customWidth="1"/>
  </cols>
  <sheetData>
    <row r="1" spans="2:13" ht="18" x14ac:dyDescent="0.2">
      <c r="B1" s="758" t="s">
        <v>97</v>
      </c>
      <c r="J1" s="790" t="s">
        <v>107</v>
      </c>
    </row>
    <row r="2" spans="2:13" x14ac:dyDescent="0.15">
      <c r="J2" s="792" t="s">
        <v>108</v>
      </c>
    </row>
    <row r="3" spans="2:13" ht="14" thickBot="1" x14ac:dyDescent="0.2">
      <c r="J3" s="389" t="s">
        <v>1783</v>
      </c>
      <c r="K3" s="389" t="s">
        <v>1753</v>
      </c>
      <c r="L3" s="28" t="s">
        <v>109</v>
      </c>
      <c r="M3" s="28" t="s">
        <v>1754</v>
      </c>
    </row>
    <row r="4" spans="2:13" ht="15" thickTop="1" thickBot="1" x14ac:dyDescent="0.2">
      <c r="I4" s="760" t="s">
        <v>110</v>
      </c>
      <c r="J4" s="801">
        <v>8</v>
      </c>
      <c r="K4" s="802">
        <v>9.25</v>
      </c>
      <c r="L4" s="791">
        <f>K4/12+J4</f>
        <v>8.7708333333333339</v>
      </c>
      <c r="M4" s="815">
        <f>L4*12*25.4</f>
        <v>2673.35</v>
      </c>
    </row>
    <row r="5" spans="2:13" ht="14" thickTop="1" x14ac:dyDescent="0.15"/>
    <row r="7" spans="2:13" ht="16" x14ac:dyDescent="0.2">
      <c r="B7" s="762" t="s">
        <v>102</v>
      </c>
    </row>
    <row r="8" spans="2:13" ht="16" x14ac:dyDescent="0.2">
      <c r="D8" s="757"/>
    </row>
    <row r="14" spans="2:13" ht="16" x14ac:dyDescent="0.2">
      <c r="C14" s="265" t="s">
        <v>105</v>
      </c>
    </row>
    <row r="15" spans="2:13" ht="17" thickBot="1" x14ac:dyDescent="0.25">
      <c r="C15" s="759" t="s">
        <v>99</v>
      </c>
      <c r="G15" s="774" t="s">
        <v>104</v>
      </c>
    </row>
    <row r="16" spans="2:13" ht="17" thickTop="1" x14ac:dyDescent="0.2">
      <c r="C16" s="763" t="s">
        <v>95</v>
      </c>
      <c r="D16" s="764" t="s">
        <v>96</v>
      </c>
      <c r="F16" s="763" t="s">
        <v>94</v>
      </c>
      <c r="G16" s="769" t="s">
        <v>1823</v>
      </c>
      <c r="H16" s="769" t="s">
        <v>1824</v>
      </c>
      <c r="I16" s="771" t="s">
        <v>1730</v>
      </c>
    </row>
    <row r="17" spans="2:9" ht="17" thickBot="1" x14ac:dyDescent="0.25">
      <c r="B17" s="760" t="s">
        <v>101</v>
      </c>
      <c r="C17" s="803">
        <v>50</v>
      </c>
      <c r="D17" s="804">
        <v>10</v>
      </c>
      <c r="E17" s="761" t="s">
        <v>100</v>
      </c>
      <c r="F17" s="766">
        <f>SQRT((SUMSQ(C17)-SUMSQ(D17)))</f>
        <v>48.989794855663561</v>
      </c>
      <c r="G17" s="767">
        <v>90</v>
      </c>
      <c r="H17" s="777">
        <f>ASIN(D17/C17)*180/PI()</f>
        <v>11.53695903281549</v>
      </c>
      <c r="I17" s="778">
        <f>ATAN(F17/D17)*180/PI()</f>
        <v>78.463040967184526</v>
      </c>
    </row>
    <row r="18" spans="2:9" ht="15" thickTop="1" thickBot="1" x14ac:dyDescent="0.2"/>
    <row r="19" spans="2:9" ht="17" thickTop="1" x14ac:dyDescent="0.2">
      <c r="C19" s="763" t="s">
        <v>95</v>
      </c>
      <c r="D19" s="764" t="s">
        <v>94</v>
      </c>
      <c r="F19" s="763" t="s">
        <v>96</v>
      </c>
      <c r="G19" s="769" t="s">
        <v>1823</v>
      </c>
      <c r="H19" s="769" t="s">
        <v>1824</v>
      </c>
      <c r="I19" s="771" t="s">
        <v>1730</v>
      </c>
    </row>
    <row r="20" spans="2:9" ht="17" thickBot="1" x14ac:dyDescent="0.25">
      <c r="B20" s="760" t="s">
        <v>101</v>
      </c>
      <c r="C20" s="803">
        <v>36</v>
      </c>
      <c r="D20" s="804">
        <v>15</v>
      </c>
      <c r="E20" s="761" t="s">
        <v>100</v>
      </c>
      <c r="F20" s="766">
        <f>SQRT((SUMSQ(C20)-SUMSQ(D20)))</f>
        <v>32.726136343907143</v>
      </c>
      <c r="G20" s="767">
        <v>90</v>
      </c>
      <c r="H20" s="777">
        <f>ACOS(D20/C20)*180/PI()</f>
        <v>65.375681647835918</v>
      </c>
      <c r="I20" s="778">
        <f>ASIN(D20/C20)*180/PI()</f>
        <v>24.624318352164082</v>
      </c>
    </row>
    <row r="21" spans="2:9" ht="15" thickTop="1" thickBot="1" x14ac:dyDescent="0.2"/>
    <row r="22" spans="2:9" ht="17" thickTop="1" x14ac:dyDescent="0.2">
      <c r="C22" s="763" t="s">
        <v>95</v>
      </c>
      <c r="D22" s="771" t="s">
        <v>1824</v>
      </c>
      <c r="F22" s="763" t="s">
        <v>96</v>
      </c>
      <c r="G22" s="769" t="s">
        <v>1823</v>
      </c>
      <c r="H22" s="770" t="s">
        <v>94</v>
      </c>
      <c r="I22" s="771" t="s">
        <v>1730</v>
      </c>
    </row>
    <row r="23" spans="2:9" ht="17" thickBot="1" x14ac:dyDescent="0.25">
      <c r="B23" s="760" t="s">
        <v>101</v>
      </c>
      <c r="C23" s="803">
        <v>0</v>
      </c>
      <c r="D23" s="805">
        <v>0</v>
      </c>
      <c r="E23" s="761" t="s">
        <v>100</v>
      </c>
      <c r="F23" s="766">
        <f>(SIN(D23*PI()/180))*C23</f>
        <v>0</v>
      </c>
      <c r="G23" s="767">
        <v>90</v>
      </c>
      <c r="H23" s="768">
        <f>C23*(COS(D23*PI()/180))</f>
        <v>0</v>
      </c>
      <c r="I23" s="778">
        <f>90-D23</f>
        <v>90</v>
      </c>
    </row>
    <row r="24" spans="2:9" ht="15" thickTop="1" thickBot="1" x14ac:dyDescent="0.2"/>
    <row r="25" spans="2:9" ht="17" thickTop="1" x14ac:dyDescent="0.2">
      <c r="C25" s="763" t="s">
        <v>95</v>
      </c>
      <c r="D25" s="771" t="s">
        <v>1730</v>
      </c>
      <c r="F25" s="763" t="s">
        <v>96</v>
      </c>
      <c r="G25" s="769" t="s">
        <v>1823</v>
      </c>
      <c r="H25" s="770" t="s">
        <v>94</v>
      </c>
      <c r="I25" s="771" t="s">
        <v>1824</v>
      </c>
    </row>
    <row r="26" spans="2:9" ht="17" thickBot="1" x14ac:dyDescent="0.25">
      <c r="B26" s="760" t="s">
        <v>101</v>
      </c>
      <c r="C26" s="803">
        <v>0</v>
      </c>
      <c r="D26" s="805">
        <v>0</v>
      </c>
      <c r="E26" s="761" t="s">
        <v>100</v>
      </c>
      <c r="F26" s="766">
        <f>C26*COS(D26*PI()/180)</f>
        <v>0</v>
      </c>
      <c r="G26" s="767">
        <v>90</v>
      </c>
      <c r="H26" s="768">
        <f>C26*SIN(D26*PI()/180)</f>
        <v>0</v>
      </c>
      <c r="I26" s="778">
        <f>90-D26</f>
        <v>90</v>
      </c>
    </row>
    <row r="27" spans="2:9" ht="15" thickTop="1" thickBot="1" x14ac:dyDescent="0.2"/>
    <row r="28" spans="2:9" ht="17" thickTop="1" x14ac:dyDescent="0.2">
      <c r="C28" s="763" t="s">
        <v>96</v>
      </c>
      <c r="D28" s="764" t="s">
        <v>94</v>
      </c>
      <c r="F28" s="763" t="s">
        <v>95</v>
      </c>
      <c r="G28" s="769" t="s">
        <v>1823</v>
      </c>
      <c r="H28" s="769" t="s">
        <v>1824</v>
      </c>
      <c r="I28" s="771" t="s">
        <v>1730</v>
      </c>
    </row>
    <row r="29" spans="2:9" ht="17" thickBot="1" x14ac:dyDescent="0.25">
      <c r="B29" s="760" t="s">
        <v>101</v>
      </c>
      <c r="C29" s="803">
        <v>350</v>
      </c>
      <c r="D29" s="804">
        <v>700</v>
      </c>
      <c r="E29" s="761" t="s">
        <v>100</v>
      </c>
      <c r="F29" s="766">
        <f>SQRT(SUMSQ(C29)+SUMSQ(D29))</f>
        <v>782.62379212492635</v>
      </c>
      <c r="G29" s="767">
        <v>90</v>
      </c>
      <c r="H29" s="777">
        <f>ATAN(C29/D29)*180/PI()</f>
        <v>26.56505117707799</v>
      </c>
      <c r="I29" s="778">
        <f>ATAN(D29/C29)*180/PI()</f>
        <v>63.43494882292201</v>
      </c>
    </row>
    <row r="30" spans="2:9" ht="15" thickTop="1" thickBot="1" x14ac:dyDescent="0.2"/>
    <row r="31" spans="2:9" ht="17" thickTop="1" x14ac:dyDescent="0.2">
      <c r="C31" s="763" t="s">
        <v>96</v>
      </c>
      <c r="D31" s="771" t="s">
        <v>1824</v>
      </c>
      <c r="F31" s="763" t="s">
        <v>95</v>
      </c>
      <c r="G31" s="769" t="s">
        <v>1823</v>
      </c>
      <c r="H31" s="770" t="s">
        <v>94</v>
      </c>
      <c r="I31" s="772" t="s">
        <v>1730</v>
      </c>
    </row>
    <row r="32" spans="2:9" ht="17" thickBot="1" x14ac:dyDescent="0.25">
      <c r="B32" s="760" t="s">
        <v>101</v>
      </c>
      <c r="C32" s="803">
        <v>10</v>
      </c>
      <c r="D32" s="805">
        <v>63.434899999999999</v>
      </c>
      <c r="E32" s="761" t="s">
        <v>100</v>
      </c>
      <c r="F32" s="766">
        <f>C32/SIN(D32*PI()/180)</f>
        <v>11.180344651004784</v>
      </c>
      <c r="G32" s="767">
        <v>90</v>
      </c>
      <c r="H32" s="768">
        <f>C32/TAN(D32*PI()/180)</f>
        <v>5.000010651513783</v>
      </c>
      <c r="I32" s="778">
        <f>90-D32</f>
        <v>26.565100000000001</v>
      </c>
    </row>
    <row r="33" spans="2:9" ht="15" thickTop="1" thickBot="1" x14ac:dyDescent="0.2"/>
    <row r="34" spans="2:9" ht="17" thickTop="1" x14ac:dyDescent="0.2">
      <c r="C34" s="763" t="s">
        <v>96</v>
      </c>
      <c r="D34" s="771" t="s">
        <v>1730</v>
      </c>
      <c r="F34" s="763" t="s">
        <v>95</v>
      </c>
      <c r="G34" s="769" t="s">
        <v>1823</v>
      </c>
      <c r="H34" s="770" t="s">
        <v>94</v>
      </c>
      <c r="I34" s="772" t="s">
        <v>1824</v>
      </c>
    </row>
    <row r="35" spans="2:9" ht="17" thickBot="1" x14ac:dyDescent="0.25">
      <c r="B35" s="760" t="s">
        <v>101</v>
      </c>
      <c r="C35" s="803">
        <v>10</v>
      </c>
      <c r="D35" s="805">
        <v>26.565100000000001</v>
      </c>
      <c r="E35" s="761" t="s">
        <v>100</v>
      </c>
      <c r="F35" s="766">
        <f>C35/COS(D35*PI()/180)</f>
        <v>11.180344651004784</v>
      </c>
      <c r="G35" s="767">
        <v>90</v>
      </c>
      <c r="H35" s="768">
        <f>C35*TAN(D35*PI()/180)</f>
        <v>5.000010651513783</v>
      </c>
      <c r="I35" s="778">
        <f>90-D35</f>
        <v>63.434899999999999</v>
      </c>
    </row>
    <row r="36" spans="2:9" ht="15" thickTop="1" thickBot="1" x14ac:dyDescent="0.2"/>
    <row r="37" spans="2:9" ht="17" thickTop="1" x14ac:dyDescent="0.2">
      <c r="C37" s="763" t="s">
        <v>94</v>
      </c>
      <c r="D37" s="771" t="s">
        <v>1730</v>
      </c>
      <c r="F37" s="763" t="s">
        <v>95</v>
      </c>
      <c r="G37" s="769" t="s">
        <v>1823</v>
      </c>
      <c r="H37" s="770" t="s">
        <v>96</v>
      </c>
      <c r="I37" s="772" t="s">
        <v>1824</v>
      </c>
    </row>
    <row r="38" spans="2:9" ht="17" thickBot="1" x14ac:dyDescent="0.25">
      <c r="B38" s="760" t="s">
        <v>101</v>
      </c>
      <c r="C38" s="803">
        <v>5</v>
      </c>
      <c r="D38" s="805">
        <v>26.565100000000001</v>
      </c>
      <c r="E38" s="761" t="s">
        <v>100</v>
      </c>
      <c r="F38" s="766">
        <f>C38/SIN(D38*PI()/180)</f>
        <v>11.180320833536493</v>
      </c>
      <c r="G38" s="767">
        <v>90</v>
      </c>
      <c r="H38" s="768">
        <f>C38/TAN(D38*PI()/180)</f>
        <v>9.9999786970178146</v>
      </c>
      <c r="I38" s="778">
        <f>90-D38</f>
        <v>63.434899999999999</v>
      </c>
    </row>
    <row r="39" spans="2:9" ht="15" thickTop="1" thickBot="1" x14ac:dyDescent="0.2"/>
    <row r="40" spans="2:9" ht="17" thickTop="1" x14ac:dyDescent="0.2">
      <c r="C40" s="763" t="s">
        <v>94</v>
      </c>
      <c r="D40" s="771" t="s">
        <v>1824</v>
      </c>
      <c r="F40" s="763" t="s">
        <v>95</v>
      </c>
      <c r="G40" s="769" t="s">
        <v>1823</v>
      </c>
      <c r="H40" s="770" t="s">
        <v>96</v>
      </c>
      <c r="I40" s="772" t="s">
        <v>1730</v>
      </c>
    </row>
    <row r="41" spans="2:9" ht="17" thickBot="1" x14ac:dyDescent="0.25">
      <c r="B41" s="760" t="s">
        <v>101</v>
      </c>
      <c r="C41" s="803">
        <v>5</v>
      </c>
      <c r="D41" s="805">
        <v>63.434899999999999</v>
      </c>
      <c r="E41" s="761" t="s">
        <v>100</v>
      </c>
      <c r="F41" s="766">
        <f>C41/COS(D41*PI()/180)</f>
        <v>11.180320833536491</v>
      </c>
      <c r="G41" s="767">
        <v>90</v>
      </c>
      <c r="H41" s="779">
        <f>C41*TAN(D41*PI()/180)</f>
        <v>9.9999786970178146</v>
      </c>
      <c r="I41" s="778">
        <f>90-D41</f>
        <v>26.565100000000001</v>
      </c>
    </row>
    <row r="42" spans="2:9" ht="14" thickTop="1" x14ac:dyDescent="0.15"/>
  </sheetData>
  <phoneticPr fontId="80" type="noConversion"/>
  <pageMargins left="0.75" right="0.75" top="1" bottom="1" header="0.5" footer="0.5"/>
  <pageSetup orientation="portrait"/>
  <headerFooter alignWithMargins="0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66C2F-A32C-3141-A2FD-0028B3B48150}">
  <dimension ref="A2:AW74"/>
  <sheetViews>
    <sheetView showGridLines="0" zoomScaleNormal="100" workbookViewId="0">
      <pane ySplit="11" topLeftCell="A12" activePane="bottomLeft" state="frozen"/>
      <selection pane="bottomLeft"/>
    </sheetView>
  </sheetViews>
  <sheetFormatPr baseColWidth="10" defaultColWidth="8.83203125" defaultRowHeight="13" x14ac:dyDescent="0.15"/>
  <cols>
    <col min="1" max="1" width="8.83203125" customWidth="1"/>
    <col min="2" max="3" width="10.83203125" bestFit="1" customWidth="1"/>
    <col min="4" max="4" width="11" bestFit="1" customWidth="1"/>
    <col min="5" max="5" width="11.5" customWidth="1"/>
    <col min="6" max="6" width="13.5" customWidth="1"/>
    <col min="7" max="7" width="11.83203125" customWidth="1"/>
    <col min="8" max="8" width="11.6640625" customWidth="1"/>
    <col min="9" max="47" width="8.83203125" customWidth="1"/>
    <col min="48" max="48" width="10.6640625" customWidth="1"/>
    <col min="49" max="49" width="12.1640625" customWidth="1"/>
  </cols>
  <sheetData>
    <row r="2" spans="1:14" ht="16" x14ac:dyDescent="0.2">
      <c r="I2" s="794" t="s">
        <v>107</v>
      </c>
    </row>
    <row r="3" spans="1:14" x14ac:dyDescent="0.15">
      <c r="I3" s="792" t="s">
        <v>108</v>
      </c>
    </row>
    <row r="4" spans="1:14" ht="21" thickBot="1" x14ac:dyDescent="0.25">
      <c r="A4" s="793" t="s">
        <v>103</v>
      </c>
      <c r="I4" s="389" t="s">
        <v>1783</v>
      </c>
      <c r="J4" s="389" t="s">
        <v>1753</v>
      </c>
      <c r="K4" s="28" t="s">
        <v>109</v>
      </c>
      <c r="L4" s="28" t="s">
        <v>1754</v>
      </c>
    </row>
    <row r="5" spans="1:14" ht="18" thickTop="1" thickBot="1" x14ac:dyDescent="0.25">
      <c r="A5" s="762" t="s">
        <v>102</v>
      </c>
      <c r="H5" s="760" t="s">
        <v>111</v>
      </c>
      <c r="I5" s="801">
        <v>12</v>
      </c>
      <c r="J5" s="802">
        <v>10.75</v>
      </c>
      <c r="K5" s="791">
        <f>J5/12+I5</f>
        <v>12.895833333333334</v>
      </c>
      <c r="L5" s="815">
        <f>K5*12*25.4</f>
        <v>3930.6499999999996</v>
      </c>
    </row>
    <row r="6" spans="1:14" ht="14" thickTop="1" x14ac:dyDescent="0.15">
      <c r="I6" s="761" t="s">
        <v>112</v>
      </c>
      <c r="J6" s="761" t="s">
        <v>112</v>
      </c>
    </row>
    <row r="13" spans="1:14" ht="16" x14ac:dyDescent="0.2">
      <c r="B13" s="265" t="s">
        <v>98</v>
      </c>
    </row>
    <row r="14" spans="1:14" ht="17" thickBot="1" x14ac:dyDescent="0.25">
      <c r="B14" s="759" t="s">
        <v>99</v>
      </c>
      <c r="F14" s="774" t="s">
        <v>106</v>
      </c>
    </row>
    <row r="15" spans="1:14" ht="17" thickTop="1" x14ac:dyDescent="0.2">
      <c r="B15" s="763" t="s">
        <v>95</v>
      </c>
      <c r="C15" s="769" t="s">
        <v>1824</v>
      </c>
      <c r="D15" s="771" t="s">
        <v>1823</v>
      </c>
      <c r="E15" s="757"/>
      <c r="F15" s="775" t="s">
        <v>1730</v>
      </c>
      <c r="G15" s="770" t="s">
        <v>96</v>
      </c>
      <c r="H15" s="764" t="s">
        <v>94</v>
      </c>
      <c r="I15" s="757"/>
      <c r="J15" s="757"/>
      <c r="K15" s="757"/>
      <c r="L15" s="757"/>
      <c r="M15" s="757"/>
      <c r="N15" s="757"/>
    </row>
    <row r="16" spans="1:14" ht="17" thickBot="1" x14ac:dyDescent="0.25">
      <c r="A16" s="760" t="s">
        <v>101</v>
      </c>
      <c r="B16" s="806">
        <v>119.3125</v>
      </c>
      <c r="C16" s="807">
        <v>42.608800000000002</v>
      </c>
      <c r="D16" s="808">
        <v>97.748699999999999</v>
      </c>
      <c r="E16" s="761" t="s">
        <v>100</v>
      </c>
      <c r="F16" s="780">
        <f>180-C16-D16</f>
        <v>39.642499999999998</v>
      </c>
      <c r="G16" s="776">
        <f>(B16*SIN(C16*PI()/180))/SIN(D16*PI()/180)</f>
        <v>81.517592883457723</v>
      </c>
      <c r="H16" s="765">
        <f>B16*SIN(F16*PI()/180)/SIN(D16*PI()/180)</f>
        <v>76.822288311930564</v>
      </c>
      <c r="I16" s="757"/>
      <c r="J16" s="757"/>
      <c r="K16" s="757"/>
      <c r="L16" s="757"/>
      <c r="M16" s="757"/>
      <c r="N16" s="757"/>
    </row>
    <row r="17" spans="1:49" ht="18" thickTop="1" thickBot="1" x14ac:dyDescent="0.25">
      <c r="A17" s="760"/>
      <c r="B17" s="757"/>
      <c r="C17" s="781"/>
      <c r="D17" s="781"/>
      <c r="E17" s="761"/>
      <c r="F17" s="782"/>
      <c r="G17" s="757"/>
      <c r="H17" s="757"/>
      <c r="I17" s="757"/>
      <c r="J17" s="757"/>
      <c r="K17" s="757"/>
      <c r="L17" s="757"/>
      <c r="M17" s="757"/>
      <c r="N17" s="757"/>
    </row>
    <row r="18" spans="1:49" ht="17" thickTop="1" x14ac:dyDescent="0.2">
      <c r="B18" s="763" t="s">
        <v>95</v>
      </c>
      <c r="C18" s="769" t="s">
        <v>1823</v>
      </c>
      <c r="D18" s="771" t="s">
        <v>1730</v>
      </c>
      <c r="E18" s="757"/>
      <c r="F18" s="775" t="s">
        <v>1824</v>
      </c>
      <c r="G18" s="770" t="s">
        <v>96</v>
      </c>
      <c r="H18" s="764" t="s">
        <v>94</v>
      </c>
      <c r="I18" s="757"/>
      <c r="J18" s="757"/>
      <c r="K18" s="757"/>
      <c r="L18" s="757"/>
      <c r="M18" s="757"/>
      <c r="N18" s="757"/>
    </row>
    <row r="19" spans="1:49" ht="17" thickBot="1" x14ac:dyDescent="0.25">
      <c r="A19" s="760" t="s">
        <v>101</v>
      </c>
      <c r="B19" s="806">
        <v>119.3125</v>
      </c>
      <c r="C19" s="807">
        <v>97.748699999999999</v>
      </c>
      <c r="D19" s="808">
        <v>39.642499999999998</v>
      </c>
      <c r="E19" s="761" t="s">
        <v>100</v>
      </c>
      <c r="F19" s="780">
        <f>180-C19-D19</f>
        <v>42.608800000000002</v>
      </c>
      <c r="G19" s="776">
        <f>(B19*SIN(F19*PI()/180))/SIN(C19*PI()/180)</f>
        <v>81.517592883457723</v>
      </c>
      <c r="H19" s="765">
        <f>B19*SIN(D19*PI()/180)/SIN(C19*PI()/180)</f>
        <v>76.822288311930564</v>
      </c>
      <c r="I19" s="757"/>
      <c r="J19" s="757"/>
      <c r="K19" s="757"/>
      <c r="L19" s="757"/>
      <c r="M19" s="757"/>
      <c r="N19" s="757"/>
    </row>
    <row r="20" spans="1:49" ht="18" thickTop="1" thickBot="1" x14ac:dyDescent="0.25">
      <c r="A20" s="760"/>
      <c r="B20" s="757"/>
      <c r="C20" s="781"/>
      <c r="D20" s="781"/>
      <c r="E20" s="761"/>
      <c r="F20" s="782"/>
      <c r="G20" s="757"/>
      <c r="H20" s="757"/>
      <c r="I20" s="757"/>
      <c r="J20" s="757"/>
      <c r="K20" s="757"/>
      <c r="L20" s="757"/>
      <c r="M20" s="757"/>
      <c r="N20" s="757"/>
    </row>
    <row r="21" spans="1:49" ht="17" thickTop="1" x14ac:dyDescent="0.2">
      <c r="B21" s="763" t="s">
        <v>95</v>
      </c>
      <c r="C21" s="769" t="s">
        <v>1823</v>
      </c>
      <c r="D21" s="764" t="s">
        <v>96</v>
      </c>
      <c r="E21" s="757"/>
      <c r="F21" s="775" t="s">
        <v>1824</v>
      </c>
      <c r="G21" s="769" t="s">
        <v>1730</v>
      </c>
      <c r="H21" s="764" t="s">
        <v>94</v>
      </c>
      <c r="I21" s="757"/>
      <c r="J21" s="757"/>
      <c r="K21" s="757"/>
      <c r="L21" s="757"/>
      <c r="M21" s="757"/>
      <c r="N21" s="757"/>
    </row>
    <row r="22" spans="1:49" ht="17" thickBot="1" x14ac:dyDescent="0.25">
      <c r="A22" s="760" t="s">
        <v>101</v>
      </c>
      <c r="B22" s="806">
        <v>119.3125</v>
      </c>
      <c r="C22" s="807">
        <v>97.748699999999999</v>
      </c>
      <c r="D22" s="809">
        <v>81.517499999999998</v>
      </c>
      <c r="E22" s="761" t="s">
        <v>100</v>
      </c>
      <c r="F22" s="780">
        <f>ASIN(D22*SIN(C22*PI()/180)/B22)*180/PI()</f>
        <v>42.608739949404196</v>
      </c>
      <c r="G22" s="777">
        <f>180-F22-C22</f>
        <v>39.642560050595804</v>
      </c>
      <c r="H22" s="765">
        <f>B22*SIN(G22*PI()/180)/SIN(C22*PI()/180)</f>
        <v>76.822385492094639</v>
      </c>
      <c r="I22" s="757"/>
      <c r="J22" s="757"/>
      <c r="K22" s="757"/>
      <c r="L22" s="757"/>
      <c r="M22" s="757"/>
      <c r="N22" s="757"/>
    </row>
    <row r="23" spans="1:49" ht="18" thickTop="1" thickBot="1" x14ac:dyDescent="0.25">
      <c r="A23" s="760"/>
      <c r="B23" s="757"/>
      <c r="C23" s="781"/>
      <c r="D23" s="757"/>
      <c r="E23" s="761"/>
      <c r="F23" s="782"/>
      <c r="G23" s="782"/>
      <c r="H23" s="757"/>
      <c r="I23" s="757"/>
      <c r="J23" s="757"/>
      <c r="K23" s="757"/>
      <c r="L23" s="757"/>
      <c r="M23" s="757"/>
      <c r="N23" s="757"/>
    </row>
    <row r="24" spans="1:49" ht="17" thickTop="1" x14ac:dyDescent="0.2">
      <c r="B24" s="763" t="s">
        <v>95</v>
      </c>
      <c r="C24" s="769" t="s">
        <v>1730</v>
      </c>
      <c r="D24" s="764" t="s">
        <v>96</v>
      </c>
      <c r="E24" s="757"/>
      <c r="F24" s="775" t="s">
        <v>1823</v>
      </c>
      <c r="G24" s="769" t="s">
        <v>1824</v>
      </c>
      <c r="H24" s="764" t="s">
        <v>94</v>
      </c>
      <c r="I24" s="757"/>
      <c r="J24" s="757"/>
      <c r="K24" s="757"/>
      <c r="L24" s="757"/>
      <c r="M24" s="757"/>
      <c r="N24" s="757"/>
    </row>
    <row r="25" spans="1:49" ht="17" thickBot="1" x14ac:dyDescent="0.25">
      <c r="A25" s="760" t="s">
        <v>101</v>
      </c>
      <c r="B25" s="806">
        <v>119.3125</v>
      </c>
      <c r="C25" s="807">
        <v>39.642499999999998</v>
      </c>
      <c r="D25" s="809">
        <v>81.517499999999998</v>
      </c>
      <c r="E25" s="761" t="s">
        <v>100</v>
      </c>
      <c r="F25" s="783" t="b">
        <f>IF(AV25&gt;0,AV25)</f>
        <v>0</v>
      </c>
      <c r="G25" s="784" t="b">
        <f>AW25</f>
        <v>0</v>
      </c>
      <c r="H25" s="785" t="e">
        <f>B25*SIN(C25*PI()/180)/SIN(F25*PI()/180)</f>
        <v>#DIV/0!</v>
      </c>
      <c r="I25" s="773" t="b">
        <f>IF(C25+F25+G25=180,"use this line")</f>
        <v>0</v>
      </c>
      <c r="J25" s="757"/>
      <c r="K25" s="757"/>
      <c r="L25" s="757"/>
      <c r="M25" s="757"/>
      <c r="N25" s="757"/>
      <c r="AV25" s="786">
        <f>ATAN((B25*SIN(C25*PI()/180))/(D25-(B25*COS(C25*PI()/180))))*180/PI()</f>
        <v>-82.251231358001561</v>
      </c>
      <c r="AW25" s="786" t="b">
        <f>IF(AV25&gt;0,180-C25-AV25)</f>
        <v>0</v>
      </c>
    </row>
    <row r="26" spans="1:49" ht="18" thickTop="1" thickBot="1" x14ac:dyDescent="0.25">
      <c r="B26" s="757"/>
      <c r="C26" s="757"/>
      <c r="D26" s="757"/>
      <c r="E26" s="757"/>
      <c r="F26" s="780">
        <f>IF(AV25&lt;0,AV26)</f>
        <v>97.748768641998439</v>
      </c>
      <c r="G26" s="767">
        <f>AW26</f>
        <v>42.608731358001577</v>
      </c>
      <c r="H26" s="765">
        <f>B25*SIN(C25*PI()/180)/SIN(F26*PI()/180)</f>
        <v>76.822300835318174</v>
      </c>
      <c r="I26" s="773" t="str">
        <f>IF(H26&gt;0,"Use this Line")</f>
        <v>Use this Line</v>
      </c>
      <c r="J26" s="757"/>
      <c r="K26" s="757"/>
      <c r="L26" s="757"/>
      <c r="M26" s="757"/>
      <c r="N26" s="757"/>
      <c r="AV26" s="782">
        <f>IF(AV25&lt;0,180+AV25)</f>
        <v>97.748768641998439</v>
      </c>
      <c r="AW26" s="786">
        <f>IF(AV26&gt;0,180-C25-AV26)</f>
        <v>42.608731358001577</v>
      </c>
    </row>
    <row r="27" spans="1:49" ht="18" thickTop="1" thickBot="1" x14ac:dyDescent="0.25">
      <c r="B27" s="757"/>
      <c r="C27" s="757"/>
      <c r="D27" s="757"/>
      <c r="E27" s="757"/>
      <c r="F27" s="787"/>
      <c r="G27" s="788"/>
      <c r="H27" s="789"/>
      <c r="I27" s="773"/>
      <c r="J27" s="757"/>
      <c r="K27" s="757"/>
      <c r="L27" s="757"/>
      <c r="M27" s="757"/>
      <c r="N27" s="757"/>
      <c r="AV27" s="782"/>
      <c r="AW27" s="786"/>
    </row>
    <row r="28" spans="1:49" ht="17" thickTop="1" x14ac:dyDescent="0.2">
      <c r="B28" s="763" t="s">
        <v>95</v>
      </c>
      <c r="C28" s="770" t="s">
        <v>96</v>
      </c>
      <c r="D28" s="764" t="s">
        <v>94</v>
      </c>
      <c r="E28" s="757"/>
      <c r="F28" s="775" t="s">
        <v>1823</v>
      </c>
      <c r="G28" s="769" t="s">
        <v>1824</v>
      </c>
      <c r="H28" s="771" t="s">
        <v>1730</v>
      </c>
      <c r="I28" s="757"/>
      <c r="J28" s="757"/>
      <c r="K28" s="757"/>
      <c r="L28" s="757"/>
      <c r="M28" s="757"/>
      <c r="N28" s="757"/>
    </row>
    <row r="29" spans="1:49" ht="17" thickBot="1" x14ac:dyDescent="0.25">
      <c r="A29" s="760" t="s">
        <v>101</v>
      </c>
      <c r="B29" s="806">
        <v>119.3125</v>
      </c>
      <c r="C29" s="810">
        <v>83.337400000000002</v>
      </c>
      <c r="D29" s="809">
        <v>156.80520000000001</v>
      </c>
      <c r="E29" s="761" t="s">
        <v>100</v>
      </c>
      <c r="F29" s="780">
        <f>ACOS((SUMSQ(C29)+SUMSQ(D29)-SUMSQ(B29))/(2*C29*D29))*180/PI()</f>
        <v>48.559596261496388</v>
      </c>
      <c r="G29" s="777">
        <f>ASIN(C29*(SIN(F29*PI()/180)/B29))*180/PI()</f>
        <v>31.574833879454619</v>
      </c>
      <c r="H29" s="778">
        <f>180-F29-G29</f>
        <v>99.865569859049003</v>
      </c>
      <c r="I29" s="757"/>
      <c r="J29" s="757"/>
      <c r="K29" s="757"/>
      <c r="L29" s="757"/>
      <c r="M29" s="757"/>
      <c r="N29" s="757"/>
    </row>
    <row r="30" spans="1:49" ht="18" thickTop="1" thickBot="1" x14ac:dyDescent="0.25">
      <c r="B30" s="757"/>
      <c r="C30" s="757"/>
      <c r="D30" s="757"/>
      <c r="E30" s="757"/>
      <c r="F30" s="757"/>
      <c r="G30" s="757"/>
      <c r="H30" s="757"/>
      <c r="I30" s="757"/>
      <c r="J30" s="757"/>
      <c r="K30" s="757"/>
      <c r="L30" s="757"/>
      <c r="M30" s="757"/>
      <c r="N30" s="757"/>
    </row>
    <row r="31" spans="1:49" ht="17" thickTop="1" x14ac:dyDescent="0.2">
      <c r="B31" s="763" t="s">
        <v>96</v>
      </c>
      <c r="C31" s="769" t="s">
        <v>1730</v>
      </c>
      <c r="D31" s="772" t="s">
        <v>1824</v>
      </c>
      <c r="E31" s="757"/>
      <c r="F31" s="775" t="s">
        <v>1823</v>
      </c>
      <c r="G31" s="770" t="s">
        <v>94</v>
      </c>
      <c r="H31" s="764" t="s">
        <v>95</v>
      </c>
      <c r="I31" s="757"/>
      <c r="J31" s="757"/>
      <c r="K31" s="757"/>
      <c r="L31" s="757"/>
      <c r="M31" s="757"/>
      <c r="N31" s="757"/>
    </row>
    <row r="32" spans="1:49" ht="17" thickBot="1" x14ac:dyDescent="0.25">
      <c r="A32" s="760" t="s">
        <v>101</v>
      </c>
      <c r="B32" s="806">
        <v>81.517499999999998</v>
      </c>
      <c r="C32" s="807">
        <v>39.642499999999998</v>
      </c>
      <c r="D32" s="808">
        <v>42.608800000000002</v>
      </c>
      <c r="E32" s="761" t="s">
        <v>100</v>
      </c>
      <c r="F32" s="780">
        <f>180-C32-D32</f>
        <v>97.748700000000014</v>
      </c>
      <c r="G32" s="776">
        <f>(B32*SIN(C32*PI()/180))/SIN(D32*PI()/180)</f>
        <v>76.82220077843607</v>
      </c>
      <c r="H32" s="765">
        <f>B32*SIN(F32*PI()/180)/SIN(D32*PI()/180)</f>
        <v>119.31236405195298</v>
      </c>
      <c r="I32" s="757"/>
      <c r="J32" s="757"/>
      <c r="K32" s="757"/>
      <c r="L32" s="757"/>
      <c r="M32" s="757"/>
      <c r="N32" s="757"/>
    </row>
    <row r="33" spans="2:14" ht="17" thickTop="1" x14ac:dyDescent="0.2">
      <c r="B33" s="757"/>
      <c r="C33" s="757"/>
      <c r="D33" s="757"/>
      <c r="E33" s="757"/>
      <c r="F33" s="757"/>
      <c r="G33" s="757"/>
      <c r="H33" s="757"/>
      <c r="I33" s="757"/>
      <c r="J33" s="757"/>
      <c r="K33" s="757"/>
      <c r="L33" s="757"/>
      <c r="M33" s="757"/>
      <c r="N33" s="757"/>
    </row>
    <row r="34" spans="2:14" ht="16" x14ac:dyDescent="0.2">
      <c r="B34" s="757"/>
      <c r="C34" s="757"/>
      <c r="D34" s="757"/>
      <c r="E34" s="757"/>
      <c r="F34" s="757"/>
      <c r="G34" s="757"/>
      <c r="H34" s="757"/>
      <c r="I34" s="757"/>
      <c r="J34" s="757"/>
      <c r="K34" s="757"/>
      <c r="L34" s="757"/>
      <c r="M34" s="757"/>
      <c r="N34" s="757"/>
    </row>
    <row r="35" spans="2:14" ht="16" x14ac:dyDescent="0.2">
      <c r="B35" s="757"/>
      <c r="C35" s="757"/>
      <c r="D35" s="757"/>
      <c r="E35" s="757"/>
      <c r="F35" s="757"/>
      <c r="G35" s="757"/>
      <c r="H35" s="757"/>
      <c r="I35" s="757"/>
      <c r="J35" s="757"/>
      <c r="K35" s="757"/>
      <c r="L35" s="757"/>
      <c r="M35" s="757"/>
      <c r="N35" s="757"/>
    </row>
    <row r="36" spans="2:14" ht="16" x14ac:dyDescent="0.2">
      <c r="B36" s="757"/>
      <c r="C36" s="757"/>
      <c r="D36" s="757"/>
      <c r="E36" s="757"/>
      <c r="F36" s="757"/>
      <c r="G36" s="757"/>
      <c r="H36" s="757"/>
      <c r="I36" s="757"/>
      <c r="J36" s="757"/>
      <c r="K36" s="757"/>
      <c r="L36" s="757"/>
      <c r="M36" s="757"/>
      <c r="N36" s="757"/>
    </row>
    <row r="37" spans="2:14" ht="16" x14ac:dyDescent="0.2">
      <c r="B37" s="757"/>
      <c r="C37" s="757"/>
      <c r="D37" s="757"/>
      <c r="E37" s="757"/>
      <c r="F37" s="757"/>
      <c r="G37" s="757"/>
      <c r="H37" s="757"/>
      <c r="I37" s="757"/>
      <c r="J37" s="757"/>
      <c r="K37" s="757"/>
      <c r="L37" s="757"/>
      <c r="M37" s="757"/>
      <c r="N37" s="757"/>
    </row>
    <row r="38" spans="2:14" ht="16" x14ac:dyDescent="0.2">
      <c r="B38" s="757"/>
      <c r="C38" s="757"/>
      <c r="D38" s="757"/>
      <c r="E38" s="757"/>
      <c r="F38" s="757"/>
      <c r="G38" s="757"/>
      <c r="H38" s="757"/>
      <c r="I38" s="757"/>
      <c r="J38" s="757"/>
      <c r="K38" s="757"/>
      <c r="L38" s="757"/>
      <c r="M38" s="757"/>
      <c r="N38" s="757"/>
    </row>
    <row r="39" spans="2:14" ht="16" x14ac:dyDescent="0.2">
      <c r="B39" s="757"/>
      <c r="C39" s="757"/>
      <c r="D39" s="757"/>
      <c r="E39" s="757"/>
      <c r="F39" s="757"/>
      <c r="G39" s="757"/>
      <c r="H39" s="757"/>
      <c r="I39" s="757"/>
      <c r="J39" s="757"/>
      <c r="K39" s="757"/>
      <c r="L39" s="757"/>
      <c r="M39" s="757"/>
      <c r="N39" s="757"/>
    </row>
    <row r="40" spans="2:14" ht="16" x14ac:dyDescent="0.2">
      <c r="B40" s="757"/>
      <c r="C40" s="757"/>
      <c r="D40" s="757"/>
      <c r="E40" s="757"/>
      <c r="F40" s="757"/>
      <c r="G40" s="757"/>
      <c r="H40" s="757"/>
      <c r="I40" s="757"/>
      <c r="J40" s="757"/>
      <c r="K40" s="757"/>
      <c r="L40" s="757"/>
      <c r="M40" s="757"/>
      <c r="N40" s="757"/>
    </row>
    <row r="41" spans="2:14" ht="16" x14ac:dyDescent="0.2">
      <c r="B41" s="757"/>
      <c r="C41" s="757"/>
      <c r="D41" s="757"/>
      <c r="E41" s="757"/>
      <c r="F41" s="757"/>
      <c r="G41" s="757"/>
      <c r="H41" s="757"/>
      <c r="I41" s="757"/>
      <c r="J41" s="757"/>
      <c r="K41" s="757"/>
      <c r="L41" s="757"/>
      <c r="M41" s="757"/>
      <c r="N41" s="757"/>
    </row>
    <row r="42" spans="2:14" ht="16" x14ac:dyDescent="0.2">
      <c r="B42" s="757"/>
      <c r="C42" s="757"/>
      <c r="D42" s="757"/>
      <c r="E42" s="757"/>
      <c r="F42" s="757"/>
      <c r="G42" s="757"/>
      <c r="H42" s="757"/>
      <c r="I42" s="757"/>
      <c r="J42" s="757"/>
      <c r="K42" s="757"/>
      <c r="L42" s="757"/>
      <c r="M42" s="757"/>
      <c r="N42" s="757"/>
    </row>
    <row r="43" spans="2:14" ht="16" x14ac:dyDescent="0.2">
      <c r="B43" s="757"/>
      <c r="C43" s="757"/>
      <c r="D43" s="757"/>
      <c r="E43" s="757"/>
      <c r="F43" s="757"/>
      <c r="G43" s="757"/>
      <c r="H43" s="757"/>
      <c r="I43" s="757"/>
      <c r="J43" s="757"/>
      <c r="K43" s="757"/>
      <c r="L43" s="757"/>
      <c r="M43" s="757"/>
      <c r="N43" s="757"/>
    </row>
    <row r="44" spans="2:14" ht="16" x14ac:dyDescent="0.2">
      <c r="B44" s="757"/>
      <c r="C44" s="757"/>
      <c r="D44" s="757"/>
      <c r="E44" s="757"/>
      <c r="F44" s="757"/>
      <c r="G44" s="757"/>
      <c r="H44" s="757"/>
      <c r="I44" s="757"/>
      <c r="J44" s="757"/>
      <c r="K44" s="757"/>
      <c r="L44" s="757"/>
      <c r="M44" s="757"/>
      <c r="N44" s="757"/>
    </row>
    <row r="45" spans="2:14" ht="16" x14ac:dyDescent="0.2">
      <c r="B45" s="757"/>
      <c r="C45" s="757"/>
      <c r="D45" s="757"/>
      <c r="E45" s="757"/>
      <c r="F45" s="757"/>
      <c r="G45" s="757"/>
      <c r="H45" s="757"/>
      <c r="I45" s="757"/>
      <c r="J45" s="757"/>
      <c r="K45" s="757"/>
      <c r="L45" s="757"/>
      <c r="M45" s="757"/>
      <c r="N45" s="757"/>
    </row>
    <row r="46" spans="2:14" ht="16" x14ac:dyDescent="0.2">
      <c r="B46" s="757"/>
      <c r="C46" s="757"/>
      <c r="D46" s="757"/>
      <c r="E46" s="757"/>
      <c r="F46" s="757"/>
      <c r="G46" s="757"/>
      <c r="H46" s="757"/>
      <c r="I46" s="757"/>
      <c r="J46" s="757"/>
      <c r="K46" s="757"/>
      <c r="L46" s="757"/>
      <c r="M46" s="757"/>
      <c r="N46" s="757"/>
    </row>
    <row r="47" spans="2:14" ht="16" x14ac:dyDescent="0.2">
      <c r="B47" s="757"/>
      <c r="C47" s="757"/>
      <c r="D47" s="757"/>
      <c r="E47" s="757"/>
      <c r="F47" s="757"/>
      <c r="G47" s="757"/>
      <c r="H47" s="757"/>
      <c r="I47" s="757"/>
      <c r="J47" s="757"/>
      <c r="K47" s="757"/>
      <c r="L47" s="757"/>
      <c r="M47" s="757"/>
      <c r="N47" s="757"/>
    </row>
    <row r="48" spans="2:14" ht="16" x14ac:dyDescent="0.2">
      <c r="B48" s="757"/>
      <c r="C48" s="757"/>
      <c r="D48" s="757"/>
      <c r="E48" s="757"/>
      <c r="F48" s="757"/>
      <c r="G48" s="757"/>
      <c r="H48" s="757"/>
      <c r="I48" s="757"/>
      <c r="J48" s="757"/>
      <c r="K48" s="757"/>
      <c r="L48" s="757"/>
      <c r="M48" s="757"/>
      <c r="N48" s="757"/>
    </row>
    <row r="49" spans="2:14" ht="16" x14ac:dyDescent="0.2">
      <c r="B49" s="757"/>
      <c r="C49" s="757"/>
      <c r="D49" s="757"/>
      <c r="E49" s="757"/>
      <c r="F49" s="757"/>
      <c r="G49" s="757"/>
      <c r="H49" s="757"/>
      <c r="I49" s="757"/>
      <c r="J49" s="757"/>
      <c r="K49" s="757"/>
      <c r="L49" s="757"/>
      <c r="M49" s="757"/>
      <c r="N49" s="757"/>
    </row>
    <row r="50" spans="2:14" ht="16" x14ac:dyDescent="0.2">
      <c r="B50" s="757"/>
      <c r="C50" s="757"/>
      <c r="D50" s="757"/>
      <c r="E50" s="757"/>
      <c r="F50" s="757"/>
      <c r="G50" s="757"/>
      <c r="H50" s="757"/>
      <c r="I50" s="757"/>
      <c r="J50" s="757"/>
      <c r="K50" s="757"/>
      <c r="L50" s="757"/>
      <c r="M50" s="757"/>
      <c r="N50" s="757"/>
    </row>
    <row r="51" spans="2:14" ht="16" x14ac:dyDescent="0.2">
      <c r="B51" s="757"/>
      <c r="C51" s="757"/>
      <c r="D51" s="757"/>
      <c r="E51" s="757"/>
      <c r="F51" s="757"/>
      <c r="G51" s="757"/>
      <c r="H51" s="757"/>
      <c r="I51" s="757"/>
      <c r="J51" s="757"/>
      <c r="K51" s="757"/>
      <c r="L51" s="757"/>
      <c r="M51" s="757"/>
      <c r="N51" s="757"/>
    </row>
    <row r="52" spans="2:14" ht="16" x14ac:dyDescent="0.2">
      <c r="B52" s="757"/>
      <c r="C52" s="757"/>
      <c r="D52" s="757"/>
      <c r="E52" s="757"/>
      <c r="F52" s="757"/>
      <c r="G52" s="757"/>
      <c r="H52" s="757"/>
      <c r="I52" s="757"/>
      <c r="J52" s="757"/>
      <c r="K52" s="757"/>
      <c r="L52" s="757"/>
      <c r="M52" s="757"/>
      <c r="N52" s="757"/>
    </row>
    <row r="53" spans="2:14" ht="16" x14ac:dyDescent="0.2">
      <c r="B53" s="757"/>
      <c r="C53" s="757"/>
      <c r="D53" s="757"/>
      <c r="E53" s="757"/>
      <c r="F53" s="757"/>
      <c r="G53" s="757"/>
      <c r="H53" s="757"/>
      <c r="I53" s="757"/>
      <c r="J53" s="757"/>
      <c r="K53" s="757"/>
      <c r="L53" s="757"/>
      <c r="M53" s="757"/>
      <c r="N53" s="757"/>
    </row>
    <row r="54" spans="2:14" ht="16" x14ac:dyDescent="0.2">
      <c r="B54" s="757"/>
      <c r="C54" s="757"/>
      <c r="D54" s="757"/>
      <c r="E54" s="757"/>
      <c r="F54" s="757"/>
      <c r="G54" s="757"/>
      <c r="H54" s="757"/>
      <c r="I54" s="757"/>
      <c r="J54" s="757"/>
      <c r="K54" s="757"/>
      <c r="L54" s="757"/>
      <c r="M54" s="757"/>
      <c r="N54" s="757"/>
    </row>
    <row r="55" spans="2:14" ht="16" x14ac:dyDescent="0.2">
      <c r="B55" s="757"/>
      <c r="C55" s="757"/>
      <c r="D55" s="757"/>
      <c r="E55" s="757"/>
      <c r="F55" s="757"/>
      <c r="G55" s="757"/>
      <c r="H55" s="757"/>
      <c r="I55" s="757"/>
      <c r="J55" s="757"/>
      <c r="K55" s="757"/>
      <c r="L55" s="757"/>
      <c r="M55" s="757"/>
      <c r="N55" s="757"/>
    </row>
    <row r="56" spans="2:14" ht="16" x14ac:dyDescent="0.2">
      <c r="B56" s="757"/>
      <c r="C56" s="757"/>
      <c r="D56" s="757"/>
      <c r="E56" s="757"/>
      <c r="F56" s="757"/>
      <c r="G56" s="757"/>
      <c r="H56" s="757"/>
      <c r="I56" s="757"/>
      <c r="J56" s="757"/>
      <c r="K56" s="757"/>
      <c r="L56" s="757"/>
      <c r="M56" s="757"/>
      <c r="N56" s="757"/>
    </row>
    <row r="57" spans="2:14" ht="16" x14ac:dyDescent="0.2">
      <c r="B57" s="757"/>
      <c r="C57" s="757"/>
      <c r="D57" s="757"/>
      <c r="E57" s="757"/>
      <c r="F57" s="757"/>
      <c r="G57" s="757"/>
      <c r="H57" s="757"/>
      <c r="I57" s="757"/>
      <c r="J57" s="757"/>
      <c r="K57" s="757"/>
      <c r="L57" s="757"/>
      <c r="M57" s="757"/>
      <c r="N57" s="757"/>
    </row>
    <row r="58" spans="2:14" ht="16" x14ac:dyDescent="0.2">
      <c r="B58" s="757"/>
      <c r="C58" s="757"/>
      <c r="D58" s="757"/>
      <c r="E58" s="757"/>
      <c r="F58" s="757"/>
      <c r="G58" s="757"/>
      <c r="H58" s="757"/>
      <c r="I58" s="757"/>
      <c r="J58" s="757"/>
      <c r="K58" s="757"/>
      <c r="L58" s="757"/>
      <c r="M58" s="757"/>
      <c r="N58" s="757"/>
    </row>
    <row r="59" spans="2:14" ht="16" x14ac:dyDescent="0.2">
      <c r="B59" s="757"/>
      <c r="C59" s="757"/>
      <c r="D59" s="757"/>
      <c r="E59" s="757"/>
      <c r="F59" s="757"/>
      <c r="G59" s="757"/>
      <c r="H59" s="757"/>
      <c r="I59" s="757"/>
      <c r="J59" s="757"/>
      <c r="K59" s="757"/>
      <c r="L59" s="757"/>
      <c r="M59" s="757"/>
      <c r="N59" s="757"/>
    </row>
    <row r="60" spans="2:14" ht="16" x14ac:dyDescent="0.2">
      <c r="B60" s="757"/>
      <c r="C60" s="757"/>
      <c r="D60" s="757"/>
      <c r="E60" s="757"/>
      <c r="F60" s="757"/>
      <c r="G60" s="757"/>
      <c r="H60" s="757"/>
      <c r="I60" s="757"/>
      <c r="J60" s="757"/>
      <c r="K60" s="757"/>
      <c r="L60" s="757"/>
      <c r="M60" s="757"/>
      <c r="N60" s="757"/>
    </row>
    <row r="61" spans="2:14" ht="16" x14ac:dyDescent="0.2">
      <c r="B61" s="757"/>
      <c r="C61" s="757"/>
      <c r="D61" s="757"/>
      <c r="E61" s="757"/>
      <c r="F61" s="757"/>
      <c r="G61" s="757"/>
      <c r="H61" s="757"/>
      <c r="I61" s="757"/>
      <c r="J61" s="757"/>
      <c r="K61" s="757"/>
      <c r="L61" s="757"/>
      <c r="M61" s="757"/>
      <c r="N61" s="757"/>
    </row>
    <row r="62" spans="2:14" ht="16" x14ac:dyDescent="0.2">
      <c r="B62" s="757"/>
      <c r="C62" s="757"/>
      <c r="D62" s="757"/>
      <c r="E62" s="757"/>
      <c r="F62" s="757"/>
      <c r="G62" s="757"/>
      <c r="H62" s="757"/>
      <c r="I62" s="757"/>
      <c r="J62" s="757"/>
      <c r="K62" s="757"/>
      <c r="L62" s="757"/>
      <c r="M62" s="757"/>
      <c r="N62" s="757"/>
    </row>
    <row r="63" spans="2:14" ht="16" x14ac:dyDescent="0.2">
      <c r="B63" s="757"/>
      <c r="C63" s="757"/>
      <c r="D63" s="757"/>
      <c r="E63" s="757"/>
      <c r="F63" s="757"/>
      <c r="G63" s="757"/>
      <c r="H63" s="757"/>
      <c r="I63" s="757"/>
      <c r="J63" s="757"/>
      <c r="K63" s="757"/>
      <c r="L63" s="757"/>
      <c r="M63" s="757"/>
      <c r="N63" s="757"/>
    </row>
    <row r="64" spans="2:14" ht="16" x14ac:dyDescent="0.2">
      <c r="B64" s="757"/>
      <c r="C64" s="757"/>
      <c r="D64" s="757"/>
      <c r="E64" s="757"/>
      <c r="F64" s="757"/>
      <c r="G64" s="757"/>
      <c r="H64" s="757"/>
      <c r="I64" s="757"/>
      <c r="J64" s="757"/>
      <c r="K64" s="757"/>
      <c r="L64" s="757"/>
      <c r="M64" s="757"/>
      <c r="N64" s="757"/>
    </row>
    <row r="65" spans="2:14" ht="16" x14ac:dyDescent="0.2">
      <c r="B65" s="757"/>
      <c r="C65" s="757"/>
      <c r="D65" s="757"/>
      <c r="E65" s="757"/>
      <c r="F65" s="757"/>
      <c r="G65" s="757"/>
      <c r="H65" s="757"/>
      <c r="I65" s="757"/>
      <c r="J65" s="757"/>
      <c r="K65" s="757"/>
      <c r="L65" s="757"/>
      <c r="M65" s="757"/>
      <c r="N65" s="757"/>
    </row>
    <row r="66" spans="2:14" ht="16" x14ac:dyDescent="0.2">
      <c r="B66" s="757"/>
      <c r="C66" s="757"/>
      <c r="D66" s="757"/>
      <c r="E66" s="757"/>
      <c r="F66" s="757"/>
      <c r="G66" s="757"/>
      <c r="H66" s="757"/>
      <c r="I66" s="757"/>
      <c r="J66" s="757"/>
      <c r="K66" s="757"/>
      <c r="L66" s="757"/>
      <c r="M66" s="757"/>
      <c r="N66" s="757"/>
    </row>
    <row r="67" spans="2:14" ht="16" x14ac:dyDescent="0.2">
      <c r="B67" s="757"/>
      <c r="C67" s="757"/>
      <c r="D67" s="757"/>
      <c r="E67" s="757"/>
      <c r="F67" s="757"/>
      <c r="G67" s="757"/>
      <c r="H67" s="757"/>
      <c r="I67" s="757"/>
      <c r="J67" s="757"/>
      <c r="K67" s="757"/>
      <c r="L67" s="757"/>
      <c r="M67" s="757"/>
      <c r="N67" s="757"/>
    </row>
    <row r="68" spans="2:14" ht="16" x14ac:dyDescent="0.2">
      <c r="B68" s="757"/>
      <c r="C68" s="757"/>
      <c r="D68" s="757"/>
      <c r="E68" s="757"/>
      <c r="F68" s="757"/>
      <c r="G68" s="757"/>
      <c r="H68" s="757"/>
      <c r="I68" s="757"/>
      <c r="J68" s="757"/>
      <c r="K68" s="757"/>
      <c r="L68" s="757"/>
      <c r="M68" s="757"/>
      <c r="N68" s="757"/>
    </row>
    <row r="69" spans="2:14" ht="16" x14ac:dyDescent="0.2">
      <c r="B69" s="757"/>
      <c r="C69" s="757"/>
      <c r="D69" s="757"/>
      <c r="E69" s="757"/>
      <c r="F69" s="757"/>
      <c r="G69" s="757"/>
      <c r="H69" s="757"/>
      <c r="I69" s="757"/>
      <c r="J69" s="757"/>
      <c r="K69" s="757"/>
      <c r="L69" s="757"/>
      <c r="M69" s="757"/>
      <c r="N69" s="757"/>
    </row>
    <row r="70" spans="2:14" ht="16" x14ac:dyDescent="0.2">
      <c r="B70" s="757"/>
      <c r="C70" s="757"/>
      <c r="D70" s="757"/>
      <c r="E70" s="757"/>
      <c r="F70" s="757"/>
      <c r="G70" s="757"/>
      <c r="H70" s="757"/>
      <c r="I70" s="757"/>
      <c r="J70" s="757"/>
      <c r="K70" s="757"/>
      <c r="L70" s="757"/>
      <c r="M70" s="757"/>
      <c r="N70" s="757"/>
    </row>
    <row r="71" spans="2:14" ht="16" x14ac:dyDescent="0.2">
      <c r="B71" s="757"/>
      <c r="C71" s="757"/>
      <c r="D71" s="757"/>
      <c r="E71" s="757"/>
      <c r="F71" s="757"/>
      <c r="G71" s="757"/>
      <c r="H71" s="757"/>
      <c r="I71" s="757"/>
      <c r="J71" s="757"/>
      <c r="K71" s="757"/>
      <c r="L71" s="757"/>
      <c r="M71" s="757"/>
      <c r="N71" s="757"/>
    </row>
    <row r="72" spans="2:14" ht="16" x14ac:dyDescent="0.2">
      <c r="B72" s="757"/>
      <c r="C72" s="757"/>
      <c r="D72" s="757"/>
      <c r="E72" s="757"/>
      <c r="F72" s="757"/>
      <c r="G72" s="757"/>
      <c r="H72" s="757"/>
      <c r="I72" s="757"/>
      <c r="J72" s="757"/>
      <c r="K72" s="757"/>
      <c r="L72" s="757"/>
      <c r="M72" s="757"/>
      <c r="N72" s="757"/>
    </row>
    <row r="73" spans="2:14" ht="16" x14ac:dyDescent="0.2">
      <c r="B73" s="757"/>
      <c r="C73" s="757"/>
      <c r="D73" s="757"/>
      <c r="E73" s="757"/>
      <c r="F73" s="757"/>
      <c r="G73" s="757"/>
      <c r="H73" s="757"/>
      <c r="I73" s="757"/>
      <c r="J73" s="757"/>
      <c r="K73" s="757"/>
      <c r="L73" s="757"/>
      <c r="M73" s="757"/>
      <c r="N73" s="757"/>
    </row>
    <row r="74" spans="2:14" ht="16" x14ac:dyDescent="0.2">
      <c r="B74" s="757"/>
      <c r="C74" s="757"/>
      <c r="D74" s="757"/>
      <c r="E74" s="757"/>
      <c r="F74" s="757"/>
      <c r="G74" s="757"/>
      <c r="H74" s="757"/>
      <c r="I74" s="757"/>
      <c r="J74" s="757"/>
      <c r="K74" s="757"/>
      <c r="L74" s="757"/>
      <c r="M74" s="757"/>
      <c r="N74" s="757"/>
    </row>
  </sheetData>
  <phoneticPr fontId="80" type="noConversion"/>
  <pageMargins left="0.75" right="0.75" top="1" bottom="1" header="0.5" footer="0.5"/>
  <pageSetup scale="46" orientation="portrait"/>
  <headerFooter alignWithMargins="0"/>
  <colBreaks count="1" manualBreakCount="1">
    <brk id="19" max="1048575" man="1"/>
  </colBreaks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9E567-3DD1-1041-B767-D238DCDBD4C1}">
  <dimension ref="B1:R1098"/>
  <sheetViews>
    <sheetView showGridLines="0" workbookViewId="0">
      <pane ySplit="7" topLeftCell="A8" activePane="bottomLeft" state="frozen"/>
      <selection pane="bottomLeft"/>
    </sheetView>
  </sheetViews>
  <sheetFormatPr baseColWidth="10" defaultColWidth="8.83203125" defaultRowHeight="13" x14ac:dyDescent="0.15"/>
  <cols>
    <col min="1" max="1" width="2.6640625" customWidth="1"/>
    <col min="2" max="2" width="11.1640625" customWidth="1"/>
    <col min="3" max="3" width="18.1640625" customWidth="1"/>
    <col min="4" max="4" width="2" customWidth="1"/>
    <col min="5" max="5" width="16.83203125" customWidth="1"/>
    <col min="6" max="6" width="1.5" customWidth="1"/>
    <col min="7" max="7" width="13.1640625" customWidth="1"/>
    <col min="8" max="8" width="2.33203125" customWidth="1"/>
    <col min="9" max="11" width="0" hidden="1" customWidth="1"/>
    <col min="12" max="12" width="21.5" customWidth="1"/>
    <col min="13" max="13" width="2.5" customWidth="1"/>
    <col min="14" max="14" width="13.6640625" customWidth="1"/>
    <col min="15" max="15" width="11.83203125" customWidth="1"/>
    <col min="16" max="16" width="8.83203125" customWidth="1"/>
    <col min="17" max="18" width="0" hidden="1" customWidth="1"/>
  </cols>
  <sheetData>
    <row r="1" spans="2:18" ht="18" thickTop="1" thickBot="1" x14ac:dyDescent="0.25">
      <c r="B1" s="794" t="s">
        <v>1756</v>
      </c>
      <c r="E1" s="31"/>
      <c r="H1" s="1123"/>
      <c r="L1" s="794" t="s">
        <v>1757</v>
      </c>
      <c r="O1" s="31" t="s">
        <v>780</v>
      </c>
    </row>
    <row r="2" spans="2:18" ht="14" thickTop="1" x14ac:dyDescent="0.15">
      <c r="B2" s="1124"/>
      <c r="C2" s="1125"/>
      <c r="D2" s="1126"/>
      <c r="E2" s="1127" t="s">
        <v>1784</v>
      </c>
      <c r="F2" s="1128"/>
      <c r="G2" s="1129" t="s">
        <v>1784</v>
      </c>
      <c r="H2" s="1130"/>
      <c r="L2" s="1127" t="s">
        <v>1784</v>
      </c>
      <c r="M2" s="1126"/>
      <c r="N2" s="1124"/>
      <c r="O2" s="1125"/>
    </row>
    <row r="3" spans="2:18" x14ac:dyDescent="0.15">
      <c r="B3" s="1131"/>
      <c r="C3" s="1132"/>
      <c r="D3" s="1133"/>
      <c r="E3" s="1134" t="s">
        <v>781</v>
      </c>
      <c r="F3" s="1135"/>
      <c r="G3" s="1136" t="s">
        <v>1788</v>
      </c>
      <c r="H3" s="1130"/>
      <c r="L3" s="1134" t="s">
        <v>781</v>
      </c>
      <c r="M3" s="1133"/>
      <c r="N3" s="1131"/>
      <c r="O3" s="1132"/>
    </row>
    <row r="4" spans="2:18" x14ac:dyDescent="0.15">
      <c r="B4" s="1137" t="s">
        <v>1783</v>
      </c>
      <c r="C4" s="1138" t="s">
        <v>1753</v>
      </c>
      <c r="D4" s="1133"/>
      <c r="E4" s="1139" t="str">
        <f>IF(K7=0," ",IF(K7&gt;0,SUM(E8:E1097)))</f>
        <v xml:space="preserve"> </v>
      </c>
      <c r="F4" s="1135"/>
      <c r="G4" s="1140" t="str">
        <f>IF(K7=0," ",IF(K7&gt;0,SUM(G8:G1097)))</f>
        <v xml:space="preserve"> </v>
      </c>
      <c r="H4" s="1130"/>
      <c r="L4" s="1134"/>
      <c r="M4" s="1133"/>
      <c r="N4" s="1137" t="s">
        <v>1783</v>
      </c>
      <c r="O4" s="1138" t="s">
        <v>1753</v>
      </c>
    </row>
    <row r="5" spans="2:18" ht="17" thickBot="1" x14ac:dyDescent="0.25">
      <c r="B5" s="1141" t="str">
        <f>IF(K7=0," ",IF(K7&gt;0,TRUNC(K7)))</f>
        <v xml:space="preserve"> </v>
      </c>
      <c r="C5" s="1142" t="str">
        <f>IF(K7=0," ",IF(K7&gt;0,(K7-B5)*12))</f>
        <v xml:space="preserve"> </v>
      </c>
      <c r="D5" s="1143"/>
      <c r="E5" s="1144"/>
      <c r="F5" s="1144"/>
      <c r="G5" s="1144"/>
      <c r="H5" s="1130"/>
      <c r="L5" s="1145" t="str">
        <f>IF(R7=0," ",IF(R7&gt;0,SUM(L8:L1832)))</f>
        <v xml:space="preserve"> </v>
      </c>
      <c r="M5" s="1146"/>
      <c r="N5" s="1147" t="str">
        <f>IF(R7=0," ",IF(R7&gt;0,TRUNC(R7)))</f>
        <v xml:space="preserve"> </v>
      </c>
      <c r="O5" s="1148" t="str">
        <f>IF(R7=0," ",IF(R7&gt;0,(R7-N5)*12))</f>
        <v xml:space="preserve"> </v>
      </c>
    </row>
    <row r="6" spans="2:18" ht="14" thickTop="1" x14ac:dyDescent="0.15">
      <c r="B6" s="187" t="s">
        <v>782</v>
      </c>
      <c r="H6" s="1149"/>
      <c r="L6" s="187" t="s">
        <v>783</v>
      </c>
    </row>
    <row r="7" spans="2:18" ht="14" thickBot="1" x14ac:dyDescent="0.2">
      <c r="B7" s="28" t="s">
        <v>1783</v>
      </c>
      <c r="C7" s="28" t="s">
        <v>1753</v>
      </c>
      <c r="E7" s="28" t="s">
        <v>781</v>
      </c>
      <c r="F7" s="28"/>
      <c r="G7" s="28" t="s">
        <v>1788</v>
      </c>
      <c r="H7" s="1149"/>
      <c r="K7" s="447">
        <f>SUM(K8:K1261)</f>
        <v>0</v>
      </c>
      <c r="L7" s="28" t="s">
        <v>781</v>
      </c>
      <c r="N7" s="28" t="s">
        <v>1783</v>
      </c>
      <c r="O7" s="28" t="s">
        <v>1753</v>
      </c>
      <c r="R7" s="447">
        <f>SUM(R8:R1261)</f>
        <v>0</v>
      </c>
    </row>
    <row r="8" spans="2:18" ht="14" thickTop="1" x14ac:dyDescent="0.15">
      <c r="B8" s="1150"/>
      <c r="C8" s="1151"/>
      <c r="D8" s="897"/>
      <c r="E8" s="1152" t="str">
        <f>IF(K8=0," ",IF(K8&gt;0,K8*12*25.4))</f>
        <v xml:space="preserve"> </v>
      </c>
      <c r="G8" s="1153" t="str">
        <f>IF(K8=0," ",IF(K8&gt;0,E8/1000))</f>
        <v xml:space="preserve"> </v>
      </c>
      <c r="H8" s="1149"/>
      <c r="I8">
        <f t="shared" ref="I8:I71" si="0">(J8+C8)/12</f>
        <v>0</v>
      </c>
      <c r="K8">
        <f t="shared" ref="K8:K71" si="1">I8+B8</f>
        <v>0</v>
      </c>
      <c r="L8" s="1154"/>
      <c r="N8" s="1155" t="str">
        <f>IF(R8=0," ",IF(R8&gt;0,TRUNC(R8)))</f>
        <v xml:space="preserve"> </v>
      </c>
      <c r="O8" s="1156" t="str">
        <f>IF(R8=0," ",IF(R8&gt;0,(R8-N8)*12))</f>
        <v xml:space="preserve"> </v>
      </c>
      <c r="Q8">
        <f>L8/25.4</f>
        <v>0</v>
      </c>
      <c r="R8">
        <f>Q8/12</f>
        <v>0</v>
      </c>
    </row>
    <row r="9" spans="2:18" x14ac:dyDescent="0.15">
      <c r="B9" s="1157"/>
      <c r="C9" s="1158"/>
      <c r="D9" s="897"/>
      <c r="E9" s="1159" t="str">
        <f>IF(K9=0," ",IF(K9&gt;0,K9*12*25.4))</f>
        <v xml:space="preserve"> </v>
      </c>
      <c r="G9" s="1160" t="str">
        <f>IF(K9=0," ",IF(K9&gt;0,E9/1000))</f>
        <v xml:space="preserve"> </v>
      </c>
      <c r="H9" s="1149"/>
      <c r="I9">
        <f t="shared" si="0"/>
        <v>0</v>
      </c>
      <c r="K9">
        <f t="shared" si="1"/>
        <v>0</v>
      </c>
      <c r="L9" s="1161"/>
      <c r="N9" s="1162" t="str">
        <f>IF(R9=0," ",IF(R9&gt;0,TRUNC(R9)))</f>
        <v xml:space="preserve"> </v>
      </c>
      <c r="O9" s="1163" t="str">
        <f>IF(R9=0," ",IF(R9&gt;0,(R9-N9)*12))</f>
        <v xml:space="preserve"> </v>
      </c>
      <c r="Q9">
        <f>L9/25.4</f>
        <v>0</v>
      </c>
      <c r="R9">
        <f>Q9/12</f>
        <v>0</v>
      </c>
    </row>
    <row r="10" spans="2:18" x14ac:dyDescent="0.15">
      <c r="B10" s="1157"/>
      <c r="C10" s="1158"/>
      <c r="D10" s="897"/>
      <c r="E10" s="1159" t="str">
        <f t="shared" ref="E10:E73" si="2">IF(K10=0," ",IF(K10&gt;0,K10*12*25.4))</f>
        <v xml:space="preserve"> </v>
      </c>
      <c r="G10" s="1160" t="str">
        <f t="shared" ref="G10:G73" si="3">IF(K10=0," ",IF(K10&gt;0,E10/1000))</f>
        <v xml:space="preserve"> </v>
      </c>
      <c r="H10" s="1149"/>
      <c r="I10">
        <f t="shared" si="0"/>
        <v>0</v>
      </c>
      <c r="K10">
        <f t="shared" si="1"/>
        <v>0</v>
      </c>
      <c r="L10" s="1161"/>
      <c r="N10" s="1162" t="str">
        <f t="shared" ref="N10:N73" si="4">IF(R10=0," ",IF(R10&gt;0,TRUNC(R10)))</f>
        <v xml:space="preserve"> </v>
      </c>
      <c r="O10" s="1163" t="str">
        <f t="shared" ref="O10:O73" si="5">IF(R10=0," ",IF(R10&gt;0,(R10-N10)*12))</f>
        <v xml:space="preserve"> </v>
      </c>
      <c r="Q10">
        <f t="shared" ref="Q10:Q73" si="6">L10/25.4</f>
        <v>0</v>
      </c>
      <c r="R10">
        <f t="shared" ref="R10:R73" si="7">Q10/12</f>
        <v>0</v>
      </c>
    </row>
    <row r="11" spans="2:18" x14ac:dyDescent="0.15">
      <c r="B11" s="1157"/>
      <c r="C11" s="1158"/>
      <c r="D11" s="897"/>
      <c r="E11" s="1159" t="str">
        <f t="shared" si="2"/>
        <v xml:space="preserve"> </v>
      </c>
      <c r="G11" s="1160" t="str">
        <f t="shared" si="3"/>
        <v xml:space="preserve"> </v>
      </c>
      <c r="H11" s="1149"/>
      <c r="I11">
        <f t="shared" si="0"/>
        <v>0</v>
      </c>
      <c r="K11">
        <f t="shared" si="1"/>
        <v>0</v>
      </c>
      <c r="L11" s="1161"/>
      <c r="N11" s="1162" t="str">
        <f t="shared" si="4"/>
        <v xml:space="preserve"> </v>
      </c>
      <c r="O11" s="1163" t="str">
        <f t="shared" si="5"/>
        <v xml:space="preserve"> </v>
      </c>
      <c r="Q11">
        <f t="shared" si="6"/>
        <v>0</v>
      </c>
      <c r="R11">
        <f t="shared" si="7"/>
        <v>0</v>
      </c>
    </row>
    <row r="12" spans="2:18" x14ac:dyDescent="0.15">
      <c r="B12" s="1157"/>
      <c r="C12" s="1158"/>
      <c r="D12" s="897"/>
      <c r="E12" s="1159" t="str">
        <f t="shared" si="2"/>
        <v xml:space="preserve"> </v>
      </c>
      <c r="G12" s="1160" t="str">
        <f t="shared" si="3"/>
        <v xml:space="preserve"> </v>
      </c>
      <c r="H12" s="1149"/>
      <c r="I12">
        <f t="shared" si="0"/>
        <v>0</v>
      </c>
      <c r="K12">
        <f t="shared" si="1"/>
        <v>0</v>
      </c>
      <c r="L12" s="1161"/>
      <c r="N12" s="1162" t="str">
        <f t="shared" si="4"/>
        <v xml:space="preserve"> </v>
      </c>
      <c r="O12" s="1163" t="str">
        <f t="shared" si="5"/>
        <v xml:space="preserve"> </v>
      </c>
      <c r="Q12">
        <f t="shared" si="6"/>
        <v>0</v>
      </c>
      <c r="R12">
        <f t="shared" si="7"/>
        <v>0</v>
      </c>
    </row>
    <row r="13" spans="2:18" x14ac:dyDescent="0.15">
      <c r="B13" s="1157"/>
      <c r="C13" s="1158"/>
      <c r="D13" s="897"/>
      <c r="E13" s="1159" t="str">
        <f t="shared" si="2"/>
        <v xml:space="preserve"> </v>
      </c>
      <c r="G13" s="1160" t="str">
        <f t="shared" si="3"/>
        <v xml:space="preserve"> </v>
      </c>
      <c r="H13" s="1149"/>
      <c r="I13">
        <f t="shared" si="0"/>
        <v>0</v>
      </c>
      <c r="K13">
        <f t="shared" si="1"/>
        <v>0</v>
      </c>
      <c r="L13" s="1161"/>
      <c r="N13" s="1162" t="str">
        <f t="shared" si="4"/>
        <v xml:space="preserve"> </v>
      </c>
      <c r="O13" s="1163" t="str">
        <f t="shared" si="5"/>
        <v xml:space="preserve"> </v>
      </c>
      <c r="Q13">
        <f t="shared" si="6"/>
        <v>0</v>
      </c>
      <c r="R13">
        <f t="shared" si="7"/>
        <v>0</v>
      </c>
    </row>
    <row r="14" spans="2:18" x14ac:dyDescent="0.15">
      <c r="B14" s="1157"/>
      <c r="C14" s="1158"/>
      <c r="D14" s="897"/>
      <c r="E14" s="1159" t="str">
        <f t="shared" si="2"/>
        <v xml:space="preserve"> </v>
      </c>
      <c r="G14" s="1160" t="str">
        <f t="shared" si="3"/>
        <v xml:space="preserve"> </v>
      </c>
      <c r="H14" s="1149"/>
      <c r="I14">
        <f t="shared" si="0"/>
        <v>0</v>
      </c>
      <c r="K14">
        <f t="shared" si="1"/>
        <v>0</v>
      </c>
      <c r="L14" s="1161"/>
      <c r="N14" s="1162" t="str">
        <f t="shared" si="4"/>
        <v xml:space="preserve"> </v>
      </c>
      <c r="O14" s="1163" t="str">
        <f t="shared" si="5"/>
        <v xml:space="preserve"> </v>
      </c>
      <c r="Q14">
        <f t="shared" si="6"/>
        <v>0</v>
      </c>
      <c r="R14">
        <f t="shared" si="7"/>
        <v>0</v>
      </c>
    </row>
    <row r="15" spans="2:18" x14ac:dyDescent="0.15">
      <c r="B15" s="1157"/>
      <c r="C15" s="1158"/>
      <c r="D15" s="897"/>
      <c r="E15" s="1159" t="str">
        <f t="shared" si="2"/>
        <v xml:space="preserve"> </v>
      </c>
      <c r="G15" s="1160" t="str">
        <f t="shared" si="3"/>
        <v xml:space="preserve"> </v>
      </c>
      <c r="H15" s="1149"/>
      <c r="I15">
        <f t="shared" si="0"/>
        <v>0</v>
      </c>
      <c r="K15">
        <f t="shared" si="1"/>
        <v>0</v>
      </c>
      <c r="L15" s="1161"/>
      <c r="N15" s="1162" t="str">
        <f t="shared" si="4"/>
        <v xml:space="preserve"> </v>
      </c>
      <c r="O15" s="1163" t="str">
        <f t="shared" si="5"/>
        <v xml:space="preserve"> </v>
      </c>
      <c r="Q15">
        <f t="shared" si="6"/>
        <v>0</v>
      </c>
      <c r="R15">
        <f t="shared" si="7"/>
        <v>0</v>
      </c>
    </row>
    <row r="16" spans="2:18" x14ac:dyDescent="0.15">
      <c r="B16" s="1157"/>
      <c r="C16" s="1158"/>
      <c r="D16" s="897"/>
      <c r="E16" s="1159" t="str">
        <f t="shared" si="2"/>
        <v xml:space="preserve"> </v>
      </c>
      <c r="G16" s="1160" t="str">
        <f t="shared" si="3"/>
        <v xml:space="preserve"> </v>
      </c>
      <c r="H16" s="1149"/>
      <c r="I16">
        <f t="shared" si="0"/>
        <v>0</v>
      </c>
      <c r="K16">
        <f t="shared" si="1"/>
        <v>0</v>
      </c>
      <c r="L16" s="1161"/>
      <c r="N16" s="1162" t="str">
        <f t="shared" si="4"/>
        <v xml:space="preserve"> </v>
      </c>
      <c r="O16" s="1163" t="str">
        <f t="shared" si="5"/>
        <v xml:space="preserve"> </v>
      </c>
      <c r="Q16">
        <f t="shared" si="6"/>
        <v>0</v>
      </c>
      <c r="R16">
        <f t="shared" si="7"/>
        <v>0</v>
      </c>
    </row>
    <row r="17" spans="2:18" x14ac:dyDescent="0.15">
      <c r="B17" s="1157"/>
      <c r="C17" s="1158"/>
      <c r="D17" s="897"/>
      <c r="E17" s="1159" t="str">
        <f t="shared" si="2"/>
        <v xml:space="preserve"> </v>
      </c>
      <c r="G17" s="1160" t="str">
        <f t="shared" si="3"/>
        <v xml:space="preserve"> </v>
      </c>
      <c r="H17" s="1149"/>
      <c r="I17">
        <f t="shared" si="0"/>
        <v>0</v>
      </c>
      <c r="K17">
        <f t="shared" si="1"/>
        <v>0</v>
      </c>
      <c r="L17" s="1161"/>
      <c r="N17" s="1162" t="str">
        <f t="shared" si="4"/>
        <v xml:space="preserve"> </v>
      </c>
      <c r="O17" s="1163" t="str">
        <f t="shared" si="5"/>
        <v xml:space="preserve"> </v>
      </c>
      <c r="Q17">
        <f t="shared" si="6"/>
        <v>0</v>
      </c>
      <c r="R17">
        <f t="shared" si="7"/>
        <v>0</v>
      </c>
    </row>
    <row r="18" spans="2:18" x14ac:dyDescent="0.15">
      <c r="B18" s="1157"/>
      <c r="C18" s="1158"/>
      <c r="D18" s="897"/>
      <c r="E18" s="1159" t="str">
        <f t="shared" si="2"/>
        <v xml:space="preserve"> </v>
      </c>
      <c r="G18" s="1160" t="str">
        <f t="shared" si="3"/>
        <v xml:space="preserve"> </v>
      </c>
      <c r="H18" s="1149"/>
      <c r="I18">
        <f t="shared" si="0"/>
        <v>0</v>
      </c>
      <c r="K18">
        <f t="shared" si="1"/>
        <v>0</v>
      </c>
      <c r="L18" s="1161"/>
      <c r="N18" s="1162" t="str">
        <f t="shared" si="4"/>
        <v xml:space="preserve"> </v>
      </c>
      <c r="O18" s="1163" t="str">
        <f t="shared" si="5"/>
        <v xml:space="preserve"> </v>
      </c>
      <c r="Q18">
        <f t="shared" si="6"/>
        <v>0</v>
      </c>
      <c r="R18">
        <f t="shared" si="7"/>
        <v>0</v>
      </c>
    </row>
    <row r="19" spans="2:18" x14ac:dyDescent="0.15">
      <c r="B19" s="1157"/>
      <c r="C19" s="1158"/>
      <c r="D19" s="897"/>
      <c r="E19" s="1159" t="str">
        <f t="shared" si="2"/>
        <v xml:space="preserve"> </v>
      </c>
      <c r="G19" s="1160" t="str">
        <f t="shared" si="3"/>
        <v xml:space="preserve"> </v>
      </c>
      <c r="H19" s="1149"/>
      <c r="I19">
        <f t="shared" si="0"/>
        <v>0</v>
      </c>
      <c r="K19">
        <f t="shared" si="1"/>
        <v>0</v>
      </c>
      <c r="L19" s="1161"/>
      <c r="N19" s="1162" t="str">
        <f t="shared" si="4"/>
        <v xml:space="preserve"> </v>
      </c>
      <c r="O19" s="1163" t="str">
        <f t="shared" si="5"/>
        <v xml:space="preserve"> </v>
      </c>
      <c r="Q19">
        <f t="shared" si="6"/>
        <v>0</v>
      </c>
      <c r="R19">
        <f t="shared" si="7"/>
        <v>0</v>
      </c>
    </row>
    <row r="20" spans="2:18" x14ac:dyDescent="0.15">
      <c r="B20" s="1157"/>
      <c r="C20" s="1158"/>
      <c r="D20" s="897"/>
      <c r="E20" s="1159" t="str">
        <f t="shared" si="2"/>
        <v xml:space="preserve"> </v>
      </c>
      <c r="G20" s="1160" t="str">
        <f t="shared" si="3"/>
        <v xml:space="preserve"> </v>
      </c>
      <c r="H20" s="1149"/>
      <c r="I20">
        <f t="shared" si="0"/>
        <v>0</v>
      </c>
      <c r="K20">
        <f t="shared" si="1"/>
        <v>0</v>
      </c>
      <c r="L20" s="1161"/>
      <c r="N20" s="1162" t="str">
        <f t="shared" si="4"/>
        <v xml:space="preserve"> </v>
      </c>
      <c r="O20" s="1163" t="str">
        <f t="shared" si="5"/>
        <v xml:space="preserve"> </v>
      </c>
      <c r="Q20">
        <f t="shared" si="6"/>
        <v>0</v>
      </c>
      <c r="R20">
        <f t="shared" si="7"/>
        <v>0</v>
      </c>
    </row>
    <row r="21" spans="2:18" x14ac:dyDescent="0.15">
      <c r="B21" s="1157"/>
      <c r="C21" s="1158"/>
      <c r="D21" s="897"/>
      <c r="E21" s="1159" t="str">
        <f t="shared" si="2"/>
        <v xml:space="preserve"> </v>
      </c>
      <c r="G21" s="1160" t="str">
        <f t="shared" si="3"/>
        <v xml:space="preserve"> </v>
      </c>
      <c r="H21" s="1149"/>
      <c r="I21">
        <f t="shared" si="0"/>
        <v>0</v>
      </c>
      <c r="K21">
        <f t="shared" si="1"/>
        <v>0</v>
      </c>
      <c r="L21" s="1161"/>
      <c r="N21" s="1162" t="str">
        <f t="shared" si="4"/>
        <v xml:space="preserve"> </v>
      </c>
      <c r="O21" s="1163" t="str">
        <f t="shared" si="5"/>
        <v xml:space="preserve"> </v>
      </c>
      <c r="Q21">
        <f t="shared" si="6"/>
        <v>0</v>
      </c>
      <c r="R21">
        <f t="shared" si="7"/>
        <v>0</v>
      </c>
    </row>
    <row r="22" spans="2:18" x14ac:dyDescent="0.15">
      <c r="B22" s="1157"/>
      <c r="C22" s="1158"/>
      <c r="D22" s="897"/>
      <c r="E22" s="1159" t="str">
        <f t="shared" si="2"/>
        <v xml:space="preserve"> </v>
      </c>
      <c r="G22" s="1160" t="str">
        <f t="shared" si="3"/>
        <v xml:space="preserve"> </v>
      </c>
      <c r="H22" s="1149"/>
      <c r="I22">
        <f t="shared" si="0"/>
        <v>0</v>
      </c>
      <c r="K22">
        <f t="shared" si="1"/>
        <v>0</v>
      </c>
      <c r="L22" s="1161"/>
      <c r="N22" s="1162" t="str">
        <f t="shared" si="4"/>
        <v xml:space="preserve"> </v>
      </c>
      <c r="O22" s="1163" t="str">
        <f t="shared" si="5"/>
        <v xml:space="preserve"> </v>
      </c>
      <c r="Q22">
        <f t="shared" si="6"/>
        <v>0</v>
      </c>
      <c r="R22">
        <f t="shared" si="7"/>
        <v>0</v>
      </c>
    </row>
    <row r="23" spans="2:18" x14ac:dyDescent="0.15">
      <c r="B23" s="1157"/>
      <c r="C23" s="1158"/>
      <c r="D23" s="897"/>
      <c r="E23" s="1159" t="str">
        <f t="shared" si="2"/>
        <v xml:space="preserve"> </v>
      </c>
      <c r="G23" s="1160" t="str">
        <f t="shared" si="3"/>
        <v xml:space="preserve"> </v>
      </c>
      <c r="H23" s="1149"/>
      <c r="I23">
        <f t="shared" si="0"/>
        <v>0</v>
      </c>
      <c r="K23">
        <f t="shared" si="1"/>
        <v>0</v>
      </c>
      <c r="L23" s="1161"/>
      <c r="N23" s="1162" t="str">
        <f t="shared" si="4"/>
        <v xml:space="preserve"> </v>
      </c>
      <c r="O23" s="1163" t="str">
        <f t="shared" si="5"/>
        <v xml:space="preserve"> </v>
      </c>
      <c r="Q23">
        <f t="shared" si="6"/>
        <v>0</v>
      </c>
      <c r="R23">
        <f t="shared" si="7"/>
        <v>0</v>
      </c>
    </row>
    <row r="24" spans="2:18" x14ac:dyDescent="0.15">
      <c r="B24" s="1157"/>
      <c r="C24" s="1158"/>
      <c r="D24" s="897"/>
      <c r="E24" s="1159" t="str">
        <f t="shared" si="2"/>
        <v xml:space="preserve"> </v>
      </c>
      <c r="G24" s="1160" t="str">
        <f t="shared" si="3"/>
        <v xml:space="preserve"> </v>
      </c>
      <c r="H24" s="1149"/>
      <c r="I24">
        <f t="shared" si="0"/>
        <v>0</v>
      </c>
      <c r="K24">
        <f t="shared" si="1"/>
        <v>0</v>
      </c>
      <c r="L24" s="1161"/>
      <c r="N24" s="1162" t="str">
        <f t="shared" si="4"/>
        <v xml:space="preserve"> </v>
      </c>
      <c r="O24" s="1163" t="str">
        <f t="shared" si="5"/>
        <v xml:space="preserve"> </v>
      </c>
      <c r="Q24">
        <f t="shared" si="6"/>
        <v>0</v>
      </c>
      <c r="R24">
        <f t="shared" si="7"/>
        <v>0</v>
      </c>
    </row>
    <row r="25" spans="2:18" x14ac:dyDescent="0.15">
      <c r="B25" s="1157"/>
      <c r="C25" s="1158"/>
      <c r="D25" s="897"/>
      <c r="E25" s="1159" t="str">
        <f t="shared" si="2"/>
        <v xml:space="preserve"> </v>
      </c>
      <c r="G25" s="1160" t="str">
        <f t="shared" si="3"/>
        <v xml:space="preserve"> </v>
      </c>
      <c r="H25" s="1149"/>
      <c r="I25">
        <f t="shared" si="0"/>
        <v>0</v>
      </c>
      <c r="K25">
        <f t="shared" si="1"/>
        <v>0</v>
      </c>
      <c r="L25" s="1161"/>
      <c r="N25" s="1162" t="str">
        <f t="shared" si="4"/>
        <v xml:space="preserve"> </v>
      </c>
      <c r="O25" s="1163" t="str">
        <f t="shared" si="5"/>
        <v xml:space="preserve"> </v>
      </c>
      <c r="Q25">
        <f t="shared" si="6"/>
        <v>0</v>
      </c>
      <c r="R25">
        <f t="shared" si="7"/>
        <v>0</v>
      </c>
    </row>
    <row r="26" spans="2:18" x14ac:dyDescent="0.15">
      <c r="B26" s="1157"/>
      <c r="C26" s="1158"/>
      <c r="D26" s="897"/>
      <c r="E26" s="1159" t="str">
        <f t="shared" si="2"/>
        <v xml:space="preserve"> </v>
      </c>
      <c r="G26" s="1160" t="str">
        <f t="shared" si="3"/>
        <v xml:space="preserve"> </v>
      </c>
      <c r="H26" s="1149"/>
      <c r="I26">
        <f t="shared" si="0"/>
        <v>0</v>
      </c>
      <c r="K26">
        <f t="shared" si="1"/>
        <v>0</v>
      </c>
      <c r="L26" s="1161"/>
      <c r="N26" s="1162" t="str">
        <f t="shared" si="4"/>
        <v xml:space="preserve"> </v>
      </c>
      <c r="O26" s="1163" t="str">
        <f t="shared" si="5"/>
        <v xml:space="preserve"> </v>
      </c>
      <c r="Q26">
        <f t="shared" si="6"/>
        <v>0</v>
      </c>
      <c r="R26">
        <f t="shared" si="7"/>
        <v>0</v>
      </c>
    </row>
    <row r="27" spans="2:18" x14ac:dyDescent="0.15">
      <c r="B27" s="1157"/>
      <c r="C27" s="1158"/>
      <c r="D27" s="897"/>
      <c r="E27" s="1159" t="str">
        <f t="shared" si="2"/>
        <v xml:space="preserve"> </v>
      </c>
      <c r="G27" s="1160" t="str">
        <f t="shared" si="3"/>
        <v xml:space="preserve"> </v>
      </c>
      <c r="H27" s="1149"/>
      <c r="I27">
        <f t="shared" si="0"/>
        <v>0</v>
      </c>
      <c r="K27">
        <f t="shared" si="1"/>
        <v>0</v>
      </c>
      <c r="L27" s="1161"/>
      <c r="N27" s="1162" t="str">
        <f t="shared" si="4"/>
        <v xml:space="preserve"> </v>
      </c>
      <c r="O27" s="1163" t="str">
        <f t="shared" si="5"/>
        <v xml:space="preserve"> </v>
      </c>
      <c r="Q27">
        <f t="shared" si="6"/>
        <v>0</v>
      </c>
      <c r="R27">
        <f t="shared" si="7"/>
        <v>0</v>
      </c>
    </row>
    <row r="28" spans="2:18" x14ac:dyDescent="0.15">
      <c r="B28" s="1157"/>
      <c r="C28" s="1158"/>
      <c r="D28" s="897"/>
      <c r="E28" s="1159" t="str">
        <f t="shared" si="2"/>
        <v xml:space="preserve"> </v>
      </c>
      <c r="G28" s="1160" t="str">
        <f t="shared" si="3"/>
        <v xml:space="preserve"> </v>
      </c>
      <c r="H28" s="1149"/>
      <c r="I28">
        <f t="shared" si="0"/>
        <v>0</v>
      </c>
      <c r="K28">
        <f t="shared" si="1"/>
        <v>0</v>
      </c>
      <c r="L28" s="1161"/>
      <c r="N28" s="1162" t="str">
        <f t="shared" si="4"/>
        <v xml:space="preserve"> </v>
      </c>
      <c r="O28" s="1163" t="str">
        <f t="shared" si="5"/>
        <v xml:space="preserve"> </v>
      </c>
      <c r="Q28">
        <f t="shared" si="6"/>
        <v>0</v>
      </c>
      <c r="R28">
        <f t="shared" si="7"/>
        <v>0</v>
      </c>
    </row>
    <row r="29" spans="2:18" x14ac:dyDescent="0.15">
      <c r="B29" s="1157"/>
      <c r="C29" s="1158"/>
      <c r="D29" s="897"/>
      <c r="E29" s="1159" t="str">
        <f t="shared" si="2"/>
        <v xml:space="preserve"> </v>
      </c>
      <c r="G29" s="1160" t="str">
        <f t="shared" si="3"/>
        <v xml:space="preserve"> </v>
      </c>
      <c r="H29" s="1149"/>
      <c r="I29">
        <f t="shared" si="0"/>
        <v>0</v>
      </c>
      <c r="K29">
        <f t="shared" si="1"/>
        <v>0</v>
      </c>
      <c r="L29" s="1161"/>
      <c r="N29" s="1162" t="str">
        <f t="shared" si="4"/>
        <v xml:space="preserve"> </v>
      </c>
      <c r="O29" s="1163" t="str">
        <f t="shared" si="5"/>
        <v xml:space="preserve"> </v>
      </c>
      <c r="Q29">
        <f t="shared" si="6"/>
        <v>0</v>
      </c>
      <c r="R29">
        <f t="shared" si="7"/>
        <v>0</v>
      </c>
    </row>
    <row r="30" spans="2:18" x14ac:dyDescent="0.15">
      <c r="B30" s="1157"/>
      <c r="C30" s="1158"/>
      <c r="D30" s="897"/>
      <c r="E30" s="1159" t="str">
        <f t="shared" si="2"/>
        <v xml:space="preserve"> </v>
      </c>
      <c r="G30" s="1160" t="str">
        <f t="shared" si="3"/>
        <v xml:space="preserve"> </v>
      </c>
      <c r="H30" s="1149"/>
      <c r="I30">
        <f t="shared" si="0"/>
        <v>0</v>
      </c>
      <c r="K30">
        <f t="shared" si="1"/>
        <v>0</v>
      </c>
      <c r="L30" s="1161"/>
      <c r="N30" s="1162" t="str">
        <f t="shared" si="4"/>
        <v xml:space="preserve"> </v>
      </c>
      <c r="O30" s="1163" t="str">
        <f t="shared" si="5"/>
        <v xml:space="preserve"> </v>
      </c>
      <c r="Q30">
        <f t="shared" si="6"/>
        <v>0</v>
      </c>
      <c r="R30">
        <f t="shared" si="7"/>
        <v>0</v>
      </c>
    </row>
    <row r="31" spans="2:18" x14ac:dyDescent="0.15">
      <c r="B31" s="1157"/>
      <c r="C31" s="1158"/>
      <c r="D31" s="897"/>
      <c r="E31" s="1159" t="str">
        <f t="shared" si="2"/>
        <v xml:space="preserve"> </v>
      </c>
      <c r="G31" s="1160" t="str">
        <f t="shared" si="3"/>
        <v xml:space="preserve"> </v>
      </c>
      <c r="H31" s="1149"/>
      <c r="I31">
        <f t="shared" si="0"/>
        <v>0</v>
      </c>
      <c r="K31">
        <f t="shared" si="1"/>
        <v>0</v>
      </c>
      <c r="L31" s="1161"/>
      <c r="N31" s="1162" t="str">
        <f t="shared" si="4"/>
        <v xml:space="preserve"> </v>
      </c>
      <c r="O31" s="1163" t="str">
        <f t="shared" si="5"/>
        <v xml:space="preserve"> </v>
      </c>
      <c r="Q31">
        <f t="shared" si="6"/>
        <v>0</v>
      </c>
      <c r="R31">
        <f t="shared" si="7"/>
        <v>0</v>
      </c>
    </row>
    <row r="32" spans="2:18" x14ac:dyDescent="0.15">
      <c r="B32" s="1157"/>
      <c r="C32" s="1158"/>
      <c r="D32" s="897"/>
      <c r="E32" s="1159" t="str">
        <f t="shared" si="2"/>
        <v xml:space="preserve"> </v>
      </c>
      <c r="G32" s="1160" t="str">
        <f t="shared" si="3"/>
        <v xml:space="preserve"> </v>
      </c>
      <c r="H32" s="1149"/>
      <c r="I32">
        <f t="shared" si="0"/>
        <v>0</v>
      </c>
      <c r="K32">
        <f t="shared" si="1"/>
        <v>0</v>
      </c>
      <c r="L32" s="1161"/>
      <c r="N32" s="1162" t="str">
        <f t="shared" si="4"/>
        <v xml:space="preserve"> </v>
      </c>
      <c r="O32" s="1163" t="str">
        <f t="shared" si="5"/>
        <v xml:space="preserve"> </v>
      </c>
      <c r="Q32">
        <f t="shared" si="6"/>
        <v>0</v>
      </c>
      <c r="R32">
        <f t="shared" si="7"/>
        <v>0</v>
      </c>
    </row>
    <row r="33" spans="2:18" x14ac:dyDescent="0.15">
      <c r="B33" s="1157"/>
      <c r="C33" s="1158"/>
      <c r="D33" s="897"/>
      <c r="E33" s="1159" t="str">
        <f t="shared" si="2"/>
        <v xml:space="preserve"> </v>
      </c>
      <c r="G33" s="1160" t="str">
        <f t="shared" si="3"/>
        <v xml:space="preserve"> </v>
      </c>
      <c r="H33" s="1149"/>
      <c r="I33">
        <f t="shared" si="0"/>
        <v>0</v>
      </c>
      <c r="K33">
        <f t="shared" si="1"/>
        <v>0</v>
      </c>
      <c r="L33" s="1161"/>
      <c r="N33" s="1162" t="str">
        <f t="shared" si="4"/>
        <v xml:space="preserve"> </v>
      </c>
      <c r="O33" s="1163" t="str">
        <f t="shared" si="5"/>
        <v xml:space="preserve"> </v>
      </c>
      <c r="Q33">
        <f t="shared" si="6"/>
        <v>0</v>
      </c>
      <c r="R33">
        <f t="shared" si="7"/>
        <v>0</v>
      </c>
    </row>
    <row r="34" spans="2:18" x14ac:dyDescent="0.15">
      <c r="B34" s="1157"/>
      <c r="C34" s="1158"/>
      <c r="D34" s="897"/>
      <c r="E34" s="1159" t="str">
        <f t="shared" si="2"/>
        <v xml:space="preserve"> </v>
      </c>
      <c r="G34" s="1160" t="str">
        <f t="shared" si="3"/>
        <v xml:space="preserve"> </v>
      </c>
      <c r="H34" s="1149"/>
      <c r="I34">
        <f t="shared" si="0"/>
        <v>0</v>
      </c>
      <c r="K34">
        <f t="shared" si="1"/>
        <v>0</v>
      </c>
      <c r="L34" s="1161"/>
      <c r="N34" s="1162" t="str">
        <f t="shared" si="4"/>
        <v xml:space="preserve"> </v>
      </c>
      <c r="O34" s="1163" t="str">
        <f t="shared" si="5"/>
        <v xml:space="preserve"> </v>
      </c>
      <c r="Q34">
        <f t="shared" si="6"/>
        <v>0</v>
      </c>
      <c r="R34">
        <f t="shared" si="7"/>
        <v>0</v>
      </c>
    </row>
    <row r="35" spans="2:18" x14ac:dyDescent="0.15">
      <c r="B35" s="1157"/>
      <c r="C35" s="1158"/>
      <c r="D35" s="897"/>
      <c r="E35" s="1159" t="str">
        <f t="shared" si="2"/>
        <v xml:space="preserve"> </v>
      </c>
      <c r="G35" s="1160" t="str">
        <f t="shared" si="3"/>
        <v xml:space="preserve"> </v>
      </c>
      <c r="H35" s="1149"/>
      <c r="I35">
        <f t="shared" si="0"/>
        <v>0</v>
      </c>
      <c r="K35">
        <f t="shared" si="1"/>
        <v>0</v>
      </c>
      <c r="L35" s="1161"/>
      <c r="N35" s="1162" t="str">
        <f t="shared" si="4"/>
        <v xml:space="preserve"> </v>
      </c>
      <c r="O35" s="1163" t="str">
        <f t="shared" si="5"/>
        <v xml:space="preserve"> </v>
      </c>
      <c r="Q35">
        <f t="shared" si="6"/>
        <v>0</v>
      </c>
      <c r="R35">
        <f t="shared" si="7"/>
        <v>0</v>
      </c>
    </row>
    <row r="36" spans="2:18" x14ac:dyDescent="0.15">
      <c r="B36" s="1157"/>
      <c r="C36" s="1158"/>
      <c r="D36" s="897"/>
      <c r="E36" s="1159" t="str">
        <f t="shared" si="2"/>
        <v xml:space="preserve"> </v>
      </c>
      <c r="G36" s="1160" t="str">
        <f t="shared" si="3"/>
        <v xml:space="preserve"> </v>
      </c>
      <c r="H36" s="1149"/>
      <c r="I36">
        <f t="shared" si="0"/>
        <v>0</v>
      </c>
      <c r="K36">
        <f t="shared" si="1"/>
        <v>0</v>
      </c>
      <c r="L36" s="1161"/>
      <c r="N36" s="1162" t="str">
        <f t="shared" si="4"/>
        <v xml:space="preserve"> </v>
      </c>
      <c r="O36" s="1163" t="str">
        <f t="shared" si="5"/>
        <v xml:space="preserve"> </v>
      </c>
      <c r="Q36">
        <f t="shared" si="6"/>
        <v>0</v>
      </c>
      <c r="R36">
        <f t="shared" si="7"/>
        <v>0</v>
      </c>
    </row>
    <row r="37" spans="2:18" x14ac:dyDescent="0.15">
      <c r="B37" s="1157"/>
      <c r="C37" s="1158"/>
      <c r="D37" s="897"/>
      <c r="E37" s="1159" t="str">
        <f t="shared" si="2"/>
        <v xml:space="preserve"> </v>
      </c>
      <c r="G37" s="1160" t="str">
        <f t="shared" si="3"/>
        <v xml:space="preserve"> </v>
      </c>
      <c r="H37" s="1149"/>
      <c r="I37">
        <f t="shared" si="0"/>
        <v>0</v>
      </c>
      <c r="K37">
        <f t="shared" si="1"/>
        <v>0</v>
      </c>
      <c r="L37" s="1161"/>
      <c r="N37" s="1162" t="str">
        <f t="shared" si="4"/>
        <v xml:space="preserve"> </v>
      </c>
      <c r="O37" s="1163" t="str">
        <f t="shared" si="5"/>
        <v xml:space="preserve"> </v>
      </c>
      <c r="Q37">
        <f t="shared" si="6"/>
        <v>0</v>
      </c>
      <c r="R37">
        <f t="shared" si="7"/>
        <v>0</v>
      </c>
    </row>
    <row r="38" spans="2:18" x14ac:dyDescent="0.15">
      <c r="B38" s="1157"/>
      <c r="C38" s="1158"/>
      <c r="D38" s="897"/>
      <c r="E38" s="1159" t="str">
        <f t="shared" si="2"/>
        <v xml:space="preserve"> </v>
      </c>
      <c r="G38" s="1160" t="str">
        <f t="shared" si="3"/>
        <v xml:space="preserve"> </v>
      </c>
      <c r="H38" s="1149"/>
      <c r="I38">
        <f t="shared" si="0"/>
        <v>0</v>
      </c>
      <c r="K38">
        <f t="shared" si="1"/>
        <v>0</v>
      </c>
      <c r="L38" s="1161"/>
      <c r="N38" s="1162" t="str">
        <f t="shared" si="4"/>
        <v xml:space="preserve"> </v>
      </c>
      <c r="O38" s="1163" t="str">
        <f t="shared" si="5"/>
        <v xml:space="preserve"> </v>
      </c>
      <c r="Q38">
        <f t="shared" si="6"/>
        <v>0</v>
      </c>
      <c r="R38">
        <f t="shared" si="7"/>
        <v>0</v>
      </c>
    </row>
    <row r="39" spans="2:18" x14ac:dyDescent="0.15">
      <c r="B39" s="1157"/>
      <c r="C39" s="1158"/>
      <c r="D39" s="897"/>
      <c r="E39" s="1159" t="str">
        <f t="shared" si="2"/>
        <v xml:space="preserve"> </v>
      </c>
      <c r="G39" s="1160" t="str">
        <f t="shared" si="3"/>
        <v xml:space="preserve"> </v>
      </c>
      <c r="H39" s="1149"/>
      <c r="I39">
        <f t="shared" si="0"/>
        <v>0</v>
      </c>
      <c r="K39">
        <f t="shared" si="1"/>
        <v>0</v>
      </c>
      <c r="L39" s="1161"/>
      <c r="N39" s="1162" t="str">
        <f t="shared" si="4"/>
        <v xml:space="preserve"> </v>
      </c>
      <c r="O39" s="1163" t="str">
        <f t="shared" si="5"/>
        <v xml:space="preserve"> </v>
      </c>
      <c r="Q39">
        <f t="shared" si="6"/>
        <v>0</v>
      </c>
      <c r="R39">
        <f t="shared" si="7"/>
        <v>0</v>
      </c>
    </row>
    <row r="40" spans="2:18" x14ac:dyDescent="0.15">
      <c r="B40" s="1157"/>
      <c r="C40" s="1158"/>
      <c r="D40" s="897"/>
      <c r="E40" s="1159" t="str">
        <f t="shared" si="2"/>
        <v xml:space="preserve"> </v>
      </c>
      <c r="G40" s="1160" t="str">
        <f t="shared" si="3"/>
        <v xml:space="preserve"> </v>
      </c>
      <c r="H40" s="1149"/>
      <c r="I40">
        <f t="shared" si="0"/>
        <v>0</v>
      </c>
      <c r="K40">
        <f t="shared" si="1"/>
        <v>0</v>
      </c>
      <c r="L40" s="1161"/>
      <c r="N40" s="1162" t="str">
        <f t="shared" si="4"/>
        <v xml:space="preserve"> </v>
      </c>
      <c r="O40" s="1163" t="str">
        <f t="shared" si="5"/>
        <v xml:space="preserve"> </v>
      </c>
      <c r="Q40">
        <f t="shared" si="6"/>
        <v>0</v>
      </c>
      <c r="R40">
        <f t="shared" si="7"/>
        <v>0</v>
      </c>
    </row>
    <row r="41" spans="2:18" x14ac:dyDescent="0.15">
      <c r="B41" s="1157"/>
      <c r="C41" s="1158"/>
      <c r="D41" s="897"/>
      <c r="E41" s="1159" t="str">
        <f t="shared" si="2"/>
        <v xml:space="preserve"> </v>
      </c>
      <c r="G41" s="1160" t="str">
        <f t="shared" si="3"/>
        <v xml:space="preserve"> </v>
      </c>
      <c r="H41" s="1149"/>
      <c r="I41">
        <f t="shared" si="0"/>
        <v>0</v>
      </c>
      <c r="K41">
        <f t="shared" si="1"/>
        <v>0</v>
      </c>
      <c r="L41" s="1161"/>
      <c r="N41" s="1162" t="str">
        <f t="shared" si="4"/>
        <v xml:space="preserve"> </v>
      </c>
      <c r="O41" s="1163" t="str">
        <f t="shared" si="5"/>
        <v xml:space="preserve"> </v>
      </c>
      <c r="Q41">
        <f t="shared" si="6"/>
        <v>0</v>
      </c>
      <c r="R41">
        <f t="shared" si="7"/>
        <v>0</v>
      </c>
    </row>
    <row r="42" spans="2:18" x14ac:dyDescent="0.15">
      <c r="B42" s="1157"/>
      <c r="C42" s="1158"/>
      <c r="D42" s="897"/>
      <c r="E42" s="1159" t="str">
        <f t="shared" si="2"/>
        <v xml:space="preserve"> </v>
      </c>
      <c r="G42" s="1160" t="str">
        <f t="shared" si="3"/>
        <v xml:space="preserve"> </v>
      </c>
      <c r="H42" s="1149"/>
      <c r="I42">
        <f t="shared" si="0"/>
        <v>0</v>
      </c>
      <c r="K42">
        <f t="shared" si="1"/>
        <v>0</v>
      </c>
      <c r="L42" s="1161"/>
      <c r="N42" s="1162" t="str">
        <f t="shared" si="4"/>
        <v xml:space="preserve"> </v>
      </c>
      <c r="O42" s="1163" t="str">
        <f t="shared" si="5"/>
        <v xml:space="preserve"> </v>
      </c>
      <c r="Q42">
        <f t="shared" si="6"/>
        <v>0</v>
      </c>
      <c r="R42">
        <f t="shared" si="7"/>
        <v>0</v>
      </c>
    </row>
    <row r="43" spans="2:18" x14ac:dyDescent="0.15">
      <c r="B43" s="1157"/>
      <c r="C43" s="1158"/>
      <c r="D43" s="897"/>
      <c r="E43" s="1159" t="str">
        <f t="shared" si="2"/>
        <v xml:space="preserve"> </v>
      </c>
      <c r="G43" s="1160" t="str">
        <f t="shared" si="3"/>
        <v xml:space="preserve"> </v>
      </c>
      <c r="H43" s="1149"/>
      <c r="I43">
        <f t="shared" si="0"/>
        <v>0</v>
      </c>
      <c r="K43">
        <f t="shared" si="1"/>
        <v>0</v>
      </c>
      <c r="L43" s="1161"/>
      <c r="N43" s="1162" t="str">
        <f t="shared" si="4"/>
        <v xml:space="preserve"> </v>
      </c>
      <c r="O43" s="1163" t="str">
        <f t="shared" si="5"/>
        <v xml:space="preserve"> </v>
      </c>
      <c r="Q43">
        <f t="shared" si="6"/>
        <v>0</v>
      </c>
      <c r="R43">
        <f t="shared" si="7"/>
        <v>0</v>
      </c>
    </row>
    <row r="44" spans="2:18" x14ac:dyDescent="0.15">
      <c r="B44" s="1157"/>
      <c r="C44" s="1158"/>
      <c r="D44" s="897"/>
      <c r="E44" s="1159" t="str">
        <f t="shared" si="2"/>
        <v xml:space="preserve"> </v>
      </c>
      <c r="G44" s="1160" t="str">
        <f t="shared" si="3"/>
        <v xml:space="preserve"> </v>
      </c>
      <c r="H44" s="1149"/>
      <c r="I44">
        <f t="shared" si="0"/>
        <v>0</v>
      </c>
      <c r="K44">
        <f t="shared" si="1"/>
        <v>0</v>
      </c>
      <c r="L44" s="1161"/>
      <c r="N44" s="1162" t="str">
        <f t="shared" si="4"/>
        <v xml:space="preserve"> </v>
      </c>
      <c r="O44" s="1163" t="str">
        <f t="shared" si="5"/>
        <v xml:space="preserve"> </v>
      </c>
      <c r="Q44">
        <f t="shared" si="6"/>
        <v>0</v>
      </c>
      <c r="R44">
        <f t="shared" si="7"/>
        <v>0</v>
      </c>
    </row>
    <row r="45" spans="2:18" x14ac:dyDescent="0.15">
      <c r="B45" s="1157"/>
      <c r="C45" s="1158"/>
      <c r="D45" s="897"/>
      <c r="E45" s="1159" t="str">
        <f t="shared" si="2"/>
        <v xml:space="preserve"> </v>
      </c>
      <c r="G45" s="1160" t="str">
        <f t="shared" si="3"/>
        <v xml:space="preserve"> </v>
      </c>
      <c r="H45" s="1149"/>
      <c r="I45">
        <f t="shared" si="0"/>
        <v>0</v>
      </c>
      <c r="K45">
        <f t="shared" si="1"/>
        <v>0</v>
      </c>
      <c r="L45" s="1161"/>
      <c r="N45" s="1162" t="str">
        <f t="shared" si="4"/>
        <v xml:space="preserve"> </v>
      </c>
      <c r="O45" s="1163" t="str">
        <f t="shared" si="5"/>
        <v xml:space="preserve"> </v>
      </c>
      <c r="Q45">
        <f t="shared" si="6"/>
        <v>0</v>
      </c>
      <c r="R45">
        <f t="shared" si="7"/>
        <v>0</v>
      </c>
    </row>
    <row r="46" spans="2:18" x14ac:dyDescent="0.15">
      <c r="B46" s="1157"/>
      <c r="C46" s="1158"/>
      <c r="D46" s="897"/>
      <c r="E46" s="1159" t="str">
        <f t="shared" si="2"/>
        <v xml:space="preserve"> </v>
      </c>
      <c r="G46" s="1160" t="str">
        <f t="shared" si="3"/>
        <v xml:space="preserve"> </v>
      </c>
      <c r="H46" s="1149"/>
      <c r="I46">
        <f t="shared" si="0"/>
        <v>0</v>
      </c>
      <c r="K46">
        <f t="shared" si="1"/>
        <v>0</v>
      </c>
      <c r="L46" s="1161"/>
      <c r="N46" s="1162" t="str">
        <f t="shared" si="4"/>
        <v xml:space="preserve"> </v>
      </c>
      <c r="O46" s="1163" t="str">
        <f t="shared" si="5"/>
        <v xml:space="preserve"> </v>
      </c>
      <c r="Q46">
        <f t="shared" si="6"/>
        <v>0</v>
      </c>
      <c r="R46">
        <f t="shared" si="7"/>
        <v>0</v>
      </c>
    </row>
    <row r="47" spans="2:18" x14ac:dyDescent="0.15">
      <c r="B47" s="1157"/>
      <c r="C47" s="1158"/>
      <c r="D47" s="897"/>
      <c r="E47" s="1159" t="str">
        <f t="shared" si="2"/>
        <v xml:space="preserve"> </v>
      </c>
      <c r="G47" s="1160" t="str">
        <f t="shared" si="3"/>
        <v xml:space="preserve"> </v>
      </c>
      <c r="H47" s="1149"/>
      <c r="I47">
        <f t="shared" si="0"/>
        <v>0</v>
      </c>
      <c r="K47">
        <f t="shared" si="1"/>
        <v>0</v>
      </c>
      <c r="L47" s="1161"/>
      <c r="N47" s="1162" t="str">
        <f t="shared" si="4"/>
        <v xml:space="preserve"> </v>
      </c>
      <c r="O47" s="1163" t="str">
        <f t="shared" si="5"/>
        <v xml:space="preserve"> </v>
      </c>
      <c r="Q47">
        <f t="shared" si="6"/>
        <v>0</v>
      </c>
      <c r="R47">
        <f t="shared" si="7"/>
        <v>0</v>
      </c>
    </row>
    <row r="48" spans="2:18" x14ac:dyDescent="0.15">
      <c r="B48" s="1157"/>
      <c r="C48" s="1158"/>
      <c r="D48" s="897"/>
      <c r="E48" s="1159" t="str">
        <f t="shared" si="2"/>
        <v xml:space="preserve"> </v>
      </c>
      <c r="G48" s="1160" t="str">
        <f t="shared" si="3"/>
        <v xml:space="preserve"> </v>
      </c>
      <c r="H48" s="1149"/>
      <c r="I48">
        <f t="shared" si="0"/>
        <v>0</v>
      </c>
      <c r="K48">
        <f t="shared" si="1"/>
        <v>0</v>
      </c>
      <c r="L48" s="1161"/>
      <c r="N48" s="1162" t="str">
        <f t="shared" si="4"/>
        <v xml:space="preserve"> </v>
      </c>
      <c r="O48" s="1163" t="str">
        <f t="shared" si="5"/>
        <v xml:space="preserve"> </v>
      </c>
      <c r="Q48">
        <f t="shared" si="6"/>
        <v>0</v>
      </c>
      <c r="R48">
        <f t="shared" si="7"/>
        <v>0</v>
      </c>
    </row>
    <row r="49" spans="2:18" x14ac:dyDescent="0.15">
      <c r="B49" s="1157"/>
      <c r="C49" s="1158"/>
      <c r="D49" s="897"/>
      <c r="E49" s="1159" t="str">
        <f t="shared" si="2"/>
        <v xml:space="preserve"> </v>
      </c>
      <c r="G49" s="1160" t="str">
        <f t="shared" si="3"/>
        <v xml:space="preserve"> </v>
      </c>
      <c r="H49" s="1149"/>
      <c r="I49">
        <f t="shared" si="0"/>
        <v>0</v>
      </c>
      <c r="K49">
        <f t="shared" si="1"/>
        <v>0</v>
      </c>
      <c r="L49" s="1161"/>
      <c r="N49" s="1162" t="str">
        <f t="shared" si="4"/>
        <v xml:space="preserve"> </v>
      </c>
      <c r="O49" s="1163" t="str">
        <f t="shared" si="5"/>
        <v xml:space="preserve"> </v>
      </c>
      <c r="Q49">
        <f t="shared" si="6"/>
        <v>0</v>
      </c>
      <c r="R49">
        <f t="shared" si="7"/>
        <v>0</v>
      </c>
    </row>
    <row r="50" spans="2:18" x14ac:dyDescent="0.15">
      <c r="B50" s="1157"/>
      <c r="C50" s="1158"/>
      <c r="D50" s="897"/>
      <c r="E50" s="1159" t="str">
        <f t="shared" si="2"/>
        <v xml:space="preserve"> </v>
      </c>
      <c r="G50" s="1160" t="str">
        <f t="shared" si="3"/>
        <v xml:space="preserve"> </v>
      </c>
      <c r="H50" s="1149"/>
      <c r="I50">
        <f t="shared" si="0"/>
        <v>0</v>
      </c>
      <c r="K50">
        <f t="shared" si="1"/>
        <v>0</v>
      </c>
      <c r="L50" s="1161"/>
      <c r="N50" s="1162" t="str">
        <f t="shared" si="4"/>
        <v xml:space="preserve"> </v>
      </c>
      <c r="O50" s="1163" t="str">
        <f t="shared" si="5"/>
        <v xml:space="preserve"> </v>
      </c>
      <c r="Q50">
        <f t="shared" si="6"/>
        <v>0</v>
      </c>
      <c r="R50">
        <f t="shared" si="7"/>
        <v>0</v>
      </c>
    </row>
    <row r="51" spans="2:18" x14ac:dyDescent="0.15">
      <c r="B51" s="1157"/>
      <c r="C51" s="1158"/>
      <c r="D51" s="897"/>
      <c r="E51" s="1159" t="str">
        <f t="shared" si="2"/>
        <v xml:space="preserve"> </v>
      </c>
      <c r="G51" s="1160" t="str">
        <f t="shared" si="3"/>
        <v xml:space="preserve"> </v>
      </c>
      <c r="H51" s="1149"/>
      <c r="I51">
        <f t="shared" si="0"/>
        <v>0</v>
      </c>
      <c r="K51">
        <f t="shared" si="1"/>
        <v>0</v>
      </c>
      <c r="L51" s="1161"/>
      <c r="N51" s="1162" t="str">
        <f t="shared" si="4"/>
        <v xml:space="preserve"> </v>
      </c>
      <c r="O51" s="1163" t="str">
        <f t="shared" si="5"/>
        <v xml:space="preserve"> </v>
      </c>
      <c r="Q51">
        <f t="shared" si="6"/>
        <v>0</v>
      </c>
      <c r="R51">
        <f t="shared" si="7"/>
        <v>0</v>
      </c>
    </row>
    <row r="52" spans="2:18" x14ac:dyDescent="0.15">
      <c r="B52" s="1157"/>
      <c r="C52" s="1158"/>
      <c r="D52" s="897"/>
      <c r="E52" s="1159" t="str">
        <f t="shared" si="2"/>
        <v xml:space="preserve"> </v>
      </c>
      <c r="G52" s="1160" t="str">
        <f t="shared" si="3"/>
        <v xml:space="preserve"> </v>
      </c>
      <c r="H52" s="1149"/>
      <c r="I52">
        <f t="shared" si="0"/>
        <v>0</v>
      </c>
      <c r="K52">
        <f t="shared" si="1"/>
        <v>0</v>
      </c>
      <c r="L52" s="1161"/>
      <c r="N52" s="1162" t="str">
        <f t="shared" si="4"/>
        <v xml:space="preserve"> </v>
      </c>
      <c r="O52" s="1163" t="str">
        <f t="shared" si="5"/>
        <v xml:space="preserve"> </v>
      </c>
      <c r="Q52">
        <f t="shared" si="6"/>
        <v>0</v>
      </c>
      <c r="R52">
        <f t="shared" si="7"/>
        <v>0</v>
      </c>
    </row>
    <row r="53" spans="2:18" x14ac:dyDescent="0.15">
      <c r="B53" s="1157"/>
      <c r="C53" s="1158"/>
      <c r="D53" s="897"/>
      <c r="E53" s="1159" t="str">
        <f t="shared" si="2"/>
        <v xml:space="preserve"> </v>
      </c>
      <c r="G53" s="1160" t="str">
        <f t="shared" si="3"/>
        <v xml:space="preserve"> </v>
      </c>
      <c r="H53" s="1149"/>
      <c r="I53">
        <f t="shared" si="0"/>
        <v>0</v>
      </c>
      <c r="K53">
        <f t="shared" si="1"/>
        <v>0</v>
      </c>
      <c r="L53" s="1161"/>
      <c r="N53" s="1162" t="str">
        <f t="shared" si="4"/>
        <v xml:space="preserve"> </v>
      </c>
      <c r="O53" s="1163" t="str">
        <f t="shared" si="5"/>
        <v xml:space="preserve"> </v>
      </c>
      <c r="Q53">
        <f t="shared" si="6"/>
        <v>0</v>
      </c>
      <c r="R53">
        <f t="shared" si="7"/>
        <v>0</v>
      </c>
    </row>
    <row r="54" spans="2:18" x14ac:dyDescent="0.15">
      <c r="B54" s="1157"/>
      <c r="C54" s="1158"/>
      <c r="D54" s="897"/>
      <c r="E54" s="1159" t="str">
        <f t="shared" si="2"/>
        <v xml:space="preserve"> </v>
      </c>
      <c r="G54" s="1160" t="str">
        <f t="shared" si="3"/>
        <v xml:space="preserve"> </v>
      </c>
      <c r="H54" s="1149"/>
      <c r="I54">
        <f t="shared" si="0"/>
        <v>0</v>
      </c>
      <c r="K54">
        <f t="shared" si="1"/>
        <v>0</v>
      </c>
      <c r="L54" s="1161"/>
      <c r="N54" s="1162" t="str">
        <f t="shared" si="4"/>
        <v xml:space="preserve"> </v>
      </c>
      <c r="O54" s="1163" t="str">
        <f t="shared" si="5"/>
        <v xml:space="preserve"> </v>
      </c>
      <c r="Q54">
        <f t="shared" si="6"/>
        <v>0</v>
      </c>
      <c r="R54">
        <f t="shared" si="7"/>
        <v>0</v>
      </c>
    </row>
    <row r="55" spans="2:18" x14ac:dyDescent="0.15">
      <c r="B55" s="1157"/>
      <c r="C55" s="1158"/>
      <c r="D55" s="897"/>
      <c r="E55" s="1159" t="str">
        <f t="shared" si="2"/>
        <v xml:space="preserve"> </v>
      </c>
      <c r="G55" s="1160" t="str">
        <f t="shared" si="3"/>
        <v xml:space="preserve"> </v>
      </c>
      <c r="H55" s="1149"/>
      <c r="I55">
        <f t="shared" si="0"/>
        <v>0</v>
      </c>
      <c r="K55">
        <f t="shared" si="1"/>
        <v>0</v>
      </c>
      <c r="L55" s="1161"/>
      <c r="N55" s="1162" t="str">
        <f t="shared" si="4"/>
        <v xml:space="preserve"> </v>
      </c>
      <c r="O55" s="1163" t="str">
        <f t="shared" si="5"/>
        <v xml:space="preserve"> </v>
      </c>
      <c r="Q55">
        <f t="shared" si="6"/>
        <v>0</v>
      </c>
      <c r="R55">
        <f t="shared" si="7"/>
        <v>0</v>
      </c>
    </row>
    <row r="56" spans="2:18" x14ac:dyDescent="0.15">
      <c r="B56" s="1157"/>
      <c r="C56" s="1158"/>
      <c r="D56" s="897"/>
      <c r="E56" s="1159" t="str">
        <f t="shared" si="2"/>
        <v xml:space="preserve"> </v>
      </c>
      <c r="G56" s="1160" t="str">
        <f t="shared" si="3"/>
        <v xml:space="preserve"> </v>
      </c>
      <c r="H56" s="1149"/>
      <c r="I56">
        <f t="shared" si="0"/>
        <v>0</v>
      </c>
      <c r="K56">
        <f t="shared" si="1"/>
        <v>0</v>
      </c>
      <c r="L56" s="1161"/>
      <c r="N56" s="1162" t="str">
        <f t="shared" si="4"/>
        <v xml:space="preserve"> </v>
      </c>
      <c r="O56" s="1163" t="str">
        <f t="shared" si="5"/>
        <v xml:space="preserve"> </v>
      </c>
      <c r="Q56">
        <f t="shared" si="6"/>
        <v>0</v>
      </c>
      <c r="R56">
        <f t="shared" si="7"/>
        <v>0</v>
      </c>
    </row>
    <row r="57" spans="2:18" x14ac:dyDescent="0.15">
      <c r="B57" s="1157"/>
      <c r="C57" s="1158"/>
      <c r="D57" s="897"/>
      <c r="E57" s="1159" t="str">
        <f t="shared" si="2"/>
        <v xml:space="preserve"> </v>
      </c>
      <c r="G57" s="1160" t="str">
        <f t="shared" si="3"/>
        <v xml:space="preserve"> </v>
      </c>
      <c r="H57" s="1149"/>
      <c r="I57">
        <f t="shared" si="0"/>
        <v>0</v>
      </c>
      <c r="K57">
        <f t="shared" si="1"/>
        <v>0</v>
      </c>
      <c r="L57" s="1161"/>
      <c r="N57" s="1162" t="str">
        <f t="shared" si="4"/>
        <v xml:space="preserve"> </v>
      </c>
      <c r="O57" s="1163" t="str">
        <f t="shared" si="5"/>
        <v xml:space="preserve"> </v>
      </c>
      <c r="Q57">
        <f t="shared" si="6"/>
        <v>0</v>
      </c>
      <c r="R57">
        <f t="shared" si="7"/>
        <v>0</v>
      </c>
    </row>
    <row r="58" spans="2:18" x14ac:dyDescent="0.15">
      <c r="B58" s="1157"/>
      <c r="C58" s="1158"/>
      <c r="D58" s="897"/>
      <c r="E58" s="1159" t="str">
        <f t="shared" si="2"/>
        <v xml:space="preserve"> </v>
      </c>
      <c r="G58" s="1160" t="str">
        <f t="shared" si="3"/>
        <v xml:space="preserve"> </v>
      </c>
      <c r="H58" s="1149"/>
      <c r="I58">
        <f t="shared" si="0"/>
        <v>0</v>
      </c>
      <c r="K58">
        <f t="shared" si="1"/>
        <v>0</v>
      </c>
      <c r="L58" s="1161"/>
      <c r="N58" s="1162" t="str">
        <f t="shared" si="4"/>
        <v xml:space="preserve"> </v>
      </c>
      <c r="O58" s="1163" t="str">
        <f t="shared" si="5"/>
        <v xml:space="preserve"> </v>
      </c>
      <c r="Q58">
        <f t="shared" si="6"/>
        <v>0</v>
      </c>
      <c r="R58">
        <f t="shared" si="7"/>
        <v>0</v>
      </c>
    </row>
    <row r="59" spans="2:18" x14ac:dyDescent="0.15">
      <c r="B59" s="1157"/>
      <c r="C59" s="1158"/>
      <c r="D59" s="897"/>
      <c r="E59" s="1159" t="str">
        <f t="shared" si="2"/>
        <v xml:space="preserve"> </v>
      </c>
      <c r="G59" s="1160" t="str">
        <f t="shared" si="3"/>
        <v xml:space="preserve"> </v>
      </c>
      <c r="H59" s="1149"/>
      <c r="I59">
        <f t="shared" si="0"/>
        <v>0</v>
      </c>
      <c r="K59">
        <f t="shared" si="1"/>
        <v>0</v>
      </c>
      <c r="L59" s="1161"/>
      <c r="N59" s="1162" t="str">
        <f t="shared" si="4"/>
        <v xml:space="preserve"> </v>
      </c>
      <c r="O59" s="1163" t="str">
        <f t="shared" si="5"/>
        <v xml:space="preserve"> </v>
      </c>
      <c r="Q59">
        <f t="shared" si="6"/>
        <v>0</v>
      </c>
      <c r="R59">
        <f t="shared" si="7"/>
        <v>0</v>
      </c>
    </row>
    <row r="60" spans="2:18" x14ac:dyDescent="0.15">
      <c r="B60" s="1157"/>
      <c r="C60" s="1158"/>
      <c r="D60" s="897"/>
      <c r="E60" s="1159" t="str">
        <f t="shared" si="2"/>
        <v xml:space="preserve"> </v>
      </c>
      <c r="G60" s="1160" t="str">
        <f t="shared" si="3"/>
        <v xml:space="preserve"> </v>
      </c>
      <c r="H60" s="1149"/>
      <c r="I60">
        <f t="shared" si="0"/>
        <v>0</v>
      </c>
      <c r="K60">
        <f t="shared" si="1"/>
        <v>0</v>
      </c>
      <c r="L60" s="1161"/>
      <c r="N60" s="1162" t="str">
        <f t="shared" si="4"/>
        <v xml:space="preserve"> </v>
      </c>
      <c r="O60" s="1163" t="str">
        <f t="shared" si="5"/>
        <v xml:space="preserve"> </v>
      </c>
      <c r="Q60">
        <f t="shared" si="6"/>
        <v>0</v>
      </c>
      <c r="R60">
        <f t="shared" si="7"/>
        <v>0</v>
      </c>
    </row>
    <row r="61" spans="2:18" x14ac:dyDescent="0.15">
      <c r="B61" s="1157"/>
      <c r="C61" s="1158"/>
      <c r="D61" s="897"/>
      <c r="E61" s="1159" t="str">
        <f t="shared" si="2"/>
        <v xml:space="preserve"> </v>
      </c>
      <c r="G61" s="1160" t="str">
        <f t="shared" si="3"/>
        <v xml:space="preserve"> </v>
      </c>
      <c r="H61" s="1149"/>
      <c r="I61">
        <f t="shared" si="0"/>
        <v>0</v>
      </c>
      <c r="K61">
        <f t="shared" si="1"/>
        <v>0</v>
      </c>
      <c r="L61" s="1161"/>
      <c r="N61" s="1162" t="str">
        <f t="shared" si="4"/>
        <v xml:space="preserve"> </v>
      </c>
      <c r="O61" s="1163" t="str">
        <f t="shared" si="5"/>
        <v xml:space="preserve"> </v>
      </c>
      <c r="Q61">
        <f t="shared" si="6"/>
        <v>0</v>
      </c>
      <c r="R61">
        <f t="shared" si="7"/>
        <v>0</v>
      </c>
    </row>
    <row r="62" spans="2:18" x14ac:dyDescent="0.15">
      <c r="B62" s="1157"/>
      <c r="C62" s="1158"/>
      <c r="D62" s="897"/>
      <c r="E62" s="1159" t="str">
        <f t="shared" si="2"/>
        <v xml:space="preserve"> </v>
      </c>
      <c r="G62" s="1160" t="str">
        <f t="shared" si="3"/>
        <v xml:space="preserve"> </v>
      </c>
      <c r="H62" s="1149"/>
      <c r="I62">
        <f t="shared" si="0"/>
        <v>0</v>
      </c>
      <c r="K62">
        <f t="shared" si="1"/>
        <v>0</v>
      </c>
      <c r="L62" s="1161"/>
      <c r="N62" s="1162" t="str">
        <f t="shared" si="4"/>
        <v xml:space="preserve"> </v>
      </c>
      <c r="O62" s="1163" t="str">
        <f t="shared" si="5"/>
        <v xml:space="preserve"> </v>
      </c>
      <c r="Q62">
        <f t="shared" si="6"/>
        <v>0</v>
      </c>
      <c r="R62">
        <f t="shared" si="7"/>
        <v>0</v>
      </c>
    </row>
    <row r="63" spans="2:18" x14ac:dyDescent="0.15">
      <c r="B63" s="1157"/>
      <c r="C63" s="1158"/>
      <c r="D63" s="897"/>
      <c r="E63" s="1159" t="str">
        <f t="shared" si="2"/>
        <v xml:space="preserve"> </v>
      </c>
      <c r="G63" s="1160" t="str">
        <f t="shared" si="3"/>
        <v xml:space="preserve"> </v>
      </c>
      <c r="H63" s="1149"/>
      <c r="I63">
        <f t="shared" si="0"/>
        <v>0</v>
      </c>
      <c r="K63">
        <f t="shared" si="1"/>
        <v>0</v>
      </c>
      <c r="L63" s="1161"/>
      <c r="N63" s="1162" t="str">
        <f t="shared" si="4"/>
        <v xml:space="preserve"> </v>
      </c>
      <c r="O63" s="1163" t="str">
        <f t="shared" si="5"/>
        <v xml:space="preserve"> </v>
      </c>
      <c r="Q63">
        <f t="shared" si="6"/>
        <v>0</v>
      </c>
      <c r="R63">
        <f t="shared" si="7"/>
        <v>0</v>
      </c>
    </row>
    <row r="64" spans="2:18" x14ac:dyDescent="0.15">
      <c r="B64" s="1157"/>
      <c r="C64" s="1158"/>
      <c r="D64" s="897"/>
      <c r="E64" s="1159" t="str">
        <f t="shared" si="2"/>
        <v xml:space="preserve"> </v>
      </c>
      <c r="G64" s="1160" t="str">
        <f t="shared" si="3"/>
        <v xml:space="preserve"> </v>
      </c>
      <c r="H64" s="1149"/>
      <c r="I64">
        <f t="shared" si="0"/>
        <v>0</v>
      </c>
      <c r="K64">
        <f t="shared" si="1"/>
        <v>0</v>
      </c>
      <c r="L64" s="1161"/>
      <c r="N64" s="1162" t="str">
        <f t="shared" si="4"/>
        <v xml:space="preserve"> </v>
      </c>
      <c r="O64" s="1163" t="str">
        <f t="shared" si="5"/>
        <v xml:space="preserve"> </v>
      </c>
      <c r="Q64">
        <f t="shared" si="6"/>
        <v>0</v>
      </c>
      <c r="R64">
        <f t="shared" si="7"/>
        <v>0</v>
      </c>
    </row>
    <row r="65" spans="2:18" x14ac:dyDescent="0.15">
      <c r="B65" s="1157"/>
      <c r="C65" s="1158"/>
      <c r="D65" s="897"/>
      <c r="E65" s="1159" t="str">
        <f t="shared" si="2"/>
        <v xml:space="preserve"> </v>
      </c>
      <c r="G65" s="1160" t="str">
        <f t="shared" si="3"/>
        <v xml:space="preserve"> </v>
      </c>
      <c r="H65" s="1149"/>
      <c r="I65">
        <f t="shared" si="0"/>
        <v>0</v>
      </c>
      <c r="K65">
        <f t="shared" si="1"/>
        <v>0</v>
      </c>
      <c r="L65" s="1161"/>
      <c r="N65" s="1162" t="str">
        <f t="shared" si="4"/>
        <v xml:space="preserve"> </v>
      </c>
      <c r="O65" s="1163" t="str">
        <f t="shared" si="5"/>
        <v xml:space="preserve"> </v>
      </c>
      <c r="Q65">
        <f t="shared" si="6"/>
        <v>0</v>
      </c>
      <c r="R65">
        <f t="shared" si="7"/>
        <v>0</v>
      </c>
    </row>
    <row r="66" spans="2:18" x14ac:dyDescent="0.15">
      <c r="B66" s="1157"/>
      <c r="C66" s="1158"/>
      <c r="D66" s="897"/>
      <c r="E66" s="1159" t="str">
        <f t="shared" si="2"/>
        <v xml:space="preserve"> </v>
      </c>
      <c r="G66" s="1160" t="str">
        <f t="shared" si="3"/>
        <v xml:space="preserve"> </v>
      </c>
      <c r="H66" s="1149"/>
      <c r="I66">
        <f t="shared" si="0"/>
        <v>0</v>
      </c>
      <c r="K66">
        <f t="shared" si="1"/>
        <v>0</v>
      </c>
      <c r="L66" s="1161"/>
      <c r="N66" s="1162" t="str">
        <f t="shared" si="4"/>
        <v xml:space="preserve"> </v>
      </c>
      <c r="O66" s="1163" t="str">
        <f t="shared" si="5"/>
        <v xml:space="preserve"> </v>
      </c>
      <c r="Q66">
        <f t="shared" si="6"/>
        <v>0</v>
      </c>
      <c r="R66">
        <f t="shared" si="7"/>
        <v>0</v>
      </c>
    </row>
    <row r="67" spans="2:18" x14ac:dyDescent="0.15">
      <c r="B67" s="1157"/>
      <c r="C67" s="1158"/>
      <c r="D67" s="897"/>
      <c r="E67" s="1159" t="str">
        <f t="shared" si="2"/>
        <v xml:space="preserve"> </v>
      </c>
      <c r="G67" s="1160" t="str">
        <f t="shared" si="3"/>
        <v xml:space="preserve"> </v>
      </c>
      <c r="H67" s="1149"/>
      <c r="I67">
        <f t="shared" si="0"/>
        <v>0</v>
      </c>
      <c r="K67">
        <f t="shared" si="1"/>
        <v>0</v>
      </c>
      <c r="L67" s="1161"/>
      <c r="N67" s="1162" t="str">
        <f t="shared" si="4"/>
        <v xml:space="preserve"> </v>
      </c>
      <c r="O67" s="1163" t="str">
        <f t="shared" si="5"/>
        <v xml:space="preserve"> </v>
      </c>
      <c r="Q67">
        <f t="shared" si="6"/>
        <v>0</v>
      </c>
      <c r="R67">
        <f t="shared" si="7"/>
        <v>0</v>
      </c>
    </row>
    <row r="68" spans="2:18" x14ac:dyDescent="0.15">
      <c r="B68" s="1157"/>
      <c r="C68" s="1158"/>
      <c r="D68" s="897"/>
      <c r="E68" s="1159" t="str">
        <f t="shared" si="2"/>
        <v xml:space="preserve"> </v>
      </c>
      <c r="G68" s="1160" t="str">
        <f t="shared" si="3"/>
        <v xml:space="preserve"> </v>
      </c>
      <c r="H68" s="1149"/>
      <c r="I68">
        <f t="shared" si="0"/>
        <v>0</v>
      </c>
      <c r="K68">
        <f t="shared" si="1"/>
        <v>0</v>
      </c>
      <c r="L68" s="1161"/>
      <c r="N68" s="1162" t="str">
        <f t="shared" si="4"/>
        <v xml:space="preserve"> </v>
      </c>
      <c r="O68" s="1163" t="str">
        <f t="shared" si="5"/>
        <v xml:space="preserve"> </v>
      </c>
      <c r="Q68">
        <f t="shared" si="6"/>
        <v>0</v>
      </c>
      <c r="R68">
        <f t="shared" si="7"/>
        <v>0</v>
      </c>
    </row>
    <row r="69" spans="2:18" x14ac:dyDescent="0.15">
      <c r="B69" s="1157"/>
      <c r="C69" s="1158"/>
      <c r="D69" s="897"/>
      <c r="E69" s="1159" t="str">
        <f t="shared" si="2"/>
        <v xml:space="preserve"> </v>
      </c>
      <c r="G69" s="1160" t="str">
        <f t="shared" si="3"/>
        <v xml:space="preserve"> </v>
      </c>
      <c r="H69" s="1149"/>
      <c r="I69">
        <f t="shared" si="0"/>
        <v>0</v>
      </c>
      <c r="K69">
        <f t="shared" si="1"/>
        <v>0</v>
      </c>
      <c r="L69" s="1161"/>
      <c r="N69" s="1162" t="str">
        <f t="shared" si="4"/>
        <v xml:space="preserve"> </v>
      </c>
      <c r="O69" s="1163" t="str">
        <f t="shared" si="5"/>
        <v xml:space="preserve"> </v>
      </c>
      <c r="Q69">
        <f t="shared" si="6"/>
        <v>0</v>
      </c>
      <c r="R69">
        <f t="shared" si="7"/>
        <v>0</v>
      </c>
    </row>
    <row r="70" spans="2:18" x14ac:dyDescent="0.15">
      <c r="B70" s="1157"/>
      <c r="C70" s="1158"/>
      <c r="D70" s="897"/>
      <c r="E70" s="1159" t="str">
        <f t="shared" si="2"/>
        <v xml:space="preserve"> </v>
      </c>
      <c r="G70" s="1160" t="str">
        <f t="shared" si="3"/>
        <v xml:space="preserve"> </v>
      </c>
      <c r="H70" s="1149"/>
      <c r="I70">
        <f t="shared" si="0"/>
        <v>0</v>
      </c>
      <c r="K70">
        <f t="shared" si="1"/>
        <v>0</v>
      </c>
      <c r="L70" s="1161"/>
      <c r="N70" s="1162" t="str">
        <f t="shared" si="4"/>
        <v xml:space="preserve"> </v>
      </c>
      <c r="O70" s="1163" t="str">
        <f t="shared" si="5"/>
        <v xml:space="preserve"> </v>
      </c>
      <c r="Q70">
        <f t="shared" si="6"/>
        <v>0</v>
      </c>
      <c r="R70">
        <f t="shared" si="7"/>
        <v>0</v>
      </c>
    </row>
    <row r="71" spans="2:18" x14ac:dyDescent="0.15">
      <c r="B71" s="1157"/>
      <c r="C71" s="1158"/>
      <c r="D71" s="897"/>
      <c r="E71" s="1159" t="str">
        <f t="shared" si="2"/>
        <v xml:space="preserve"> </v>
      </c>
      <c r="G71" s="1160" t="str">
        <f t="shared" si="3"/>
        <v xml:space="preserve"> </v>
      </c>
      <c r="H71" s="1149"/>
      <c r="I71">
        <f t="shared" si="0"/>
        <v>0</v>
      </c>
      <c r="K71">
        <f t="shared" si="1"/>
        <v>0</v>
      </c>
      <c r="L71" s="1161"/>
      <c r="N71" s="1162" t="str">
        <f t="shared" si="4"/>
        <v xml:space="preserve"> </v>
      </c>
      <c r="O71" s="1163" t="str">
        <f t="shared" si="5"/>
        <v xml:space="preserve"> </v>
      </c>
      <c r="Q71">
        <f t="shared" si="6"/>
        <v>0</v>
      </c>
      <c r="R71">
        <f t="shared" si="7"/>
        <v>0</v>
      </c>
    </row>
    <row r="72" spans="2:18" x14ac:dyDescent="0.15">
      <c r="B72" s="1157"/>
      <c r="C72" s="1158"/>
      <c r="D72" s="897"/>
      <c r="E72" s="1159" t="str">
        <f t="shared" si="2"/>
        <v xml:space="preserve"> </v>
      </c>
      <c r="G72" s="1160" t="str">
        <f t="shared" si="3"/>
        <v xml:space="preserve"> </v>
      </c>
      <c r="H72" s="1149"/>
      <c r="I72">
        <f t="shared" ref="I72:I135" si="8">(J72+C72)/12</f>
        <v>0</v>
      </c>
      <c r="K72">
        <f t="shared" ref="K72:K135" si="9">I72+B72</f>
        <v>0</v>
      </c>
      <c r="L72" s="1161"/>
      <c r="N72" s="1162" t="str">
        <f t="shared" si="4"/>
        <v xml:space="preserve"> </v>
      </c>
      <c r="O72" s="1163" t="str">
        <f t="shared" si="5"/>
        <v xml:space="preserve"> </v>
      </c>
      <c r="Q72">
        <f t="shared" si="6"/>
        <v>0</v>
      </c>
      <c r="R72">
        <f t="shared" si="7"/>
        <v>0</v>
      </c>
    </row>
    <row r="73" spans="2:18" x14ac:dyDescent="0.15">
      <c r="B73" s="1157"/>
      <c r="C73" s="1158"/>
      <c r="D73" s="897"/>
      <c r="E73" s="1159" t="str">
        <f t="shared" si="2"/>
        <v xml:space="preserve"> </v>
      </c>
      <c r="G73" s="1160" t="str">
        <f t="shared" si="3"/>
        <v xml:space="preserve"> </v>
      </c>
      <c r="H73" s="1149"/>
      <c r="I73">
        <f t="shared" si="8"/>
        <v>0</v>
      </c>
      <c r="K73">
        <f t="shared" si="9"/>
        <v>0</v>
      </c>
      <c r="L73" s="1161"/>
      <c r="N73" s="1162" t="str">
        <f t="shared" si="4"/>
        <v xml:space="preserve"> </v>
      </c>
      <c r="O73" s="1163" t="str">
        <f t="shared" si="5"/>
        <v xml:space="preserve"> </v>
      </c>
      <c r="Q73">
        <f t="shared" si="6"/>
        <v>0</v>
      </c>
      <c r="R73">
        <f t="shared" si="7"/>
        <v>0</v>
      </c>
    </row>
    <row r="74" spans="2:18" x14ac:dyDescent="0.15">
      <c r="B74" s="1157"/>
      <c r="C74" s="1158"/>
      <c r="D74" s="897"/>
      <c r="E74" s="1159" t="str">
        <f t="shared" ref="E74:E137" si="10">IF(K74=0," ",IF(K74&gt;0,K74*12*25.4))</f>
        <v xml:space="preserve"> </v>
      </c>
      <c r="G74" s="1160" t="str">
        <f t="shared" ref="G74:G137" si="11">IF(K74=0," ",IF(K74&gt;0,E74/1000))</f>
        <v xml:space="preserve"> </v>
      </c>
      <c r="H74" s="1149"/>
      <c r="I74">
        <f t="shared" si="8"/>
        <v>0</v>
      </c>
      <c r="K74">
        <f t="shared" si="9"/>
        <v>0</v>
      </c>
      <c r="L74" s="1161"/>
      <c r="N74" s="1162" t="str">
        <f t="shared" ref="N74:N137" si="12">IF(R74=0," ",IF(R74&gt;0,TRUNC(R74)))</f>
        <v xml:space="preserve"> </v>
      </c>
      <c r="O74" s="1163" t="str">
        <f t="shared" ref="O74:O137" si="13">IF(R74=0," ",IF(R74&gt;0,(R74-N74)*12))</f>
        <v xml:space="preserve"> </v>
      </c>
      <c r="Q74">
        <f t="shared" ref="Q74:Q137" si="14">L74/25.4</f>
        <v>0</v>
      </c>
      <c r="R74">
        <f t="shared" ref="R74:R137" si="15">Q74/12</f>
        <v>0</v>
      </c>
    </row>
    <row r="75" spans="2:18" x14ac:dyDescent="0.15">
      <c r="B75" s="1157"/>
      <c r="C75" s="1158"/>
      <c r="D75" s="897"/>
      <c r="E75" s="1159" t="str">
        <f t="shared" si="10"/>
        <v xml:space="preserve"> </v>
      </c>
      <c r="G75" s="1160" t="str">
        <f t="shared" si="11"/>
        <v xml:space="preserve"> </v>
      </c>
      <c r="H75" s="1149"/>
      <c r="I75">
        <f t="shared" si="8"/>
        <v>0</v>
      </c>
      <c r="K75">
        <f t="shared" si="9"/>
        <v>0</v>
      </c>
      <c r="L75" s="1161"/>
      <c r="N75" s="1162" t="str">
        <f t="shared" si="12"/>
        <v xml:space="preserve"> </v>
      </c>
      <c r="O75" s="1163" t="str">
        <f t="shared" si="13"/>
        <v xml:space="preserve"> </v>
      </c>
      <c r="Q75">
        <f t="shared" si="14"/>
        <v>0</v>
      </c>
      <c r="R75">
        <f t="shared" si="15"/>
        <v>0</v>
      </c>
    </row>
    <row r="76" spans="2:18" x14ac:dyDescent="0.15">
      <c r="B76" s="1157"/>
      <c r="C76" s="1158"/>
      <c r="D76" s="897"/>
      <c r="E76" s="1159" t="str">
        <f t="shared" si="10"/>
        <v xml:space="preserve"> </v>
      </c>
      <c r="G76" s="1160" t="str">
        <f t="shared" si="11"/>
        <v xml:space="preserve"> </v>
      </c>
      <c r="H76" s="1149"/>
      <c r="I76">
        <f t="shared" si="8"/>
        <v>0</v>
      </c>
      <c r="K76">
        <f t="shared" si="9"/>
        <v>0</v>
      </c>
      <c r="L76" s="1161"/>
      <c r="N76" s="1162" t="str">
        <f t="shared" si="12"/>
        <v xml:space="preserve"> </v>
      </c>
      <c r="O76" s="1163" t="str">
        <f t="shared" si="13"/>
        <v xml:space="preserve"> </v>
      </c>
      <c r="Q76">
        <f t="shared" si="14"/>
        <v>0</v>
      </c>
      <c r="R76">
        <f t="shared" si="15"/>
        <v>0</v>
      </c>
    </row>
    <row r="77" spans="2:18" x14ac:dyDescent="0.15">
      <c r="B77" s="1157"/>
      <c r="C77" s="1158"/>
      <c r="D77" s="897"/>
      <c r="E77" s="1159" t="str">
        <f t="shared" si="10"/>
        <v xml:space="preserve"> </v>
      </c>
      <c r="G77" s="1160" t="str">
        <f t="shared" si="11"/>
        <v xml:space="preserve"> </v>
      </c>
      <c r="H77" s="1149"/>
      <c r="I77">
        <f t="shared" si="8"/>
        <v>0</v>
      </c>
      <c r="K77">
        <f t="shared" si="9"/>
        <v>0</v>
      </c>
      <c r="L77" s="1161"/>
      <c r="N77" s="1162" t="str">
        <f t="shared" si="12"/>
        <v xml:space="preserve"> </v>
      </c>
      <c r="O77" s="1163" t="str">
        <f t="shared" si="13"/>
        <v xml:space="preserve"> </v>
      </c>
      <c r="Q77">
        <f t="shared" si="14"/>
        <v>0</v>
      </c>
      <c r="R77">
        <f t="shared" si="15"/>
        <v>0</v>
      </c>
    </row>
    <row r="78" spans="2:18" x14ac:dyDescent="0.15">
      <c r="B78" s="1157"/>
      <c r="C78" s="1158"/>
      <c r="D78" s="897"/>
      <c r="E78" s="1159" t="str">
        <f t="shared" si="10"/>
        <v xml:space="preserve"> </v>
      </c>
      <c r="G78" s="1160" t="str">
        <f t="shared" si="11"/>
        <v xml:space="preserve"> </v>
      </c>
      <c r="H78" s="1149"/>
      <c r="I78">
        <f t="shared" si="8"/>
        <v>0</v>
      </c>
      <c r="K78">
        <f t="shared" si="9"/>
        <v>0</v>
      </c>
      <c r="L78" s="1161"/>
      <c r="N78" s="1162" t="str">
        <f t="shared" si="12"/>
        <v xml:space="preserve"> </v>
      </c>
      <c r="O78" s="1163" t="str">
        <f t="shared" si="13"/>
        <v xml:space="preserve"> </v>
      </c>
      <c r="Q78">
        <f t="shared" si="14"/>
        <v>0</v>
      </c>
      <c r="R78">
        <f t="shared" si="15"/>
        <v>0</v>
      </c>
    </row>
    <row r="79" spans="2:18" x14ac:dyDescent="0.15">
      <c r="B79" s="1157"/>
      <c r="C79" s="1158"/>
      <c r="D79" s="897"/>
      <c r="E79" s="1159" t="str">
        <f t="shared" si="10"/>
        <v xml:space="preserve"> </v>
      </c>
      <c r="G79" s="1160" t="str">
        <f t="shared" si="11"/>
        <v xml:space="preserve"> </v>
      </c>
      <c r="H79" s="1149"/>
      <c r="I79">
        <f t="shared" si="8"/>
        <v>0</v>
      </c>
      <c r="K79">
        <f t="shared" si="9"/>
        <v>0</v>
      </c>
      <c r="L79" s="1161"/>
      <c r="N79" s="1162" t="str">
        <f t="shared" si="12"/>
        <v xml:space="preserve"> </v>
      </c>
      <c r="O79" s="1163" t="str">
        <f t="shared" si="13"/>
        <v xml:space="preserve"> </v>
      </c>
      <c r="Q79">
        <f t="shared" si="14"/>
        <v>0</v>
      </c>
      <c r="R79">
        <f t="shared" si="15"/>
        <v>0</v>
      </c>
    </row>
    <row r="80" spans="2:18" x14ac:dyDescent="0.15">
      <c r="B80" s="1157"/>
      <c r="C80" s="1158"/>
      <c r="D80" s="897"/>
      <c r="E80" s="1159" t="str">
        <f t="shared" si="10"/>
        <v xml:space="preserve"> </v>
      </c>
      <c r="G80" s="1160" t="str">
        <f t="shared" si="11"/>
        <v xml:space="preserve"> </v>
      </c>
      <c r="H80" s="1149"/>
      <c r="I80">
        <f t="shared" si="8"/>
        <v>0</v>
      </c>
      <c r="K80">
        <f t="shared" si="9"/>
        <v>0</v>
      </c>
      <c r="L80" s="1161"/>
      <c r="N80" s="1162" t="str">
        <f t="shared" si="12"/>
        <v xml:space="preserve"> </v>
      </c>
      <c r="O80" s="1163" t="str">
        <f t="shared" si="13"/>
        <v xml:space="preserve"> </v>
      </c>
      <c r="Q80">
        <f t="shared" si="14"/>
        <v>0</v>
      </c>
      <c r="R80">
        <f t="shared" si="15"/>
        <v>0</v>
      </c>
    </row>
    <row r="81" spans="2:18" x14ac:dyDescent="0.15">
      <c r="B81" s="1157"/>
      <c r="C81" s="1158"/>
      <c r="D81" s="897"/>
      <c r="E81" s="1159" t="str">
        <f t="shared" si="10"/>
        <v xml:space="preserve"> </v>
      </c>
      <c r="G81" s="1160" t="str">
        <f t="shared" si="11"/>
        <v xml:space="preserve"> </v>
      </c>
      <c r="H81" s="1149"/>
      <c r="I81">
        <f t="shared" si="8"/>
        <v>0</v>
      </c>
      <c r="K81">
        <f t="shared" si="9"/>
        <v>0</v>
      </c>
      <c r="L81" s="1161"/>
      <c r="N81" s="1162" t="str">
        <f t="shared" si="12"/>
        <v xml:space="preserve"> </v>
      </c>
      <c r="O81" s="1163" t="str">
        <f t="shared" si="13"/>
        <v xml:space="preserve"> </v>
      </c>
      <c r="Q81">
        <f t="shared" si="14"/>
        <v>0</v>
      </c>
      <c r="R81">
        <f t="shared" si="15"/>
        <v>0</v>
      </c>
    </row>
    <row r="82" spans="2:18" x14ac:dyDescent="0.15">
      <c r="B82" s="1157"/>
      <c r="C82" s="1158"/>
      <c r="D82" s="897"/>
      <c r="E82" s="1159" t="str">
        <f t="shared" si="10"/>
        <v xml:space="preserve"> </v>
      </c>
      <c r="G82" s="1160" t="str">
        <f t="shared" si="11"/>
        <v xml:space="preserve"> </v>
      </c>
      <c r="H82" s="1149"/>
      <c r="I82">
        <f t="shared" si="8"/>
        <v>0</v>
      </c>
      <c r="K82">
        <f t="shared" si="9"/>
        <v>0</v>
      </c>
      <c r="L82" s="1161"/>
      <c r="N82" s="1162" t="str">
        <f t="shared" si="12"/>
        <v xml:space="preserve"> </v>
      </c>
      <c r="O82" s="1163" t="str">
        <f t="shared" si="13"/>
        <v xml:space="preserve"> </v>
      </c>
      <c r="Q82">
        <f t="shared" si="14"/>
        <v>0</v>
      </c>
      <c r="R82">
        <f t="shared" si="15"/>
        <v>0</v>
      </c>
    </row>
    <row r="83" spans="2:18" x14ac:dyDescent="0.15">
      <c r="B83" s="1157"/>
      <c r="C83" s="1158"/>
      <c r="D83" s="897"/>
      <c r="E83" s="1159" t="str">
        <f t="shared" si="10"/>
        <v xml:space="preserve"> </v>
      </c>
      <c r="G83" s="1160" t="str">
        <f t="shared" si="11"/>
        <v xml:space="preserve"> </v>
      </c>
      <c r="H83" s="1149"/>
      <c r="I83">
        <f t="shared" si="8"/>
        <v>0</v>
      </c>
      <c r="K83">
        <f t="shared" si="9"/>
        <v>0</v>
      </c>
      <c r="L83" s="1161"/>
      <c r="N83" s="1162" t="str">
        <f t="shared" si="12"/>
        <v xml:space="preserve"> </v>
      </c>
      <c r="O83" s="1163" t="str">
        <f t="shared" si="13"/>
        <v xml:space="preserve"> </v>
      </c>
      <c r="Q83">
        <f t="shared" si="14"/>
        <v>0</v>
      </c>
      <c r="R83">
        <f t="shared" si="15"/>
        <v>0</v>
      </c>
    </row>
    <row r="84" spans="2:18" x14ac:dyDescent="0.15">
      <c r="B84" s="1157"/>
      <c r="C84" s="1158"/>
      <c r="D84" s="897"/>
      <c r="E84" s="1159" t="str">
        <f t="shared" si="10"/>
        <v xml:space="preserve"> </v>
      </c>
      <c r="G84" s="1160" t="str">
        <f t="shared" si="11"/>
        <v xml:space="preserve"> </v>
      </c>
      <c r="H84" s="1149"/>
      <c r="I84">
        <f t="shared" si="8"/>
        <v>0</v>
      </c>
      <c r="K84">
        <f t="shared" si="9"/>
        <v>0</v>
      </c>
      <c r="L84" s="1161"/>
      <c r="N84" s="1162" t="str">
        <f t="shared" si="12"/>
        <v xml:space="preserve"> </v>
      </c>
      <c r="O84" s="1163" t="str">
        <f t="shared" si="13"/>
        <v xml:space="preserve"> </v>
      </c>
      <c r="Q84">
        <f t="shared" si="14"/>
        <v>0</v>
      </c>
      <c r="R84">
        <f t="shared" si="15"/>
        <v>0</v>
      </c>
    </row>
    <row r="85" spans="2:18" x14ac:dyDescent="0.15">
      <c r="B85" s="1157"/>
      <c r="C85" s="1158"/>
      <c r="D85" s="897"/>
      <c r="E85" s="1159" t="str">
        <f t="shared" si="10"/>
        <v xml:space="preserve"> </v>
      </c>
      <c r="G85" s="1160" t="str">
        <f t="shared" si="11"/>
        <v xml:space="preserve"> </v>
      </c>
      <c r="H85" s="1149"/>
      <c r="I85">
        <f t="shared" si="8"/>
        <v>0</v>
      </c>
      <c r="K85">
        <f t="shared" si="9"/>
        <v>0</v>
      </c>
      <c r="L85" s="1161"/>
      <c r="N85" s="1162" t="str">
        <f t="shared" si="12"/>
        <v xml:space="preserve"> </v>
      </c>
      <c r="O85" s="1163" t="str">
        <f t="shared" si="13"/>
        <v xml:space="preserve"> </v>
      </c>
      <c r="Q85">
        <f t="shared" si="14"/>
        <v>0</v>
      </c>
      <c r="R85">
        <f t="shared" si="15"/>
        <v>0</v>
      </c>
    </row>
    <row r="86" spans="2:18" x14ac:dyDescent="0.15">
      <c r="B86" s="1157"/>
      <c r="C86" s="1158"/>
      <c r="D86" s="897"/>
      <c r="E86" s="1159" t="str">
        <f t="shared" si="10"/>
        <v xml:space="preserve"> </v>
      </c>
      <c r="G86" s="1160" t="str">
        <f t="shared" si="11"/>
        <v xml:space="preserve"> </v>
      </c>
      <c r="H86" s="1149"/>
      <c r="I86">
        <f t="shared" si="8"/>
        <v>0</v>
      </c>
      <c r="K86">
        <f t="shared" si="9"/>
        <v>0</v>
      </c>
      <c r="L86" s="1161"/>
      <c r="N86" s="1162" t="str">
        <f t="shared" si="12"/>
        <v xml:space="preserve"> </v>
      </c>
      <c r="O86" s="1163" t="str">
        <f t="shared" si="13"/>
        <v xml:space="preserve"> </v>
      </c>
      <c r="Q86">
        <f t="shared" si="14"/>
        <v>0</v>
      </c>
      <c r="R86">
        <f t="shared" si="15"/>
        <v>0</v>
      </c>
    </row>
    <row r="87" spans="2:18" x14ac:dyDescent="0.15">
      <c r="B87" s="1157"/>
      <c r="C87" s="1158"/>
      <c r="D87" s="897"/>
      <c r="E87" s="1159" t="str">
        <f t="shared" si="10"/>
        <v xml:space="preserve"> </v>
      </c>
      <c r="G87" s="1160" t="str">
        <f t="shared" si="11"/>
        <v xml:space="preserve"> </v>
      </c>
      <c r="H87" s="1149"/>
      <c r="I87">
        <f t="shared" si="8"/>
        <v>0</v>
      </c>
      <c r="K87">
        <f t="shared" si="9"/>
        <v>0</v>
      </c>
      <c r="L87" s="1161"/>
      <c r="N87" s="1162" t="str">
        <f t="shared" si="12"/>
        <v xml:space="preserve"> </v>
      </c>
      <c r="O87" s="1163" t="str">
        <f t="shared" si="13"/>
        <v xml:space="preserve"> </v>
      </c>
      <c r="Q87">
        <f t="shared" si="14"/>
        <v>0</v>
      </c>
      <c r="R87">
        <f t="shared" si="15"/>
        <v>0</v>
      </c>
    </row>
    <row r="88" spans="2:18" x14ac:dyDescent="0.15">
      <c r="B88" s="1157"/>
      <c r="C88" s="1158"/>
      <c r="D88" s="897"/>
      <c r="E88" s="1159" t="str">
        <f t="shared" si="10"/>
        <v xml:space="preserve"> </v>
      </c>
      <c r="G88" s="1160" t="str">
        <f t="shared" si="11"/>
        <v xml:space="preserve"> </v>
      </c>
      <c r="H88" s="1149"/>
      <c r="I88">
        <f t="shared" si="8"/>
        <v>0</v>
      </c>
      <c r="K88">
        <f t="shared" si="9"/>
        <v>0</v>
      </c>
      <c r="L88" s="1161"/>
      <c r="N88" s="1162" t="str">
        <f t="shared" si="12"/>
        <v xml:space="preserve"> </v>
      </c>
      <c r="O88" s="1163" t="str">
        <f t="shared" si="13"/>
        <v xml:space="preserve"> </v>
      </c>
      <c r="Q88">
        <f t="shared" si="14"/>
        <v>0</v>
      </c>
      <c r="R88">
        <f t="shared" si="15"/>
        <v>0</v>
      </c>
    </row>
    <row r="89" spans="2:18" x14ac:dyDescent="0.15">
      <c r="B89" s="1157"/>
      <c r="C89" s="1158"/>
      <c r="D89" s="897"/>
      <c r="E89" s="1159" t="str">
        <f t="shared" si="10"/>
        <v xml:space="preserve"> </v>
      </c>
      <c r="G89" s="1160" t="str">
        <f t="shared" si="11"/>
        <v xml:space="preserve"> </v>
      </c>
      <c r="H89" s="1149"/>
      <c r="I89">
        <f t="shared" si="8"/>
        <v>0</v>
      </c>
      <c r="K89">
        <f t="shared" si="9"/>
        <v>0</v>
      </c>
      <c r="L89" s="1161"/>
      <c r="N89" s="1162" t="str">
        <f t="shared" si="12"/>
        <v xml:space="preserve"> </v>
      </c>
      <c r="O89" s="1163" t="str">
        <f t="shared" si="13"/>
        <v xml:space="preserve"> </v>
      </c>
      <c r="Q89">
        <f t="shared" si="14"/>
        <v>0</v>
      </c>
      <c r="R89">
        <f t="shared" si="15"/>
        <v>0</v>
      </c>
    </row>
    <row r="90" spans="2:18" x14ac:dyDescent="0.15">
      <c r="B90" s="1157"/>
      <c r="C90" s="1158"/>
      <c r="D90" s="897"/>
      <c r="E90" s="1159" t="str">
        <f t="shared" si="10"/>
        <v xml:space="preserve"> </v>
      </c>
      <c r="G90" s="1160" t="str">
        <f t="shared" si="11"/>
        <v xml:space="preserve"> </v>
      </c>
      <c r="H90" s="1149"/>
      <c r="I90">
        <f t="shared" si="8"/>
        <v>0</v>
      </c>
      <c r="K90">
        <f t="shared" si="9"/>
        <v>0</v>
      </c>
      <c r="L90" s="1161"/>
      <c r="N90" s="1162" t="str">
        <f t="shared" si="12"/>
        <v xml:space="preserve"> </v>
      </c>
      <c r="O90" s="1163" t="str">
        <f t="shared" si="13"/>
        <v xml:space="preserve"> </v>
      </c>
      <c r="Q90">
        <f t="shared" si="14"/>
        <v>0</v>
      </c>
      <c r="R90">
        <f t="shared" si="15"/>
        <v>0</v>
      </c>
    </row>
    <row r="91" spans="2:18" x14ac:dyDescent="0.15">
      <c r="B91" s="1157"/>
      <c r="C91" s="1158"/>
      <c r="D91" s="897"/>
      <c r="E91" s="1159" t="str">
        <f t="shared" si="10"/>
        <v xml:space="preserve"> </v>
      </c>
      <c r="G91" s="1160" t="str">
        <f t="shared" si="11"/>
        <v xml:space="preserve"> </v>
      </c>
      <c r="H91" s="1149"/>
      <c r="I91">
        <f t="shared" si="8"/>
        <v>0</v>
      </c>
      <c r="K91">
        <f t="shared" si="9"/>
        <v>0</v>
      </c>
      <c r="L91" s="1161"/>
      <c r="N91" s="1162" t="str">
        <f t="shared" si="12"/>
        <v xml:space="preserve"> </v>
      </c>
      <c r="O91" s="1163" t="str">
        <f t="shared" si="13"/>
        <v xml:space="preserve"> </v>
      </c>
      <c r="Q91">
        <f t="shared" si="14"/>
        <v>0</v>
      </c>
      <c r="R91">
        <f t="shared" si="15"/>
        <v>0</v>
      </c>
    </row>
    <row r="92" spans="2:18" x14ac:dyDescent="0.15">
      <c r="B92" s="1157"/>
      <c r="C92" s="1158"/>
      <c r="D92" s="897"/>
      <c r="E92" s="1159" t="str">
        <f t="shared" si="10"/>
        <v xml:space="preserve"> </v>
      </c>
      <c r="G92" s="1160" t="str">
        <f t="shared" si="11"/>
        <v xml:space="preserve"> </v>
      </c>
      <c r="H92" s="1149"/>
      <c r="I92">
        <f t="shared" si="8"/>
        <v>0</v>
      </c>
      <c r="K92">
        <f t="shared" si="9"/>
        <v>0</v>
      </c>
      <c r="L92" s="1161"/>
      <c r="N92" s="1162" t="str">
        <f t="shared" si="12"/>
        <v xml:space="preserve"> </v>
      </c>
      <c r="O92" s="1163" t="str">
        <f t="shared" si="13"/>
        <v xml:space="preserve"> </v>
      </c>
      <c r="Q92">
        <f t="shared" si="14"/>
        <v>0</v>
      </c>
      <c r="R92">
        <f t="shared" si="15"/>
        <v>0</v>
      </c>
    </row>
    <row r="93" spans="2:18" x14ac:dyDescent="0.15">
      <c r="B93" s="1157"/>
      <c r="C93" s="1158"/>
      <c r="D93" s="897"/>
      <c r="E93" s="1159" t="str">
        <f t="shared" si="10"/>
        <v xml:space="preserve"> </v>
      </c>
      <c r="G93" s="1160" t="str">
        <f t="shared" si="11"/>
        <v xml:space="preserve"> </v>
      </c>
      <c r="H93" s="1149"/>
      <c r="I93">
        <f t="shared" si="8"/>
        <v>0</v>
      </c>
      <c r="K93">
        <f t="shared" si="9"/>
        <v>0</v>
      </c>
      <c r="L93" s="1161"/>
      <c r="N93" s="1162" t="str">
        <f t="shared" si="12"/>
        <v xml:space="preserve"> </v>
      </c>
      <c r="O93" s="1163" t="str">
        <f t="shared" si="13"/>
        <v xml:space="preserve"> </v>
      </c>
      <c r="Q93">
        <f t="shared" si="14"/>
        <v>0</v>
      </c>
      <c r="R93">
        <f t="shared" si="15"/>
        <v>0</v>
      </c>
    </row>
    <row r="94" spans="2:18" x14ac:dyDescent="0.15">
      <c r="B94" s="1157"/>
      <c r="C94" s="1158"/>
      <c r="D94" s="897"/>
      <c r="E94" s="1159" t="str">
        <f t="shared" si="10"/>
        <v xml:space="preserve"> </v>
      </c>
      <c r="G94" s="1160" t="str">
        <f t="shared" si="11"/>
        <v xml:space="preserve"> </v>
      </c>
      <c r="H94" s="1149"/>
      <c r="I94">
        <f t="shared" si="8"/>
        <v>0</v>
      </c>
      <c r="K94">
        <f t="shared" si="9"/>
        <v>0</v>
      </c>
      <c r="L94" s="1161"/>
      <c r="N94" s="1162" t="str">
        <f t="shared" si="12"/>
        <v xml:space="preserve"> </v>
      </c>
      <c r="O94" s="1163" t="str">
        <f t="shared" si="13"/>
        <v xml:space="preserve"> </v>
      </c>
      <c r="Q94">
        <f t="shared" si="14"/>
        <v>0</v>
      </c>
      <c r="R94">
        <f t="shared" si="15"/>
        <v>0</v>
      </c>
    </row>
    <row r="95" spans="2:18" x14ac:dyDescent="0.15">
      <c r="B95" s="1157"/>
      <c r="C95" s="1158"/>
      <c r="D95" s="897"/>
      <c r="E95" s="1159" t="str">
        <f t="shared" si="10"/>
        <v xml:space="preserve"> </v>
      </c>
      <c r="G95" s="1160" t="str">
        <f t="shared" si="11"/>
        <v xml:space="preserve"> </v>
      </c>
      <c r="H95" s="1149"/>
      <c r="I95">
        <f t="shared" si="8"/>
        <v>0</v>
      </c>
      <c r="K95">
        <f t="shared" si="9"/>
        <v>0</v>
      </c>
      <c r="L95" s="1161"/>
      <c r="N95" s="1162" t="str">
        <f t="shared" si="12"/>
        <v xml:space="preserve"> </v>
      </c>
      <c r="O95" s="1163" t="str">
        <f t="shared" si="13"/>
        <v xml:space="preserve"> </v>
      </c>
      <c r="Q95">
        <f t="shared" si="14"/>
        <v>0</v>
      </c>
      <c r="R95">
        <f t="shared" si="15"/>
        <v>0</v>
      </c>
    </row>
    <row r="96" spans="2:18" x14ac:dyDescent="0.15">
      <c r="B96" s="1157"/>
      <c r="C96" s="1158"/>
      <c r="D96" s="897"/>
      <c r="E96" s="1159" t="str">
        <f t="shared" si="10"/>
        <v xml:space="preserve"> </v>
      </c>
      <c r="G96" s="1160" t="str">
        <f t="shared" si="11"/>
        <v xml:space="preserve"> </v>
      </c>
      <c r="H96" s="1149"/>
      <c r="I96">
        <f t="shared" si="8"/>
        <v>0</v>
      </c>
      <c r="K96">
        <f t="shared" si="9"/>
        <v>0</v>
      </c>
      <c r="L96" s="1161"/>
      <c r="N96" s="1162" t="str">
        <f t="shared" si="12"/>
        <v xml:space="preserve"> </v>
      </c>
      <c r="O96" s="1163" t="str">
        <f t="shared" si="13"/>
        <v xml:space="preserve"> </v>
      </c>
      <c r="Q96">
        <f t="shared" si="14"/>
        <v>0</v>
      </c>
      <c r="R96">
        <f t="shared" si="15"/>
        <v>0</v>
      </c>
    </row>
    <row r="97" spans="2:18" x14ac:dyDescent="0.15">
      <c r="B97" s="1157"/>
      <c r="C97" s="1158"/>
      <c r="D97" s="897"/>
      <c r="E97" s="1159" t="str">
        <f t="shared" si="10"/>
        <v xml:space="preserve"> </v>
      </c>
      <c r="G97" s="1160" t="str">
        <f t="shared" si="11"/>
        <v xml:space="preserve"> </v>
      </c>
      <c r="H97" s="1149"/>
      <c r="I97">
        <f t="shared" si="8"/>
        <v>0</v>
      </c>
      <c r="K97">
        <f t="shared" si="9"/>
        <v>0</v>
      </c>
      <c r="L97" s="1161"/>
      <c r="N97" s="1162" t="str">
        <f t="shared" si="12"/>
        <v xml:space="preserve"> </v>
      </c>
      <c r="O97" s="1163" t="str">
        <f t="shared" si="13"/>
        <v xml:space="preserve"> </v>
      </c>
      <c r="Q97">
        <f t="shared" si="14"/>
        <v>0</v>
      </c>
      <c r="R97">
        <f t="shared" si="15"/>
        <v>0</v>
      </c>
    </row>
    <row r="98" spans="2:18" x14ac:dyDescent="0.15">
      <c r="B98" s="1157"/>
      <c r="C98" s="1158"/>
      <c r="D98" s="897"/>
      <c r="E98" s="1159" t="str">
        <f t="shared" si="10"/>
        <v xml:space="preserve"> </v>
      </c>
      <c r="G98" s="1160" t="str">
        <f t="shared" si="11"/>
        <v xml:space="preserve"> </v>
      </c>
      <c r="H98" s="1149"/>
      <c r="I98">
        <f t="shared" si="8"/>
        <v>0</v>
      </c>
      <c r="K98">
        <f t="shared" si="9"/>
        <v>0</v>
      </c>
      <c r="L98" s="1161"/>
      <c r="N98" s="1162" t="str">
        <f t="shared" si="12"/>
        <v xml:space="preserve"> </v>
      </c>
      <c r="O98" s="1163" t="str">
        <f t="shared" si="13"/>
        <v xml:space="preserve"> </v>
      </c>
      <c r="Q98">
        <f t="shared" si="14"/>
        <v>0</v>
      </c>
      <c r="R98">
        <f t="shared" si="15"/>
        <v>0</v>
      </c>
    </row>
    <row r="99" spans="2:18" x14ac:dyDescent="0.15">
      <c r="B99" s="1157"/>
      <c r="C99" s="1158"/>
      <c r="D99" s="897"/>
      <c r="E99" s="1159" t="str">
        <f t="shared" si="10"/>
        <v xml:space="preserve"> </v>
      </c>
      <c r="G99" s="1160" t="str">
        <f t="shared" si="11"/>
        <v xml:space="preserve"> </v>
      </c>
      <c r="H99" s="1149"/>
      <c r="I99">
        <f t="shared" si="8"/>
        <v>0</v>
      </c>
      <c r="K99">
        <f t="shared" si="9"/>
        <v>0</v>
      </c>
      <c r="L99" s="1161"/>
      <c r="N99" s="1162" t="str">
        <f t="shared" si="12"/>
        <v xml:space="preserve"> </v>
      </c>
      <c r="O99" s="1163" t="str">
        <f t="shared" si="13"/>
        <v xml:space="preserve"> </v>
      </c>
      <c r="Q99">
        <f t="shared" si="14"/>
        <v>0</v>
      </c>
      <c r="R99">
        <f t="shared" si="15"/>
        <v>0</v>
      </c>
    </row>
    <row r="100" spans="2:18" x14ac:dyDescent="0.15">
      <c r="B100" s="1157"/>
      <c r="C100" s="1158"/>
      <c r="D100" s="897"/>
      <c r="E100" s="1159" t="str">
        <f t="shared" si="10"/>
        <v xml:space="preserve"> </v>
      </c>
      <c r="G100" s="1160" t="str">
        <f t="shared" si="11"/>
        <v xml:space="preserve"> </v>
      </c>
      <c r="H100" s="1149"/>
      <c r="I100">
        <f t="shared" si="8"/>
        <v>0</v>
      </c>
      <c r="K100">
        <f t="shared" si="9"/>
        <v>0</v>
      </c>
      <c r="L100" s="1161"/>
      <c r="N100" s="1162" t="str">
        <f t="shared" si="12"/>
        <v xml:space="preserve"> </v>
      </c>
      <c r="O100" s="1163" t="str">
        <f t="shared" si="13"/>
        <v xml:space="preserve"> </v>
      </c>
      <c r="Q100">
        <f t="shared" si="14"/>
        <v>0</v>
      </c>
      <c r="R100">
        <f t="shared" si="15"/>
        <v>0</v>
      </c>
    </row>
    <row r="101" spans="2:18" x14ac:dyDescent="0.15">
      <c r="B101" s="1157"/>
      <c r="C101" s="1158"/>
      <c r="D101" s="897"/>
      <c r="E101" s="1159" t="str">
        <f t="shared" si="10"/>
        <v xml:space="preserve"> </v>
      </c>
      <c r="G101" s="1160" t="str">
        <f t="shared" si="11"/>
        <v xml:space="preserve"> </v>
      </c>
      <c r="H101" s="1149"/>
      <c r="I101">
        <f t="shared" si="8"/>
        <v>0</v>
      </c>
      <c r="K101">
        <f t="shared" si="9"/>
        <v>0</v>
      </c>
      <c r="L101" s="1161"/>
      <c r="N101" s="1162" t="str">
        <f t="shared" si="12"/>
        <v xml:space="preserve"> </v>
      </c>
      <c r="O101" s="1163" t="str">
        <f t="shared" si="13"/>
        <v xml:space="preserve"> </v>
      </c>
      <c r="Q101">
        <f t="shared" si="14"/>
        <v>0</v>
      </c>
      <c r="R101">
        <f t="shared" si="15"/>
        <v>0</v>
      </c>
    </row>
    <row r="102" spans="2:18" x14ac:dyDescent="0.15">
      <c r="B102" s="1157"/>
      <c r="C102" s="1158"/>
      <c r="D102" s="897"/>
      <c r="E102" s="1159" t="str">
        <f t="shared" si="10"/>
        <v xml:space="preserve"> </v>
      </c>
      <c r="G102" s="1160" t="str">
        <f t="shared" si="11"/>
        <v xml:space="preserve"> </v>
      </c>
      <c r="H102" s="1149"/>
      <c r="I102">
        <f t="shared" si="8"/>
        <v>0</v>
      </c>
      <c r="K102">
        <f t="shared" si="9"/>
        <v>0</v>
      </c>
      <c r="L102" s="1161"/>
      <c r="N102" s="1162" t="str">
        <f t="shared" si="12"/>
        <v xml:space="preserve"> </v>
      </c>
      <c r="O102" s="1163" t="str">
        <f t="shared" si="13"/>
        <v xml:space="preserve"> </v>
      </c>
      <c r="Q102">
        <f t="shared" si="14"/>
        <v>0</v>
      </c>
      <c r="R102">
        <f t="shared" si="15"/>
        <v>0</v>
      </c>
    </row>
    <row r="103" spans="2:18" x14ac:dyDescent="0.15">
      <c r="B103" s="1157"/>
      <c r="C103" s="1158"/>
      <c r="D103" s="897"/>
      <c r="E103" s="1159" t="str">
        <f t="shared" si="10"/>
        <v xml:space="preserve"> </v>
      </c>
      <c r="G103" s="1160" t="str">
        <f t="shared" si="11"/>
        <v xml:space="preserve"> </v>
      </c>
      <c r="H103" s="1149"/>
      <c r="I103">
        <f t="shared" si="8"/>
        <v>0</v>
      </c>
      <c r="K103">
        <f t="shared" si="9"/>
        <v>0</v>
      </c>
      <c r="L103" s="1161"/>
      <c r="N103" s="1162" t="str">
        <f t="shared" si="12"/>
        <v xml:space="preserve"> </v>
      </c>
      <c r="O103" s="1163" t="str">
        <f t="shared" si="13"/>
        <v xml:space="preserve"> </v>
      </c>
      <c r="Q103">
        <f t="shared" si="14"/>
        <v>0</v>
      </c>
      <c r="R103">
        <f t="shared" si="15"/>
        <v>0</v>
      </c>
    </row>
    <row r="104" spans="2:18" x14ac:dyDescent="0.15">
      <c r="B104" s="1157"/>
      <c r="C104" s="1158"/>
      <c r="D104" s="897"/>
      <c r="E104" s="1159" t="str">
        <f t="shared" si="10"/>
        <v xml:space="preserve"> </v>
      </c>
      <c r="G104" s="1160" t="str">
        <f t="shared" si="11"/>
        <v xml:space="preserve"> </v>
      </c>
      <c r="H104" s="1149"/>
      <c r="I104">
        <f t="shared" si="8"/>
        <v>0</v>
      </c>
      <c r="K104">
        <f t="shared" si="9"/>
        <v>0</v>
      </c>
      <c r="L104" s="1161"/>
      <c r="N104" s="1162" t="str">
        <f t="shared" si="12"/>
        <v xml:space="preserve"> </v>
      </c>
      <c r="O104" s="1163" t="str">
        <f t="shared" si="13"/>
        <v xml:space="preserve"> </v>
      </c>
      <c r="Q104">
        <f t="shared" si="14"/>
        <v>0</v>
      </c>
      <c r="R104">
        <f t="shared" si="15"/>
        <v>0</v>
      </c>
    </row>
    <row r="105" spans="2:18" x14ac:dyDescent="0.15">
      <c r="B105" s="1157"/>
      <c r="C105" s="1158"/>
      <c r="D105" s="897"/>
      <c r="E105" s="1159" t="str">
        <f t="shared" si="10"/>
        <v xml:space="preserve"> </v>
      </c>
      <c r="G105" s="1160" t="str">
        <f t="shared" si="11"/>
        <v xml:space="preserve"> </v>
      </c>
      <c r="H105" s="1149"/>
      <c r="I105">
        <f t="shared" si="8"/>
        <v>0</v>
      </c>
      <c r="K105">
        <f t="shared" si="9"/>
        <v>0</v>
      </c>
      <c r="L105" s="1161"/>
      <c r="N105" s="1162" t="str">
        <f t="shared" si="12"/>
        <v xml:space="preserve"> </v>
      </c>
      <c r="O105" s="1163" t="str">
        <f t="shared" si="13"/>
        <v xml:space="preserve"> </v>
      </c>
      <c r="Q105">
        <f t="shared" si="14"/>
        <v>0</v>
      </c>
      <c r="R105">
        <f t="shared" si="15"/>
        <v>0</v>
      </c>
    </row>
    <row r="106" spans="2:18" x14ac:dyDescent="0.15">
      <c r="B106" s="1157"/>
      <c r="C106" s="1158"/>
      <c r="D106" s="897"/>
      <c r="E106" s="1159" t="str">
        <f t="shared" si="10"/>
        <v xml:space="preserve"> </v>
      </c>
      <c r="G106" s="1160" t="str">
        <f t="shared" si="11"/>
        <v xml:space="preserve"> </v>
      </c>
      <c r="H106" s="1149"/>
      <c r="I106">
        <f t="shared" si="8"/>
        <v>0</v>
      </c>
      <c r="K106">
        <f t="shared" si="9"/>
        <v>0</v>
      </c>
      <c r="L106" s="1161"/>
      <c r="N106" s="1162" t="str">
        <f t="shared" si="12"/>
        <v xml:space="preserve"> </v>
      </c>
      <c r="O106" s="1163" t="str">
        <f t="shared" si="13"/>
        <v xml:space="preserve"> </v>
      </c>
      <c r="Q106">
        <f t="shared" si="14"/>
        <v>0</v>
      </c>
      <c r="R106">
        <f t="shared" si="15"/>
        <v>0</v>
      </c>
    </row>
    <row r="107" spans="2:18" x14ac:dyDescent="0.15">
      <c r="B107" s="1157"/>
      <c r="C107" s="1158"/>
      <c r="D107" s="897"/>
      <c r="E107" s="1159" t="str">
        <f t="shared" si="10"/>
        <v xml:space="preserve"> </v>
      </c>
      <c r="G107" s="1160" t="str">
        <f t="shared" si="11"/>
        <v xml:space="preserve"> </v>
      </c>
      <c r="H107" s="1149"/>
      <c r="I107">
        <f t="shared" si="8"/>
        <v>0</v>
      </c>
      <c r="K107">
        <f t="shared" si="9"/>
        <v>0</v>
      </c>
      <c r="L107" s="1161"/>
      <c r="N107" s="1162" t="str">
        <f t="shared" si="12"/>
        <v xml:space="preserve"> </v>
      </c>
      <c r="O107" s="1163" t="str">
        <f t="shared" si="13"/>
        <v xml:space="preserve"> </v>
      </c>
      <c r="Q107">
        <f t="shared" si="14"/>
        <v>0</v>
      </c>
      <c r="R107">
        <f t="shared" si="15"/>
        <v>0</v>
      </c>
    </row>
    <row r="108" spans="2:18" x14ac:dyDescent="0.15">
      <c r="B108" s="1157"/>
      <c r="C108" s="1158"/>
      <c r="D108" s="897"/>
      <c r="E108" s="1159" t="str">
        <f t="shared" si="10"/>
        <v xml:space="preserve"> </v>
      </c>
      <c r="G108" s="1160" t="str">
        <f t="shared" si="11"/>
        <v xml:space="preserve"> </v>
      </c>
      <c r="H108" s="1149"/>
      <c r="I108">
        <f t="shared" si="8"/>
        <v>0</v>
      </c>
      <c r="K108">
        <f t="shared" si="9"/>
        <v>0</v>
      </c>
      <c r="L108" s="1161"/>
      <c r="N108" s="1162" t="str">
        <f t="shared" si="12"/>
        <v xml:space="preserve"> </v>
      </c>
      <c r="O108" s="1163" t="str">
        <f t="shared" si="13"/>
        <v xml:space="preserve"> </v>
      </c>
      <c r="Q108">
        <f t="shared" si="14"/>
        <v>0</v>
      </c>
      <c r="R108">
        <f t="shared" si="15"/>
        <v>0</v>
      </c>
    </row>
    <row r="109" spans="2:18" x14ac:dyDescent="0.15">
      <c r="B109" s="1157"/>
      <c r="C109" s="1158"/>
      <c r="D109" s="897"/>
      <c r="E109" s="1159" t="str">
        <f t="shared" si="10"/>
        <v xml:space="preserve"> </v>
      </c>
      <c r="G109" s="1160" t="str">
        <f t="shared" si="11"/>
        <v xml:space="preserve"> </v>
      </c>
      <c r="H109" s="1149"/>
      <c r="I109">
        <f t="shared" si="8"/>
        <v>0</v>
      </c>
      <c r="K109">
        <f t="shared" si="9"/>
        <v>0</v>
      </c>
      <c r="L109" s="1161"/>
      <c r="N109" s="1162" t="str">
        <f t="shared" si="12"/>
        <v xml:space="preserve"> </v>
      </c>
      <c r="O109" s="1163" t="str">
        <f t="shared" si="13"/>
        <v xml:space="preserve"> </v>
      </c>
      <c r="Q109">
        <f t="shared" si="14"/>
        <v>0</v>
      </c>
      <c r="R109">
        <f t="shared" si="15"/>
        <v>0</v>
      </c>
    </row>
    <row r="110" spans="2:18" x14ac:dyDescent="0.15">
      <c r="B110" s="1157"/>
      <c r="C110" s="1158"/>
      <c r="D110" s="897"/>
      <c r="E110" s="1159" t="str">
        <f t="shared" si="10"/>
        <v xml:space="preserve"> </v>
      </c>
      <c r="G110" s="1160" t="str">
        <f t="shared" si="11"/>
        <v xml:space="preserve"> </v>
      </c>
      <c r="H110" s="1149"/>
      <c r="I110">
        <f t="shared" si="8"/>
        <v>0</v>
      </c>
      <c r="K110">
        <f t="shared" si="9"/>
        <v>0</v>
      </c>
      <c r="L110" s="1161"/>
      <c r="N110" s="1162" t="str">
        <f t="shared" si="12"/>
        <v xml:space="preserve"> </v>
      </c>
      <c r="O110" s="1163" t="str">
        <f t="shared" si="13"/>
        <v xml:space="preserve"> </v>
      </c>
      <c r="Q110">
        <f t="shared" si="14"/>
        <v>0</v>
      </c>
      <c r="R110">
        <f t="shared" si="15"/>
        <v>0</v>
      </c>
    </row>
    <row r="111" spans="2:18" x14ac:dyDescent="0.15">
      <c r="B111" s="1157"/>
      <c r="C111" s="1158"/>
      <c r="D111" s="897"/>
      <c r="E111" s="1159" t="str">
        <f t="shared" si="10"/>
        <v xml:space="preserve"> </v>
      </c>
      <c r="G111" s="1160" t="str">
        <f t="shared" si="11"/>
        <v xml:space="preserve"> </v>
      </c>
      <c r="H111" s="1149"/>
      <c r="I111">
        <f t="shared" si="8"/>
        <v>0</v>
      </c>
      <c r="K111">
        <f t="shared" si="9"/>
        <v>0</v>
      </c>
      <c r="L111" s="1161"/>
      <c r="N111" s="1162" t="str">
        <f t="shared" si="12"/>
        <v xml:space="preserve"> </v>
      </c>
      <c r="O111" s="1163" t="str">
        <f t="shared" si="13"/>
        <v xml:space="preserve"> </v>
      </c>
      <c r="Q111">
        <f t="shared" si="14"/>
        <v>0</v>
      </c>
      <c r="R111">
        <f t="shared" si="15"/>
        <v>0</v>
      </c>
    </row>
    <row r="112" spans="2:18" x14ac:dyDescent="0.15">
      <c r="B112" s="1157"/>
      <c r="C112" s="1158"/>
      <c r="D112" s="897"/>
      <c r="E112" s="1159" t="str">
        <f t="shared" si="10"/>
        <v xml:space="preserve"> </v>
      </c>
      <c r="G112" s="1160" t="str">
        <f t="shared" si="11"/>
        <v xml:space="preserve"> </v>
      </c>
      <c r="H112" s="1149"/>
      <c r="I112">
        <f t="shared" si="8"/>
        <v>0</v>
      </c>
      <c r="K112">
        <f t="shared" si="9"/>
        <v>0</v>
      </c>
      <c r="L112" s="1161"/>
      <c r="N112" s="1162" t="str">
        <f t="shared" si="12"/>
        <v xml:space="preserve"> </v>
      </c>
      <c r="O112" s="1163" t="str">
        <f t="shared" si="13"/>
        <v xml:space="preserve"> </v>
      </c>
      <c r="Q112">
        <f t="shared" si="14"/>
        <v>0</v>
      </c>
      <c r="R112">
        <f t="shared" si="15"/>
        <v>0</v>
      </c>
    </row>
    <row r="113" spans="2:18" x14ac:dyDescent="0.15">
      <c r="B113" s="1157"/>
      <c r="C113" s="1158"/>
      <c r="D113" s="897"/>
      <c r="E113" s="1159" t="str">
        <f t="shared" si="10"/>
        <v xml:space="preserve"> </v>
      </c>
      <c r="G113" s="1160" t="str">
        <f t="shared" si="11"/>
        <v xml:space="preserve"> </v>
      </c>
      <c r="H113" s="1149"/>
      <c r="I113">
        <f t="shared" si="8"/>
        <v>0</v>
      </c>
      <c r="K113">
        <f t="shared" si="9"/>
        <v>0</v>
      </c>
      <c r="L113" s="1161"/>
      <c r="N113" s="1162" t="str">
        <f t="shared" si="12"/>
        <v xml:space="preserve"> </v>
      </c>
      <c r="O113" s="1163" t="str">
        <f t="shared" si="13"/>
        <v xml:space="preserve"> </v>
      </c>
      <c r="Q113">
        <f t="shared" si="14"/>
        <v>0</v>
      </c>
      <c r="R113">
        <f t="shared" si="15"/>
        <v>0</v>
      </c>
    </row>
    <row r="114" spans="2:18" x14ac:dyDescent="0.15">
      <c r="B114" s="1157"/>
      <c r="C114" s="1158"/>
      <c r="D114" s="897"/>
      <c r="E114" s="1159" t="str">
        <f t="shared" si="10"/>
        <v xml:space="preserve"> </v>
      </c>
      <c r="G114" s="1160" t="str">
        <f t="shared" si="11"/>
        <v xml:space="preserve"> </v>
      </c>
      <c r="H114" s="1149"/>
      <c r="I114">
        <f t="shared" si="8"/>
        <v>0</v>
      </c>
      <c r="K114">
        <f t="shared" si="9"/>
        <v>0</v>
      </c>
      <c r="L114" s="1161"/>
      <c r="N114" s="1162" t="str">
        <f t="shared" si="12"/>
        <v xml:space="preserve"> </v>
      </c>
      <c r="O114" s="1163" t="str">
        <f t="shared" si="13"/>
        <v xml:space="preserve"> </v>
      </c>
      <c r="Q114">
        <f t="shared" si="14"/>
        <v>0</v>
      </c>
      <c r="R114">
        <f t="shared" si="15"/>
        <v>0</v>
      </c>
    </row>
    <row r="115" spans="2:18" x14ac:dyDescent="0.15">
      <c r="B115" s="1157"/>
      <c r="C115" s="1158"/>
      <c r="D115" s="897"/>
      <c r="E115" s="1159" t="str">
        <f t="shared" si="10"/>
        <v xml:space="preserve"> </v>
      </c>
      <c r="G115" s="1160" t="str">
        <f t="shared" si="11"/>
        <v xml:space="preserve"> </v>
      </c>
      <c r="H115" s="1149"/>
      <c r="I115">
        <f t="shared" si="8"/>
        <v>0</v>
      </c>
      <c r="K115">
        <f t="shared" si="9"/>
        <v>0</v>
      </c>
      <c r="L115" s="1161"/>
      <c r="N115" s="1162" t="str">
        <f t="shared" si="12"/>
        <v xml:space="preserve"> </v>
      </c>
      <c r="O115" s="1163" t="str">
        <f t="shared" si="13"/>
        <v xml:space="preserve"> </v>
      </c>
      <c r="Q115">
        <f t="shared" si="14"/>
        <v>0</v>
      </c>
      <c r="R115">
        <f t="shared" si="15"/>
        <v>0</v>
      </c>
    </row>
    <row r="116" spans="2:18" x14ac:dyDescent="0.15">
      <c r="B116" s="1157"/>
      <c r="C116" s="1158"/>
      <c r="D116" s="897"/>
      <c r="E116" s="1159" t="str">
        <f t="shared" si="10"/>
        <v xml:space="preserve"> </v>
      </c>
      <c r="G116" s="1160" t="str">
        <f t="shared" si="11"/>
        <v xml:space="preserve"> </v>
      </c>
      <c r="H116" s="1149"/>
      <c r="I116">
        <f t="shared" si="8"/>
        <v>0</v>
      </c>
      <c r="K116">
        <f t="shared" si="9"/>
        <v>0</v>
      </c>
      <c r="L116" s="1161"/>
      <c r="N116" s="1162" t="str">
        <f t="shared" si="12"/>
        <v xml:space="preserve"> </v>
      </c>
      <c r="O116" s="1163" t="str">
        <f t="shared" si="13"/>
        <v xml:space="preserve"> </v>
      </c>
      <c r="Q116">
        <f t="shared" si="14"/>
        <v>0</v>
      </c>
      <c r="R116">
        <f t="shared" si="15"/>
        <v>0</v>
      </c>
    </row>
    <row r="117" spans="2:18" x14ac:dyDescent="0.15">
      <c r="B117" s="1157"/>
      <c r="C117" s="1158"/>
      <c r="D117" s="897"/>
      <c r="E117" s="1159" t="str">
        <f t="shared" si="10"/>
        <v xml:space="preserve"> </v>
      </c>
      <c r="G117" s="1160" t="str">
        <f t="shared" si="11"/>
        <v xml:space="preserve"> </v>
      </c>
      <c r="H117" s="1149"/>
      <c r="I117">
        <f t="shared" si="8"/>
        <v>0</v>
      </c>
      <c r="K117">
        <f t="shared" si="9"/>
        <v>0</v>
      </c>
      <c r="L117" s="1161"/>
      <c r="N117" s="1162" t="str">
        <f t="shared" si="12"/>
        <v xml:space="preserve"> </v>
      </c>
      <c r="O117" s="1163" t="str">
        <f t="shared" si="13"/>
        <v xml:space="preserve"> </v>
      </c>
      <c r="Q117">
        <f t="shared" si="14"/>
        <v>0</v>
      </c>
      <c r="R117">
        <f t="shared" si="15"/>
        <v>0</v>
      </c>
    </row>
    <row r="118" spans="2:18" x14ac:dyDescent="0.15">
      <c r="B118" s="1157"/>
      <c r="C118" s="1158"/>
      <c r="D118" s="897"/>
      <c r="E118" s="1159" t="str">
        <f t="shared" si="10"/>
        <v xml:space="preserve"> </v>
      </c>
      <c r="G118" s="1160" t="str">
        <f t="shared" si="11"/>
        <v xml:space="preserve"> </v>
      </c>
      <c r="H118" s="1149"/>
      <c r="I118">
        <f t="shared" si="8"/>
        <v>0</v>
      </c>
      <c r="K118">
        <f t="shared" si="9"/>
        <v>0</v>
      </c>
      <c r="L118" s="1161"/>
      <c r="N118" s="1162" t="str">
        <f t="shared" si="12"/>
        <v xml:space="preserve"> </v>
      </c>
      <c r="O118" s="1163" t="str">
        <f t="shared" si="13"/>
        <v xml:space="preserve"> </v>
      </c>
      <c r="Q118">
        <f t="shared" si="14"/>
        <v>0</v>
      </c>
      <c r="R118">
        <f t="shared" si="15"/>
        <v>0</v>
      </c>
    </row>
    <row r="119" spans="2:18" x14ac:dyDescent="0.15">
      <c r="B119" s="1157"/>
      <c r="C119" s="1158"/>
      <c r="D119" s="897"/>
      <c r="E119" s="1159" t="str">
        <f t="shared" si="10"/>
        <v xml:space="preserve"> </v>
      </c>
      <c r="G119" s="1160" t="str">
        <f t="shared" si="11"/>
        <v xml:space="preserve"> </v>
      </c>
      <c r="H119" s="1149"/>
      <c r="I119">
        <f t="shared" si="8"/>
        <v>0</v>
      </c>
      <c r="K119">
        <f t="shared" si="9"/>
        <v>0</v>
      </c>
      <c r="L119" s="1161"/>
      <c r="N119" s="1162" t="str">
        <f t="shared" si="12"/>
        <v xml:space="preserve"> </v>
      </c>
      <c r="O119" s="1163" t="str">
        <f t="shared" si="13"/>
        <v xml:space="preserve"> </v>
      </c>
      <c r="Q119">
        <f t="shared" si="14"/>
        <v>0</v>
      </c>
      <c r="R119">
        <f t="shared" si="15"/>
        <v>0</v>
      </c>
    </row>
    <row r="120" spans="2:18" x14ac:dyDescent="0.15">
      <c r="B120" s="1157"/>
      <c r="C120" s="1158"/>
      <c r="D120" s="897"/>
      <c r="E120" s="1159" t="str">
        <f t="shared" si="10"/>
        <v xml:space="preserve"> </v>
      </c>
      <c r="G120" s="1160" t="str">
        <f t="shared" si="11"/>
        <v xml:space="preserve"> </v>
      </c>
      <c r="H120" s="1149"/>
      <c r="I120">
        <f t="shared" si="8"/>
        <v>0</v>
      </c>
      <c r="K120">
        <f t="shared" si="9"/>
        <v>0</v>
      </c>
      <c r="L120" s="1161"/>
      <c r="N120" s="1162" t="str">
        <f t="shared" si="12"/>
        <v xml:space="preserve"> </v>
      </c>
      <c r="O120" s="1163" t="str">
        <f t="shared" si="13"/>
        <v xml:space="preserve"> </v>
      </c>
      <c r="Q120">
        <f t="shared" si="14"/>
        <v>0</v>
      </c>
      <c r="R120">
        <f t="shared" si="15"/>
        <v>0</v>
      </c>
    </row>
    <row r="121" spans="2:18" x14ac:dyDescent="0.15">
      <c r="B121" s="1157"/>
      <c r="C121" s="1158"/>
      <c r="D121" s="897"/>
      <c r="E121" s="1159" t="str">
        <f t="shared" si="10"/>
        <v xml:space="preserve"> </v>
      </c>
      <c r="G121" s="1160" t="str">
        <f t="shared" si="11"/>
        <v xml:space="preserve"> </v>
      </c>
      <c r="H121" s="1149"/>
      <c r="I121">
        <f t="shared" si="8"/>
        <v>0</v>
      </c>
      <c r="K121">
        <f t="shared" si="9"/>
        <v>0</v>
      </c>
      <c r="L121" s="1161"/>
      <c r="N121" s="1162" t="str">
        <f t="shared" si="12"/>
        <v xml:space="preserve"> </v>
      </c>
      <c r="O121" s="1163" t="str">
        <f t="shared" si="13"/>
        <v xml:space="preserve"> </v>
      </c>
      <c r="Q121">
        <f t="shared" si="14"/>
        <v>0</v>
      </c>
      <c r="R121">
        <f t="shared" si="15"/>
        <v>0</v>
      </c>
    </row>
    <row r="122" spans="2:18" x14ac:dyDescent="0.15">
      <c r="B122" s="1157"/>
      <c r="C122" s="1158"/>
      <c r="D122" s="897"/>
      <c r="E122" s="1159" t="str">
        <f t="shared" si="10"/>
        <v xml:space="preserve"> </v>
      </c>
      <c r="G122" s="1160" t="str">
        <f t="shared" si="11"/>
        <v xml:space="preserve"> </v>
      </c>
      <c r="H122" s="1149"/>
      <c r="I122">
        <f t="shared" si="8"/>
        <v>0</v>
      </c>
      <c r="K122">
        <f t="shared" si="9"/>
        <v>0</v>
      </c>
      <c r="L122" s="1161"/>
      <c r="N122" s="1162" t="str">
        <f t="shared" si="12"/>
        <v xml:space="preserve"> </v>
      </c>
      <c r="O122" s="1163" t="str">
        <f t="shared" si="13"/>
        <v xml:space="preserve"> </v>
      </c>
      <c r="Q122">
        <f t="shared" si="14"/>
        <v>0</v>
      </c>
      <c r="R122">
        <f t="shared" si="15"/>
        <v>0</v>
      </c>
    </row>
    <row r="123" spans="2:18" x14ac:dyDescent="0.15">
      <c r="B123" s="1157"/>
      <c r="C123" s="1158"/>
      <c r="D123" s="897"/>
      <c r="E123" s="1159" t="str">
        <f t="shared" si="10"/>
        <v xml:space="preserve"> </v>
      </c>
      <c r="G123" s="1160" t="str">
        <f t="shared" si="11"/>
        <v xml:space="preserve"> </v>
      </c>
      <c r="H123" s="1149"/>
      <c r="I123">
        <f t="shared" si="8"/>
        <v>0</v>
      </c>
      <c r="K123">
        <f t="shared" si="9"/>
        <v>0</v>
      </c>
      <c r="L123" s="1161"/>
      <c r="N123" s="1162" t="str">
        <f t="shared" si="12"/>
        <v xml:space="preserve"> </v>
      </c>
      <c r="O123" s="1163" t="str">
        <f t="shared" si="13"/>
        <v xml:space="preserve"> </v>
      </c>
      <c r="Q123">
        <f t="shared" si="14"/>
        <v>0</v>
      </c>
      <c r="R123">
        <f t="shared" si="15"/>
        <v>0</v>
      </c>
    </row>
    <row r="124" spans="2:18" x14ac:dyDescent="0.15">
      <c r="B124" s="1157"/>
      <c r="C124" s="1158"/>
      <c r="D124" s="897"/>
      <c r="E124" s="1159" t="str">
        <f t="shared" si="10"/>
        <v xml:space="preserve"> </v>
      </c>
      <c r="G124" s="1160" t="str">
        <f t="shared" si="11"/>
        <v xml:space="preserve"> </v>
      </c>
      <c r="H124" s="1149"/>
      <c r="I124">
        <f t="shared" si="8"/>
        <v>0</v>
      </c>
      <c r="K124">
        <f t="shared" si="9"/>
        <v>0</v>
      </c>
      <c r="L124" s="1161"/>
      <c r="N124" s="1162" t="str">
        <f t="shared" si="12"/>
        <v xml:space="preserve"> </v>
      </c>
      <c r="O124" s="1163" t="str">
        <f t="shared" si="13"/>
        <v xml:space="preserve"> </v>
      </c>
      <c r="Q124">
        <f t="shared" si="14"/>
        <v>0</v>
      </c>
      <c r="R124">
        <f t="shared" si="15"/>
        <v>0</v>
      </c>
    </row>
    <row r="125" spans="2:18" x14ac:dyDescent="0.15">
      <c r="B125" s="1157"/>
      <c r="C125" s="1158"/>
      <c r="D125" s="897"/>
      <c r="E125" s="1159" t="str">
        <f t="shared" si="10"/>
        <v xml:space="preserve"> </v>
      </c>
      <c r="G125" s="1160" t="str">
        <f t="shared" si="11"/>
        <v xml:space="preserve"> </v>
      </c>
      <c r="H125" s="1149"/>
      <c r="I125">
        <f t="shared" si="8"/>
        <v>0</v>
      </c>
      <c r="K125">
        <f t="shared" si="9"/>
        <v>0</v>
      </c>
      <c r="L125" s="1161"/>
      <c r="N125" s="1162" t="str">
        <f t="shared" si="12"/>
        <v xml:space="preserve"> </v>
      </c>
      <c r="O125" s="1163" t="str">
        <f t="shared" si="13"/>
        <v xml:space="preserve"> </v>
      </c>
      <c r="Q125">
        <f t="shared" si="14"/>
        <v>0</v>
      </c>
      <c r="R125">
        <f t="shared" si="15"/>
        <v>0</v>
      </c>
    </row>
    <row r="126" spans="2:18" x14ac:dyDescent="0.15">
      <c r="B126" s="1157"/>
      <c r="C126" s="1158"/>
      <c r="D126" s="897"/>
      <c r="E126" s="1159" t="str">
        <f t="shared" si="10"/>
        <v xml:space="preserve"> </v>
      </c>
      <c r="G126" s="1160" t="str">
        <f t="shared" si="11"/>
        <v xml:space="preserve"> </v>
      </c>
      <c r="H126" s="1149"/>
      <c r="I126">
        <f t="shared" si="8"/>
        <v>0</v>
      </c>
      <c r="K126">
        <f t="shared" si="9"/>
        <v>0</v>
      </c>
      <c r="L126" s="1161"/>
      <c r="N126" s="1162" t="str">
        <f t="shared" si="12"/>
        <v xml:space="preserve"> </v>
      </c>
      <c r="O126" s="1163" t="str">
        <f t="shared" si="13"/>
        <v xml:space="preserve"> </v>
      </c>
      <c r="Q126">
        <f t="shared" si="14"/>
        <v>0</v>
      </c>
      <c r="R126">
        <f t="shared" si="15"/>
        <v>0</v>
      </c>
    </row>
    <row r="127" spans="2:18" x14ac:dyDescent="0.15">
      <c r="B127" s="1157"/>
      <c r="C127" s="1158"/>
      <c r="D127" s="897"/>
      <c r="E127" s="1159" t="str">
        <f t="shared" si="10"/>
        <v xml:space="preserve"> </v>
      </c>
      <c r="G127" s="1160" t="str">
        <f t="shared" si="11"/>
        <v xml:space="preserve"> </v>
      </c>
      <c r="H127" s="1149"/>
      <c r="I127">
        <f t="shared" si="8"/>
        <v>0</v>
      </c>
      <c r="K127">
        <f t="shared" si="9"/>
        <v>0</v>
      </c>
      <c r="L127" s="1161"/>
      <c r="N127" s="1162" t="str">
        <f t="shared" si="12"/>
        <v xml:space="preserve"> </v>
      </c>
      <c r="O127" s="1163" t="str">
        <f t="shared" si="13"/>
        <v xml:space="preserve"> </v>
      </c>
      <c r="Q127">
        <f t="shared" si="14"/>
        <v>0</v>
      </c>
      <c r="R127">
        <f t="shared" si="15"/>
        <v>0</v>
      </c>
    </row>
    <row r="128" spans="2:18" x14ac:dyDescent="0.15">
      <c r="B128" s="1157"/>
      <c r="C128" s="1158"/>
      <c r="D128" s="897"/>
      <c r="E128" s="1159" t="str">
        <f t="shared" si="10"/>
        <v xml:space="preserve"> </v>
      </c>
      <c r="G128" s="1160" t="str">
        <f t="shared" si="11"/>
        <v xml:space="preserve"> </v>
      </c>
      <c r="H128" s="1149"/>
      <c r="I128">
        <f t="shared" si="8"/>
        <v>0</v>
      </c>
      <c r="K128">
        <f t="shared" si="9"/>
        <v>0</v>
      </c>
      <c r="L128" s="1161"/>
      <c r="N128" s="1162" t="str">
        <f t="shared" si="12"/>
        <v xml:space="preserve"> </v>
      </c>
      <c r="O128" s="1163" t="str">
        <f t="shared" si="13"/>
        <v xml:space="preserve"> </v>
      </c>
      <c r="Q128">
        <f t="shared" si="14"/>
        <v>0</v>
      </c>
      <c r="R128">
        <f t="shared" si="15"/>
        <v>0</v>
      </c>
    </row>
    <row r="129" spans="2:18" x14ac:dyDescent="0.15">
      <c r="B129" s="1157"/>
      <c r="C129" s="1158"/>
      <c r="D129" s="897"/>
      <c r="E129" s="1159" t="str">
        <f t="shared" si="10"/>
        <v xml:space="preserve"> </v>
      </c>
      <c r="G129" s="1160" t="str">
        <f t="shared" si="11"/>
        <v xml:space="preserve"> </v>
      </c>
      <c r="H129" s="1149"/>
      <c r="I129">
        <f t="shared" si="8"/>
        <v>0</v>
      </c>
      <c r="K129">
        <f t="shared" si="9"/>
        <v>0</v>
      </c>
      <c r="L129" s="1161"/>
      <c r="N129" s="1162" t="str">
        <f t="shared" si="12"/>
        <v xml:space="preserve"> </v>
      </c>
      <c r="O129" s="1163" t="str">
        <f t="shared" si="13"/>
        <v xml:space="preserve"> </v>
      </c>
      <c r="Q129">
        <f t="shared" si="14"/>
        <v>0</v>
      </c>
      <c r="R129">
        <f t="shared" si="15"/>
        <v>0</v>
      </c>
    </row>
    <row r="130" spans="2:18" x14ac:dyDescent="0.15">
      <c r="B130" s="1157"/>
      <c r="C130" s="1158"/>
      <c r="D130" s="897"/>
      <c r="E130" s="1159" t="str">
        <f t="shared" si="10"/>
        <v xml:space="preserve"> </v>
      </c>
      <c r="G130" s="1160" t="str">
        <f t="shared" si="11"/>
        <v xml:space="preserve"> </v>
      </c>
      <c r="H130" s="1149"/>
      <c r="I130">
        <f t="shared" si="8"/>
        <v>0</v>
      </c>
      <c r="K130">
        <f t="shared" si="9"/>
        <v>0</v>
      </c>
      <c r="L130" s="1161"/>
      <c r="N130" s="1162" t="str">
        <f t="shared" si="12"/>
        <v xml:space="preserve"> </v>
      </c>
      <c r="O130" s="1163" t="str">
        <f t="shared" si="13"/>
        <v xml:space="preserve"> </v>
      </c>
      <c r="Q130">
        <f t="shared" si="14"/>
        <v>0</v>
      </c>
      <c r="R130">
        <f t="shared" si="15"/>
        <v>0</v>
      </c>
    </row>
    <row r="131" spans="2:18" x14ac:dyDescent="0.15">
      <c r="B131" s="1157"/>
      <c r="C131" s="1158"/>
      <c r="D131" s="897"/>
      <c r="E131" s="1159" t="str">
        <f t="shared" si="10"/>
        <v xml:space="preserve"> </v>
      </c>
      <c r="G131" s="1160" t="str">
        <f t="shared" si="11"/>
        <v xml:space="preserve"> </v>
      </c>
      <c r="H131" s="1149"/>
      <c r="I131">
        <f t="shared" si="8"/>
        <v>0</v>
      </c>
      <c r="K131">
        <f t="shared" si="9"/>
        <v>0</v>
      </c>
      <c r="L131" s="1161"/>
      <c r="N131" s="1162" t="str">
        <f t="shared" si="12"/>
        <v xml:space="preserve"> </v>
      </c>
      <c r="O131" s="1163" t="str">
        <f t="shared" si="13"/>
        <v xml:space="preserve"> </v>
      </c>
      <c r="Q131">
        <f t="shared" si="14"/>
        <v>0</v>
      </c>
      <c r="R131">
        <f t="shared" si="15"/>
        <v>0</v>
      </c>
    </row>
    <row r="132" spans="2:18" x14ac:dyDescent="0.15">
      <c r="B132" s="1157"/>
      <c r="C132" s="1158"/>
      <c r="D132" s="897"/>
      <c r="E132" s="1159" t="str">
        <f t="shared" si="10"/>
        <v xml:space="preserve"> </v>
      </c>
      <c r="G132" s="1160" t="str">
        <f t="shared" si="11"/>
        <v xml:space="preserve"> </v>
      </c>
      <c r="H132" s="1149"/>
      <c r="I132">
        <f t="shared" si="8"/>
        <v>0</v>
      </c>
      <c r="K132">
        <f t="shared" si="9"/>
        <v>0</v>
      </c>
      <c r="L132" s="1161"/>
      <c r="N132" s="1162" t="str">
        <f t="shared" si="12"/>
        <v xml:space="preserve"> </v>
      </c>
      <c r="O132" s="1163" t="str">
        <f t="shared" si="13"/>
        <v xml:space="preserve"> </v>
      </c>
      <c r="Q132">
        <f t="shared" si="14"/>
        <v>0</v>
      </c>
      <c r="R132">
        <f t="shared" si="15"/>
        <v>0</v>
      </c>
    </row>
    <row r="133" spans="2:18" x14ac:dyDescent="0.15">
      <c r="B133" s="1157"/>
      <c r="C133" s="1158"/>
      <c r="D133" s="897"/>
      <c r="E133" s="1159" t="str">
        <f t="shared" si="10"/>
        <v xml:space="preserve"> </v>
      </c>
      <c r="G133" s="1160" t="str">
        <f t="shared" si="11"/>
        <v xml:space="preserve"> </v>
      </c>
      <c r="H133" s="1149"/>
      <c r="I133">
        <f t="shared" si="8"/>
        <v>0</v>
      </c>
      <c r="K133">
        <f t="shared" si="9"/>
        <v>0</v>
      </c>
      <c r="L133" s="1161"/>
      <c r="N133" s="1162" t="str">
        <f t="shared" si="12"/>
        <v xml:space="preserve"> </v>
      </c>
      <c r="O133" s="1163" t="str">
        <f t="shared" si="13"/>
        <v xml:space="preserve"> </v>
      </c>
      <c r="Q133">
        <f t="shared" si="14"/>
        <v>0</v>
      </c>
      <c r="R133">
        <f t="shared" si="15"/>
        <v>0</v>
      </c>
    </row>
    <row r="134" spans="2:18" x14ac:dyDescent="0.15">
      <c r="B134" s="1157"/>
      <c r="C134" s="1158"/>
      <c r="D134" s="897"/>
      <c r="E134" s="1159" t="str">
        <f t="shared" si="10"/>
        <v xml:space="preserve"> </v>
      </c>
      <c r="G134" s="1160" t="str">
        <f t="shared" si="11"/>
        <v xml:space="preserve"> </v>
      </c>
      <c r="H134" s="1149"/>
      <c r="I134">
        <f t="shared" si="8"/>
        <v>0</v>
      </c>
      <c r="K134">
        <f t="shared" si="9"/>
        <v>0</v>
      </c>
      <c r="L134" s="1161"/>
      <c r="N134" s="1162" t="str">
        <f t="shared" si="12"/>
        <v xml:space="preserve"> </v>
      </c>
      <c r="O134" s="1163" t="str">
        <f t="shared" si="13"/>
        <v xml:space="preserve"> </v>
      </c>
      <c r="Q134">
        <f t="shared" si="14"/>
        <v>0</v>
      </c>
      <c r="R134">
        <f t="shared" si="15"/>
        <v>0</v>
      </c>
    </row>
    <row r="135" spans="2:18" x14ac:dyDescent="0.15">
      <c r="B135" s="1157"/>
      <c r="C135" s="1158"/>
      <c r="D135" s="897"/>
      <c r="E135" s="1159" t="str">
        <f t="shared" si="10"/>
        <v xml:space="preserve"> </v>
      </c>
      <c r="G135" s="1160" t="str">
        <f t="shared" si="11"/>
        <v xml:space="preserve"> </v>
      </c>
      <c r="H135" s="1149"/>
      <c r="I135">
        <f t="shared" si="8"/>
        <v>0</v>
      </c>
      <c r="K135">
        <f t="shared" si="9"/>
        <v>0</v>
      </c>
      <c r="L135" s="1161"/>
      <c r="N135" s="1162" t="str">
        <f t="shared" si="12"/>
        <v xml:space="preserve"> </v>
      </c>
      <c r="O135" s="1163" t="str">
        <f t="shared" si="13"/>
        <v xml:space="preserve"> </v>
      </c>
      <c r="Q135">
        <f t="shared" si="14"/>
        <v>0</v>
      </c>
      <c r="R135">
        <f t="shared" si="15"/>
        <v>0</v>
      </c>
    </row>
    <row r="136" spans="2:18" x14ac:dyDescent="0.15">
      <c r="B136" s="1157"/>
      <c r="C136" s="1158"/>
      <c r="D136" s="897"/>
      <c r="E136" s="1159" t="str">
        <f t="shared" si="10"/>
        <v xml:space="preserve"> </v>
      </c>
      <c r="G136" s="1160" t="str">
        <f t="shared" si="11"/>
        <v xml:space="preserve"> </v>
      </c>
      <c r="H136" s="1149"/>
      <c r="I136">
        <f t="shared" ref="I136:I199" si="16">(J136+C136)/12</f>
        <v>0</v>
      </c>
      <c r="K136">
        <f t="shared" ref="K136:K199" si="17">I136+B136</f>
        <v>0</v>
      </c>
      <c r="L136" s="1161"/>
      <c r="N136" s="1162" t="str">
        <f t="shared" si="12"/>
        <v xml:space="preserve"> </v>
      </c>
      <c r="O136" s="1163" t="str">
        <f t="shared" si="13"/>
        <v xml:space="preserve"> </v>
      </c>
      <c r="Q136">
        <f t="shared" si="14"/>
        <v>0</v>
      </c>
      <c r="R136">
        <f t="shared" si="15"/>
        <v>0</v>
      </c>
    </row>
    <row r="137" spans="2:18" x14ac:dyDescent="0.15">
      <c r="B137" s="1157"/>
      <c r="C137" s="1158"/>
      <c r="D137" s="897"/>
      <c r="E137" s="1159" t="str">
        <f t="shared" si="10"/>
        <v xml:space="preserve"> </v>
      </c>
      <c r="G137" s="1160" t="str">
        <f t="shared" si="11"/>
        <v xml:space="preserve"> </v>
      </c>
      <c r="H137" s="1149"/>
      <c r="I137">
        <f t="shared" si="16"/>
        <v>0</v>
      </c>
      <c r="K137">
        <f t="shared" si="17"/>
        <v>0</v>
      </c>
      <c r="L137" s="1161"/>
      <c r="N137" s="1162" t="str">
        <f t="shared" si="12"/>
        <v xml:space="preserve"> </v>
      </c>
      <c r="O137" s="1163" t="str">
        <f t="shared" si="13"/>
        <v xml:space="preserve"> </v>
      </c>
      <c r="Q137">
        <f t="shared" si="14"/>
        <v>0</v>
      </c>
      <c r="R137">
        <f t="shared" si="15"/>
        <v>0</v>
      </c>
    </row>
    <row r="138" spans="2:18" x14ac:dyDescent="0.15">
      <c r="B138" s="1157"/>
      <c r="C138" s="1158"/>
      <c r="D138" s="897"/>
      <c r="E138" s="1159" t="str">
        <f t="shared" ref="E138:E201" si="18">IF(K138=0," ",IF(K138&gt;0,K138*12*25.4))</f>
        <v xml:space="preserve"> </v>
      </c>
      <c r="G138" s="1160" t="str">
        <f t="shared" ref="G138:G201" si="19">IF(K138=0," ",IF(K138&gt;0,E138/1000))</f>
        <v xml:space="preserve"> </v>
      </c>
      <c r="H138" s="1149"/>
      <c r="I138">
        <f t="shared" si="16"/>
        <v>0</v>
      </c>
      <c r="K138">
        <f t="shared" si="17"/>
        <v>0</v>
      </c>
      <c r="L138" s="1161"/>
      <c r="N138" s="1162" t="str">
        <f t="shared" ref="N138:N201" si="20">IF(R138=0," ",IF(R138&gt;0,TRUNC(R138)))</f>
        <v xml:space="preserve"> </v>
      </c>
      <c r="O138" s="1163" t="str">
        <f t="shared" ref="O138:O201" si="21">IF(R138=0," ",IF(R138&gt;0,(R138-N138)*12))</f>
        <v xml:space="preserve"> </v>
      </c>
      <c r="Q138">
        <f t="shared" ref="Q138:Q201" si="22">L138/25.4</f>
        <v>0</v>
      </c>
      <c r="R138">
        <f t="shared" ref="R138:R201" si="23">Q138/12</f>
        <v>0</v>
      </c>
    </row>
    <row r="139" spans="2:18" x14ac:dyDescent="0.15">
      <c r="B139" s="1157"/>
      <c r="C139" s="1158"/>
      <c r="D139" s="897"/>
      <c r="E139" s="1159" t="str">
        <f t="shared" si="18"/>
        <v xml:space="preserve"> </v>
      </c>
      <c r="G139" s="1160" t="str">
        <f t="shared" si="19"/>
        <v xml:space="preserve"> </v>
      </c>
      <c r="H139" s="1149"/>
      <c r="I139">
        <f t="shared" si="16"/>
        <v>0</v>
      </c>
      <c r="K139">
        <f t="shared" si="17"/>
        <v>0</v>
      </c>
      <c r="L139" s="1161"/>
      <c r="N139" s="1162" t="str">
        <f t="shared" si="20"/>
        <v xml:space="preserve"> </v>
      </c>
      <c r="O139" s="1163" t="str">
        <f t="shared" si="21"/>
        <v xml:space="preserve"> </v>
      </c>
      <c r="Q139">
        <f t="shared" si="22"/>
        <v>0</v>
      </c>
      <c r="R139">
        <f t="shared" si="23"/>
        <v>0</v>
      </c>
    </row>
    <row r="140" spans="2:18" x14ac:dyDescent="0.15">
      <c r="B140" s="1157"/>
      <c r="C140" s="1158"/>
      <c r="D140" s="897"/>
      <c r="E140" s="1159" t="str">
        <f t="shared" si="18"/>
        <v xml:space="preserve"> </v>
      </c>
      <c r="G140" s="1160" t="str">
        <f t="shared" si="19"/>
        <v xml:space="preserve"> </v>
      </c>
      <c r="H140" s="1149"/>
      <c r="I140">
        <f t="shared" si="16"/>
        <v>0</v>
      </c>
      <c r="K140">
        <f t="shared" si="17"/>
        <v>0</v>
      </c>
      <c r="L140" s="1161"/>
      <c r="N140" s="1162" t="str">
        <f t="shared" si="20"/>
        <v xml:space="preserve"> </v>
      </c>
      <c r="O140" s="1163" t="str">
        <f t="shared" si="21"/>
        <v xml:space="preserve"> </v>
      </c>
      <c r="Q140">
        <f t="shared" si="22"/>
        <v>0</v>
      </c>
      <c r="R140">
        <f t="shared" si="23"/>
        <v>0</v>
      </c>
    </row>
    <row r="141" spans="2:18" x14ac:dyDescent="0.15">
      <c r="B141" s="1157"/>
      <c r="C141" s="1158"/>
      <c r="D141" s="897"/>
      <c r="E141" s="1159" t="str">
        <f t="shared" si="18"/>
        <v xml:space="preserve"> </v>
      </c>
      <c r="G141" s="1160" t="str">
        <f t="shared" si="19"/>
        <v xml:space="preserve"> </v>
      </c>
      <c r="H141" s="1149"/>
      <c r="I141">
        <f t="shared" si="16"/>
        <v>0</v>
      </c>
      <c r="K141">
        <f t="shared" si="17"/>
        <v>0</v>
      </c>
      <c r="L141" s="1161"/>
      <c r="N141" s="1162" t="str">
        <f t="shared" si="20"/>
        <v xml:space="preserve"> </v>
      </c>
      <c r="O141" s="1163" t="str">
        <f t="shared" si="21"/>
        <v xml:space="preserve"> </v>
      </c>
      <c r="Q141">
        <f t="shared" si="22"/>
        <v>0</v>
      </c>
      <c r="R141">
        <f t="shared" si="23"/>
        <v>0</v>
      </c>
    </row>
    <row r="142" spans="2:18" x14ac:dyDescent="0.15">
      <c r="B142" s="1157"/>
      <c r="C142" s="1158"/>
      <c r="D142" s="897"/>
      <c r="E142" s="1159" t="str">
        <f t="shared" si="18"/>
        <v xml:space="preserve"> </v>
      </c>
      <c r="G142" s="1160" t="str">
        <f t="shared" si="19"/>
        <v xml:space="preserve"> </v>
      </c>
      <c r="H142" s="1149"/>
      <c r="I142">
        <f t="shared" si="16"/>
        <v>0</v>
      </c>
      <c r="K142">
        <f t="shared" si="17"/>
        <v>0</v>
      </c>
      <c r="L142" s="1161"/>
      <c r="N142" s="1162" t="str">
        <f t="shared" si="20"/>
        <v xml:space="preserve"> </v>
      </c>
      <c r="O142" s="1163" t="str">
        <f t="shared" si="21"/>
        <v xml:space="preserve"> </v>
      </c>
      <c r="Q142">
        <f t="shared" si="22"/>
        <v>0</v>
      </c>
      <c r="R142">
        <f t="shared" si="23"/>
        <v>0</v>
      </c>
    </row>
    <row r="143" spans="2:18" x14ac:dyDescent="0.15">
      <c r="B143" s="1157"/>
      <c r="C143" s="1158"/>
      <c r="D143" s="897"/>
      <c r="E143" s="1159" t="str">
        <f t="shared" si="18"/>
        <v xml:space="preserve"> </v>
      </c>
      <c r="G143" s="1160" t="str">
        <f t="shared" si="19"/>
        <v xml:space="preserve"> </v>
      </c>
      <c r="H143" s="1149"/>
      <c r="I143">
        <f t="shared" si="16"/>
        <v>0</v>
      </c>
      <c r="K143">
        <f t="shared" si="17"/>
        <v>0</v>
      </c>
      <c r="L143" s="1161"/>
      <c r="N143" s="1162" t="str">
        <f t="shared" si="20"/>
        <v xml:space="preserve"> </v>
      </c>
      <c r="O143" s="1163" t="str">
        <f t="shared" si="21"/>
        <v xml:space="preserve"> </v>
      </c>
      <c r="Q143">
        <f t="shared" si="22"/>
        <v>0</v>
      </c>
      <c r="R143">
        <f t="shared" si="23"/>
        <v>0</v>
      </c>
    </row>
    <row r="144" spans="2:18" x14ac:dyDescent="0.15">
      <c r="B144" s="1157"/>
      <c r="C144" s="1158"/>
      <c r="D144" s="897"/>
      <c r="E144" s="1159" t="str">
        <f t="shared" si="18"/>
        <v xml:space="preserve"> </v>
      </c>
      <c r="G144" s="1160" t="str">
        <f t="shared" si="19"/>
        <v xml:space="preserve"> </v>
      </c>
      <c r="H144" s="1149"/>
      <c r="I144">
        <f t="shared" si="16"/>
        <v>0</v>
      </c>
      <c r="K144">
        <f t="shared" si="17"/>
        <v>0</v>
      </c>
      <c r="L144" s="1161"/>
      <c r="N144" s="1162" t="str">
        <f t="shared" si="20"/>
        <v xml:space="preserve"> </v>
      </c>
      <c r="O144" s="1163" t="str">
        <f t="shared" si="21"/>
        <v xml:space="preserve"> </v>
      </c>
      <c r="Q144">
        <f t="shared" si="22"/>
        <v>0</v>
      </c>
      <c r="R144">
        <f t="shared" si="23"/>
        <v>0</v>
      </c>
    </row>
    <row r="145" spans="2:18" x14ac:dyDescent="0.15">
      <c r="B145" s="1157"/>
      <c r="C145" s="1158"/>
      <c r="D145" s="897"/>
      <c r="E145" s="1159" t="str">
        <f t="shared" si="18"/>
        <v xml:space="preserve"> </v>
      </c>
      <c r="G145" s="1160" t="str">
        <f t="shared" si="19"/>
        <v xml:space="preserve"> </v>
      </c>
      <c r="H145" s="1149"/>
      <c r="I145">
        <f t="shared" si="16"/>
        <v>0</v>
      </c>
      <c r="K145">
        <f t="shared" si="17"/>
        <v>0</v>
      </c>
      <c r="L145" s="1161"/>
      <c r="N145" s="1162" t="str">
        <f t="shared" si="20"/>
        <v xml:space="preserve"> </v>
      </c>
      <c r="O145" s="1163" t="str">
        <f t="shared" si="21"/>
        <v xml:space="preserve"> </v>
      </c>
      <c r="Q145">
        <f t="shared" si="22"/>
        <v>0</v>
      </c>
      <c r="R145">
        <f t="shared" si="23"/>
        <v>0</v>
      </c>
    </row>
    <row r="146" spans="2:18" x14ac:dyDescent="0.15">
      <c r="B146" s="1157"/>
      <c r="C146" s="1158"/>
      <c r="D146" s="897"/>
      <c r="E146" s="1159" t="str">
        <f t="shared" si="18"/>
        <v xml:space="preserve"> </v>
      </c>
      <c r="G146" s="1160" t="str">
        <f t="shared" si="19"/>
        <v xml:space="preserve"> </v>
      </c>
      <c r="H146" s="1149"/>
      <c r="I146">
        <f t="shared" si="16"/>
        <v>0</v>
      </c>
      <c r="K146">
        <f t="shared" si="17"/>
        <v>0</v>
      </c>
      <c r="L146" s="1161"/>
      <c r="N146" s="1162" t="str">
        <f t="shared" si="20"/>
        <v xml:space="preserve"> </v>
      </c>
      <c r="O146" s="1163" t="str">
        <f t="shared" si="21"/>
        <v xml:space="preserve"> </v>
      </c>
      <c r="Q146">
        <f t="shared" si="22"/>
        <v>0</v>
      </c>
      <c r="R146">
        <f t="shared" si="23"/>
        <v>0</v>
      </c>
    </row>
    <row r="147" spans="2:18" x14ac:dyDescent="0.15">
      <c r="B147" s="1157"/>
      <c r="C147" s="1158"/>
      <c r="D147" s="897"/>
      <c r="E147" s="1159" t="str">
        <f t="shared" si="18"/>
        <v xml:space="preserve"> </v>
      </c>
      <c r="G147" s="1160" t="str">
        <f t="shared" si="19"/>
        <v xml:space="preserve"> </v>
      </c>
      <c r="H147" s="1149"/>
      <c r="I147">
        <f t="shared" si="16"/>
        <v>0</v>
      </c>
      <c r="K147">
        <f t="shared" si="17"/>
        <v>0</v>
      </c>
      <c r="L147" s="1161"/>
      <c r="N147" s="1162" t="str">
        <f t="shared" si="20"/>
        <v xml:space="preserve"> </v>
      </c>
      <c r="O147" s="1163" t="str">
        <f t="shared" si="21"/>
        <v xml:space="preserve"> </v>
      </c>
      <c r="Q147">
        <f t="shared" si="22"/>
        <v>0</v>
      </c>
      <c r="R147">
        <f t="shared" si="23"/>
        <v>0</v>
      </c>
    </row>
    <row r="148" spans="2:18" x14ac:dyDescent="0.15">
      <c r="B148" s="1157"/>
      <c r="C148" s="1158"/>
      <c r="D148" s="897"/>
      <c r="E148" s="1159" t="str">
        <f t="shared" si="18"/>
        <v xml:space="preserve"> </v>
      </c>
      <c r="G148" s="1160" t="str">
        <f t="shared" si="19"/>
        <v xml:space="preserve"> </v>
      </c>
      <c r="H148" s="1149"/>
      <c r="I148">
        <f t="shared" si="16"/>
        <v>0</v>
      </c>
      <c r="K148">
        <f t="shared" si="17"/>
        <v>0</v>
      </c>
      <c r="L148" s="1161"/>
      <c r="N148" s="1162" t="str">
        <f t="shared" si="20"/>
        <v xml:space="preserve"> </v>
      </c>
      <c r="O148" s="1163" t="str">
        <f t="shared" si="21"/>
        <v xml:space="preserve"> </v>
      </c>
      <c r="Q148">
        <f t="shared" si="22"/>
        <v>0</v>
      </c>
      <c r="R148">
        <f t="shared" si="23"/>
        <v>0</v>
      </c>
    </row>
    <row r="149" spans="2:18" x14ac:dyDescent="0.15">
      <c r="B149" s="1157"/>
      <c r="C149" s="1158"/>
      <c r="D149" s="897"/>
      <c r="E149" s="1159" t="str">
        <f t="shared" si="18"/>
        <v xml:space="preserve"> </v>
      </c>
      <c r="G149" s="1160" t="str">
        <f t="shared" si="19"/>
        <v xml:space="preserve"> </v>
      </c>
      <c r="H149" s="1149"/>
      <c r="I149">
        <f t="shared" si="16"/>
        <v>0</v>
      </c>
      <c r="K149">
        <f t="shared" si="17"/>
        <v>0</v>
      </c>
      <c r="L149" s="1161"/>
      <c r="N149" s="1162" t="str">
        <f t="shared" si="20"/>
        <v xml:space="preserve"> </v>
      </c>
      <c r="O149" s="1163" t="str">
        <f t="shared" si="21"/>
        <v xml:space="preserve"> </v>
      </c>
      <c r="Q149">
        <f t="shared" si="22"/>
        <v>0</v>
      </c>
      <c r="R149">
        <f t="shared" si="23"/>
        <v>0</v>
      </c>
    </row>
    <row r="150" spans="2:18" x14ac:dyDescent="0.15">
      <c r="B150" s="1157"/>
      <c r="C150" s="1158"/>
      <c r="D150" s="897"/>
      <c r="E150" s="1159" t="str">
        <f t="shared" si="18"/>
        <v xml:space="preserve"> </v>
      </c>
      <c r="G150" s="1160" t="str">
        <f t="shared" si="19"/>
        <v xml:space="preserve"> </v>
      </c>
      <c r="H150" s="1149"/>
      <c r="I150">
        <f t="shared" si="16"/>
        <v>0</v>
      </c>
      <c r="K150">
        <f t="shared" si="17"/>
        <v>0</v>
      </c>
      <c r="L150" s="1161"/>
      <c r="N150" s="1162" t="str">
        <f t="shared" si="20"/>
        <v xml:space="preserve"> </v>
      </c>
      <c r="O150" s="1163" t="str">
        <f t="shared" si="21"/>
        <v xml:space="preserve"> </v>
      </c>
      <c r="Q150">
        <f t="shared" si="22"/>
        <v>0</v>
      </c>
      <c r="R150">
        <f t="shared" si="23"/>
        <v>0</v>
      </c>
    </row>
    <row r="151" spans="2:18" x14ac:dyDescent="0.15">
      <c r="B151" s="1157"/>
      <c r="C151" s="1158"/>
      <c r="D151" s="897"/>
      <c r="E151" s="1159" t="str">
        <f t="shared" si="18"/>
        <v xml:space="preserve"> </v>
      </c>
      <c r="G151" s="1160" t="str">
        <f t="shared" si="19"/>
        <v xml:space="preserve"> </v>
      </c>
      <c r="H151" s="1149"/>
      <c r="I151">
        <f t="shared" si="16"/>
        <v>0</v>
      </c>
      <c r="K151">
        <f t="shared" si="17"/>
        <v>0</v>
      </c>
      <c r="L151" s="1161"/>
      <c r="N151" s="1162" t="str">
        <f t="shared" si="20"/>
        <v xml:space="preserve"> </v>
      </c>
      <c r="O151" s="1163" t="str">
        <f t="shared" si="21"/>
        <v xml:space="preserve"> </v>
      </c>
      <c r="Q151">
        <f t="shared" si="22"/>
        <v>0</v>
      </c>
      <c r="R151">
        <f t="shared" si="23"/>
        <v>0</v>
      </c>
    </row>
    <row r="152" spans="2:18" x14ac:dyDescent="0.15">
      <c r="B152" s="1157"/>
      <c r="C152" s="1158"/>
      <c r="D152" s="897"/>
      <c r="E152" s="1159" t="str">
        <f t="shared" si="18"/>
        <v xml:space="preserve"> </v>
      </c>
      <c r="G152" s="1160" t="str">
        <f t="shared" si="19"/>
        <v xml:space="preserve"> </v>
      </c>
      <c r="H152" s="1149"/>
      <c r="I152">
        <f t="shared" si="16"/>
        <v>0</v>
      </c>
      <c r="K152">
        <f t="shared" si="17"/>
        <v>0</v>
      </c>
      <c r="L152" s="1161"/>
      <c r="N152" s="1162" t="str">
        <f t="shared" si="20"/>
        <v xml:space="preserve"> </v>
      </c>
      <c r="O152" s="1163" t="str">
        <f t="shared" si="21"/>
        <v xml:space="preserve"> </v>
      </c>
      <c r="Q152">
        <f t="shared" si="22"/>
        <v>0</v>
      </c>
      <c r="R152">
        <f t="shared" si="23"/>
        <v>0</v>
      </c>
    </row>
    <row r="153" spans="2:18" x14ac:dyDescent="0.15">
      <c r="B153" s="1157"/>
      <c r="C153" s="1158"/>
      <c r="D153" s="897"/>
      <c r="E153" s="1159" t="str">
        <f t="shared" si="18"/>
        <v xml:space="preserve"> </v>
      </c>
      <c r="G153" s="1160" t="str">
        <f t="shared" si="19"/>
        <v xml:space="preserve"> </v>
      </c>
      <c r="H153" s="1149"/>
      <c r="I153">
        <f t="shared" si="16"/>
        <v>0</v>
      </c>
      <c r="K153">
        <f t="shared" si="17"/>
        <v>0</v>
      </c>
      <c r="L153" s="1161"/>
      <c r="N153" s="1162" t="str">
        <f t="shared" si="20"/>
        <v xml:space="preserve"> </v>
      </c>
      <c r="O153" s="1163" t="str">
        <f t="shared" si="21"/>
        <v xml:space="preserve"> </v>
      </c>
      <c r="Q153">
        <f t="shared" si="22"/>
        <v>0</v>
      </c>
      <c r="R153">
        <f t="shared" si="23"/>
        <v>0</v>
      </c>
    </row>
    <row r="154" spans="2:18" x14ac:dyDescent="0.15">
      <c r="B154" s="1157"/>
      <c r="C154" s="1158"/>
      <c r="D154" s="897"/>
      <c r="E154" s="1159" t="str">
        <f t="shared" si="18"/>
        <v xml:space="preserve"> </v>
      </c>
      <c r="G154" s="1160" t="str">
        <f t="shared" si="19"/>
        <v xml:space="preserve"> </v>
      </c>
      <c r="H154" s="1149"/>
      <c r="I154">
        <f t="shared" si="16"/>
        <v>0</v>
      </c>
      <c r="K154">
        <f t="shared" si="17"/>
        <v>0</v>
      </c>
      <c r="L154" s="1161"/>
      <c r="N154" s="1162" t="str">
        <f t="shared" si="20"/>
        <v xml:space="preserve"> </v>
      </c>
      <c r="O154" s="1163" t="str">
        <f t="shared" si="21"/>
        <v xml:space="preserve"> </v>
      </c>
      <c r="Q154">
        <f t="shared" si="22"/>
        <v>0</v>
      </c>
      <c r="R154">
        <f t="shared" si="23"/>
        <v>0</v>
      </c>
    </row>
    <row r="155" spans="2:18" x14ac:dyDescent="0.15">
      <c r="B155" s="1157"/>
      <c r="C155" s="1158"/>
      <c r="D155" s="897"/>
      <c r="E155" s="1159" t="str">
        <f t="shared" si="18"/>
        <v xml:space="preserve"> </v>
      </c>
      <c r="G155" s="1160" t="str">
        <f t="shared" si="19"/>
        <v xml:space="preserve"> </v>
      </c>
      <c r="H155" s="1149"/>
      <c r="I155">
        <f t="shared" si="16"/>
        <v>0</v>
      </c>
      <c r="K155">
        <f t="shared" si="17"/>
        <v>0</v>
      </c>
      <c r="L155" s="1161"/>
      <c r="N155" s="1162" t="str">
        <f t="shared" si="20"/>
        <v xml:space="preserve"> </v>
      </c>
      <c r="O155" s="1163" t="str">
        <f t="shared" si="21"/>
        <v xml:space="preserve"> </v>
      </c>
      <c r="Q155">
        <f t="shared" si="22"/>
        <v>0</v>
      </c>
      <c r="R155">
        <f t="shared" si="23"/>
        <v>0</v>
      </c>
    </row>
    <row r="156" spans="2:18" x14ac:dyDescent="0.15">
      <c r="B156" s="1157"/>
      <c r="C156" s="1158"/>
      <c r="D156" s="897"/>
      <c r="E156" s="1159" t="str">
        <f t="shared" si="18"/>
        <v xml:space="preserve"> </v>
      </c>
      <c r="G156" s="1160" t="str">
        <f t="shared" si="19"/>
        <v xml:space="preserve"> </v>
      </c>
      <c r="H156" s="1149"/>
      <c r="I156">
        <f t="shared" si="16"/>
        <v>0</v>
      </c>
      <c r="K156">
        <f t="shared" si="17"/>
        <v>0</v>
      </c>
      <c r="L156" s="1161"/>
      <c r="N156" s="1162" t="str">
        <f t="shared" si="20"/>
        <v xml:space="preserve"> </v>
      </c>
      <c r="O156" s="1163" t="str">
        <f t="shared" si="21"/>
        <v xml:space="preserve"> </v>
      </c>
      <c r="Q156">
        <f t="shared" si="22"/>
        <v>0</v>
      </c>
      <c r="R156">
        <f t="shared" si="23"/>
        <v>0</v>
      </c>
    </row>
    <row r="157" spans="2:18" x14ac:dyDescent="0.15">
      <c r="B157" s="1157"/>
      <c r="C157" s="1158"/>
      <c r="D157" s="897"/>
      <c r="E157" s="1159" t="str">
        <f t="shared" si="18"/>
        <v xml:space="preserve"> </v>
      </c>
      <c r="G157" s="1160" t="str">
        <f t="shared" si="19"/>
        <v xml:space="preserve"> </v>
      </c>
      <c r="H157" s="1149"/>
      <c r="I157">
        <f t="shared" si="16"/>
        <v>0</v>
      </c>
      <c r="K157">
        <f t="shared" si="17"/>
        <v>0</v>
      </c>
      <c r="L157" s="1161"/>
      <c r="N157" s="1162" t="str">
        <f t="shared" si="20"/>
        <v xml:space="preserve"> </v>
      </c>
      <c r="O157" s="1163" t="str">
        <f t="shared" si="21"/>
        <v xml:space="preserve"> </v>
      </c>
      <c r="Q157">
        <f t="shared" si="22"/>
        <v>0</v>
      </c>
      <c r="R157">
        <f t="shared" si="23"/>
        <v>0</v>
      </c>
    </row>
    <row r="158" spans="2:18" x14ac:dyDescent="0.15">
      <c r="B158" s="1157"/>
      <c r="C158" s="1158"/>
      <c r="D158" s="897"/>
      <c r="E158" s="1159" t="str">
        <f t="shared" si="18"/>
        <v xml:space="preserve"> </v>
      </c>
      <c r="G158" s="1160" t="str">
        <f t="shared" si="19"/>
        <v xml:space="preserve"> </v>
      </c>
      <c r="H158" s="1149"/>
      <c r="I158">
        <f t="shared" si="16"/>
        <v>0</v>
      </c>
      <c r="K158">
        <f t="shared" si="17"/>
        <v>0</v>
      </c>
      <c r="L158" s="1161"/>
      <c r="N158" s="1162" t="str">
        <f t="shared" si="20"/>
        <v xml:space="preserve"> </v>
      </c>
      <c r="O158" s="1163" t="str">
        <f t="shared" si="21"/>
        <v xml:space="preserve"> </v>
      </c>
      <c r="Q158">
        <f t="shared" si="22"/>
        <v>0</v>
      </c>
      <c r="R158">
        <f t="shared" si="23"/>
        <v>0</v>
      </c>
    </row>
    <row r="159" spans="2:18" x14ac:dyDescent="0.15">
      <c r="B159" s="1157"/>
      <c r="C159" s="1158"/>
      <c r="D159" s="897"/>
      <c r="E159" s="1159" t="str">
        <f t="shared" si="18"/>
        <v xml:space="preserve"> </v>
      </c>
      <c r="G159" s="1160" t="str">
        <f t="shared" si="19"/>
        <v xml:space="preserve"> </v>
      </c>
      <c r="H159" s="1149"/>
      <c r="I159">
        <f t="shared" si="16"/>
        <v>0</v>
      </c>
      <c r="K159">
        <f t="shared" si="17"/>
        <v>0</v>
      </c>
      <c r="L159" s="1161"/>
      <c r="N159" s="1162" t="str">
        <f t="shared" si="20"/>
        <v xml:space="preserve"> </v>
      </c>
      <c r="O159" s="1163" t="str">
        <f t="shared" si="21"/>
        <v xml:space="preserve"> </v>
      </c>
      <c r="Q159">
        <f t="shared" si="22"/>
        <v>0</v>
      </c>
      <c r="R159">
        <f t="shared" si="23"/>
        <v>0</v>
      </c>
    </row>
    <row r="160" spans="2:18" x14ac:dyDescent="0.15">
      <c r="B160" s="1157"/>
      <c r="C160" s="1158"/>
      <c r="D160" s="897"/>
      <c r="E160" s="1159" t="str">
        <f t="shared" si="18"/>
        <v xml:space="preserve"> </v>
      </c>
      <c r="G160" s="1160" t="str">
        <f t="shared" si="19"/>
        <v xml:space="preserve"> </v>
      </c>
      <c r="H160" s="1149"/>
      <c r="I160">
        <f t="shared" si="16"/>
        <v>0</v>
      </c>
      <c r="K160">
        <f t="shared" si="17"/>
        <v>0</v>
      </c>
      <c r="L160" s="1161"/>
      <c r="N160" s="1162" t="str">
        <f t="shared" si="20"/>
        <v xml:space="preserve"> </v>
      </c>
      <c r="O160" s="1163" t="str">
        <f t="shared" si="21"/>
        <v xml:space="preserve"> </v>
      </c>
      <c r="Q160">
        <f t="shared" si="22"/>
        <v>0</v>
      </c>
      <c r="R160">
        <f t="shared" si="23"/>
        <v>0</v>
      </c>
    </row>
    <row r="161" spans="2:18" x14ac:dyDescent="0.15">
      <c r="B161" s="1157"/>
      <c r="C161" s="1158"/>
      <c r="D161" s="897"/>
      <c r="E161" s="1159" t="str">
        <f t="shared" si="18"/>
        <v xml:space="preserve"> </v>
      </c>
      <c r="G161" s="1160" t="str">
        <f t="shared" si="19"/>
        <v xml:space="preserve"> </v>
      </c>
      <c r="H161" s="1149"/>
      <c r="I161">
        <f t="shared" si="16"/>
        <v>0</v>
      </c>
      <c r="K161">
        <f t="shared" si="17"/>
        <v>0</v>
      </c>
      <c r="L161" s="1161"/>
      <c r="N161" s="1162" t="str">
        <f t="shared" si="20"/>
        <v xml:space="preserve"> </v>
      </c>
      <c r="O161" s="1163" t="str">
        <f t="shared" si="21"/>
        <v xml:space="preserve"> </v>
      </c>
      <c r="Q161">
        <f t="shared" si="22"/>
        <v>0</v>
      </c>
      <c r="R161">
        <f t="shared" si="23"/>
        <v>0</v>
      </c>
    </row>
    <row r="162" spans="2:18" x14ac:dyDescent="0.15">
      <c r="B162" s="1157"/>
      <c r="C162" s="1158"/>
      <c r="D162" s="897"/>
      <c r="E162" s="1159" t="str">
        <f t="shared" si="18"/>
        <v xml:space="preserve"> </v>
      </c>
      <c r="G162" s="1160" t="str">
        <f t="shared" si="19"/>
        <v xml:space="preserve"> </v>
      </c>
      <c r="H162" s="1149"/>
      <c r="I162">
        <f t="shared" si="16"/>
        <v>0</v>
      </c>
      <c r="K162">
        <f t="shared" si="17"/>
        <v>0</v>
      </c>
      <c r="L162" s="1161"/>
      <c r="N162" s="1162" t="str">
        <f t="shared" si="20"/>
        <v xml:space="preserve"> </v>
      </c>
      <c r="O162" s="1163" t="str">
        <f t="shared" si="21"/>
        <v xml:space="preserve"> </v>
      </c>
      <c r="Q162">
        <f t="shared" si="22"/>
        <v>0</v>
      </c>
      <c r="R162">
        <f t="shared" si="23"/>
        <v>0</v>
      </c>
    </row>
    <row r="163" spans="2:18" x14ac:dyDescent="0.15">
      <c r="B163" s="1157"/>
      <c r="C163" s="1158"/>
      <c r="D163" s="897"/>
      <c r="E163" s="1159" t="str">
        <f t="shared" si="18"/>
        <v xml:space="preserve"> </v>
      </c>
      <c r="G163" s="1160" t="str">
        <f t="shared" si="19"/>
        <v xml:space="preserve"> </v>
      </c>
      <c r="H163" s="1149"/>
      <c r="I163">
        <f t="shared" si="16"/>
        <v>0</v>
      </c>
      <c r="K163">
        <f t="shared" si="17"/>
        <v>0</v>
      </c>
      <c r="L163" s="1161"/>
      <c r="N163" s="1162" t="str">
        <f t="shared" si="20"/>
        <v xml:space="preserve"> </v>
      </c>
      <c r="O163" s="1163" t="str">
        <f t="shared" si="21"/>
        <v xml:space="preserve"> </v>
      </c>
      <c r="Q163">
        <f t="shared" si="22"/>
        <v>0</v>
      </c>
      <c r="R163">
        <f t="shared" si="23"/>
        <v>0</v>
      </c>
    </row>
    <row r="164" spans="2:18" x14ac:dyDescent="0.15">
      <c r="B164" s="1157"/>
      <c r="C164" s="1158"/>
      <c r="D164" s="897"/>
      <c r="E164" s="1159" t="str">
        <f t="shared" si="18"/>
        <v xml:space="preserve"> </v>
      </c>
      <c r="G164" s="1160" t="str">
        <f t="shared" si="19"/>
        <v xml:space="preserve"> </v>
      </c>
      <c r="H164" s="1149"/>
      <c r="I164">
        <f t="shared" si="16"/>
        <v>0</v>
      </c>
      <c r="K164">
        <f t="shared" si="17"/>
        <v>0</v>
      </c>
      <c r="L164" s="1161"/>
      <c r="N164" s="1162" t="str">
        <f t="shared" si="20"/>
        <v xml:space="preserve"> </v>
      </c>
      <c r="O164" s="1163" t="str">
        <f t="shared" si="21"/>
        <v xml:space="preserve"> </v>
      </c>
      <c r="Q164">
        <f t="shared" si="22"/>
        <v>0</v>
      </c>
      <c r="R164">
        <f t="shared" si="23"/>
        <v>0</v>
      </c>
    </row>
    <row r="165" spans="2:18" x14ac:dyDescent="0.15">
      <c r="B165" s="1157"/>
      <c r="C165" s="1158"/>
      <c r="D165" s="897"/>
      <c r="E165" s="1159" t="str">
        <f t="shared" si="18"/>
        <v xml:space="preserve"> </v>
      </c>
      <c r="G165" s="1160" t="str">
        <f t="shared" si="19"/>
        <v xml:space="preserve"> </v>
      </c>
      <c r="H165" s="1149"/>
      <c r="I165">
        <f t="shared" si="16"/>
        <v>0</v>
      </c>
      <c r="K165">
        <f t="shared" si="17"/>
        <v>0</v>
      </c>
      <c r="L165" s="1161"/>
      <c r="N165" s="1162" t="str">
        <f t="shared" si="20"/>
        <v xml:space="preserve"> </v>
      </c>
      <c r="O165" s="1163" t="str">
        <f t="shared" si="21"/>
        <v xml:space="preserve"> </v>
      </c>
      <c r="Q165">
        <f t="shared" si="22"/>
        <v>0</v>
      </c>
      <c r="R165">
        <f t="shared" si="23"/>
        <v>0</v>
      </c>
    </row>
    <row r="166" spans="2:18" x14ac:dyDescent="0.15">
      <c r="B166" s="1157"/>
      <c r="C166" s="1158"/>
      <c r="D166" s="897"/>
      <c r="E166" s="1159" t="str">
        <f t="shared" si="18"/>
        <v xml:space="preserve"> </v>
      </c>
      <c r="G166" s="1160" t="str">
        <f t="shared" si="19"/>
        <v xml:space="preserve"> </v>
      </c>
      <c r="H166" s="1149"/>
      <c r="I166">
        <f t="shared" si="16"/>
        <v>0</v>
      </c>
      <c r="K166">
        <f t="shared" si="17"/>
        <v>0</v>
      </c>
      <c r="L166" s="1161"/>
      <c r="N166" s="1162" t="str">
        <f t="shared" si="20"/>
        <v xml:space="preserve"> </v>
      </c>
      <c r="O166" s="1163" t="str">
        <f t="shared" si="21"/>
        <v xml:space="preserve"> </v>
      </c>
      <c r="Q166">
        <f t="shared" si="22"/>
        <v>0</v>
      </c>
      <c r="R166">
        <f t="shared" si="23"/>
        <v>0</v>
      </c>
    </row>
    <row r="167" spans="2:18" x14ac:dyDescent="0.15">
      <c r="B167" s="1157"/>
      <c r="C167" s="1158"/>
      <c r="D167" s="897"/>
      <c r="E167" s="1159" t="str">
        <f t="shared" si="18"/>
        <v xml:space="preserve"> </v>
      </c>
      <c r="G167" s="1160" t="str">
        <f t="shared" si="19"/>
        <v xml:space="preserve"> </v>
      </c>
      <c r="H167" s="1149"/>
      <c r="I167">
        <f t="shared" si="16"/>
        <v>0</v>
      </c>
      <c r="K167">
        <f t="shared" si="17"/>
        <v>0</v>
      </c>
      <c r="L167" s="1161"/>
      <c r="N167" s="1162" t="str">
        <f t="shared" si="20"/>
        <v xml:space="preserve"> </v>
      </c>
      <c r="O167" s="1163" t="str">
        <f t="shared" si="21"/>
        <v xml:space="preserve"> </v>
      </c>
      <c r="Q167">
        <f t="shared" si="22"/>
        <v>0</v>
      </c>
      <c r="R167">
        <f t="shared" si="23"/>
        <v>0</v>
      </c>
    </row>
    <row r="168" spans="2:18" x14ac:dyDescent="0.15">
      <c r="B168" s="1157"/>
      <c r="C168" s="1158"/>
      <c r="D168" s="897"/>
      <c r="E168" s="1159" t="str">
        <f t="shared" si="18"/>
        <v xml:space="preserve"> </v>
      </c>
      <c r="G168" s="1160" t="str">
        <f t="shared" si="19"/>
        <v xml:space="preserve"> </v>
      </c>
      <c r="H168" s="1149"/>
      <c r="I168">
        <f t="shared" si="16"/>
        <v>0</v>
      </c>
      <c r="K168">
        <f t="shared" si="17"/>
        <v>0</v>
      </c>
      <c r="L168" s="1161"/>
      <c r="N168" s="1162" t="str">
        <f t="shared" si="20"/>
        <v xml:space="preserve"> </v>
      </c>
      <c r="O168" s="1163" t="str">
        <f t="shared" si="21"/>
        <v xml:space="preserve"> </v>
      </c>
      <c r="Q168">
        <f t="shared" si="22"/>
        <v>0</v>
      </c>
      <c r="R168">
        <f t="shared" si="23"/>
        <v>0</v>
      </c>
    </row>
    <row r="169" spans="2:18" x14ac:dyDescent="0.15">
      <c r="B169" s="1157"/>
      <c r="C169" s="1158"/>
      <c r="D169" s="897"/>
      <c r="E169" s="1159" t="str">
        <f t="shared" si="18"/>
        <v xml:space="preserve"> </v>
      </c>
      <c r="G169" s="1160" t="str">
        <f t="shared" si="19"/>
        <v xml:space="preserve"> </v>
      </c>
      <c r="H169" s="1149"/>
      <c r="I169">
        <f t="shared" si="16"/>
        <v>0</v>
      </c>
      <c r="K169">
        <f t="shared" si="17"/>
        <v>0</v>
      </c>
      <c r="L169" s="1161"/>
      <c r="N169" s="1162" t="str">
        <f t="shared" si="20"/>
        <v xml:space="preserve"> </v>
      </c>
      <c r="O169" s="1163" t="str">
        <f t="shared" si="21"/>
        <v xml:space="preserve"> </v>
      </c>
      <c r="Q169">
        <f t="shared" si="22"/>
        <v>0</v>
      </c>
      <c r="R169">
        <f t="shared" si="23"/>
        <v>0</v>
      </c>
    </row>
    <row r="170" spans="2:18" x14ac:dyDescent="0.15">
      <c r="B170" s="1157"/>
      <c r="C170" s="1158"/>
      <c r="D170" s="897"/>
      <c r="E170" s="1159" t="str">
        <f t="shared" si="18"/>
        <v xml:space="preserve"> </v>
      </c>
      <c r="G170" s="1160" t="str">
        <f t="shared" si="19"/>
        <v xml:space="preserve"> </v>
      </c>
      <c r="H170" s="1149"/>
      <c r="I170">
        <f t="shared" si="16"/>
        <v>0</v>
      </c>
      <c r="K170">
        <f t="shared" si="17"/>
        <v>0</v>
      </c>
      <c r="L170" s="1161"/>
      <c r="N170" s="1162" t="str">
        <f t="shared" si="20"/>
        <v xml:space="preserve"> </v>
      </c>
      <c r="O170" s="1163" t="str">
        <f t="shared" si="21"/>
        <v xml:space="preserve"> </v>
      </c>
      <c r="Q170">
        <f t="shared" si="22"/>
        <v>0</v>
      </c>
      <c r="R170">
        <f t="shared" si="23"/>
        <v>0</v>
      </c>
    </row>
    <row r="171" spans="2:18" x14ac:dyDescent="0.15">
      <c r="B171" s="1157"/>
      <c r="C171" s="1158"/>
      <c r="D171" s="897"/>
      <c r="E171" s="1159" t="str">
        <f t="shared" si="18"/>
        <v xml:space="preserve"> </v>
      </c>
      <c r="G171" s="1160" t="str">
        <f t="shared" si="19"/>
        <v xml:space="preserve"> </v>
      </c>
      <c r="H171" s="1149"/>
      <c r="I171">
        <f t="shared" si="16"/>
        <v>0</v>
      </c>
      <c r="K171">
        <f t="shared" si="17"/>
        <v>0</v>
      </c>
      <c r="L171" s="1161"/>
      <c r="N171" s="1162" t="str">
        <f t="shared" si="20"/>
        <v xml:space="preserve"> </v>
      </c>
      <c r="O171" s="1163" t="str">
        <f t="shared" si="21"/>
        <v xml:space="preserve"> </v>
      </c>
      <c r="Q171">
        <f t="shared" si="22"/>
        <v>0</v>
      </c>
      <c r="R171">
        <f t="shared" si="23"/>
        <v>0</v>
      </c>
    </row>
    <row r="172" spans="2:18" x14ac:dyDescent="0.15">
      <c r="B172" s="1157"/>
      <c r="C172" s="1158"/>
      <c r="D172" s="897"/>
      <c r="E172" s="1159" t="str">
        <f t="shared" si="18"/>
        <v xml:space="preserve"> </v>
      </c>
      <c r="G172" s="1160" t="str">
        <f t="shared" si="19"/>
        <v xml:space="preserve"> </v>
      </c>
      <c r="H172" s="1149"/>
      <c r="I172">
        <f t="shared" si="16"/>
        <v>0</v>
      </c>
      <c r="K172">
        <f t="shared" si="17"/>
        <v>0</v>
      </c>
      <c r="L172" s="1161"/>
      <c r="N172" s="1162" t="str">
        <f t="shared" si="20"/>
        <v xml:space="preserve"> </v>
      </c>
      <c r="O172" s="1163" t="str">
        <f t="shared" si="21"/>
        <v xml:space="preserve"> </v>
      </c>
      <c r="Q172">
        <f t="shared" si="22"/>
        <v>0</v>
      </c>
      <c r="R172">
        <f t="shared" si="23"/>
        <v>0</v>
      </c>
    </row>
    <row r="173" spans="2:18" x14ac:dyDescent="0.15">
      <c r="B173" s="1157"/>
      <c r="C173" s="1158"/>
      <c r="D173" s="897"/>
      <c r="E173" s="1159" t="str">
        <f t="shared" si="18"/>
        <v xml:space="preserve"> </v>
      </c>
      <c r="G173" s="1160" t="str">
        <f t="shared" si="19"/>
        <v xml:space="preserve"> </v>
      </c>
      <c r="H173" s="1149"/>
      <c r="I173">
        <f t="shared" si="16"/>
        <v>0</v>
      </c>
      <c r="K173">
        <f t="shared" si="17"/>
        <v>0</v>
      </c>
      <c r="L173" s="1161"/>
      <c r="N173" s="1162" t="str">
        <f t="shared" si="20"/>
        <v xml:space="preserve"> </v>
      </c>
      <c r="O173" s="1163" t="str">
        <f t="shared" si="21"/>
        <v xml:space="preserve"> </v>
      </c>
      <c r="Q173">
        <f t="shared" si="22"/>
        <v>0</v>
      </c>
      <c r="R173">
        <f t="shared" si="23"/>
        <v>0</v>
      </c>
    </row>
    <row r="174" spans="2:18" x14ac:dyDescent="0.15">
      <c r="B174" s="1157"/>
      <c r="C174" s="1158"/>
      <c r="D174" s="897"/>
      <c r="E174" s="1159" t="str">
        <f t="shared" si="18"/>
        <v xml:space="preserve"> </v>
      </c>
      <c r="G174" s="1160" t="str">
        <f t="shared" si="19"/>
        <v xml:space="preserve"> </v>
      </c>
      <c r="H174" s="1149"/>
      <c r="I174">
        <f t="shared" si="16"/>
        <v>0</v>
      </c>
      <c r="K174">
        <f t="shared" si="17"/>
        <v>0</v>
      </c>
      <c r="L174" s="1161"/>
      <c r="N174" s="1162" t="str">
        <f t="shared" si="20"/>
        <v xml:space="preserve"> </v>
      </c>
      <c r="O174" s="1163" t="str">
        <f t="shared" si="21"/>
        <v xml:space="preserve"> </v>
      </c>
      <c r="Q174">
        <f t="shared" si="22"/>
        <v>0</v>
      </c>
      <c r="R174">
        <f t="shared" si="23"/>
        <v>0</v>
      </c>
    </row>
    <row r="175" spans="2:18" x14ac:dyDescent="0.15">
      <c r="B175" s="1157"/>
      <c r="C175" s="1158"/>
      <c r="D175" s="897"/>
      <c r="E175" s="1159" t="str">
        <f t="shared" si="18"/>
        <v xml:space="preserve"> </v>
      </c>
      <c r="G175" s="1160" t="str">
        <f t="shared" si="19"/>
        <v xml:space="preserve"> </v>
      </c>
      <c r="H175" s="1149"/>
      <c r="I175">
        <f t="shared" si="16"/>
        <v>0</v>
      </c>
      <c r="K175">
        <f t="shared" si="17"/>
        <v>0</v>
      </c>
      <c r="L175" s="1161"/>
      <c r="N175" s="1162" t="str">
        <f t="shared" si="20"/>
        <v xml:space="preserve"> </v>
      </c>
      <c r="O175" s="1163" t="str">
        <f t="shared" si="21"/>
        <v xml:space="preserve"> </v>
      </c>
      <c r="Q175">
        <f t="shared" si="22"/>
        <v>0</v>
      </c>
      <c r="R175">
        <f t="shared" si="23"/>
        <v>0</v>
      </c>
    </row>
    <row r="176" spans="2:18" x14ac:dyDescent="0.15">
      <c r="B176" s="1157"/>
      <c r="C176" s="1158"/>
      <c r="D176" s="897"/>
      <c r="E176" s="1159" t="str">
        <f t="shared" si="18"/>
        <v xml:space="preserve"> </v>
      </c>
      <c r="G176" s="1160" t="str">
        <f t="shared" si="19"/>
        <v xml:space="preserve"> </v>
      </c>
      <c r="H176" s="1149"/>
      <c r="I176">
        <f t="shared" si="16"/>
        <v>0</v>
      </c>
      <c r="K176">
        <f t="shared" si="17"/>
        <v>0</v>
      </c>
      <c r="L176" s="1161"/>
      <c r="N176" s="1162" t="str">
        <f t="shared" si="20"/>
        <v xml:space="preserve"> </v>
      </c>
      <c r="O176" s="1163" t="str">
        <f t="shared" si="21"/>
        <v xml:space="preserve"> </v>
      </c>
      <c r="Q176">
        <f t="shared" si="22"/>
        <v>0</v>
      </c>
      <c r="R176">
        <f t="shared" si="23"/>
        <v>0</v>
      </c>
    </row>
    <row r="177" spans="2:18" x14ac:dyDescent="0.15">
      <c r="B177" s="1157"/>
      <c r="C177" s="1158"/>
      <c r="D177" s="897"/>
      <c r="E177" s="1159" t="str">
        <f t="shared" si="18"/>
        <v xml:space="preserve"> </v>
      </c>
      <c r="G177" s="1160" t="str">
        <f t="shared" si="19"/>
        <v xml:space="preserve"> </v>
      </c>
      <c r="H177" s="1149"/>
      <c r="I177">
        <f t="shared" si="16"/>
        <v>0</v>
      </c>
      <c r="K177">
        <f t="shared" si="17"/>
        <v>0</v>
      </c>
      <c r="L177" s="1161"/>
      <c r="N177" s="1162" t="str">
        <f t="shared" si="20"/>
        <v xml:space="preserve"> </v>
      </c>
      <c r="O177" s="1163" t="str">
        <f t="shared" si="21"/>
        <v xml:space="preserve"> </v>
      </c>
      <c r="Q177">
        <f t="shared" si="22"/>
        <v>0</v>
      </c>
      <c r="R177">
        <f t="shared" si="23"/>
        <v>0</v>
      </c>
    </row>
    <row r="178" spans="2:18" x14ac:dyDescent="0.15">
      <c r="B178" s="1157"/>
      <c r="C178" s="1158"/>
      <c r="D178" s="897"/>
      <c r="E178" s="1159" t="str">
        <f t="shared" si="18"/>
        <v xml:space="preserve"> </v>
      </c>
      <c r="G178" s="1160" t="str">
        <f t="shared" si="19"/>
        <v xml:space="preserve"> </v>
      </c>
      <c r="H178" s="1149"/>
      <c r="I178">
        <f t="shared" si="16"/>
        <v>0</v>
      </c>
      <c r="K178">
        <f t="shared" si="17"/>
        <v>0</v>
      </c>
      <c r="L178" s="1161"/>
      <c r="N178" s="1162" t="str">
        <f t="shared" si="20"/>
        <v xml:space="preserve"> </v>
      </c>
      <c r="O178" s="1163" t="str">
        <f t="shared" si="21"/>
        <v xml:space="preserve"> </v>
      </c>
      <c r="Q178">
        <f t="shared" si="22"/>
        <v>0</v>
      </c>
      <c r="R178">
        <f t="shared" si="23"/>
        <v>0</v>
      </c>
    </row>
    <row r="179" spans="2:18" x14ac:dyDescent="0.15">
      <c r="B179" s="1157"/>
      <c r="C179" s="1158"/>
      <c r="D179" s="897"/>
      <c r="E179" s="1159" t="str">
        <f t="shared" si="18"/>
        <v xml:space="preserve"> </v>
      </c>
      <c r="G179" s="1160" t="str">
        <f t="shared" si="19"/>
        <v xml:space="preserve"> </v>
      </c>
      <c r="H179" s="1149"/>
      <c r="I179">
        <f t="shared" si="16"/>
        <v>0</v>
      </c>
      <c r="K179">
        <f t="shared" si="17"/>
        <v>0</v>
      </c>
      <c r="L179" s="1161"/>
      <c r="N179" s="1162" t="str">
        <f t="shared" si="20"/>
        <v xml:space="preserve"> </v>
      </c>
      <c r="O179" s="1163" t="str">
        <f t="shared" si="21"/>
        <v xml:space="preserve"> </v>
      </c>
      <c r="Q179">
        <f t="shared" si="22"/>
        <v>0</v>
      </c>
      <c r="R179">
        <f t="shared" si="23"/>
        <v>0</v>
      </c>
    </row>
    <row r="180" spans="2:18" x14ac:dyDescent="0.15">
      <c r="B180" s="1157"/>
      <c r="C180" s="1158"/>
      <c r="D180" s="897"/>
      <c r="E180" s="1159" t="str">
        <f t="shared" si="18"/>
        <v xml:space="preserve"> </v>
      </c>
      <c r="G180" s="1160" t="str">
        <f t="shared" si="19"/>
        <v xml:space="preserve"> </v>
      </c>
      <c r="H180" s="1149"/>
      <c r="I180">
        <f t="shared" si="16"/>
        <v>0</v>
      </c>
      <c r="K180">
        <f t="shared" si="17"/>
        <v>0</v>
      </c>
      <c r="L180" s="1161"/>
      <c r="N180" s="1162" t="str">
        <f t="shared" si="20"/>
        <v xml:space="preserve"> </v>
      </c>
      <c r="O180" s="1163" t="str">
        <f t="shared" si="21"/>
        <v xml:space="preserve"> </v>
      </c>
      <c r="Q180">
        <f t="shared" si="22"/>
        <v>0</v>
      </c>
      <c r="R180">
        <f t="shared" si="23"/>
        <v>0</v>
      </c>
    </row>
    <row r="181" spans="2:18" x14ac:dyDescent="0.15">
      <c r="B181" s="1157"/>
      <c r="C181" s="1158"/>
      <c r="D181" s="897"/>
      <c r="E181" s="1159" t="str">
        <f t="shared" si="18"/>
        <v xml:space="preserve"> </v>
      </c>
      <c r="G181" s="1160" t="str">
        <f t="shared" si="19"/>
        <v xml:space="preserve"> </v>
      </c>
      <c r="H181" s="1149"/>
      <c r="I181">
        <f t="shared" si="16"/>
        <v>0</v>
      </c>
      <c r="K181">
        <f t="shared" si="17"/>
        <v>0</v>
      </c>
      <c r="L181" s="1161"/>
      <c r="N181" s="1162" t="str">
        <f t="shared" si="20"/>
        <v xml:space="preserve"> </v>
      </c>
      <c r="O181" s="1163" t="str">
        <f t="shared" si="21"/>
        <v xml:space="preserve"> </v>
      </c>
      <c r="Q181">
        <f t="shared" si="22"/>
        <v>0</v>
      </c>
      <c r="R181">
        <f t="shared" si="23"/>
        <v>0</v>
      </c>
    </row>
    <row r="182" spans="2:18" x14ac:dyDescent="0.15">
      <c r="B182" s="1157"/>
      <c r="C182" s="1158"/>
      <c r="D182" s="897"/>
      <c r="E182" s="1159" t="str">
        <f t="shared" si="18"/>
        <v xml:space="preserve"> </v>
      </c>
      <c r="G182" s="1160" t="str">
        <f t="shared" si="19"/>
        <v xml:space="preserve"> </v>
      </c>
      <c r="H182" s="1149"/>
      <c r="I182">
        <f t="shared" si="16"/>
        <v>0</v>
      </c>
      <c r="K182">
        <f t="shared" si="17"/>
        <v>0</v>
      </c>
      <c r="L182" s="1161"/>
      <c r="N182" s="1162" t="str">
        <f t="shared" si="20"/>
        <v xml:space="preserve"> </v>
      </c>
      <c r="O182" s="1163" t="str">
        <f t="shared" si="21"/>
        <v xml:space="preserve"> </v>
      </c>
      <c r="Q182">
        <f t="shared" si="22"/>
        <v>0</v>
      </c>
      <c r="R182">
        <f t="shared" si="23"/>
        <v>0</v>
      </c>
    </row>
    <row r="183" spans="2:18" x14ac:dyDescent="0.15">
      <c r="B183" s="1157"/>
      <c r="C183" s="1158"/>
      <c r="D183" s="897"/>
      <c r="E183" s="1159" t="str">
        <f t="shared" si="18"/>
        <v xml:space="preserve"> </v>
      </c>
      <c r="G183" s="1160" t="str">
        <f t="shared" si="19"/>
        <v xml:space="preserve"> </v>
      </c>
      <c r="H183" s="1149"/>
      <c r="I183">
        <f t="shared" si="16"/>
        <v>0</v>
      </c>
      <c r="K183">
        <f t="shared" si="17"/>
        <v>0</v>
      </c>
      <c r="L183" s="1161"/>
      <c r="N183" s="1162" t="str">
        <f t="shared" si="20"/>
        <v xml:space="preserve"> </v>
      </c>
      <c r="O183" s="1163" t="str">
        <f t="shared" si="21"/>
        <v xml:space="preserve"> </v>
      </c>
      <c r="Q183">
        <f t="shared" si="22"/>
        <v>0</v>
      </c>
      <c r="R183">
        <f t="shared" si="23"/>
        <v>0</v>
      </c>
    </row>
    <row r="184" spans="2:18" x14ac:dyDescent="0.15">
      <c r="B184" s="1157"/>
      <c r="C184" s="1158"/>
      <c r="D184" s="897"/>
      <c r="E184" s="1159" t="str">
        <f t="shared" si="18"/>
        <v xml:space="preserve"> </v>
      </c>
      <c r="G184" s="1160" t="str">
        <f t="shared" si="19"/>
        <v xml:space="preserve"> </v>
      </c>
      <c r="H184" s="1149"/>
      <c r="I184">
        <f t="shared" si="16"/>
        <v>0</v>
      </c>
      <c r="K184">
        <f t="shared" si="17"/>
        <v>0</v>
      </c>
      <c r="L184" s="1161"/>
      <c r="N184" s="1162" t="str">
        <f t="shared" si="20"/>
        <v xml:space="preserve"> </v>
      </c>
      <c r="O184" s="1163" t="str">
        <f t="shared" si="21"/>
        <v xml:space="preserve"> </v>
      </c>
      <c r="Q184">
        <f t="shared" si="22"/>
        <v>0</v>
      </c>
      <c r="R184">
        <f t="shared" si="23"/>
        <v>0</v>
      </c>
    </row>
    <row r="185" spans="2:18" x14ac:dyDescent="0.15">
      <c r="B185" s="1157"/>
      <c r="C185" s="1158"/>
      <c r="D185" s="897"/>
      <c r="E185" s="1159" t="str">
        <f t="shared" si="18"/>
        <v xml:space="preserve"> </v>
      </c>
      <c r="G185" s="1160" t="str">
        <f t="shared" si="19"/>
        <v xml:space="preserve"> </v>
      </c>
      <c r="H185" s="1149"/>
      <c r="I185">
        <f t="shared" si="16"/>
        <v>0</v>
      </c>
      <c r="K185">
        <f t="shared" si="17"/>
        <v>0</v>
      </c>
      <c r="L185" s="1161"/>
      <c r="N185" s="1162" t="str">
        <f t="shared" si="20"/>
        <v xml:space="preserve"> </v>
      </c>
      <c r="O185" s="1163" t="str">
        <f t="shared" si="21"/>
        <v xml:space="preserve"> </v>
      </c>
      <c r="Q185">
        <f t="shared" si="22"/>
        <v>0</v>
      </c>
      <c r="R185">
        <f t="shared" si="23"/>
        <v>0</v>
      </c>
    </row>
    <row r="186" spans="2:18" x14ac:dyDescent="0.15">
      <c r="B186" s="1157"/>
      <c r="C186" s="1158"/>
      <c r="D186" s="897"/>
      <c r="E186" s="1159" t="str">
        <f t="shared" si="18"/>
        <v xml:space="preserve"> </v>
      </c>
      <c r="G186" s="1160" t="str">
        <f t="shared" si="19"/>
        <v xml:space="preserve"> </v>
      </c>
      <c r="H186" s="1149"/>
      <c r="I186">
        <f t="shared" si="16"/>
        <v>0</v>
      </c>
      <c r="K186">
        <f t="shared" si="17"/>
        <v>0</v>
      </c>
      <c r="L186" s="1161"/>
      <c r="N186" s="1162" t="str">
        <f t="shared" si="20"/>
        <v xml:space="preserve"> </v>
      </c>
      <c r="O186" s="1163" t="str">
        <f t="shared" si="21"/>
        <v xml:space="preserve"> </v>
      </c>
      <c r="Q186">
        <f t="shared" si="22"/>
        <v>0</v>
      </c>
      <c r="R186">
        <f t="shared" si="23"/>
        <v>0</v>
      </c>
    </row>
    <row r="187" spans="2:18" x14ac:dyDescent="0.15">
      <c r="B187" s="1157"/>
      <c r="C187" s="1158"/>
      <c r="D187" s="897"/>
      <c r="E187" s="1159" t="str">
        <f t="shared" si="18"/>
        <v xml:space="preserve"> </v>
      </c>
      <c r="G187" s="1160" t="str">
        <f t="shared" si="19"/>
        <v xml:space="preserve"> </v>
      </c>
      <c r="H187" s="1149"/>
      <c r="I187">
        <f t="shared" si="16"/>
        <v>0</v>
      </c>
      <c r="K187">
        <f t="shared" si="17"/>
        <v>0</v>
      </c>
      <c r="L187" s="1161"/>
      <c r="N187" s="1162" t="str">
        <f t="shared" si="20"/>
        <v xml:space="preserve"> </v>
      </c>
      <c r="O187" s="1163" t="str">
        <f t="shared" si="21"/>
        <v xml:space="preserve"> </v>
      </c>
      <c r="Q187">
        <f t="shared" si="22"/>
        <v>0</v>
      </c>
      <c r="R187">
        <f t="shared" si="23"/>
        <v>0</v>
      </c>
    </row>
    <row r="188" spans="2:18" x14ac:dyDescent="0.15">
      <c r="B188" s="1157"/>
      <c r="C188" s="1158"/>
      <c r="D188" s="897"/>
      <c r="E188" s="1159" t="str">
        <f t="shared" si="18"/>
        <v xml:space="preserve"> </v>
      </c>
      <c r="G188" s="1160" t="str">
        <f t="shared" si="19"/>
        <v xml:space="preserve"> </v>
      </c>
      <c r="H188" s="1149"/>
      <c r="I188">
        <f t="shared" si="16"/>
        <v>0</v>
      </c>
      <c r="K188">
        <f t="shared" si="17"/>
        <v>0</v>
      </c>
      <c r="L188" s="1161"/>
      <c r="N188" s="1162" t="str">
        <f t="shared" si="20"/>
        <v xml:space="preserve"> </v>
      </c>
      <c r="O188" s="1163" t="str">
        <f t="shared" si="21"/>
        <v xml:space="preserve"> </v>
      </c>
      <c r="Q188">
        <f t="shared" si="22"/>
        <v>0</v>
      </c>
      <c r="R188">
        <f t="shared" si="23"/>
        <v>0</v>
      </c>
    </row>
    <row r="189" spans="2:18" x14ac:dyDescent="0.15">
      <c r="B189" s="1157"/>
      <c r="C189" s="1158"/>
      <c r="D189" s="897"/>
      <c r="E189" s="1159" t="str">
        <f t="shared" si="18"/>
        <v xml:space="preserve"> </v>
      </c>
      <c r="G189" s="1160" t="str">
        <f t="shared" si="19"/>
        <v xml:space="preserve"> </v>
      </c>
      <c r="H189" s="1149"/>
      <c r="I189">
        <f t="shared" si="16"/>
        <v>0</v>
      </c>
      <c r="K189">
        <f t="shared" si="17"/>
        <v>0</v>
      </c>
      <c r="L189" s="1161"/>
      <c r="N189" s="1162" t="str">
        <f t="shared" si="20"/>
        <v xml:space="preserve"> </v>
      </c>
      <c r="O189" s="1163" t="str">
        <f t="shared" si="21"/>
        <v xml:space="preserve"> </v>
      </c>
      <c r="Q189">
        <f t="shared" si="22"/>
        <v>0</v>
      </c>
      <c r="R189">
        <f t="shared" si="23"/>
        <v>0</v>
      </c>
    </row>
    <row r="190" spans="2:18" x14ac:dyDescent="0.15">
      <c r="B190" s="1157"/>
      <c r="C190" s="1158"/>
      <c r="D190" s="897"/>
      <c r="E190" s="1159" t="str">
        <f t="shared" si="18"/>
        <v xml:space="preserve"> </v>
      </c>
      <c r="G190" s="1160" t="str">
        <f t="shared" si="19"/>
        <v xml:space="preserve"> </v>
      </c>
      <c r="H190" s="1149"/>
      <c r="I190">
        <f t="shared" si="16"/>
        <v>0</v>
      </c>
      <c r="K190">
        <f t="shared" si="17"/>
        <v>0</v>
      </c>
      <c r="L190" s="1161"/>
      <c r="N190" s="1162" t="str">
        <f t="shared" si="20"/>
        <v xml:space="preserve"> </v>
      </c>
      <c r="O190" s="1163" t="str">
        <f t="shared" si="21"/>
        <v xml:space="preserve"> </v>
      </c>
      <c r="Q190">
        <f t="shared" si="22"/>
        <v>0</v>
      </c>
      <c r="R190">
        <f t="shared" si="23"/>
        <v>0</v>
      </c>
    </row>
    <row r="191" spans="2:18" x14ac:dyDescent="0.15">
      <c r="B191" s="1157"/>
      <c r="C191" s="1158"/>
      <c r="D191" s="897"/>
      <c r="E191" s="1159" t="str">
        <f t="shared" si="18"/>
        <v xml:space="preserve"> </v>
      </c>
      <c r="G191" s="1160" t="str">
        <f t="shared" si="19"/>
        <v xml:space="preserve"> </v>
      </c>
      <c r="H191" s="1149"/>
      <c r="I191">
        <f t="shared" si="16"/>
        <v>0</v>
      </c>
      <c r="K191">
        <f t="shared" si="17"/>
        <v>0</v>
      </c>
      <c r="L191" s="1161"/>
      <c r="N191" s="1162" t="str">
        <f t="shared" si="20"/>
        <v xml:space="preserve"> </v>
      </c>
      <c r="O191" s="1163" t="str">
        <f t="shared" si="21"/>
        <v xml:space="preserve"> </v>
      </c>
      <c r="Q191">
        <f t="shared" si="22"/>
        <v>0</v>
      </c>
      <c r="R191">
        <f t="shared" si="23"/>
        <v>0</v>
      </c>
    </row>
    <row r="192" spans="2:18" x14ac:dyDescent="0.15">
      <c r="B192" s="1157"/>
      <c r="C192" s="1158"/>
      <c r="D192" s="897"/>
      <c r="E192" s="1159" t="str">
        <f t="shared" si="18"/>
        <v xml:space="preserve"> </v>
      </c>
      <c r="G192" s="1160" t="str">
        <f t="shared" si="19"/>
        <v xml:space="preserve"> </v>
      </c>
      <c r="H192" s="1149"/>
      <c r="I192">
        <f t="shared" si="16"/>
        <v>0</v>
      </c>
      <c r="K192">
        <f t="shared" si="17"/>
        <v>0</v>
      </c>
      <c r="L192" s="1161"/>
      <c r="N192" s="1162" t="str">
        <f t="shared" si="20"/>
        <v xml:space="preserve"> </v>
      </c>
      <c r="O192" s="1163" t="str">
        <f t="shared" si="21"/>
        <v xml:space="preserve"> </v>
      </c>
      <c r="Q192">
        <f t="shared" si="22"/>
        <v>0</v>
      </c>
      <c r="R192">
        <f t="shared" si="23"/>
        <v>0</v>
      </c>
    </row>
    <row r="193" spans="2:18" x14ac:dyDescent="0.15">
      <c r="B193" s="1157"/>
      <c r="C193" s="1158"/>
      <c r="D193" s="897"/>
      <c r="E193" s="1159" t="str">
        <f t="shared" si="18"/>
        <v xml:space="preserve"> </v>
      </c>
      <c r="G193" s="1160" t="str">
        <f t="shared" si="19"/>
        <v xml:space="preserve"> </v>
      </c>
      <c r="H193" s="1149"/>
      <c r="I193">
        <f t="shared" si="16"/>
        <v>0</v>
      </c>
      <c r="K193">
        <f t="shared" si="17"/>
        <v>0</v>
      </c>
      <c r="L193" s="1161"/>
      <c r="N193" s="1162" t="str">
        <f t="shared" si="20"/>
        <v xml:space="preserve"> </v>
      </c>
      <c r="O193" s="1163" t="str">
        <f t="shared" si="21"/>
        <v xml:space="preserve"> </v>
      </c>
      <c r="Q193">
        <f t="shared" si="22"/>
        <v>0</v>
      </c>
      <c r="R193">
        <f t="shared" si="23"/>
        <v>0</v>
      </c>
    </row>
    <row r="194" spans="2:18" x14ac:dyDescent="0.15">
      <c r="B194" s="1157"/>
      <c r="C194" s="1158"/>
      <c r="D194" s="897"/>
      <c r="E194" s="1159" t="str">
        <f t="shared" si="18"/>
        <v xml:space="preserve"> </v>
      </c>
      <c r="G194" s="1160" t="str">
        <f t="shared" si="19"/>
        <v xml:space="preserve"> </v>
      </c>
      <c r="H194" s="1149"/>
      <c r="I194">
        <f t="shared" si="16"/>
        <v>0</v>
      </c>
      <c r="K194">
        <f t="shared" si="17"/>
        <v>0</v>
      </c>
      <c r="L194" s="1161"/>
      <c r="N194" s="1162" t="str">
        <f t="shared" si="20"/>
        <v xml:space="preserve"> </v>
      </c>
      <c r="O194" s="1163" t="str">
        <f t="shared" si="21"/>
        <v xml:space="preserve"> </v>
      </c>
      <c r="Q194">
        <f t="shared" si="22"/>
        <v>0</v>
      </c>
      <c r="R194">
        <f t="shared" si="23"/>
        <v>0</v>
      </c>
    </row>
    <row r="195" spans="2:18" x14ac:dyDescent="0.15">
      <c r="B195" s="1157"/>
      <c r="C195" s="1158"/>
      <c r="D195" s="897"/>
      <c r="E195" s="1159" t="str">
        <f t="shared" si="18"/>
        <v xml:space="preserve"> </v>
      </c>
      <c r="G195" s="1160" t="str">
        <f t="shared" si="19"/>
        <v xml:space="preserve"> </v>
      </c>
      <c r="H195" s="1149"/>
      <c r="I195">
        <f t="shared" si="16"/>
        <v>0</v>
      </c>
      <c r="K195">
        <f t="shared" si="17"/>
        <v>0</v>
      </c>
      <c r="L195" s="1161"/>
      <c r="N195" s="1162" t="str">
        <f t="shared" si="20"/>
        <v xml:space="preserve"> </v>
      </c>
      <c r="O195" s="1163" t="str">
        <f t="shared" si="21"/>
        <v xml:space="preserve"> </v>
      </c>
      <c r="Q195">
        <f t="shared" si="22"/>
        <v>0</v>
      </c>
      <c r="R195">
        <f t="shared" si="23"/>
        <v>0</v>
      </c>
    </row>
    <row r="196" spans="2:18" x14ac:dyDescent="0.15">
      <c r="B196" s="1157"/>
      <c r="C196" s="1158"/>
      <c r="D196" s="897"/>
      <c r="E196" s="1159" t="str">
        <f t="shared" si="18"/>
        <v xml:space="preserve"> </v>
      </c>
      <c r="G196" s="1160" t="str">
        <f t="shared" si="19"/>
        <v xml:space="preserve"> </v>
      </c>
      <c r="H196" s="1149"/>
      <c r="I196">
        <f t="shared" si="16"/>
        <v>0</v>
      </c>
      <c r="K196">
        <f t="shared" si="17"/>
        <v>0</v>
      </c>
      <c r="L196" s="1161"/>
      <c r="N196" s="1162" t="str">
        <f t="shared" si="20"/>
        <v xml:space="preserve"> </v>
      </c>
      <c r="O196" s="1163" t="str">
        <f t="shared" si="21"/>
        <v xml:space="preserve"> </v>
      </c>
      <c r="Q196">
        <f t="shared" si="22"/>
        <v>0</v>
      </c>
      <c r="R196">
        <f t="shared" si="23"/>
        <v>0</v>
      </c>
    </row>
    <row r="197" spans="2:18" x14ac:dyDescent="0.15">
      <c r="B197" s="1157"/>
      <c r="C197" s="1158"/>
      <c r="D197" s="897"/>
      <c r="E197" s="1159" t="str">
        <f t="shared" si="18"/>
        <v xml:space="preserve"> </v>
      </c>
      <c r="G197" s="1160" t="str">
        <f t="shared" si="19"/>
        <v xml:space="preserve"> </v>
      </c>
      <c r="H197" s="1149"/>
      <c r="I197">
        <f t="shared" si="16"/>
        <v>0</v>
      </c>
      <c r="K197">
        <f t="shared" si="17"/>
        <v>0</v>
      </c>
      <c r="L197" s="1161"/>
      <c r="N197" s="1162" t="str">
        <f t="shared" si="20"/>
        <v xml:space="preserve"> </v>
      </c>
      <c r="O197" s="1163" t="str">
        <f t="shared" si="21"/>
        <v xml:space="preserve"> </v>
      </c>
      <c r="Q197">
        <f t="shared" si="22"/>
        <v>0</v>
      </c>
      <c r="R197">
        <f t="shared" si="23"/>
        <v>0</v>
      </c>
    </row>
    <row r="198" spans="2:18" x14ac:dyDescent="0.15">
      <c r="B198" s="1157"/>
      <c r="C198" s="1158"/>
      <c r="D198" s="897"/>
      <c r="E198" s="1159" t="str">
        <f t="shared" si="18"/>
        <v xml:space="preserve"> </v>
      </c>
      <c r="G198" s="1160" t="str">
        <f t="shared" si="19"/>
        <v xml:space="preserve"> </v>
      </c>
      <c r="H198" s="1149"/>
      <c r="I198">
        <f t="shared" si="16"/>
        <v>0</v>
      </c>
      <c r="K198">
        <f t="shared" si="17"/>
        <v>0</v>
      </c>
      <c r="L198" s="1161"/>
      <c r="N198" s="1162" t="str">
        <f t="shared" si="20"/>
        <v xml:space="preserve"> </v>
      </c>
      <c r="O198" s="1163" t="str">
        <f t="shared" si="21"/>
        <v xml:space="preserve"> </v>
      </c>
      <c r="Q198">
        <f t="shared" si="22"/>
        <v>0</v>
      </c>
      <c r="R198">
        <f t="shared" si="23"/>
        <v>0</v>
      </c>
    </row>
    <row r="199" spans="2:18" x14ac:dyDescent="0.15">
      <c r="B199" s="1157"/>
      <c r="C199" s="1158"/>
      <c r="D199" s="897"/>
      <c r="E199" s="1159" t="str">
        <f t="shared" si="18"/>
        <v xml:space="preserve"> </v>
      </c>
      <c r="G199" s="1160" t="str">
        <f t="shared" si="19"/>
        <v xml:space="preserve"> </v>
      </c>
      <c r="H199" s="1149"/>
      <c r="I199">
        <f t="shared" si="16"/>
        <v>0</v>
      </c>
      <c r="K199">
        <f t="shared" si="17"/>
        <v>0</v>
      </c>
      <c r="L199" s="1161"/>
      <c r="N199" s="1162" t="str">
        <f t="shared" si="20"/>
        <v xml:space="preserve"> </v>
      </c>
      <c r="O199" s="1163" t="str">
        <f t="shared" si="21"/>
        <v xml:space="preserve"> </v>
      </c>
      <c r="Q199">
        <f t="shared" si="22"/>
        <v>0</v>
      </c>
      <c r="R199">
        <f t="shared" si="23"/>
        <v>0</v>
      </c>
    </row>
    <row r="200" spans="2:18" x14ac:dyDescent="0.15">
      <c r="B200" s="1157"/>
      <c r="C200" s="1158"/>
      <c r="D200" s="897"/>
      <c r="E200" s="1159" t="str">
        <f t="shared" si="18"/>
        <v xml:space="preserve"> </v>
      </c>
      <c r="G200" s="1160" t="str">
        <f t="shared" si="19"/>
        <v xml:space="preserve"> </v>
      </c>
      <c r="H200" s="1149"/>
      <c r="I200">
        <f t="shared" ref="I200:I263" si="24">(J200+C200)/12</f>
        <v>0</v>
      </c>
      <c r="K200">
        <f t="shared" ref="K200:K263" si="25">I200+B200</f>
        <v>0</v>
      </c>
      <c r="L200" s="1161"/>
      <c r="N200" s="1162" t="str">
        <f t="shared" si="20"/>
        <v xml:space="preserve"> </v>
      </c>
      <c r="O200" s="1163" t="str">
        <f t="shared" si="21"/>
        <v xml:space="preserve"> </v>
      </c>
      <c r="Q200">
        <f t="shared" si="22"/>
        <v>0</v>
      </c>
      <c r="R200">
        <f t="shared" si="23"/>
        <v>0</v>
      </c>
    </row>
    <row r="201" spans="2:18" x14ac:dyDescent="0.15">
      <c r="B201" s="1157"/>
      <c r="C201" s="1158"/>
      <c r="D201" s="897"/>
      <c r="E201" s="1159" t="str">
        <f t="shared" si="18"/>
        <v xml:space="preserve"> </v>
      </c>
      <c r="G201" s="1160" t="str">
        <f t="shared" si="19"/>
        <v xml:space="preserve"> </v>
      </c>
      <c r="H201" s="1149"/>
      <c r="I201">
        <f t="shared" si="24"/>
        <v>0</v>
      </c>
      <c r="K201">
        <f t="shared" si="25"/>
        <v>0</v>
      </c>
      <c r="L201" s="1161"/>
      <c r="N201" s="1162" t="str">
        <f t="shared" si="20"/>
        <v xml:space="preserve"> </v>
      </c>
      <c r="O201" s="1163" t="str">
        <f t="shared" si="21"/>
        <v xml:space="preserve"> </v>
      </c>
      <c r="Q201">
        <f t="shared" si="22"/>
        <v>0</v>
      </c>
      <c r="R201">
        <f t="shared" si="23"/>
        <v>0</v>
      </c>
    </row>
    <row r="202" spans="2:18" x14ac:dyDescent="0.15">
      <c r="B202" s="1157"/>
      <c r="C202" s="1158"/>
      <c r="D202" s="897"/>
      <c r="E202" s="1159" t="str">
        <f t="shared" ref="E202:E265" si="26">IF(K202=0," ",IF(K202&gt;0,K202*12*25.4))</f>
        <v xml:space="preserve"> </v>
      </c>
      <c r="G202" s="1160" t="str">
        <f t="shared" ref="G202:G265" si="27">IF(K202=0," ",IF(K202&gt;0,E202/1000))</f>
        <v xml:space="preserve"> </v>
      </c>
      <c r="H202" s="1149"/>
      <c r="I202">
        <f t="shared" si="24"/>
        <v>0</v>
      </c>
      <c r="K202">
        <f t="shared" si="25"/>
        <v>0</v>
      </c>
      <c r="L202" s="1161"/>
      <c r="N202" s="1162" t="str">
        <f t="shared" ref="N202:N265" si="28">IF(R202=0," ",IF(R202&gt;0,TRUNC(R202)))</f>
        <v xml:space="preserve"> </v>
      </c>
      <c r="O202" s="1163" t="str">
        <f t="shared" ref="O202:O265" si="29">IF(R202=0," ",IF(R202&gt;0,(R202-N202)*12))</f>
        <v xml:space="preserve"> </v>
      </c>
      <c r="Q202">
        <f t="shared" ref="Q202:Q265" si="30">L202/25.4</f>
        <v>0</v>
      </c>
      <c r="R202">
        <f t="shared" ref="R202:R265" si="31">Q202/12</f>
        <v>0</v>
      </c>
    </row>
    <row r="203" spans="2:18" x14ac:dyDescent="0.15">
      <c r="B203" s="1157"/>
      <c r="C203" s="1158"/>
      <c r="D203" s="897"/>
      <c r="E203" s="1159" t="str">
        <f t="shared" si="26"/>
        <v xml:space="preserve"> </v>
      </c>
      <c r="G203" s="1160" t="str">
        <f t="shared" si="27"/>
        <v xml:space="preserve"> </v>
      </c>
      <c r="H203" s="1149"/>
      <c r="I203">
        <f t="shared" si="24"/>
        <v>0</v>
      </c>
      <c r="K203">
        <f t="shared" si="25"/>
        <v>0</v>
      </c>
      <c r="L203" s="1161"/>
      <c r="N203" s="1162" t="str">
        <f t="shared" si="28"/>
        <v xml:space="preserve"> </v>
      </c>
      <c r="O203" s="1163" t="str">
        <f t="shared" si="29"/>
        <v xml:space="preserve"> </v>
      </c>
      <c r="Q203">
        <f t="shared" si="30"/>
        <v>0</v>
      </c>
      <c r="R203">
        <f t="shared" si="31"/>
        <v>0</v>
      </c>
    </row>
    <row r="204" spans="2:18" x14ac:dyDescent="0.15">
      <c r="B204" s="1157"/>
      <c r="C204" s="1158"/>
      <c r="D204" s="897"/>
      <c r="E204" s="1159" t="str">
        <f t="shared" si="26"/>
        <v xml:space="preserve"> </v>
      </c>
      <c r="G204" s="1160" t="str">
        <f t="shared" si="27"/>
        <v xml:space="preserve"> </v>
      </c>
      <c r="H204" s="1149"/>
      <c r="I204">
        <f t="shared" si="24"/>
        <v>0</v>
      </c>
      <c r="K204">
        <f t="shared" si="25"/>
        <v>0</v>
      </c>
      <c r="L204" s="1161"/>
      <c r="N204" s="1162" t="str">
        <f t="shared" si="28"/>
        <v xml:space="preserve"> </v>
      </c>
      <c r="O204" s="1163" t="str">
        <f t="shared" si="29"/>
        <v xml:space="preserve"> </v>
      </c>
      <c r="Q204">
        <f t="shared" si="30"/>
        <v>0</v>
      </c>
      <c r="R204">
        <f t="shared" si="31"/>
        <v>0</v>
      </c>
    </row>
    <row r="205" spans="2:18" x14ac:dyDescent="0.15">
      <c r="B205" s="1157"/>
      <c r="C205" s="1158"/>
      <c r="D205" s="897"/>
      <c r="E205" s="1159" t="str">
        <f t="shared" si="26"/>
        <v xml:space="preserve"> </v>
      </c>
      <c r="G205" s="1160" t="str">
        <f t="shared" si="27"/>
        <v xml:space="preserve"> </v>
      </c>
      <c r="H205" s="1149"/>
      <c r="I205">
        <f t="shared" si="24"/>
        <v>0</v>
      </c>
      <c r="K205">
        <f t="shared" si="25"/>
        <v>0</v>
      </c>
      <c r="L205" s="1161"/>
      <c r="N205" s="1162" t="str">
        <f t="shared" si="28"/>
        <v xml:space="preserve"> </v>
      </c>
      <c r="O205" s="1163" t="str">
        <f t="shared" si="29"/>
        <v xml:space="preserve"> </v>
      </c>
      <c r="Q205">
        <f t="shared" si="30"/>
        <v>0</v>
      </c>
      <c r="R205">
        <f t="shared" si="31"/>
        <v>0</v>
      </c>
    </row>
    <row r="206" spans="2:18" x14ac:dyDescent="0.15">
      <c r="B206" s="1157"/>
      <c r="C206" s="1158"/>
      <c r="D206" s="897"/>
      <c r="E206" s="1159" t="str">
        <f t="shared" si="26"/>
        <v xml:space="preserve"> </v>
      </c>
      <c r="G206" s="1160" t="str">
        <f t="shared" si="27"/>
        <v xml:space="preserve"> </v>
      </c>
      <c r="H206" s="1149"/>
      <c r="I206">
        <f t="shared" si="24"/>
        <v>0</v>
      </c>
      <c r="K206">
        <f t="shared" si="25"/>
        <v>0</v>
      </c>
      <c r="L206" s="1161"/>
      <c r="N206" s="1162" t="str">
        <f t="shared" si="28"/>
        <v xml:space="preserve"> </v>
      </c>
      <c r="O206" s="1163" t="str">
        <f t="shared" si="29"/>
        <v xml:space="preserve"> </v>
      </c>
      <c r="Q206">
        <f t="shared" si="30"/>
        <v>0</v>
      </c>
      <c r="R206">
        <f t="shared" si="31"/>
        <v>0</v>
      </c>
    </row>
    <row r="207" spans="2:18" x14ac:dyDescent="0.15">
      <c r="B207" s="1157"/>
      <c r="C207" s="1158"/>
      <c r="D207" s="897"/>
      <c r="E207" s="1159" t="str">
        <f t="shared" si="26"/>
        <v xml:space="preserve"> </v>
      </c>
      <c r="G207" s="1160" t="str">
        <f t="shared" si="27"/>
        <v xml:space="preserve"> </v>
      </c>
      <c r="H207" s="1149"/>
      <c r="I207">
        <f t="shared" si="24"/>
        <v>0</v>
      </c>
      <c r="K207">
        <f t="shared" si="25"/>
        <v>0</v>
      </c>
      <c r="L207" s="1161"/>
      <c r="N207" s="1162" t="str">
        <f t="shared" si="28"/>
        <v xml:space="preserve"> </v>
      </c>
      <c r="O207" s="1163" t="str">
        <f t="shared" si="29"/>
        <v xml:space="preserve"> </v>
      </c>
      <c r="Q207">
        <f t="shared" si="30"/>
        <v>0</v>
      </c>
      <c r="R207">
        <f t="shared" si="31"/>
        <v>0</v>
      </c>
    </row>
    <row r="208" spans="2:18" x14ac:dyDescent="0.15">
      <c r="B208" s="1157"/>
      <c r="C208" s="1158"/>
      <c r="D208" s="897"/>
      <c r="E208" s="1159" t="str">
        <f t="shared" si="26"/>
        <v xml:space="preserve"> </v>
      </c>
      <c r="G208" s="1160" t="str">
        <f t="shared" si="27"/>
        <v xml:space="preserve"> </v>
      </c>
      <c r="H208" s="1149"/>
      <c r="I208">
        <f t="shared" si="24"/>
        <v>0</v>
      </c>
      <c r="K208">
        <f t="shared" si="25"/>
        <v>0</v>
      </c>
      <c r="L208" s="1161"/>
      <c r="N208" s="1162" t="str">
        <f t="shared" si="28"/>
        <v xml:space="preserve"> </v>
      </c>
      <c r="O208" s="1163" t="str">
        <f t="shared" si="29"/>
        <v xml:space="preserve"> </v>
      </c>
      <c r="Q208">
        <f t="shared" si="30"/>
        <v>0</v>
      </c>
      <c r="R208">
        <f t="shared" si="31"/>
        <v>0</v>
      </c>
    </row>
    <row r="209" spans="2:18" x14ac:dyDescent="0.15">
      <c r="B209" s="1157"/>
      <c r="C209" s="1158"/>
      <c r="D209" s="897"/>
      <c r="E209" s="1159" t="str">
        <f t="shared" si="26"/>
        <v xml:space="preserve"> </v>
      </c>
      <c r="G209" s="1160" t="str">
        <f t="shared" si="27"/>
        <v xml:space="preserve"> </v>
      </c>
      <c r="H209" s="1149"/>
      <c r="I209">
        <f t="shared" si="24"/>
        <v>0</v>
      </c>
      <c r="K209">
        <f t="shared" si="25"/>
        <v>0</v>
      </c>
      <c r="L209" s="1161"/>
      <c r="N209" s="1162" t="str">
        <f t="shared" si="28"/>
        <v xml:space="preserve"> </v>
      </c>
      <c r="O209" s="1163" t="str">
        <f t="shared" si="29"/>
        <v xml:space="preserve"> </v>
      </c>
      <c r="Q209">
        <f t="shared" si="30"/>
        <v>0</v>
      </c>
      <c r="R209">
        <f t="shared" si="31"/>
        <v>0</v>
      </c>
    </row>
    <row r="210" spans="2:18" x14ac:dyDescent="0.15">
      <c r="B210" s="1157"/>
      <c r="C210" s="1158"/>
      <c r="D210" s="897"/>
      <c r="E210" s="1159" t="str">
        <f t="shared" si="26"/>
        <v xml:space="preserve"> </v>
      </c>
      <c r="G210" s="1160" t="str">
        <f t="shared" si="27"/>
        <v xml:space="preserve"> </v>
      </c>
      <c r="H210" s="1149"/>
      <c r="I210">
        <f t="shared" si="24"/>
        <v>0</v>
      </c>
      <c r="K210">
        <f t="shared" si="25"/>
        <v>0</v>
      </c>
      <c r="L210" s="1161"/>
      <c r="N210" s="1162" t="str">
        <f t="shared" si="28"/>
        <v xml:space="preserve"> </v>
      </c>
      <c r="O210" s="1163" t="str">
        <f t="shared" si="29"/>
        <v xml:space="preserve"> </v>
      </c>
      <c r="Q210">
        <f t="shared" si="30"/>
        <v>0</v>
      </c>
      <c r="R210">
        <f t="shared" si="31"/>
        <v>0</v>
      </c>
    </row>
    <row r="211" spans="2:18" x14ac:dyDescent="0.15">
      <c r="B211" s="1157"/>
      <c r="C211" s="1158"/>
      <c r="D211" s="897"/>
      <c r="E211" s="1159" t="str">
        <f t="shared" si="26"/>
        <v xml:space="preserve"> </v>
      </c>
      <c r="G211" s="1160" t="str">
        <f t="shared" si="27"/>
        <v xml:space="preserve"> </v>
      </c>
      <c r="H211" s="1149"/>
      <c r="I211">
        <f t="shared" si="24"/>
        <v>0</v>
      </c>
      <c r="K211">
        <f t="shared" si="25"/>
        <v>0</v>
      </c>
      <c r="L211" s="1161"/>
      <c r="N211" s="1162" t="str">
        <f t="shared" si="28"/>
        <v xml:space="preserve"> </v>
      </c>
      <c r="O211" s="1163" t="str">
        <f t="shared" si="29"/>
        <v xml:space="preserve"> </v>
      </c>
      <c r="Q211">
        <f t="shared" si="30"/>
        <v>0</v>
      </c>
      <c r="R211">
        <f t="shared" si="31"/>
        <v>0</v>
      </c>
    </row>
    <row r="212" spans="2:18" x14ac:dyDescent="0.15">
      <c r="B212" s="1157"/>
      <c r="C212" s="1158"/>
      <c r="D212" s="897"/>
      <c r="E212" s="1159" t="str">
        <f t="shared" si="26"/>
        <v xml:space="preserve"> </v>
      </c>
      <c r="G212" s="1160" t="str">
        <f t="shared" si="27"/>
        <v xml:space="preserve"> </v>
      </c>
      <c r="H212" s="1149"/>
      <c r="I212">
        <f t="shared" si="24"/>
        <v>0</v>
      </c>
      <c r="K212">
        <f t="shared" si="25"/>
        <v>0</v>
      </c>
      <c r="L212" s="1161"/>
      <c r="N212" s="1162" t="str">
        <f t="shared" si="28"/>
        <v xml:space="preserve"> </v>
      </c>
      <c r="O212" s="1163" t="str">
        <f t="shared" si="29"/>
        <v xml:space="preserve"> </v>
      </c>
      <c r="Q212">
        <f t="shared" si="30"/>
        <v>0</v>
      </c>
      <c r="R212">
        <f t="shared" si="31"/>
        <v>0</v>
      </c>
    </row>
    <row r="213" spans="2:18" x14ac:dyDescent="0.15">
      <c r="B213" s="1157"/>
      <c r="C213" s="1158"/>
      <c r="D213" s="897"/>
      <c r="E213" s="1159" t="str">
        <f t="shared" si="26"/>
        <v xml:space="preserve"> </v>
      </c>
      <c r="G213" s="1160" t="str">
        <f t="shared" si="27"/>
        <v xml:space="preserve"> </v>
      </c>
      <c r="H213" s="1149"/>
      <c r="I213">
        <f t="shared" si="24"/>
        <v>0</v>
      </c>
      <c r="K213">
        <f t="shared" si="25"/>
        <v>0</v>
      </c>
      <c r="L213" s="1161"/>
      <c r="N213" s="1162" t="str">
        <f t="shared" si="28"/>
        <v xml:space="preserve"> </v>
      </c>
      <c r="O213" s="1163" t="str">
        <f t="shared" si="29"/>
        <v xml:space="preserve"> </v>
      </c>
      <c r="Q213">
        <f t="shared" si="30"/>
        <v>0</v>
      </c>
      <c r="R213">
        <f t="shared" si="31"/>
        <v>0</v>
      </c>
    </row>
    <row r="214" spans="2:18" x14ac:dyDescent="0.15">
      <c r="B214" s="1157"/>
      <c r="C214" s="1158"/>
      <c r="D214" s="897"/>
      <c r="E214" s="1159" t="str">
        <f t="shared" si="26"/>
        <v xml:space="preserve"> </v>
      </c>
      <c r="G214" s="1160" t="str">
        <f t="shared" si="27"/>
        <v xml:space="preserve"> </v>
      </c>
      <c r="H214" s="1149"/>
      <c r="I214">
        <f t="shared" si="24"/>
        <v>0</v>
      </c>
      <c r="K214">
        <f t="shared" si="25"/>
        <v>0</v>
      </c>
      <c r="L214" s="1161"/>
      <c r="N214" s="1162" t="str">
        <f t="shared" si="28"/>
        <v xml:space="preserve"> </v>
      </c>
      <c r="O214" s="1163" t="str">
        <f t="shared" si="29"/>
        <v xml:space="preserve"> </v>
      </c>
      <c r="Q214">
        <f t="shared" si="30"/>
        <v>0</v>
      </c>
      <c r="R214">
        <f t="shared" si="31"/>
        <v>0</v>
      </c>
    </row>
    <row r="215" spans="2:18" x14ac:dyDescent="0.15">
      <c r="B215" s="1157"/>
      <c r="C215" s="1158"/>
      <c r="D215" s="897"/>
      <c r="E215" s="1159" t="str">
        <f t="shared" si="26"/>
        <v xml:space="preserve"> </v>
      </c>
      <c r="G215" s="1160" t="str">
        <f t="shared" si="27"/>
        <v xml:space="preserve"> </v>
      </c>
      <c r="H215" s="1149"/>
      <c r="I215">
        <f t="shared" si="24"/>
        <v>0</v>
      </c>
      <c r="K215">
        <f t="shared" si="25"/>
        <v>0</v>
      </c>
      <c r="L215" s="1161"/>
      <c r="N215" s="1162" t="str">
        <f t="shared" si="28"/>
        <v xml:space="preserve"> </v>
      </c>
      <c r="O215" s="1163" t="str">
        <f t="shared" si="29"/>
        <v xml:space="preserve"> </v>
      </c>
      <c r="Q215">
        <f t="shared" si="30"/>
        <v>0</v>
      </c>
      <c r="R215">
        <f t="shared" si="31"/>
        <v>0</v>
      </c>
    </row>
    <row r="216" spans="2:18" x14ac:dyDescent="0.15">
      <c r="B216" s="1157"/>
      <c r="C216" s="1158"/>
      <c r="D216" s="897"/>
      <c r="E216" s="1159" t="str">
        <f t="shared" si="26"/>
        <v xml:space="preserve"> </v>
      </c>
      <c r="G216" s="1160" t="str">
        <f t="shared" si="27"/>
        <v xml:space="preserve"> </v>
      </c>
      <c r="H216" s="1149"/>
      <c r="I216">
        <f t="shared" si="24"/>
        <v>0</v>
      </c>
      <c r="K216">
        <f t="shared" si="25"/>
        <v>0</v>
      </c>
      <c r="L216" s="1161"/>
      <c r="N216" s="1162" t="str">
        <f t="shared" si="28"/>
        <v xml:space="preserve"> </v>
      </c>
      <c r="O216" s="1163" t="str">
        <f t="shared" si="29"/>
        <v xml:space="preserve"> </v>
      </c>
      <c r="Q216">
        <f t="shared" si="30"/>
        <v>0</v>
      </c>
      <c r="R216">
        <f t="shared" si="31"/>
        <v>0</v>
      </c>
    </row>
    <row r="217" spans="2:18" x14ac:dyDescent="0.15">
      <c r="B217" s="1157"/>
      <c r="C217" s="1158"/>
      <c r="D217" s="897"/>
      <c r="E217" s="1159" t="str">
        <f t="shared" si="26"/>
        <v xml:space="preserve"> </v>
      </c>
      <c r="G217" s="1160" t="str">
        <f t="shared" si="27"/>
        <v xml:space="preserve"> </v>
      </c>
      <c r="H217" s="1149"/>
      <c r="I217">
        <f t="shared" si="24"/>
        <v>0</v>
      </c>
      <c r="K217">
        <f t="shared" si="25"/>
        <v>0</v>
      </c>
      <c r="L217" s="1161"/>
      <c r="N217" s="1162" t="str">
        <f t="shared" si="28"/>
        <v xml:space="preserve"> </v>
      </c>
      <c r="O217" s="1163" t="str">
        <f t="shared" si="29"/>
        <v xml:space="preserve"> </v>
      </c>
      <c r="Q217">
        <f t="shared" si="30"/>
        <v>0</v>
      </c>
      <c r="R217">
        <f t="shared" si="31"/>
        <v>0</v>
      </c>
    </row>
    <row r="218" spans="2:18" x14ac:dyDescent="0.15">
      <c r="B218" s="1157"/>
      <c r="C218" s="1158"/>
      <c r="D218" s="897"/>
      <c r="E218" s="1159" t="str">
        <f t="shared" si="26"/>
        <v xml:space="preserve"> </v>
      </c>
      <c r="G218" s="1160" t="str">
        <f t="shared" si="27"/>
        <v xml:space="preserve"> </v>
      </c>
      <c r="H218" s="1149"/>
      <c r="I218">
        <f t="shared" si="24"/>
        <v>0</v>
      </c>
      <c r="K218">
        <f t="shared" si="25"/>
        <v>0</v>
      </c>
      <c r="L218" s="1161"/>
      <c r="N218" s="1162" t="str">
        <f t="shared" si="28"/>
        <v xml:space="preserve"> </v>
      </c>
      <c r="O218" s="1163" t="str">
        <f t="shared" si="29"/>
        <v xml:space="preserve"> </v>
      </c>
      <c r="Q218">
        <f t="shared" si="30"/>
        <v>0</v>
      </c>
      <c r="R218">
        <f t="shared" si="31"/>
        <v>0</v>
      </c>
    </row>
    <row r="219" spans="2:18" x14ac:dyDescent="0.15">
      <c r="B219" s="1157"/>
      <c r="C219" s="1158"/>
      <c r="D219" s="897"/>
      <c r="E219" s="1159" t="str">
        <f t="shared" si="26"/>
        <v xml:space="preserve"> </v>
      </c>
      <c r="G219" s="1160" t="str">
        <f t="shared" si="27"/>
        <v xml:space="preserve"> </v>
      </c>
      <c r="H219" s="1149"/>
      <c r="I219">
        <f t="shared" si="24"/>
        <v>0</v>
      </c>
      <c r="K219">
        <f t="shared" si="25"/>
        <v>0</v>
      </c>
      <c r="L219" s="1161"/>
      <c r="N219" s="1162" t="str">
        <f t="shared" si="28"/>
        <v xml:space="preserve"> </v>
      </c>
      <c r="O219" s="1163" t="str">
        <f t="shared" si="29"/>
        <v xml:space="preserve"> </v>
      </c>
      <c r="Q219">
        <f t="shared" si="30"/>
        <v>0</v>
      </c>
      <c r="R219">
        <f t="shared" si="31"/>
        <v>0</v>
      </c>
    </row>
    <row r="220" spans="2:18" x14ac:dyDescent="0.15">
      <c r="B220" s="1157"/>
      <c r="C220" s="1158"/>
      <c r="D220" s="897"/>
      <c r="E220" s="1159" t="str">
        <f t="shared" si="26"/>
        <v xml:space="preserve"> </v>
      </c>
      <c r="G220" s="1160" t="str">
        <f t="shared" si="27"/>
        <v xml:space="preserve"> </v>
      </c>
      <c r="H220" s="1149"/>
      <c r="I220">
        <f t="shared" si="24"/>
        <v>0</v>
      </c>
      <c r="K220">
        <f t="shared" si="25"/>
        <v>0</v>
      </c>
      <c r="L220" s="1161"/>
      <c r="N220" s="1162" t="str">
        <f t="shared" si="28"/>
        <v xml:space="preserve"> </v>
      </c>
      <c r="O220" s="1163" t="str">
        <f t="shared" si="29"/>
        <v xml:space="preserve"> </v>
      </c>
      <c r="Q220">
        <f t="shared" si="30"/>
        <v>0</v>
      </c>
      <c r="R220">
        <f t="shared" si="31"/>
        <v>0</v>
      </c>
    </row>
    <row r="221" spans="2:18" x14ac:dyDescent="0.15">
      <c r="B221" s="1157"/>
      <c r="C221" s="1158"/>
      <c r="D221" s="897"/>
      <c r="E221" s="1159" t="str">
        <f t="shared" si="26"/>
        <v xml:space="preserve"> </v>
      </c>
      <c r="G221" s="1160" t="str">
        <f t="shared" si="27"/>
        <v xml:space="preserve"> </v>
      </c>
      <c r="H221" s="1149"/>
      <c r="I221">
        <f t="shared" si="24"/>
        <v>0</v>
      </c>
      <c r="K221">
        <f t="shared" si="25"/>
        <v>0</v>
      </c>
      <c r="L221" s="1161"/>
      <c r="N221" s="1162" t="str">
        <f t="shared" si="28"/>
        <v xml:space="preserve"> </v>
      </c>
      <c r="O221" s="1163" t="str">
        <f t="shared" si="29"/>
        <v xml:space="preserve"> </v>
      </c>
      <c r="Q221">
        <f t="shared" si="30"/>
        <v>0</v>
      </c>
      <c r="R221">
        <f t="shared" si="31"/>
        <v>0</v>
      </c>
    </row>
    <row r="222" spans="2:18" x14ac:dyDescent="0.15">
      <c r="B222" s="1157"/>
      <c r="C222" s="1158"/>
      <c r="D222" s="897"/>
      <c r="E222" s="1159" t="str">
        <f t="shared" si="26"/>
        <v xml:space="preserve"> </v>
      </c>
      <c r="G222" s="1160" t="str">
        <f t="shared" si="27"/>
        <v xml:space="preserve"> </v>
      </c>
      <c r="H222" s="1149"/>
      <c r="I222">
        <f t="shared" si="24"/>
        <v>0</v>
      </c>
      <c r="K222">
        <f t="shared" si="25"/>
        <v>0</v>
      </c>
      <c r="L222" s="1161"/>
      <c r="N222" s="1162" t="str">
        <f t="shared" si="28"/>
        <v xml:space="preserve"> </v>
      </c>
      <c r="O222" s="1163" t="str">
        <f t="shared" si="29"/>
        <v xml:space="preserve"> </v>
      </c>
      <c r="Q222">
        <f t="shared" si="30"/>
        <v>0</v>
      </c>
      <c r="R222">
        <f t="shared" si="31"/>
        <v>0</v>
      </c>
    </row>
    <row r="223" spans="2:18" x14ac:dyDescent="0.15">
      <c r="B223" s="1157"/>
      <c r="C223" s="1158"/>
      <c r="D223" s="897"/>
      <c r="E223" s="1159" t="str">
        <f t="shared" si="26"/>
        <v xml:space="preserve"> </v>
      </c>
      <c r="G223" s="1160" t="str">
        <f t="shared" si="27"/>
        <v xml:space="preserve"> </v>
      </c>
      <c r="H223" s="1149"/>
      <c r="I223">
        <f t="shared" si="24"/>
        <v>0</v>
      </c>
      <c r="K223">
        <f t="shared" si="25"/>
        <v>0</v>
      </c>
      <c r="L223" s="1161"/>
      <c r="N223" s="1162" t="str">
        <f t="shared" si="28"/>
        <v xml:space="preserve"> </v>
      </c>
      <c r="O223" s="1163" t="str">
        <f t="shared" si="29"/>
        <v xml:space="preserve"> </v>
      </c>
      <c r="Q223">
        <f t="shared" si="30"/>
        <v>0</v>
      </c>
      <c r="R223">
        <f t="shared" si="31"/>
        <v>0</v>
      </c>
    </row>
    <row r="224" spans="2:18" x14ac:dyDescent="0.15">
      <c r="B224" s="1157"/>
      <c r="C224" s="1158"/>
      <c r="D224" s="897"/>
      <c r="E224" s="1159" t="str">
        <f t="shared" si="26"/>
        <v xml:space="preserve"> </v>
      </c>
      <c r="G224" s="1160" t="str">
        <f t="shared" si="27"/>
        <v xml:space="preserve"> </v>
      </c>
      <c r="H224" s="1149"/>
      <c r="I224">
        <f t="shared" si="24"/>
        <v>0</v>
      </c>
      <c r="K224">
        <f t="shared" si="25"/>
        <v>0</v>
      </c>
      <c r="L224" s="1161"/>
      <c r="N224" s="1162" t="str">
        <f t="shared" si="28"/>
        <v xml:space="preserve"> </v>
      </c>
      <c r="O224" s="1163" t="str">
        <f t="shared" si="29"/>
        <v xml:space="preserve"> </v>
      </c>
      <c r="Q224">
        <f t="shared" si="30"/>
        <v>0</v>
      </c>
      <c r="R224">
        <f t="shared" si="31"/>
        <v>0</v>
      </c>
    </row>
    <row r="225" spans="2:18" x14ac:dyDescent="0.15">
      <c r="B225" s="1157"/>
      <c r="C225" s="1158"/>
      <c r="D225" s="897"/>
      <c r="E225" s="1159" t="str">
        <f t="shared" si="26"/>
        <v xml:space="preserve"> </v>
      </c>
      <c r="G225" s="1160" t="str">
        <f t="shared" si="27"/>
        <v xml:space="preserve"> </v>
      </c>
      <c r="H225" s="1149"/>
      <c r="I225">
        <f t="shared" si="24"/>
        <v>0</v>
      </c>
      <c r="K225">
        <f t="shared" si="25"/>
        <v>0</v>
      </c>
      <c r="L225" s="1161"/>
      <c r="N225" s="1162" t="str">
        <f t="shared" si="28"/>
        <v xml:space="preserve"> </v>
      </c>
      <c r="O225" s="1163" t="str">
        <f t="shared" si="29"/>
        <v xml:space="preserve"> </v>
      </c>
      <c r="Q225">
        <f t="shared" si="30"/>
        <v>0</v>
      </c>
      <c r="R225">
        <f t="shared" si="31"/>
        <v>0</v>
      </c>
    </row>
    <row r="226" spans="2:18" x14ac:dyDescent="0.15">
      <c r="B226" s="1157"/>
      <c r="C226" s="1158"/>
      <c r="D226" s="897"/>
      <c r="E226" s="1159" t="str">
        <f t="shared" si="26"/>
        <v xml:space="preserve"> </v>
      </c>
      <c r="G226" s="1160" t="str">
        <f t="shared" si="27"/>
        <v xml:space="preserve"> </v>
      </c>
      <c r="H226" s="1149"/>
      <c r="I226">
        <f t="shared" si="24"/>
        <v>0</v>
      </c>
      <c r="K226">
        <f t="shared" si="25"/>
        <v>0</v>
      </c>
      <c r="L226" s="1161"/>
      <c r="N226" s="1162" t="str">
        <f t="shared" si="28"/>
        <v xml:space="preserve"> </v>
      </c>
      <c r="O226" s="1163" t="str">
        <f t="shared" si="29"/>
        <v xml:space="preserve"> </v>
      </c>
      <c r="Q226">
        <f t="shared" si="30"/>
        <v>0</v>
      </c>
      <c r="R226">
        <f t="shared" si="31"/>
        <v>0</v>
      </c>
    </row>
    <row r="227" spans="2:18" x14ac:dyDescent="0.15">
      <c r="B227" s="1157"/>
      <c r="C227" s="1158"/>
      <c r="D227" s="897"/>
      <c r="E227" s="1159" t="str">
        <f t="shared" si="26"/>
        <v xml:space="preserve"> </v>
      </c>
      <c r="G227" s="1160" t="str">
        <f t="shared" si="27"/>
        <v xml:space="preserve"> </v>
      </c>
      <c r="H227" s="1149"/>
      <c r="I227">
        <f t="shared" si="24"/>
        <v>0</v>
      </c>
      <c r="K227">
        <f t="shared" si="25"/>
        <v>0</v>
      </c>
      <c r="L227" s="1161"/>
      <c r="N227" s="1162" t="str">
        <f t="shared" si="28"/>
        <v xml:space="preserve"> </v>
      </c>
      <c r="O227" s="1163" t="str">
        <f t="shared" si="29"/>
        <v xml:space="preserve"> </v>
      </c>
      <c r="Q227">
        <f t="shared" si="30"/>
        <v>0</v>
      </c>
      <c r="R227">
        <f t="shared" si="31"/>
        <v>0</v>
      </c>
    </row>
    <row r="228" spans="2:18" x14ac:dyDescent="0.15">
      <c r="B228" s="1157"/>
      <c r="C228" s="1158"/>
      <c r="D228" s="897"/>
      <c r="E228" s="1159" t="str">
        <f t="shared" si="26"/>
        <v xml:space="preserve"> </v>
      </c>
      <c r="G228" s="1160" t="str">
        <f t="shared" si="27"/>
        <v xml:space="preserve"> </v>
      </c>
      <c r="H228" s="1149"/>
      <c r="I228">
        <f t="shared" si="24"/>
        <v>0</v>
      </c>
      <c r="K228">
        <f t="shared" si="25"/>
        <v>0</v>
      </c>
      <c r="L228" s="1161"/>
      <c r="N228" s="1162" t="str">
        <f t="shared" si="28"/>
        <v xml:space="preserve"> </v>
      </c>
      <c r="O228" s="1163" t="str">
        <f t="shared" si="29"/>
        <v xml:space="preserve"> </v>
      </c>
      <c r="Q228">
        <f t="shared" si="30"/>
        <v>0</v>
      </c>
      <c r="R228">
        <f t="shared" si="31"/>
        <v>0</v>
      </c>
    </row>
    <row r="229" spans="2:18" x14ac:dyDescent="0.15">
      <c r="B229" s="1157"/>
      <c r="C229" s="1158"/>
      <c r="D229" s="897"/>
      <c r="E229" s="1159" t="str">
        <f t="shared" si="26"/>
        <v xml:space="preserve"> </v>
      </c>
      <c r="G229" s="1160" t="str">
        <f t="shared" si="27"/>
        <v xml:space="preserve"> </v>
      </c>
      <c r="H229" s="1149"/>
      <c r="I229">
        <f t="shared" si="24"/>
        <v>0</v>
      </c>
      <c r="K229">
        <f t="shared" si="25"/>
        <v>0</v>
      </c>
      <c r="L229" s="1161"/>
      <c r="N229" s="1162" t="str">
        <f t="shared" si="28"/>
        <v xml:space="preserve"> </v>
      </c>
      <c r="O229" s="1163" t="str">
        <f t="shared" si="29"/>
        <v xml:space="preserve"> </v>
      </c>
      <c r="Q229">
        <f t="shared" si="30"/>
        <v>0</v>
      </c>
      <c r="R229">
        <f t="shared" si="31"/>
        <v>0</v>
      </c>
    </row>
    <row r="230" spans="2:18" x14ac:dyDescent="0.15">
      <c r="B230" s="1157"/>
      <c r="C230" s="1158"/>
      <c r="D230" s="897"/>
      <c r="E230" s="1159" t="str">
        <f t="shared" si="26"/>
        <v xml:space="preserve"> </v>
      </c>
      <c r="G230" s="1160" t="str">
        <f t="shared" si="27"/>
        <v xml:space="preserve"> </v>
      </c>
      <c r="H230" s="1149"/>
      <c r="I230">
        <f t="shared" si="24"/>
        <v>0</v>
      </c>
      <c r="K230">
        <f t="shared" si="25"/>
        <v>0</v>
      </c>
      <c r="L230" s="1161"/>
      <c r="N230" s="1162" t="str">
        <f t="shared" si="28"/>
        <v xml:space="preserve"> </v>
      </c>
      <c r="O230" s="1163" t="str">
        <f t="shared" si="29"/>
        <v xml:space="preserve"> </v>
      </c>
      <c r="Q230">
        <f t="shared" si="30"/>
        <v>0</v>
      </c>
      <c r="R230">
        <f t="shared" si="31"/>
        <v>0</v>
      </c>
    </row>
    <row r="231" spans="2:18" x14ac:dyDescent="0.15">
      <c r="B231" s="1157"/>
      <c r="C231" s="1158"/>
      <c r="D231" s="897"/>
      <c r="E231" s="1159" t="str">
        <f t="shared" si="26"/>
        <v xml:space="preserve"> </v>
      </c>
      <c r="G231" s="1160" t="str">
        <f t="shared" si="27"/>
        <v xml:space="preserve"> </v>
      </c>
      <c r="H231" s="1149"/>
      <c r="I231">
        <f t="shared" si="24"/>
        <v>0</v>
      </c>
      <c r="K231">
        <f t="shared" si="25"/>
        <v>0</v>
      </c>
      <c r="L231" s="1161"/>
      <c r="N231" s="1162" t="str">
        <f t="shared" si="28"/>
        <v xml:space="preserve"> </v>
      </c>
      <c r="O231" s="1163" t="str">
        <f t="shared" si="29"/>
        <v xml:space="preserve"> </v>
      </c>
      <c r="Q231">
        <f t="shared" si="30"/>
        <v>0</v>
      </c>
      <c r="R231">
        <f t="shared" si="31"/>
        <v>0</v>
      </c>
    </row>
    <row r="232" spans="2:18" x14ac:dyDescent="0.15">
      <c r="B232" s="1157"/>
      <c r="C232" s="1158"/>
      <c r="D232" s="897"/>
      <c r="E232" s="1159" t="str">
        <f t="shared" si="26"/>
        <v xml:space="preserve"> </v>
      </c>
      <c r="G232" s="1160" t="str">
        <f t="shared" si="27"/>
        <v xml:space="preserve"> </v>
      </c>
      <c r="H232" s="1149"/>
      <c r="I232">
        <f t="shared" si="24"/>
        <v>0</v>
      </c>
      <c r="K232">
        <f t="shared" si="25"/>
        <v>0</v>
      </c>
      <c r="L232" s="1161"/>
      <c r="N232" s="1162" t="str">
        <f t="shared" si="28"/>
        <v xml:space="preserve"> </v>
      </c>
      <c r="O232" s="1163" t="str">
        <f t="shared" si="29"/>
        <v xml:space="preserve"> </v>
      </c>
      <c r="Q232">
        <f t="shared" si="30"/>
        <v>0</v>
      </c>
      <c r="R232">
        <f t="shared" si="31"/>
        <v>0</v>
      </c>
    </row>
    <row r="233" spans="2:18" x14ac:dyDescent="0.15">
      <c r="B233" s="1157"/>
      <c r="C233" s="1158"/>
      <c r="D233" s="897"/>
      <c r="E233" s="1159" t="str">
        <f t="shared" si="26"/>
        <v xml:space="preserve"> </v>
      </c>
      <c r="G233" s="1160" t="str">
        <f t="shared" si="27"/>
        <v xml:space="preserve"> </v>
      </c>
      <c r="H233" s="1149"/>
      <c r="I233">
        <f t="shared" si="24"/>
        <v>0</v>
      </c>
      <c r="K233">
        <f t="shared" si="25"/>
        <v>0</v>
      </c>
      <c r="L233" s="1161"/>
      <c r="N233" s="1162" t="str">
        <f t="shared" si="28"/>
        <v xml:space="preserve"> </v>
      </c>
      <c r="O233" s="1163" t="str">
        <f t="shared" si="29"/>
        <v xml:space="preserve"> </v>
      </c>
      <c r="Q233">
        <f t="shared" si="30"/>
        <v>0</v>
      </c>
      <c r="R233">
        <f t="shared" si="31"/>
        <v>0</v>
      </c>
    </row>
    <row r="234" spans="2:18" x14ac:dyDescent="0.15">
      <c r="B234" s="1157"/>
      <c r="C234" s="1158"/>
      <c r="D234" s="897"/>
      <c r="E234" s="1159" t="str">
        <f t="shared" si="26"/>
        <v xml:space="preserve"> </v>
      </c>
      <c r="G234" s="1160" t="str">
        <f t="shared" si="27"/>
        <v xml:space="preserve"> </v>
      </c>
      <c r="H234" s="1149"/>
      <c r="I234">
        <f t="shared" si="24"/>
        <v>0</v>
      </c>
      <c r="K234">
        <f t="shared" si="25"/>
        <v>0</v>
      </c>
      <c r="L234" s="1161"/>
      <c r="N234" s="1162" t="str">
        <f t="shared" si="28"/>
        <v xml:space="preserve"> </v>
      </c>
      <c r="O234" s="1163" t="str">
        <f t="shared" si="29"/>
        <v xml:space="preserve"> </v>
      </c>
      <c r="Q234">
        <f t="shared" si="30"/>
        <v>0</v>
      </c>
      <c r="R234">
        <f t="shared" si="31"/>
        <v>0</v>
      </c>
    </row>
    <row r="235" spans="2:18" x14ac:dyDescent="0.15">
      <c r="B235" s="1157"/>
      <c r="C235" s="1158"/>
      <c r="D235" s="897"/>
      <c r="E235" s="1159" t="str">
        <f t="shared" si="26"/>
        <v xml:space="preserve"> </v>
      </c>
      <c r="G235" s="1160" t="str">
        <f t="shared" si="27"/>
        <v xml:space="preserve"> </v>
      </c>
      <c r="H235" s="1149"/>
      <c r="I235">
        <f t="shared" si="24"/>
        <v>0</v>
      </c>
      <c r="K235">
        <f t="shared" si="25"/>
        <v>0</v>
      </c>
      <c r="L235" s="1161"/>
      <c r="N235" s="1162" t="str">
        <f t="shared" si="28"/>
        <v xml:space="preserve"> </v>
      </c>
      <c r="O235" s="1163" t="str">
        <f t="shared" si="29"/>
        <v xml:space="preserve"> </v>
      </c>
      <c r="Q235">
        <f t="shared" si="30"/>
        <v>0</v>
      </c>
      <c r="R235">
        <f t="shared" si="31"/>
        <v>0</v>
      </c>
    </row>
    <row r="236" spans="2:18" x14ac:dyDescent="0.15">
      <c r="B236" s="1157"/>
      <c r="C236" s="1158"/>
      <c r="D236" s="897"/>
      <c r="E236" s="1159" t="str">
        <f t="shared" si="26"/>
        <v xml:space="preserve"> </v>
      </c>
      <c r="G236" s="1160" t="str">
        <f t="shared" si="27"/>
        <v xml:space="preserve"> </v>
      </c>
      <c r="H236" s="1149"/>
      <c r="I236">
        <f t="shared" si="24"/>
        <v>0</v>
      </c>
      <c r="K236">
        <f t="shared" si="25"/>
        <v>0</v>
      </c>
      <c r="L236" s="1161"/>
      <c r="N236" s="1162" t="str">
        <f t="shared" si="28"/>
        <v xml:space="preserve"> </v>
      </c>
      <c r="O236" s="1163" t="str">
        <f t="shared" si="29"/>
        <v xml:space="preserve"> </v>
      </c>
      <c r="Q236">
        <f t="shared" si="30"/>
        <v>0</v>
      </c>
      <c r="R236">
        <f t="shared" si="31"/>
        <v>0</v>
      </c>
    </row>
    <row r="237" spans="2:18" x14ac:dyDescent="0.15">
      <c r="B237" s="1157"/>
      <c r="C237" s="1158"/>
      <c r="D237" s="897"/>
      <c r="E237" s="1159" t="str">
        <f t="shared" si="26"/>
        <v xml:space="preserve"> </v>
      </c>
      <c r="G237" s="1160" t="str">
        <f t="shared" si="27"/>
        <v xml:space="preserve"> </v>
      </c>
      <c r="H237" s="1149"/>
      <c r="I237">
        <f t="shared" si="24"/>
        <v>0</v>
      </c>
      <c r="K237">
        <f t="shared" si="25"/>
        <v>0</v>
      </c>
      <c r="L237" s="1161"/>
      <c r="N237" s="1162" t="str">
        <f t="shared" si="28"/>
        <v xml:space="preserve"> </v>
      </c>
      <c r="O237" s="1163" t="str">
        <f t="shared" si="29"/>
        <v xml:space="preserve"> </v>
      </c>
      <c r="Q237">
        <f t="shared" si="30"/>
        <v>0</v>
      </c>
      <c r="R237">
        <f t="shared" si="31"/>
        <v>0</v>
      </c>
    </row>
    <row r="238" spans="2:18" x14ac:dyDescent="0.15">
      <c r="B238" s="1157"/>
      <c r="C238" s="1158"/>
      <c r="D238" s="897"/>
      <c r="E238" s="1159" t="str">
        <f t="shared" si="26"/>
        <v xml:space="preserve"> </v>
      </c>
      <c r="G238" s="1160" t="str">
        <f t="shared" si="27"/>
        <v xml:space="preserve"> </v>
      </c>
      <c r="H238" s="1149"/>
      <c r="I238">
        <f t="shared" si="24"/>
        <v>0</v>
      </c>
      <c r="K238">
        <f t="shared" si="25"/>
        <v>0</v>
      </c>
      <c r="L238" s="1161"/>
      <c r="N238" s="1162" t="str">
        <f t="shared" si="28"/>
        <v xml:space="preserve"> </v>
      </c>
      <c r="O238" s="1163" t="str">
        <f t="shared" si="29"/>
        <v xml:space="preserve"> </v>
      </c>
      <c r="Q238">
        <f t="shared" si="30"/>
        <v>0</v>
      </c>
      <c r="R238">
        <f t="shared" si="31"/>
        <v>0</v>
      </c>
    </row>
    <row r="239" spans="2:18" x14ac:dyDescent="0.15">
      <c r="B239" s="1157"/>
      <c r="C239" s="1158"/>
      <c r="D239" s="897"/>
      <c r="E239" s="1159" t="str">
        <f t="shared" si="26"/>
        <v xml:space="preserve"> </v>
      </c>
      <c r="G239" s="1160" t="str">
        <f t="shared" si="27"/>
        <v xml:space="preserve"> </v>
      </c>
      <c r="H239" s="1149"/>
      <c r="I239">
        <f t="shared" si="24"/>
        <v>0</v>
      </c>
      <c r="K239">
        <f t="shared" si="25"/>
        <v>0</v>
      </c>
      <c r="L239" s="1161"/>
      <c r="N239" s="1162" t="str">
        <f t="shared" si="28"/>
        <v xml:space="preserve"> </v>
      </c>
      <c r="O239" s="1163" t="str">
        <f t="shared" si="29"/>
        <v xml:space="preserve"> </v>
      </c>
      <c r="Q239">
        <f t="shared" si="30"/>
        <v>0</v>
      </c>
      <c r="R239">
        <f t="shared" si="31"/>
        <v>0</v>
      </c>
    </row>
    <row r="240" spans="2:18" x14ac:dyDescent="0.15">
      <c r="B240" s="1157"/>
      <c r="C240" s="1158"/>
      <c r="D240" s="897"/>
      <c r="E240" s="1159" t="str">
        <f t="shared" si="26"/>
        <v xml:space="preserve"> </v>
      </c>
      <c r="G240" s="1160" t="str">
        <f t="shared" si="27"/>
        <v xml:space="preserve"> </v>
      </c>
      <c r="H240" s="1149"/>
      <c r="I240">
        <f t="shared" si="24"/>
        <v>0</v>
      </c>
      <c r="K240">
        <f t="shared" si="25"/>
        <v>0</v>
      </c>
      <c r="L240" s="1161"/>
      <c r="N240" s="1162" t="str">
        <f t="shared" si="28"/>
        <v xml:space="preserve"> </v>
      </c>
      <c r="O240" s="1163" t="str">
        <f t="shared" si="29"/>
        <v xml:space="preserve"> </v>
      </c>
      <c r="Q240">
        <f t="shared" si="30"/>
        <v>0</v>
      </c>
      <c r="R240">
        <f t="shared" si="31"/>
        <v>0</v>
      </c>
    </row>
    <row r="241" spans="2:18" x14ac:dyDescent="0.15">
      <c r="B241" s="1157"/>
      <c r="C241" s="1158"/>
      <c r="D241" s="897"/>
      <c r="E241" s="1159" t="str">
        <f t="shared" si="26"/>
        <v xml:space="preserve"> </v>
      </c>
      <c r="G241" s="1160" t="str">
        <f t="shared" si="27"/>
        <v xml:space="preserve"> </v>
      </c>
      <c r="H241" s="1149"/>
      <c r="I241">
        <f t="shared" si="24"/>
        <v>0</v>
      </c>
      <c r="K241">
        <f t="shared" si="25"/>
        <v>0</v>
      </c>
      <c r="L241" s="1161"/>
      <c r="N241" s="1162" t="str">
        <f t="shared" si="28"/>
        <v xml:space="preserve"> </v>
      </c>
      <c r="O241" s="1163" t="str">
        <f t="shared" si="29"/>
        <v xml:space="preserve"> </v>
      </c>
      <c r="Q241">
        <f t="shared" si="30"/>
        <v>0</v>
      </c>
      <c r="R241">
        <f t="shared" si="31"/>
        <v>0</v>
      </c>
    </row>
    <row r="242" spans="2:18" x14ac:dyDescent="0.15">
      <c r="B242" s="1157"/>
      <c r="C242" s="1158"/>
      <c r="D242" s="897"/>
      <c r="E242" s="1159" t="str">
        <f t="shared" si="26"/>
        <v xml:space="preserve"> </v>
      </c>
      <c r="G242" s="1160" t="str">
        <f t="shared" si="27"/>
        <v xml:space="preserve"> </v>
      </c>
      <c r="H242" s="1149"/>
      <c r="I242">
        <f t="shared" si="24"/>
        <v>0</v>
      </c>
      <c r="K242">
        <f t="shared" si="25"/>
        <v>0</v>
      </c>
      <c r="L242" s="1161"/>
      <c r="N242" s="1162" t="str">
        <f t="shared" si="28"/>
        <v xml:space="preserve"> </v>
      </c>
      <c r="O242" s="1163" t="str">
        <f t="shared" si="29"/>
        <v xml:space="preserve"> </v>
      </c>
      <c r="Q242">
        <f t="shared" si="30"/>
        <v>0</v>
      </c>
      <c r="R242">
        <f t="shared" si="31"/>
        <v>0</v>
      </c>
    </row>
    <row r="243" spans="2:18" x14ac:dyDescent="0.15">
      <c r="B243" s="1157"/>
      <c r="C243" s="1158"/>
      <c r="D243" s="897"/>
      <c r="E243" s="1159" t="str">
        <f t="shared" si="26"/>
        <v xml:space="preserve"> </v>
      </c>
      <c r="G243" s="1160" t="str">
        <f t="shared" si="27"/>
        <v xml:space="preserve"> </v>
      </c>
      <c r="H243" s="1149"/>
      <c r="I243">
        <f t="shared" si="24"/>
        <v>0</v>
      </c>
      <c r="K243">
        <f t="shared" si="25"/>
        <v>0</v>
      </c>
      <c r="L243" s="1161"/>
      <c r="N243" s="1162" t="str">
        <f t="shared" si="28"/>
        <v xml:space="preserve"> </v>
      </c>
      <c r="O243" s="1163" t="str">
        <f t="shared" si="29"/>
        <v xml:space="preserve"> </v>
      </c>
      <c r="Q243">
        <f t="shared" si="30"/>
        <v>0</v>
      </c>
      <c r="R243">
        <f t="shared" si="31"/>
        <v>0</v>
      </c>
    </row>
    <row r="244" spans="2:18" x14ac:dyDescent="0.15">
      <c r="B244" s="1157"/>
      <c r="C244" s="1158"/>
      <c r="D244" s="897"/>
      <c r="E244" s="1159" t="str">
        <f t="shared" si="26"/>
        <v xml:space="preserve"> </v>
      </c>
      <c r="G244" s="1160" t="str">
        <f t="shared" si="27"/>
        <v xml:space="preserve"> </v>
      </c>
      <c r="H244" s="1149"/>
      <c r="I244">
        <f t="shared" si="24"/>
        <v>0</v>
      </c>
      <c r="K244">
        <f t="shared" si="25"/>
        <v>0</v>
      </c>
      <c r="L244" s="1161"/>
      <c r="N244" s="1162" t="str">
        <f t="shared" si="28"/>
        <v xml:space="preserve"> </v>
      </c>
      <c r="O244" s="1163" t="str">
        <f t="shared" si="29"/>
        <v xml:space="preserve"> </v>
      </c>
      <c r="Q244">
        <f t="shared" si="30"/>
        <v>0</v>
      </c>
      <c r="R244">
        <f t="shared" si="31"/>
        <v>0</v>
      </c>
    </row>
    <row r="245" spans="2:18" x14ac:dyDescent="0.15">
      <c r="B245" s="1157"/>
      <c r="C245" s="1158"/>
      <c r="D245" s="897"/>
      <c r="E245" s="1159" t="str">
        <f t="shared" si="26"/>
        <v xml:space="preserve"> </v>
      </c>
      <c r="G245" s="1160" t="str">
        <f t="shared" si="27"/>
        <v xml:space="preserve"> </v>
      </c>
      <c r="H245" s="1149"/>
      <c r="I245">
        <f t="shared" si="24"/>
        <v>0</v>
      </c>
      <c r="K245">
        <f t="shared" si="25"/>
        <v>0</v>
      </c>
      <c r="L245" s="1161"/>
      <c r="N245" s="1162" t="str">
        <f t="shared" si="28"/>
        <v xml:space="preserve"> </v>
      </c>
      <c r="O245" s="1163" t="str">
        <f t="shared" si="29"/>
        <v xml:space="preserve"> </v>
      </c>
      <c r="Q245">
        <f t="shared" si="30"/>
        <v>0</v>
      </c>
      <c r="R245">
        <f t="shared" si="31"/>
        <v>0</v>
      </c>
    </row>
    <row r="246" spans="2:18" x14ac:dyDescent="0.15">
      <c r="B246" s="1157"/>
      <c r="C246" s="1158"/>
      <c r="D246" s="897"/>
      <c r="E246" s="1159" t="str">
        <f t="shared" si="26"/>
        <v xml:space="preserve"> </v>
      </c>
      <c r="G246" s="1160" t="str">
        <f t="shared" si="27"/>
        <v xml:space="preserve"> </v>
      </c>
      <c r="H246" s="1149"/>
      <c r="I246">
        <f t="shared" si="24"/>
        <v>0</v>
      </c>
      <c r="K246">
        <f t="shared" si="25"/>
        <v>0</v>
      </c>
      <c r="L246" s="1161"/>
      <c r="N246" s="1162" t="str">
        <f t="shared" si="28"/>
        <v xml:space="preserve"> </v>
      </c>
      <c r="O246" s="1163" t="str">
        <f t="shared" si="29"/>
        <v xml:space="preserve"> </v>
      </c>
      <c r="Q246">
        <f t="shared" si="30"/>
        <v>0</v>
      </c>
      <c r="R246">
        <f t="shared" si="31"/>
        <v>0</v>
      </c>
    </row>
    <row r="247" spans="2:18" x14ac:dyDescent="0.15">
      <c r="B247" s="1157"/>
      <c r="C247" s="1158"/>
      <c r="D247" s="897"/>
      <c r="E247" s="1159" t="str">
        <f t="shared" si="26"/>
        <v xml:space="preserve"> </v>
      </c>
      <c r="G247" s="1160" t="str">
        <f t="shared" si="27"/>
        <v xml:space="preserve"> </v>
      </c>
      <c r="H247" s="1149"/>
      <c r="I247">
        <f t="shared" si="24"/>
        <v>0</v>
      </c>
      <c r="K247">
        <f t="shared" si="25"/>
        <v>0</v>
      </c>
      <c r="L247" s="1161"/>
      <c r="N247" s="1162" t="str">
        <f t="shared" si="28"/>
        <v xml:space="preserve"> </v>
      </c>
      <c r="O247" s="1163" t="str">
        <f t="shared" si="29"/>
        <v xml:space="preserve"> </v>
      </c>
      <c r="Q247">
        <f t="shared" si="30"/>
        <v>0</v>
      </c>
      <c r="R247">
        <f t="shared" si="31"/>
        <v>0</v>
      </c>
    </row>
    <row r="248" spans="2:18" x14ac:dyDescent="0.15">
      <c r="B248" s="1157"/>
      <c r="C248" s="1158"/>
      <c r="D248" s="897"/>
      <c r="E248" s="1159" t="str">
        <f t="shared" si="26"/>
        <v xml:space="preserve"> </v>
      </c>
      <c r="G248" s="1160" t="str">
        <f t="shared" si="27"/>
        <v xml:space="preserve"> </v>
      </c>
      <c r="H248" s="1149"/>
      <c r="I248">
        <f t="shared" si="24"/>
        <v>0</v>
      </c>
      <c r="K248">
        <f t="shared" si="25"/>
        <v>0</v>
      </c>
      <c r="L248" s="1161"/>
      <c r="N248" s="1162" t="str">
        <f t="shared" si="28"/>
        <v xml:space="preserve"> </v>
      </c>
      <c r="O248" s="1163" t="str">
        <f t="shared" si="29"/>
        <v xml:space="preserve"> </v>
      </c>
      <c r="Q248">
        <f t="shared" si="30"/>
        <v>0</v>
      </c>
      <c r="R248">
        <f t="shared" si="31"/>
        <v>0</v>
      </c>
    </row>
    <row r="249" spans="2:18" x14ac:dyDescent="0.15">
      <c r="B249" s="1157"/>
      <c r="C249" s="1158"/>
      <c r="D249" s="897"/>
      <c r="E249" s="1159" t="str">
        <f t="shared" si="26"/>
        <v xml:space="preserve"> </v>
      </c>
      <c r="G249" s="1160" t="str">
        <f t="shared" si="27"/>
        <v xml:space="preserve"> </v>
      </c>
      <c r="H249" s="1149"/>
      <c r="I249">
        <f t="shared" si="24"/>
        <v>0</v>
      </c>
      <c r="K249">
        <f t="shared" si="25"/>
        <v>0</v>
      </c>
      <c r="L249" s="1161"/>
      <c r="N249" s="1162" t="str">
        <f t="shared" si="28"/>
        <v xml:space="preserve"> </v>
      </c>
      <c r="O249" s="1163" t="str">
        <f t="shared" si="29"/>
        <v xml:space="preserve"> </v>
      </c>
      <c r="Q249">
        <f t="shared" si="30"/>
        <v>0</v>
      </c>
      <c r="R249">
        <f t="shared" si="31"/>
        <v>0</v>
      </c>
    </row>
    <row r="250" spans="2:18" x14ac:dyDescent="0.15">
      <c r="B250" s="1157"/>
      <c r="C250" s="1158"/>
      <c r="D250" s="897"/>
      <c r="E250" s="1159" t="str">
        <f t="shared" si="26"/>
        <v xml:space="preserve"> </v>
      </c>
      <c r="G250" s="1160" t="str">
        <f t="shared" si="27"/>
        <v xml:space="preserve"> </v>
      </c>
      <c r="H250" s="1149"/>
      <c r="I250">
        <f t="shared" si="24"/>
        <v>0</v>
      </c>
      <c r="K250">
        <f t="shared" si="25"/>
        <v>0</v>
      </c>
      <c r="L250" s="1161"/>
      <c r="N250" s="1162" t="str">
        <f t="shared" si="28"/>
        <v xml:space="preserve"> </v>
      </c>
      <c r="O250" s="1163" t="str">
        <f t="shared" si="29"/>
        <v xml:space="preserve"> </v>
      </c>
      <c r="Q250">
        <f t="shared" si="30"/>
        <v>0</v>
      </c>
      <c r="R250">
        <f t="shared" si="31"/>
        <v>0</v>
      </c>
    </row>
    <row r="251" spans="2:18" x14ac:dyDescent="0.15">
      <c r="B251" s="1157"/>
      <c r="C251" s="1158"/>
      <c r="D251" s="897"/>
      <c r="E251" s="1159" t="str">
        <f t="shared" si="26"/>
        <v xml:space="preserve"> </v>
      </c>
      <c r="G251" s="1160" t="str">
        <f t="shared" si="27"/>
        <v xml:space="preserve"> </v>
      </c>
      <c r="H251" s="1149"/>
      <c r="I251">
        <f t="shared" si="24"/>
        <v>0</v>
      </c>
      <c r="K251">
        <f t="shared" si="25"/>
        <v>0</v>
      </c>
      <c r="L251" s="1161"/>
      <c r="N251" s="1162" t="str">
        <f t="shared" si="28"/>
        <v xml:space="preserve"> </v>
      </c>
      <c r="O251" s="1163" t="str">
        <f t="shared" si="29"/>
        <v xml:space="preserve"> </v>
      </c>
      <c r="Q251">
        <f t="shared" si="30"/>
        <v>0</v>
      </c>
      <c r="R251">
        <f t="shared" si="31"/>
        <v>0</v>
      </c>
    </row>
    <row r="252" spans="2:18" x14ac:dyDescent="0.15">
      <c r="B252" s="1157"/>
      <c r="C252" s="1158"/>
      <c r="D252" s="897"/>
      <c r="E252" s="1159" t="str">
        <f t="shared" si="26"/>
        <v xml:space="preserve"> </v>
      </c>
      <c r="G252" s="1160" t="str">
        <f t="shared" si="27"/>
        <v xml:space="preserve"> </v>
      </c>
      <c r="H252" s="1149"/>
      <c r="I252">
        <f t="shared" si="24"/>
        <v>0</v>
      </c>
      <c r="K252">
        <f t="shared" si="25"/>
        <v>0</v>
      </c>
      <c r="L252" s="1161"/>
      <c r="N252" s="1162" t="str">
        <f t="shared" si="28"/>
        <v xml:space="preserve"> </v>
      </c>
      <c r="O252" s="1163" t="str">
        <f t="shared" si="29"/>
        <v xml:space="preserve"> </v>
      </c>
      <c r="Q252">
        <f t="shared" si="30"/>
        <v>0</v>
      </c>
      <c r="R252">
        <f t="shared" si="31"/>
        <v>0</v>
      </c>
    </row>
    <row r="253" spans="2:18" x14ac:dyDescent="0.15">
      <c r="B253" s="1157"/>
      <c r="C253" s="1158"/>
      <c r="D253" s="897"/>
      <c r="E253" s="1159" t="str">
        <f t="shared" si="26"/>
        <v xml:space="preserve"> </v>
      </c>
      <c r="G253" s="1160" t="str">
        <f t="shared" si="27"/>
        <v xml:space="preserve"> </v>
      </c>
      <c r="H253" s="1149"/>
      <c r="I253">
        <f t="shared" si="24"/>
        <v>0</v>
      </c>
      <c r="K253">
        <f t="shared" si="25"/>
        <v>0</v>
      </c>
      <c r="L253" s="1161"/>
      <c r="N253" s="1162" t="str">
        <f t="shared" si="28"/>
        <v xml:space="preserve"> </v>
      </c>
      <c r="O253" s="1163" t="str">
        <f t="shared" si="29"/>
        <v xml:space="preserve"> </v>
      </c>
      <c r="Q253">
        <f t="shared" si="30"/>
        <v>0</v>
      </c>
      <c r="R253">
        <f t="shared" si="31"/>
        <v>0</v>
      </c>
    </row>
    <row r="254" spans="2:18" x14ac:dyDescent="0.15">
      <c r="B254" s="1157"/>
      <c r="C254" s="1158"/>
      <c r="D254" s="897"/>
      <c r="E254" s="1159" t="str">
        <f t="shared" si="26"/>
        <v xml:space="preserve"> </v>
      </c>
      <c r="G254" s="1160" t="str">
        <f t="shared" si="27"/>
        <v xml:space="preserve"> </v>
      </c>
      <c r="H254" s="1149"/>
      <c r="I254">
        <f t="shared" si="24"/>
        <v>0</v>
      </c>
      <c r="K254">
        <f t="shared" si="25"/>
        <v>0</v>
      </c>
      <c r="L254" s="1161"/>
      <c r="N254" s="1162" t="str">
        <f t="shared" si="28"/>
        <v xml:space="preserve"> </v>
      </c>
      <c r="O254" s="1163" t="str">
        <f t="shared" si="29"/>
        <v xml:space="preserve"> </v>
      </c>
      <c r="Q254">
        <f t="shared" si="30"/>
        <v>0</v>
      </c>
      <c r="R254">
        <f t="shared" si="31"/>
        <v>0</v>
      </c>
    </row>
    <row r="255" spans="2:18" x14ac:dyDescent="0.15">
      <c r="B255" s="1157"/>
      <c r="C255" s="1158"/>
      <c r="D255" s="897"/>
      <c r="E255" s="1159" t="str">
        <f t="shared" si="26"/>
        <v xml:space="preserve"> </v>
      </c>
      <c r="G255" s="1160" t="str">
        <f t="shared" si="27"/>
        <v xml:space="preserve"> </v>
      </c>
      <c r="H255" s="1149"/>
      <c r="I255">
        <f t="shared" si="24"/>
        <v>0</v>
      </c>
      <c r="K255">
        <f t="shared" si="25"/>
        <v>0</v>
      </c>
      <c r="L255" s="1161"/>
      <c r="N255" s="1162" t="str">
        <f t="shared" si="28"/>
        <v xml:space="preserve"> </v>
      </c>
      <c r="O255" s="1163" t="str">
        <f t="shared" si="29"/>
        <v xml:space="preserve"> </v>
      </c>
      <c r="Q255">
        <f t="shared" si="30"/>
        <v>0</v>
      </c>
      <c r="R255">
        <f t="shared" si="31"/>
        <v>0</v>
      </c>
    </row>
    <row r="256" spans="2:18" x14ac:dyDescent="0.15">
      <c r="B256" s="1157"/>
      <c r="C256" s="1158"/>
      <c r="D256" s="897"/>
      <c r="E256" s="1159" t="str">
        <f t="shared" si="26"/>
        <v xml:space="preserve"> </v>
      </c>
      <c r="G256" s="1160" t="str">
        <f t="shared" si="27"/>
        <v xml:space="preserve"> </v>
      </c>
      <c r="H256" s="1149"/>
      <c r="I256">
        <f t="shared" si="24"/>
        <v>0</v>
      </c>
      <c r="K256">
        <f t="shared" si="25"/>
        <v>0</v>
      </c>
      <c r="L256" s="1161"/>
      <c r="N256" s="1162" t="str">
        <f t="shared" si="28"/>
        <v xml:space="preserve"> </v>
      </c>
      <c r="O256" s="1163" t="str">
        <f t="shared" si="29"/>
        <v xml:space="preserve"> </v>
      </c>
      <c r="Q256">
        <f t="shared" si="30"/>
        <v>0</v>
      </c>
      <c r="R256">
        <f t="shared" si="31"/>
        <v>0</v>
      </c>
    </row>
    <row r="257" spans="2:18" x14ac:dyDescent="0.15">
      <c r="B257" s="1157"/>
      <c r="C257" s="1158"/>
      <c r="D257" s="897"/>
      <c r="E257" s="1159" t="str">
        <f t="shared" si="26"/>
        <v xml:space="preserve"> </v>
      </c>
      <c r="G257" s="1160" t="str">
        <f t="shared" si="27"/>
        <v xml:space="preserve"> </v>
      </c>
      <c r="H257" s="1149"/>
      <c r="I257">
        <f t="shared" si="24"/>
        <v>0</v>
      </c>
      <c r="K257">
        <f t="shared" si="25"/>
        <v>0</v>
      </c>
      <c r="L257" s="1161"/>
      <c r="N257" s="1162" t="str">
        <f t="shared" si="28"/>
        <v xml:space="preserve"> </v>
      </c>
      <c r="O257" s="1163" t="str">
        <f t="shared" si="29"/>
        <v xml:space="preserve"> </v>
      </c>
      <c r="Q257">
        <f t="shared" si="30"/>
        <v>0</v>
      </c>
      <c r="R257">
        <f t="shared" si="31"/>
        <v>0</v>
      </c>
    </row>
    <row r="258" spans="2:18" x14ac:dyDescent="0.15">
      <c r="B258" s="1157"/>
      <c r="C258" s="1158"/>
      <c r="D258" s="897"/>
      <c r="E258" s="1159" t="str">
        <f t="shared" si="26"/>
        <v xml:space="preserve"> </v>
      </c>
      <c r="G258" s="1160" t="str">
        <f t="shared" si="27"/>
        <v xml:space="preserve"> </v>
      </c>
      <c r="H258" s="1149"/>
      <c r="I258">
        <f t="shared" si="24"/>
        <v>0</v>
      </c>
      <c r="K258">
        <f t="shared" si="25"/>
        <v>0</v>
      </c>
      <c r="L258" s="1161"/>
      <c r="N258" s="1162" t="str">
        <f t="shared" si="28"/>
        <v xml:space="preserve"> </v>
      </c>
      <c r="O258" s="1163" t="str">
        <f t="shared" si="29"/>
        <v xml:space="preserve"> </v>
      </c>
      <c r="Q258">
        <f t="shared" si="30"/>
        <v>0</v>
      </c>
      <c r="R258">
        <f t="shared" si="31"/>
        <v>0</v>
      </c>
    </row>
    <row r="259" spans="2:18" x14ac:dyDescent="0.15">
      <c r="B259" s="1157"/>
      <c r="C259" s="1158"/>
      <c r="D259" s="897"/>
      <c r="E259" s="1159" t="str">
        <f t="shared" si="26"/>
        <v xml:space="preserve"> </v>
      </c>
      <c r="G259" s="1160" t="str">
        <f t="shared" si="27"/>
        <v xml:space="preserve"> </v>
      </c>
      <c r="H259" s="1149"/>
      <c r="I259">
        <f t="shared" si="24"/>
        <v>0</v>
      </c>
      <c r="K259">
        <f t="shared" si="25"/>
        <v>0</v>
      </c>
      <c r="L259" s="1161"/>
      <c r="N259" s="1162" t="str">
        <f t="shared" si="28"/>
        <v xml:space="preserve"> </v>
      </c>
      <c r="O259" s="1163" t="str">
        <f t="shared" si="29"/>
        <v xml:space="preserve"> </v>
      </c>
      <c r="Q259">
        <f t="shared" si="30"/>
        <v>0</v>
      </c>
      <c r="R259">
        <f t="shared" si="31"/>
        <v>0</v>
      </c>
    </row>
    <row r="260" spans="2:18" x14ac:dyDescent="0.15">
      <c r="B260" s="1157"/>
      <c r="C260" s="1158"/>
      <c r="D260" s="897"/>
      <c r="E260" s="1159" t="str">
        <f t="shared" si="26"/>
        <v xml:space="preserve"> </v>
      </c>
      <c r="G260" s="1160" t="str">
        <f t="shared" si="27"/>
        <v xml:space="preserve"> </v>
      </c>
      <c r="H260" s="1149"/>
      <c r="I260">
        <f t="shared" si="24"/>
        <v>0</v>
      </c>
      <c r="K260">
        <f t="shared" si="25"/>
        <v>0</v>
      </c>
      <c r="L260" s="1161"/>
      <c r="N260" s="1162" t="str">
        <f t="shared" si="28"/>
        <v xml:space="preserve"> </v>
      </c>
      <c r="O260" s="1163" t="str">
        <f t="shared" si="29"/>
        <v xml:space="preserve"> </v>
      </c>
      <c r="Q260">
        <f t="shared" si="30"/>
        <v>0</v>
      </c>
      <c r="R260">
        <f t="shared" si="31"/>
        <v>0</v>
      </c>
    </row>
    <row r="261" spans="2:18" x14ac:dyDescent="0.15">
      <c r="B261" s="1157"/>
      <c r="C261" s="1158"/>
      <c r="D261" s="897"/>
      <c r="E261" s="1159" t="str">
        <f t="shared" si="26"/>
        <v xml:space="preserve"> </v>
      </c>
      <c r="G261" s="1160" t="str">
        <f t="shared" si="27"/>
        <v xml:space="preserve"> </v>
      </c>
      <c r="H261" s="1149"/>
      <c r="I261">
        <f t="shared" si="24"/>
        <v>0</v>
      </c>
      <c r="K261">
        <f t="shared" si="25"/>
        <v>0</v>
      </c>
      <c r="L261" s="1161"/>
      <c r="N261" s="1162" t="str">
        <f t="shared" si="28"/>
        <v xml:space="preserve"> </v>
      </c>
      <c r="O261" s="1163" t="str">
        <f t="shared" si="29"/>
        <v xml:space="preserve"> </v>
      </c>
      <c r="Q261">
        <f t="shared" si="30"/>
        <v>0</v>
      </c>
      <c r="R261">
        <f t="shared" si="31"/>
        <v>0</v>
      </c>
    </row>
    <row r="262" spans="2:18" x14ac:dyDescent="0.15">
      <c r="B262" s="1157"/>
      <c r="C262" s="1158"/>
      <c r="D262" s="897"/>
      <c r="E262" s="1159" t="str">
        <f t="shared" si="26"/>
        <v xml:space="preserve"> </v>
      </c>
      <c r="G262" s="1160" t="str">
        <f t="shared" si="27"/>
        <v xml:space="preserve"> </v>
      </c>
      <c r="H262" s="1149"/>
      <c r="I262">
        <f t="shared" si="24"/>
        <v>0</v>
      </c>
      <c r="K262">
        <f t="shared" si="25"/>
        <v>0</v>
      </c>
      <c r="L262" s="1161"/>
      <c r="N262" s="1162" t="str">
        <f t="shared" si="28"/>
        <v xml:space="preserve"> </v>
      </c>
      <c r="O262" s="1163" t="str">
        <f t="shared" si="29"/>
        <v xml:space="preserve"> </v>
      </c>
      <c r="Q262">
        <f t="shared" si="30"/>
        <v>0</v>
      </c>
      <c r="R262">
        <f t="shared" si="31"/>
        <v>0</v>
      </c>
    </row>
    <row r="263" spans="2:18" x14ac:dyDescent="0.15">
      <c r="B263" s="1157"/>
      <c r="C263" s="1158"/>
      <c r="D263" s="897"/>
      <c r="E263" s="1159" t="str">
        <f t="shared" si="26"/>
        <v xml:space="preserve"> </v>
      </c>
      <c r="G263" s="1160" t="str">
        <f t="shared" si="27"/>
        <v xml:space="preserve"> </v>
      </c>
      <c r="H263" s="1149"/>
      <c r="I263">
        <f t="shared" si="24"/>
        <v>0</v>
      </c>
      <c r="K263">
        <f t="shared" si="25"/>
        <v>0</v>
      </c>
      <c r="L263" s="1161"/>
      <c r="N263" s="1162" t="str">
        <f t="shared" si="28"/>
        <v xml:space="preserve"> </v>
      </c>
      <c r="O263" s="1163" t="str">
        <f t="shared" si="29"/>
        <v xml:space="preserve"> </v>
      </c>
      <c r="Q263">
        <f t="shared" si="30"/>
        <v>0</v>
      </c>
      <c r="R263">
        <f t="shared" si="31"/>
        <v>0</v>
      </c>
    </row>
    <row r="264" spans="2:18" x14ac:dyDescent="0.15">
      <c r="B264" s="1157"/>
      <c r="C264" s="1158"/>
      <c r="D264" s="897"/>
      <c r="E264" s="1159" t="str">
        <f t="shared" si="26"/>
        <v xml:space="preserve"> </v>
      </c>
      <c r="G264" s="1160" t="str">
        <f t="shared" si="27"/>
        <v xml:space="preserve"> </v>
      </c>
      <c r="H264" s="1149"/>
      <c r="I264">
        <f t="shared" ref="I264:I327" si="32">(J264+C264)/12</f>
        <v>0</v>
      </c>
      <c r="K264">
        <f t="shared" ref="K264:K327" si="33">I264+B264</f>
        <v>0</v>
      </c>
      <c r="L264" s="1161"/>
      <c r="N264" s="1162" t="str">
        <f t="shared" si="28"/>
        <v xml:space="preserve"> </v>
      </c>
      <c r="O264" s="1163" t="str">
        <f t="shared" si="29"/>
        <v xml:space="preserve"> </v>
      </c>
      <c r="Q264">
        <f t="shared" si="30"/>
        <v>0</v>
      </c>
      <c r="R264">
        <f t="shared" si="31"/>
        <v>0</v>
      </c>
    </row>
    <row r="265" spans="2:18" x14ac:dyDescent="0.15">
      <c r="B265" s="1157"/>
      <c r="C265" s="1158"/>
      <c r="D265" s="897"/>
      <c r="E265" s="1159" t="str">
        <f t="shared" si="26"/>
        <v xml:space="preserve"> </v>
      </c>
      <c r="G265" s="1160" t="str">
        <f t="shared" si="27"/>
        <v xml:space="preserve"> </v>
      </c>
      <c r="H265" s="1149"/>
      <c r="I265">
        <f t="shared" si="32"/>
        <v>0</v>
      </c>
      <c r="K265">
        <f t="shared" si="33"/>
        <v>0</v>
      </c>
      <c r="L265" s="1161"/>
      <c r="N265" s="1162" t="str">
        <f t="shared" si="28"/>
        <v xml:space="preserve"> </v>
      </c>
      <c r="O265" s="1163" t="str">
        <f t="shared" si="29"/>
        <v xml:space="preserve"> </v>
      </c>
      <c r="Q265">
        <f t="shared" si="30"/>
        <v>0</v>
      </c>
      <c r="R265">
        <f t="shared" si="31"/>
        <v>0</v>
      </c>
    </row>
    <row r="266" spans="2:18" x14ac:dyDescent="0.15">
      <c r="B266" s="1157"/>
      <c r="C266" s="1158"/>
      <c r="D266" s="897"/>
      <c r="E266" s="1159" t="str">
        <f t="shared" ref="E266:E329" si="34">IF(K266=0," ",IF(K266&gt;0,K266*12*25.4))</f>
        <v xml:space="preserve"> </v>
      </c>
      <c r="G266" s="1160" t="str">
        <f t="shared" ref="G266:G329" si="35">IF(K266=0," ",IF(K266&gt;0,E266/1000))</f>
        <v xml:space="preserve"> </v>
      </c>
      <c r="H266" s="1149"/>
      <c r="I266">
        <f t="shared" si="32"/>
        <v>0</v>
      </c>
      <c r="K266">
        <f t="shared" si="33"/>
        <v>0</v>
      </c>
      <c r="L266" s="1161"/>
      <c r="N266" s="1162" t="str">
        <f t="shared" ref="N266:N329" si="36">IF(R266=0," ",IF(R266&gt;0,TRUNC(R266)))</f>
        <v xml:space="preserve"> </v>
      </c>
      <c r="O266" s="1163" t="str">
        <f t="shared" ref="O266:O329" si="37">IF(R266=0," ",IF(R266&gt;0,(R266-N266)*12))</f>
        <v xml:space="preserve"> </v>
      </c>
      <c r="Q266">
        <f t="shared" ref="Q266:Q329" si="38">L266/25.4</f>
        <v>0</v>
      </c>
      <c r="R266">
        <f t="shared" ref="R266:R329" si="39">Q266/12</f>
        <v>0</v>
      </c>
    </row>
    <row r="267" spans="2:18" x14ac:dyDescent="0.15">
      <c r="B267" s="1157"/>
      <c r="C267" s="1158"/>
      <c r="D267" s="897"/>
      <c r="E267" s="1159" t="str">
        <f t="shared" si="34"/>
        <v xml:space="preserve"> </v>
      </c>
      <c r="G267" s="1160" t="str">
        <f t="shared" si="35"/>
        <v xml:space="preserve"> </v>
      </c>
      <c r="H267" s="1149"/>
      <c r="I267">
        <f t="shared" si="32"/>
        <v>0</v>
      </c>
      <c r="K267">
        <f t="shared" si="33"/>
        <v>0</v>
      </c>
      <c r="L267" s="1161"/>
      <c r="N267" s="1162" t="str">
        <f t="shared" si="36"/>
        <v xml:space="preserve"> </v>
      </c>
      <c r="O267" s="1163" t="str">
        <f t="shared" si="37"/>
        <v xml:space="preserve"> </v>
      </c>
      <c r="Q267">
        <f t="shared" si="38"/>
        <v>0</v>
      </c>
      <c r="R267">
        <f t="shared" si="39"/>
        <v>0</v>
      </c>
    </row>
    <row r="268" spans="2:18" x14ac:dyDescent="0.15">
      <c r="B268" s="1157"/>
      <c r="C268" s="1158"/>
      <c r="D268" s="897"/>
      <c r="E268" s="1159" t="str">
        <f t="shared" si="34"/>
        <v xml:space="preserve"> </v>
      </c>
      <c r="G268" s="1160" t="str">
        <f t="shared" si="35"/>
        <v xml:space="preserve"> </v>
      </c>
      <c r="H268" s="1149"/>
      <c r="I268">
        <f t="shared" si="32"/>
        <v>0</v>
      </c>
      <c r="K268">
        <f t="shared" si="33"/>
        <v>0</v>
      </c>
      <c r="L268" s="1161"/>
      <c r="N268" s="1162" t="str">
        <f t="shared" si="36"/>
        <v xml:space="preserve"> </v>
      </c>
      <c r="O268" s="1163" t="str">
        <f t="shared" si="37"/>
        <v xml:space="preserve"> </v>
      </c>
      <c r="Q268">
        <f t="shared" si="38"/>
        <v>0</v>
      </c>
      <c r="R268">
        <f t="shared" si="39"/>
        <v>0</v>
      </c>
    </row>
    <row r="269" spans="2:18" x14ac:dyDescent="0.15">
      <c r="B269" s="1157"/>
      <c r="C269" s="1158"/>
      <c r="D269" s="897"/>
      <c r="E269" s="1159" t="str">
        <f t="shared" si="34"/>
        <v xml:space="preserve"> </v>
      </c>
      <c r="G269" s="1160" t="str">
        <f t="shared" si="35"/>
        <v xml:space="preserve"> </v>
      </c>
      <c r="H269" s="1149"/>
      <c r="I269">
        <f t="shared" si="32"/>
        <v>0</v>
      </c>
      <c r="K269">
        <f t="shared" si="33"/>
        <v>0</v>
      </c>
      <c r="L269" s="1161"/>
      <c r="N269" s="1162" t="str">
        <f t="shared" si="36"/>
        <v xml:space="preserve"> </v>
      </c>
      <c r="O269" s="1163" t="str">
        <f t="shared" si="37"/>
        <v xml:space="preserve"> </v>
      </c>
      <c r="Q269">
        <f t="shared" si="38"/>
        <v>0</v>
      </c>
      <c r="R269">
        <f t="shared" si="39"/>
        <v>0</v>
      </c>
    </row>
    <row r="270" spans="2:18" x14ac:dyDescent="0.15">
      <c r="B270" s="1157"/>
      <c r="C270" s="1158"/>
      <c r="D270" s="897"/>
      <c r="E270" s="1159" t="str">
        <f t="shared" si="34"/>
        <v xml:space="preserve"> </v>
      </c>
      <c r="G270" s="1160" t="str">
        <f t="shared" si="35"/>
        <v xml:space="preserve"> </v>
      </c>
      <c r="H270" s="1149"/>
      <c r="I270">
        <f t="shared" si="32"/>
        <v>0</v>
      </c>
      <c r="K270">
        <f t="shared" si="33"/>
        <v>0</v>
      </c>
      <c r="L270" s="1161"/>
      <c r="N270" s="1162" t="str">
        <f t="shared" si="36"/>
        <v xml:space="preserve"> </v>
      </c>
      <c r="O270" s="1163" t="str">
        <f t="shared" si="37"/>
        <v xml:space="preserve"> </v>
      </c>
      <c r="Q270">
        <f t="shared" si="38"/>
        <v>0</v>
      </c>
      <c r="R270">
        <f t="shared" si="39"/>
        <v>0</v>
      </c>
    </row>
    <row r="271" spans="2:18" x14ac:dyDescent="0.15">
      <c r="B271" s="1157"/>
      <c r="C271" s="1158"/>
      <c r="D271" s="897"/>
      <c r="E271" s="1159" t="str">
        <f t="shared" si="34"/>
        <v xml:space="preserve"> </v>
      </c>
      <c r="G271" s="1160" t="str">
        <f t="shared" si="35"/>
        <v xml:space="preserve"> </v>
      </c>
      <c r="H271" s="1149"/>
      <c r="I271">
        <f t="shared" si="32"/>
        <v>0</v>
      </c>
      <c r="K271">
        <f t="shared" si="33"/>
        <v>0</v>
      </c>
      <c r="L271" s="1161"/>
      <c r="N271" s="1162" t="str">
        <f t="shared" si="36"/>
        <v xml:space="preserve"> </v>
      </c>
      <c r="O271" s="1163" t="str">
        <f t="shared" si="37"/>
        <v xml:space="preserve"> </v>
      </c>
      <c r="Q271">
        <f t="shared" si="38"/>
        <v>0</v>
      </c>
      <c r="R271">
        <f t="shared" si="39"/>
        <v>0</v>
      </c>
    </row>
    <row r="272" spans="2:18" x14ac:dyDescent="0.15">
      <c r="B272" s="1157"/>
      <c r="C272" s="1158"/>
      <c r="D272" s="897"/>
      <c r="E272" s="1159" t="str">
        <f t="shared" si="34"/>
        <v xml:space="preserve"> </v>
      </c>
      <c r="G272" s="1160" t="str">
        <f t="shared" si="35"/>
        <v xml:space="preserve"> </v>
      </c>
      <c r="H272" s="1149"/>
      <c r="I272">
        <f t="shared" si="32"/>
        <v>0</v>
      </c>
      <c r="K272">
        <f t="shared" si="33"/>
        <v>0</v>
      </c>
      <c r="L272" s="1161"/>
      <c r="N272" s="1162" t="str">
        <f t="shared" si="36"/>
        <v xml:space="preserve"> </v>
      </c>
      <c r="O272" s="1163" t="str">
        <f t="shared" si="37"/>
        <v xml:space="preserve"> </v>
      </c>
      <c r="Q272">
        <f t="shared" si="38"/>
        <v>0</v>
      </c>
      <c r="R272">
        <f t="shared" si="39"/>
        <v>0</v>
      </c>
    </row>
    <row r="273" spans="2:18" x14ac:dyDescent="0.15">
      <c r="B273" s="1157"/>
      <c r="C273" s="1158"/>
      <c r="D273" s="897"/>
      <c r="E273" s="1159" t="str">
        <f t="shared" si="34"/>
        <v xml:space="preserve"> </v>
      </c>
      <c r="G273" s="1160" t="str">
        <f t="shared" si="35"/>
        <v xml:space="preserve"> </v>
      </c>
      <c r="H273" s="1149"/>
      <c r="I273">
        <f t="shared" si="32"/>
        <v>0</v>
      </c>
      <c r="K273">
        <f t="shared" si="33"/>
        <v>0</v>
      </c>
      <c r="L273" s="1161"/>
      <c r="N273" s="1162" t="str">
        <f t="shared" si="36"/>
        <v xml:space="preserve"> </v>
      </c>
      <c r="O273" s="1163" t="str">
        <f t="shared" si="37"/>
        <v xml:space="preserve"> </v>
      </c>
      <c r="Q273">
        <f t="shared" si="38"/>
        <v>0</v>
      </c>
      <c r="R273">
        <f t="shared" si="39"/>
        <v>0</v>
      </c>
    </row>
    <row r="274" spans="2:18" x14ac:dyDescent="0.15">
      <c r="B274" s="1157"/>
      <c r="C274" s="1158"/>
      <c r="D274" s="897"/>
      <c r="E274" s="1159" t="str">
        <f t="shared" si="34"/>
        <v xml:space="preserve"> </v>
      </c>
      <c r="G274" s="1160" t="str">
        <f t="shared" si="35"/>
        <v xml:space="preserve"> </v>
      </c>
      <c r="H274" s="1149"/>
      <c r="I274">
        <f t="shared" si="32"/>
        <v>0</v>
      </c>
      <c r="K274">
        <f t="shared" si="33"/>
        <v>0</v>
      </c>
      <c r="L274" s="1161"/>
      <c r="N274" s="1162" t="str">
        <f t="shared" si="36"/>
        <v xml:space="preserve"> </v>
      </c>
      <c r="O274" s="1163" t="str">
        <f t="shared" si="37"/>
        <v xml:space="preserve"> </v>
      </c>
      <c r="Q274">
        <f t="shared" si="38"/>
        <v>0</v>
      </c>
      <c r="R274">
        <f t="shared" si="39"/>
        <v>0</v>
      </c>
    </row>
    <row r="275" spans="2:18" x14ac:dyDescent="0.15">
      <c r="B275" s="1157"/>
      <c r="C275" s="1158"/>
      <c r="D275" s="897"/>
      <c r="E275" s="1159" t="str">
        <f t="shared" si="34"/>
        <v xml:space="preserve"> </v>
      </c>
      <c r="G275" s="1160" t="str">
        <f t="shared" si="35"/>
        <v xml:space="preserve"> </v>
      </c>
      <c r="H275" s="1149"/>
      <c r="I275">
        <f t="shared" si="32"/>
        <v>0</v>
      </c>
      <c r="K275">
        <f t="shared" si="33"/>
        <v>0</v>
      </c>
      <c r="L275" s="1161"/>
      <c r="N275" s="1162" t="str">
        <f t="shared" si="36"/>
        <v xml:space="preserve"> </v>
      </c>
      <c r="O275" s="1163" t="str">
        <f t="shared" si="37"/>
        <v xml:space="preserve"> </v>
      </c>
      <c r="Q275">
        <f t="shared" si="38"/>
        <v>0</v>
      </c>
      <c r="R275">
        <f t="shared" si="39"/>
        <v>0</v>
      </c>
    </row>
    <row r="276" spans="2:18" x14ac:dyDescent="0.15">
      <c r="B276" s="1157"/>
      <c r="C276" s="1158"/>
      <c r="D276" s="897"/>
      <c r="E276" s="1159" t="str">
        <f t="shared" si="34"/>
        <v xml:space="preserve"> </v>
      </c>
      <c r="G276" s="1160" t="str">
        <f t="shared" si="35"/>
        <v xml:space="preserve"> </v>
      </c>
      <c r="H276" s="1149"/>
      <c r="I276">
        <f t="shared" si="32"/>
        <v>0</v>
      </c>
      <c r="K276">
        <f t="shared" si="33"/>
        <v>0</v>
      </c>
      <c r="L276" s="1161"/>
      <c r="N276" s="1162" t="str">
        <f t="shared" si="36"/>
        <v xml:space="preserve"> </v>
      </c>
      <c r="O276" s="1163" t="str">
        <f t="shared" si="37"/>
        <v xml:space="preserve"> </v>
      </c>
      <c r="Q276">
        <f t="shared" si="38"/>
        <v>0</v>
      </c>
      <c r="R276">
        <f t="shared" si="39"/>
        <v>0</v>
      </c>
    </row>
    <row r="277" spans="2:18" x14ac:dyDescent="0.15">
      <c r="B277" s="1157"/>
      <c r="C277" s="1158"/>
      <c r="D277" s="897"/>
      <c r="E277" s="1159" t="str">
        <f t="shared" si="34"/>
        <v xml:space="preserve"> </v>
      </c>
      <c r="G277" s="1160" t="str">
        <f t="shared" si="35"/>
        <v xml:space="preserve"> </v>
      </c>
      <c r="H277" s="1149"/>
      <c r="I277">
        <f t="shared" si="32"/>
        <v>0</v>
      </c>
      <c r="K277">
        <f t="shared" si="33"/>
        <v>0</v>
      </c>
      <c r="L277" s="1161"/>
      <c r="N277" s="1162" t="str">
        <f t="shared" si="36"/>
        <v xml:space="preserve"> </v>
      </c>
      <c r="O277" s="1163" t="str">
        <f t="shared" si="37"/>
        <v xml:space="preserve"> </v>
      </c>
      <c r="Q277">
        <f t="shared" si="38"/>
        <v>0</v>
      </c>
      <c r="R277">
        <f t="shared" si="39"/>
        <v>0</v>
      </c>
    </row>
    <row r="278" spans="2:18" x14ac:dyDescent="0.15">
      <c r="B278" s="1157"/>
      <c r="C278" s="1158"/>
      <c r="D278" s="897"/>
      <c r="E278" s="1159" t="str">
        <f t="shared" si="34"/>
        <v xml:space="preserve"> </v>
      </c>
      <c r="G278" s="1160" t="str">
        <f t="shared" si="35"/>
        <v xml:space="preserve"> </v>
      </c>
      <c r="H278" s="1149"/>
      <c r="I278">
        <f t="shared" si="32"/>
        <v>0</v>
      </c>
      <c r="K278">
        <f t="shared" si="33"/>
        <v>0</v>
      </c>
      <c r="L278" s="1161"/>
      <c r="N278" s="1162" t="str">
        <f t="shared" si="36"/>
        <v xml:space="preserve"> </v>
      </c>
      <c r="O278" s="1163" t="str">
        <f t="shared" si="37"/>
        <v xml:space="preserve"> </v>
      </c>
      <c r="Q278">
        <f t="shared" si="38"/>
        <v>0</v>
      </c>
      <c r="R278">
        <f t="shared" si="39"/>
        <v>0</v>
      </c>
    </row>
    <row r="279" spans="2:18" x14ac:dyDescent="0.15">
      <c r="B279" s="1157"/>
      <c r="C279" s="1158"/>
      <c r="D279" s="897"/>
      <c r="E279" s="1159" t="str">
        <f t="shared" si="34"/>
        <v xml:space="preserve"> </v>
      </c>
      <c r="G279" s="1160" t="str">
        <f t="shared" si="35"/>
        <v xml:space="preserve"> </v>
      </c>
      <c r="H279" s="1149"/>
      <c r="I279">
        <f t="shared" si="32"/>
        <v>0</v>
      </c>
      <c r="K279">
        <f t="shared" si="33"/>
        <v>0</v>
      </c>
      <c r="L279" s="1161"/>
      <c r="N279" s="1162" t="str">
        <f t="shared" si="36"/>
        <v xml:space="preserve"> </v>
      </c>
      <c r="O279" s="1163" t="str">
        <f t="shared" si="37"/>
        <v xml:space="preserve"> </v>
      </c>
      <c r="Q279">
        <f t="shared" si="38"/>
        <v>0</v>
      </c>
      <c r="R279">
        <f t="shared" si="39"/>
        <v>0</v>
      </c>
    </row>
    <row r="280" spans="2:18" x14ac:dyDescent="0.15">
      <c r="B280" s="1157"/>
      <c r="C280" s="1158"/>
      <c r="D280" s="897"/>
      <c r="E280" s="1159" t="str">
        <f t="shared" si="34"/>
        <v xml:space="preserve"> </v>
      </c>
      <c r="G280" s="1160" t="str">
        <f t="shared" si="35"/>
        <v xml:space="preserve"> </v>
      </c>
      <c r="H280" s="1149"/>
      <c r="I280">
        <f t="shared" si="32"/>
        <v>0</v>
      </c>
      <c r="K280">
        <f t="shared" si="33"/>
        <v>0</v>
      </c>
      <c r="L280" s="1161"/>
      <c r="N280" s="1162" t="str">
        <f t="shared" si="36"/>
        <v xml:space="preserve"> </v>
      </c>
      <c r="O280" s="1163" t="str">
        <f t="shared" si="37"/>
        <v xml:space="preserve"> </v>
      </c>
      <c r="Q280">
        <f t="shared" si="38"/>
        <v>0</v>
      </c>
      <c r="R280">
        <f t="shared" si="39"/>
        <v>0</v>
      </c>
    </row>
    <row r="281" spans="2:18" x14ac:dyDescent="0.15">
      <c r="B281" s="1157"/>
      <c r="C281" s="1158"/>
      <c r="D281" s="897"/>
      <c r="E281" s="1159" t="str">
        <f t="shared" si="34"/>
        <v xml:space="preserve"> </v>
      </c>
      <c r="G281" s="1160" t="str">
        <f t="shared" si="35"/>
        <v xml:space="preserve"> </v>
      </c>
      <c r="H281" s="1149"/>
      <c r="I281">
        <f t="shared" si="32"/>
        <v>0</v>
      </c>
      <c r="K281">
        <f t="shared" si="33"/>
        <v>0</v>
      </c>
      <c r="L281" s="1161"/>
      <c r="N281" s="1162" t="str">
        <f t="shared" si="36"/>
        <v xml:space="preserve"> </v>
      </c>
      <c r="O281" s="1163" t="str">
        <f t="shared" si="37"/>
        <v xml:space="preserve"> </v>
      </c>
      <c r="Q281">
        <f t="shared" si="38"/>
        <v>0</v>
      </c>
      <c r="R281">
        <f t="shared" si="39"/>
        <v>0</v>
      </c>
    </row>
    <row r="282" spans="2:18" x14ac:dyDescent="0.15">
      <c r="B282" s="1157"/>
      <c r="C282" s="1158"/>
      <c r="D282" s="897"/>
      <c r="E282" s="1159" t="str">
        <f t="shared" si="34"/>
        <v xml:space="preserve"> </v>
      </c>
      <c r="G282" s="1160" t="str">
        <f t="shared" si="35"/>
        <v xml:space="preserve"> </v>
      </c>
      <c r="H282" s="1149"/>
      <c r="I282">
        <f t="shared" si="32"/>
        <v>0</v>
      </c>
      <c r="K282">
        <f t="shared" si="33"/>
        <v>0</v>
      </c>
      <c r="L282" s="1161"/>
      <c r="N282" s="1162" t="str">
        <f t="shared" si="36"/>
        <v xml:space="preserve"> </v>
      </c>
      <c r="O282" s="1163" t="str">
        <f t="shared" si="37"/>
        <v xml:space="preserve"> </v>
      </c>
      <c r="Q282">
        <f t="shared" si="38"/>
        <v>0</v>
      </c>
      <c r="R282">
        <f t="shared" si="39"/>
        <v>0</v>
      </c>
    </row>
    <row r="283" spans="2:18" x14ac:dyDescent="0.15">
      <c r="B283" s="1157"/>
      <c r="C283" s="1158"/>
      <c r="D283" s="897"/>
      <c r="E283" s="1159" t="str">
        <f t="shared" si="34"/>
        <v xml:space="preserve"> </v>
      </c>
      <c r="G283" s="1160" t="str">
        <f t="shared" si="35"/>
        <v xml:space="preserve"> </v>
      </c>
      <c r="H283" s="1149"/>
      <c r="I283">
        <f t="shared" si="32"/>
        <v>0</v>
      </c>
      <c r="K283">
        <f t="shared" si="33"/>
        <v>0</v>
      </c>
      <c r="L283" s="1161"/>
      <c r="N283" s="1162" t="str">
        <f t="shared" si="36"/>
        <v xml:space="preserve"> </v>
      </c>
      <c r="O283" s="1163" t="str">
        <f t="shared" si="37"/>
        <v xml:space="preserve"> </v>
      </c>
      <c r="Q283">
        <f t="shared" si="38"/>
        <v>0</v>
      </c>
      <c r="R283">
        <f t="shared" si="39"/>
        <v>0</v>
      </c>
    </row>
    <row r="284" spans="2:18" x14ac:dyDescent="0.15">
      <c r="B284" s="1157"/>
      <c r="C284" s="1158"/>
      <c r="D284" s="897"/>
      <c r="E284" s="1159" t="str">
        <f t="shared" si="34"/>
        <v xml:space="preserve"> </v>
      </c>
      <c r="G284" s="1160" t="str">
        <f t="shared" si="35"/>
        <v xml:space="preserve"> </v>
      </c>
      <c r="H284" s="1149"/>
      <c r="I284">
        <f t="shared" si="32"/>
        <v>0</v>
      </c>
      <c r="K284">
        <f t="shared" si="33"/>
        <v>0</v>
      </c>
      <c r="L284" s="1161"/>
      <c r="N284" s="1162" t="str">
        <f t="shared" si="36"/>
        <v xml:space="preserve"> </v>
      </c>
      <c r="O284" s="1163" t="str">
        <f t="shared" si="37"/>
        <v xml:space="preserve"> </v>
      </c>
      <c r="Q284">
        <f t="shared" si="38"/>
        <v>0</v>
      </c>
      <c r="R284">
        <f t="shared" si="39"/>
        <v>0</v>
      </c>
    </row>
    <row r="285" spans="2:18" x14ac:dyDescent="0.15">
      <c r="B285" s="1157"/>
      <c r="C285" s="1158"/>
      <c r="D285" s="897"/>
      <c r="E285" s="1159" t="str">
        <f t="shared" si="34"/>
        <v xml:space="preserve"> </v>
      </c>
      <c r="G285" s="1160" t="str">
        <f t="shared" si="35"/>
        <v xml:space="preserve"> </v>
      </c>
      <c r="H285" s="1149"/>
      <c r="I285">
        <f t="shared" si="32"/>
        <v>0</v>
      </c>
      <c r="K285">
        <f t="shared" si="33"/>
        <v>0</v>
      </c>
      <c r="L285" s="1161"/>
      <c r="N285" s="1162" t="str">
        <f t="shared" si="36"/>
        <v xml:space="preserve"> </v>
      </c>
      <c r="O285" s="1163" t="str">
        <f t="shared" si="37"/>
        <v xml:space="preserve"> </v>
      </c>
      <c r="Q285">
        <f t="shared" si="38"/>
        <v>0</v>
      </c>
      <c r="R285">
        <f t="shared" si="39"/>
        <v>0</v>
      </c>
    </row>
    <row r="286" spans="2:18" x14ac:dyDescent="0.15">
      <c r="B286" s="1157"/>
      <c r="C286" s="1158"/>
      <c r="D286" s="897"/>
      <c r="E286" s="1159" t="str">
        <f t="shared" si="34"/>
        <v xml:space="preserve"> </v>
      </c>
      <c r="G286" s="1160" t="str">
        <f t="shared" si="35"/>
        <v xml:space="preserve"> </v>
      </c>
      <c r="H286" s="1149"/>
      <c r="I286">
        <f t="shared" si="32"/>
        <v>0</v>
      </c>
      <c r="K286">
        <f t="shared" si="33"/>
        <v>0</v>
      </c>
      <c r="L286" s="1161"/>
      <c r="N286" s="1162" t="str">
        <f t="shared" si="36"/>
        <v xml:space="preserve"> </v>
      </c>
      <c r="O286" s="1163" t="str">
        <f t="shared" si="37"/>
        <v xml:space="preserve"> </v>
      </c>
      <c r="Q286">
        <f t="shared" si="38"/>
        <v>0</v>
      </c>
      <c r="R286">
        <f t="shared" si="39"/>
        <v>0</v>
      </c>
    </row>
    <row r="287" spans="2:18" x14ac:dyDescent="0.15">
      <c r="B287" s="1157"/>
      <c r="C287" s="1158"/>
      <c r="D287" s="897"/>
      <c r="E287" s="1159" t="str">
        <f t="shared" si="34"/>
        <v xml:space="preserve"> </v>
      </c>
      <c r="G287" s="1160" t="str">
        <f t="shared" si="35"/>
        <v xml:space="preserve"> </v>
      </c>
      <c r="H287" s="1149"/>
      <c r="I287">
        <f t="shared" si="32"/>
        <v>0</v>
      </c>
      <c r="K287">
        <f t="shared" si="33"/>
        <v>0</v>
      </c>
      <c r="L287" s="1161"/>
      <c r="N287" s="1162" t="str">
        <f t="shared" si="36"/>
        <v xml:space="preserve"> </v>
      </c>
      <c r="O287" s="1163" t="str">
        <f t="shared" si="37"/>
        <v xml:space="preserve"> </v>
      </c>
      <c r="Q287">
        <f t="shared" si="38"/>
        <v>0</v>
      </c>
      <c r="R287">
        <f t="shared" si="39"/>
        <v>0</v>
      </c>
    </row>
    <row r="288" spans="2:18" x14ac:dyDescent="0.15">
      <c r="B288" s="1157"/>
      <c r="C288" s="1158"/>
      <c r="D288" s="897"/>
      <c r="E288" s="1159" t="str">
        <f t="shared" si="34"/>
        <v xml:space="preserve"> </v>
      </c>
      <c r="G288" s="1160" t="str">
        <f t="shared" si="35"/>
        <v xml:space="preserve"> </v>
      </c>
      <c r="H288" s="1149"/>
      <c r="I288">
        <f t="shared" si="32"/>
        <v>0</v>
      </c>
      <c r="K288">
        <f t="shared" si="33"/>
        <v>0</v>
      </c>
      <c r="L288" s="1161"/>
      <c r="N288" s="1162" t="str">
        <f t="shared" si="36"/>
        <v xml:space="preserve"> </v>
      </c>
      <c r="O288" s="1163" t="str">
        <f t="shared" si="37"/>
        <v xml:space="preserve"> </v>
      </c>
      <c r="Q288">
        <f t="shared" si="38"/>
        <v>0</v>
      </c>
      <c r="R288">
        <f t="shared" si="39"/>
        <v>0</v>
      </c>
    </row>
    <row r="289" spans="2:18" x14ac:dyDescent="0.15">
      <c r="B289" s="1157"/>
      <c r="C289" s="1158"/>
      <c r="D289" s="897"/>
      <c r="E289" s="1159" t="str">
        <f t="shared" si="34"/>
        <v xml:space="preserve"> </v>
      </c>
      <c r="G289" s="1160" t="str">
        <f t="shared" si="35"/>
        <v xml:space="preserve"> </v>
      </c>
      <c r="H289" s="1149"/>
      <c r="I289">
        <f t="shared" si="32"/>
        <v>0</v>
      </c>
      <c r="K289">
        <f t="shared" si="33"/>
        <v>0</v>
      </c>
      <c r="L289" s="1161"/>
      <c r="N289" s="1162" t="str">
        <f t="shared" si="36"/>
        <v xml:space="preserve"> </v>
      </c>
      <c r="O289" s="1163" t="str">
        <f t="shared" si="37"/>
        <v xml:space="preserve"> </v>
      </c>
      <c r="Q289">
        <f t="shared" si="38"/>
        <v>0</v>
      </c>
      <c r="R289">
        <f t="shared" si="39"/>
        <v>0</v>
      </c>
    </row>
    <row r="290" spans="2:18" x14ac:dyDescent="0.15">
      <c r="B290" s="1157"/>
      <c r="C290" s="1158"/>
      <c r="D290" s="897"/>
      <c r="E290" s="1159" t="str">
        <f t="shared" si="34"/>
        <v xml:space="preserve"> </v>
      </c>
      <c r="G290" s="1160" t="str">
        <f t="shared" si="35"/>
        <v xml:space="preserve"> </v>
      </c>
      <c r="H290" s="1149"/>
      <c r="I290">
        <f t="shared" si="32"/>
        <v>0</v>
      </c>
      <c r="K290">
        <f t="shared" si="33"/>
        <v>0</v>
      </c>
      <c r="L290" s="1161"/>
      <c r="N290" s="1162" t="str">
        <f t="shared" si="36"/>
        <v xml:space="preserve"> </v>
      </c>
      <c r="O290" s="1163" t="str">
        <f t="shared" si="37"/>
        <v xml:space="preserve"> </v>
      </c>
      <c r="Q290">
        <f t="shared" si="38"/>
        <v>0</v>
      </c>
      <c r="R290">
        <f t="shared" si="39"/>
        <v>0</v>
      </c>
    </row>
    <row r="291" spans="2:18" x14ac:dyDescent="0.15">
      <c r="B291" s="1157"/>
      <c r="C291" s="1158"/>
      <c r="D291" s="897"/>
      <c r="E291" s="1159" t="str">
        <f t="shared" si="34"/>
        <v xml:space="preserve"> </v>
      </c>
      <c r="G291" s="1160" t="str">
        <f t="shared" si="35"/>
        <v xml:space="preserve"> </v>
      </c>
      <c r="H291" s="1149"/>
      <c r="I291">
        <f t="shared" si="32"/>
        <v>0</v>
      </c>
      <c r="K291">
        <f t="shared" si="33"/>
        <v>0</v>
      </c>
      <c r="L291" s="1161"/>
      <c r="N291" s="1162" t="str">
        <f t="shared" si="36"/>
        <v xml:space="preserve"> </v>
      </c>
      <c r="O291" s="1163" t="str">
        <f t="shared" si="37"/>
        <v xml:space="preserve"> </v>
      </c>
      <c r="Q291">
        <f t="shared" si="38"/>
        <v>0</v>
      </c>
      <c r="R291">
        <f t="shared" si="39"/>
        <v>0</v>
      </c>
    </row>
    <row r="292" spans="2:18" x14ac:dyDescent="0.15">
      <c r="B292" s="1157"/>
      <c r="C292" s="1158"/>
      <c r="D292" s="897"/>
      <c r="E292" s="1159" t="str">
        <f t="shared" si="34"/>
        <v xml:space="preserve"> </v>
      </c>
      <c r="G292" s="1160" t="str">
        <f t="shared" si="35"/>
        <v xml:space="preserve"> </v>
      </c>
      <c r="H292" s="1149"/>
      <c r="I292">
        <f t="shared" si="32"/>
        <v>0</v>
      </c>
      <c r="K292">
        <f t="shared" si="33"/>
        <v>0</v>
      </c>
      <c r="L292" s="1161"/>
      <c r="N292" s="1162" t="str">
        <f t="shared" si="36"/>
        <v xml:space="preserve"> </v>
      </c>
      <c r="O292" s="1163" t="str">
        <f t="shared" si="37"/>
        <v xml:space="preserve"> </v>
      </c>
      <c r="Q292">
        <f t="shared" si="38"/>
        <v>0</v>
      </c>
      <c r="R292">
        <f t="shared" si="39"/>
        <v>0</v>
      </c>
    </row>
    <row r="293" spans="2:18" x14ac:dyDescent="0.15">
      <c r="B293" s="1157"/>
      <c r="C293" s="1158"/>
      <c r="D293" s="897"/>
      <c r="E293" s="1159" t="str">
        <f t="shared" si="34"/>
        <v xml:space="preserve"> </v>
      </c>
      <c r="G293" s="1160" t="str">
        <f t="shared" si="35"/>
        <v xml:space="preserve"> </v>
      </c>
      <c r="H293" s="1149"/>
      <c r="I293">
        <f t="shared" si="32"/>
        <v>0</v>
      </c>
      <c r="K293">
        <f t="shared" si="33"/>
        <v>0</v>
      </c>
      <c r="L293" s="1161"/>
      <c r="N293" s="1162" t="str">
        <f t="shared" si="36"/>
        <v xml:space="preserve"> </v>
      </c>
      <c r="O293" s="1163" t="str">
        <f t="shared" si="37"/>
        <v xml:space="preserve"> </v>
      </c>
      <c r="Q293">
        <f t="shared" si="38"/>
        <v>0</v>
      </c>
      <c r="R293">
        <f t="shared" si="39"/>
        <v>0</v>
      </c>
    </row>
    <row r="294" spans="2:18" x14ac:dyDescent="0.15">
      <c r="B294" s="1157"/>
      <c r="C294" s="1158"/>
      <c r="D294" s="897"/>
      <c r="E294" s="1159" t="str">
        <f t="shared" si="34"/>
        <v xml:space="preserve"> </v>
      </c>
      <c r="G294" s="1160" t="str">
        <f t="shared" si="35"/>
        <v xml:space="preserve"> </v>
      </c>
      <c r="H294" s="1149"/>
      <c r="I294">
        <f t="shared" si="32"/>
        <v>0</v>
      </c>
      <c r="K294">
        <f t="shared" si="33"/>
        <v>0</v>
      </c>
      <c r="L294" s="1161"/>
      <c r="N294" s="1162" t="str">
        <f t="shared" si="36"/>
        <v xml:space="preserve"> </v>
      </c>
      <c r="O294" s="1163" t="str">
        <f t="shared" si="37"/>
        <v xml:space="preserve"> </v>
      </c>
      <c r="Q294">
        <f t="shared" si="38"/>
        <v>0</v>
      </c>
      <c r="R294">
        <f t="shared" si="39"/>
        <v>0</v>
      </c>
    </row>
    <row r="295" spans="2:18" x14ac:dyDescent="0.15">
      <c r="B295" s="1157"/>
      <c r="C295" s="1158"/>
      <c r="D295" s="897"/>
      <c r="E295" s="1159" t="str">
        <f t="shared" si="34"/>
        <v xml:space="preserve"> </v>
      </c>
      <c r="G295" s="1160" t="str">
        <f t="shared" si="35"/>
        <v xml:space="preserve"> </v>
      </c>
      <c r="H295" s="1149"/>
      <c r="I295">
        <f t="shared" si="32"/>
        <v>0</v>
      </c>
      <c r="K295">
        <f t="shared" si="33"/>
        <v>0</v>
      </c>
      <c r="L295" s="1161"/>
      <c r="N295" s="1162" t="str">
        <f t="shared" si="36"/>
        <v xml:space="preserve"> </v>
      </c>
      <c r="O295" s="1163" t="str">
        <f t="shared" si="37"/>
        <v xml:space="preserve"> </v>
      </c>
      <c r="Q295">
        <f t="shared" si="38"/>
        <v>0</v>
      </c>
      <c r="R295">
        <f t="shared" si="39"/>
        <v>0</v>
      </c>
    </row>
    <row r="296" spans="2:18" x14ac:dyDescent="0.15">
      <c r="B296" s="1157"/>
      <c r="C296" s="1158"/>
      <c r="D296" s="897"/>
      <c r="E296" s="1159" t="str">
        <f t="shared" si="34"/>
        <v xml:space="preserve"> </v>
      </c>
      <c r="G296" s="1160" t="str">
        <f t="shared" si="35"/>
        <v xml:space="preserve"> </v>
      </c>
      <c r="H296" s="1149"/>
      <c r="I296">
        <f t="shared" si="32"/>
        <v>0</v>
      </c>
      <c r="K296">
        <f t="shared" si="33"/>
        <v>0</v>
      </c>
      <c r="L296" s="1161"/>
      <c r="N296" s="1162" t="str">
        <f t="shared" si="36"/>
        <v xml:space="preserve"> </v>
      </c>
      <c r="O296" s="1163" t="str">
        <f t="shared" si="37"/>
        <v xml:space="preserve"> </v>
      </c>
      <c r="Q296">
        <f t="shared" si="38"/>
        <v>0</v>
      </c>
      <c r="R296">
        <f t="shared" si="39"/>
        <v>0</v>
      </c>
    </row>
    <row r="297" spans="2:18" x14ac:dyDescent="0.15">
      <c r="B297" s="1157"/>
      <c r="C297" s="1158"/>
      <c r="D297" s="897"/>
      <c r="E297" s="1159" t="str">
        <f t="shared" si="34"/>
        <v xml:space="preserve"> </v>
      </c>
      <c r="G297" s="1160" t="str">
        <f t="shared" si="35"/>
        <v xml:space="preserve"> </v>
      </c>
      <c r="H297" s="1149"/>
      <c r="I297">
        <f t="shared" si="32"/>
        <v>0</v>
      </c>
      <c r="K297">
        <f t="shared" si="33"/>
        <v>0</v>
      </c>
      <c r="L297" s="1161"/>
      <c r="N297" s="1162" t="str">
        <f t="shared" si="36"/>
        <v xml:space="preserve"> </v>
      </c>
      <c r="O297" s="1163" t="str">
        <f t="shared" si="37"/>
        <v xml:space="preserve"> </v>
      </c>
      <c r="Q297">
        <f t="shared" si="38"/>
        <v>0</v>
      </c>
      <c r="R297">
        <f t="shared" si="39"/>
        <v>0</v>
      </c>
    </row>
    <row r="298" spans="2:18" x14ac:dyDescent="0.15">
      <c r="B298" s="1157"/>
      <c r="C298" s="1158"/>
      <c r="D298" s="897"/>
      <c r="E298" s="1159" t="str">
        <f t="shared" si="34"/>
        <v xml:space="preserve"> </v>
      </c>
      <c r="G298" s="1160" t="str">
        <f t="shared" si="35"/>
        <v xml:space="preserve"> </v>
      </c>
      <c r="H298" s="1149"/>
      <c r="I298">
        <f t="shared" si="32"/>
        <v>0</v>
      </c>
      <c r="K298">
        <f t="shared" si="33"/>
        <v>0</v>
      </c>
      <c r="L298" s="1161"/>
      <c r="N298" s="1162" t="str">
        <f t="shared" si="36"/>
        <v xml:space="preserve"> </v>
      </c>
      <c r="O298" s="1163" t="str">
        <f t="shared" si="37"/>
        <v xml:space="preserve"> </v>
      </c>
      <c r="Q298">
        <f t="shared" si="38"/>
        <v>0</v>
      </c>
      <c r="R298">
        <f t="shared" si="39"/>
        <v>0</v>
      </c>
    </row>
    <row r="299" spans="2:18" x14ac:dyDescent="0.15">
      <c r="B299" s="1157"/>
      <c r="C299" s="1158"/>
      <c r="D299" s="897"/>
      <c r="E299" s="1159" t="str">
        <f t="shared" si="34"/>
        <v xml:space="preserve"> </v>
      </c>
      <c r="G299" s="1160" t="str">
        <f t="shared" si="35"/>
        <v xml:space="preserve"> </v>
      </c>
      <c r="H299" s="1149"/>
      <c r="I299">
        <f t="shared" si="32"/>
        <v>0</v>
      </c>
      <c r="K299">
        <f t="shared" si="33"/>
        <v>0</v>
      </c>
      <c r="L299" s="1161"/>
      <c r="N299" s="1162" t="str">
        <f t="shared" si="36"/>
        <v xml:space="preserve"> </v>
      </c>
      <c r="O299" s="1163" t="str">
        <f t="shared" si="37"/>
        <v xml:space="preserve"> </v>
      </c>
      <c r="Q299">
        <f t="shared" si="38"/>
        <v>0</v>
      </c>
      <c r="R299">
        <f t="shared" si="39"/>
        <v>0</v>
      </c>
    </row>
    <row r="300" spans="2:18" x14ac:dyDescent="0.15">
      <c r="B300" s="1157"/>
      <c r="C300" s="1158"/>
      <c r="D300" s="897"/>
      <c r="E300" s="1159" t="str">
        <f t="shared" si="34"/>
        <v xml:space="preserve"> </v>
      </c>
      <c r="G300" s="1160" t="str">
        <f t="shared" si="35"/>
        <v xml:space="preserve"> </v>
      </c>
      <c r="H300" s="1149"/>
      <c r="I300">
        <f t="shared" si="32"/>
        <v>0</v>
      </c>
      <c r="K300">
        <f t="shared" si="33"/>
        <v>0</v>
      </c>
      <c r="L300" s="1161"/>
      <c r="N300" s="1162" t="str">
        <f t="shared" si="36"/>
        <v xml:space="preserve"> </v>
      </c>
      <c r="O300" s="1163" t="str">
        <f t="shared" si="37"/>
        <v xml:space="preserve"> </v>
      </c>
      <c r="Q300">
        <f t="shared" si="38"/>
        <v>0</v>
      </c>
      <c r="R300">
        <f t="shared" si="39"/>
        <v>0</v>
      </c>
    </row>
    <row r="301" spans="2:18" x14ac:dyDescent="0.15">
      <c r="B301" s="1157"/>
      <c r="C301" s="1158"/>
      <c r="D301" s="897"/>
      <c r="E301" s="1159" t="str">
        <f t="shared" si="34"/>
        <v xml:space="preserve"> </v>
      </c>
      <c r="G301" s="1160" t="str">
        <f t="shared" si="35"/>
        <v xml:space="preserve"> </v>
      </c>
      <c r="H301" s="1149"/>
      <c r="I301">
        <f t="shared" si="32"/>
        <v>0</v>
      </c>
      <c r="K301">
        <f t="shared" si="33"/>
        <v>0</v>
      </c>
      <c r="L301" s="1161"/>
      <c r="N301" s="1162" t="str">
        <f t="shared" si="36"/>
        <v xml:space="preserve"> </v>
      </c>
      <c r="O301" s="1163" t="str">
        <f t="shared" si="37"/>
        <v xml:space="preserve"> </v>
      </c>
      <c r="Q301">
        <f t="shared" si="38"/>
        <v>0</v>
      </c>
      <c r="R301">
        <f t="shared" si="39"/>
        <v>0</v>
      </c>
    </row>
    <row r="302" spans="2:18" x14ac:dyDescent="0.15">
      <c r="B302" s="1157"/>
      <c r="C302" s="1158"/>
      <c r="D302" s="897"/>
      <c r="E302" s="1159" t="str">
        <f t="shared" si="34"/>
        <v xml:space="preserve"> </v>
      </c>
      <c r="G302" s="1160" t="str">
        <f t="shared" si="35"/>
        <v xml:space="preserve"> </v>
      </c>
      <c r="H302" s="1149"/>
      <c r="I302">
        <f t="shared" si="32"/>
        <v>0</v>
      </c>
      <c r="K302">
        <f t="shared" si="33"/>
        <v>0</v>
      </c>
      <c r="L302" s="1161"/>
      <c r="N302" s="1162" t="str">
        <f t="shared" si="36"/>
        <v xml:space="preserve"> </v>
      </c>
      <c r="O302" s="1163" t="str">
        <f t="shared" si="37"/>
        <v xml:space="preserve"> </v>
      </c>
      <c r="Q302">
        <f t="shared" si="38"/>
        <v>0</v>
      </c>
      <c r="R302">
        <f t="shared" si="39"/>
        <v>0</v>
      </c>
    </row>
    <row r="303" spans="2:18" x14ac:dyDescent="0.15">
      <c r="B303" s="1157"/>
      <c r="C303" s="1158"/>
      <c r="D303" s="897"/>
      <c r="E303" s="1159" t="str">
        <f t="shared" si="34"/>
        <v xml:space="preserve"> </v>
      </c>
      <c r="G303" s="1160" t="str">
        <f t="shared" si="35"/>
        <v xml:space="preserve"> </v>
      </c>
      <c r="H303" s="1149"/>
      <c r="I303">
        <f t="shared" si="32"/>
        <v>0</v>
      </c>
      <c r="K303">
        <f t="shared" si="33"/>
        <v>0</v>
      </c>
      <c r="L303" s="1161"/>
      <c r="N303" s="1162" t="str">
        <f t="shared" si="36"/>
        <v xml:space="preserve"> </v>
      </c>
      <c r="O303" s="1163" t="str">
        <f t="shared" si="37"/>
        <v xml:space="preserve"> </v>
      </c>
      <c r="Q303">
        <f t="shared" si="38"/>
        <v>0</v>
      </c>
      <c r="R303">
        <f t="shared" si="39"/>
        <v>0</v>
      </c>
    </row>
    <row r="304" spans="2:18" x14ac:dyDescent="0.15">
      <c r="B304" s="1157"/>
      <c r="C304" s="1158"/>
      <c r="D304" s="897"/>
      <c r="E304" s="1159" t="str">
        <f t="shared" si="34"/>
        <v xml:space="preserve"> </v>
      </c>
      <c r="G304" s="1160" t="str">
        <f t="shared" si="35"/>
        <v xml:space="preserve"> </v>
      </c>
      <c r="H304" s="1149"/>
      <c r="I304">
        <f t="shared" si="32"/>
        <v>0</v>
      </c>
      <c r="K304">
        <f t="shared" si="33"/>
        <v>0</v>
      </c>
      <c r="L304" s="1161"/>
      <c r="N304" s="1162" t="str">
        <f t="shared" si="36"/>
        <v xml:space="preserve"> </v>
      </c>
      <c r="O304" s="1163" t="str">
        <f t="shared" si="37"/>
        <v xml:space="preserve"> </v>
      </c>
      <c r="Q304">
        <f t="shared" si="38"/>
        <v>0</v>
      </c>
      <c r="R304">
        <f t="shared" si="39"/>
        <v>0</v>
      </c>
    </row>
    <row r="305" spans="2:18" x14ac:dyDescent="0.15">
      <c r="B305" s="1157"/>
      <c r="C305" s="1158"/>
      <c r="D305" s="897"/>
      <c r="E305" s="1159" t="str">
        <f t="shared" si="34"/>
        <v xml:space="preserve"> </v>
      </c>
      <c r="G305" s="1160" t="str">
        <f t="shared" si="35"/>
        <v xml:space="preserve"> </v>
      </c>
      <c r="H305" s="1149"/>
      <c r="I305">
        <f t="shared" si="32"/>
        <v>0</v>
      </c>
      <c r="K305">
        <f t="shared" si="33"/>
        <v>0</v>
      </c>
      <c r="L305" s="1161"/>
      <c r="N305" s="1162" t="str">
        <f t="shared" si="36"/>
        <v xml:space="preserve"> </v>
      </c>
      <c r="O305" s="1163" t="str">
        <f t="shared" si="37"/>
        <v xml:space="preserve"> </v>
      </c>
      <c r="Q305">
        <f t="shared" si="38"/>
        <v>0</v>
      </c>
      <c r="R305">
        <f t="shared" si="39"/>
        <v>0</v>
      </c>
    </row>
    <row r="306" spans="2:18" x14ac:dyDescent="0.15">
      <c r="B306" s="1157"/>
      <c r="C306" s="1158"/>
      <c r="D306" s="897"/>
      <c r="E306" s="1159" t="str">
        <f t="shared" si="34"/>
        <v xml:space="preserve"> </v>
      </c>
      <c r="G306" s="1160" t="str">
        <f t="shared" si="35"/>
        <v xml:space="preserve"> </v>
      </c>
      <c r="H306" s="1149"/>
      <c r="I306">
        <f t="shared" si="32"/>
        <v>0</v>
      </c>
      <c r="K306">
        <f t="shared" si="33"/>
        <v>0</v>
      </c>
      <c r="L306" s="1161"/>
      <c r="N306" s="1162" t="str">
        <f t="shared" si="36"/>
        <v xml:space="preserve"> </v>
      </c>
      <c r="O306" s="1163" t="str">
        <f t="shared" si="37"/>
        <v xml:space="preserve"> </v>
      </c>
      <c r="Q306">
        <f t="shared" si="38"/>
        <v>0</v>
      </c>
      <c r="R306">
        <f t="shared" si="39"/>
        <v>0</v>
      </c>
    </row>
    <row r="307" spans="2:18" x14ac:dyDescent="0.15">
      <c r="B307" s="1157"/>
      <c r="C307" s="1158"/>
      <c r="D307" s="897"/>
      <c r="E307" s="1159" t="str">
        <f t="shared" si="34"/>
        <v xml:space="preserve"> </v>
      </c>
      <c r="G307" s="1160" t="str">
        <f t="shared" si="35"/>
        <v xml:space="preserve"> </v>
      </c>
      <c r="H307" s="1149"/>
      <c r="I307">
        <f t="shared" si="32"/>
        <v>0</v>
      </c>
      <c r="K307">
        <f t="shared" si="33"/>
        <v>0</v>
      </c>
      <c r="L307" s="1161"/>
      <c r="N307" s="1162" t="str">
        <f t="shared" si="36"/>
        <v xml:space="preserve"> </v>
      </c>
      <c r="O307" s="1163" t="str">
        <f t="shared" si="37"/>
        <v xml:space="preserve"> </v>
      </c>
      <c r="Q307">
        <f t="shared" si="38"/>
        <v>0</v>
      </c>
      <c r="R307">
        <f t="shared" si="39"/>
        <v>0</v>
      </c>
    </row>
    <row r="308" spans="2:18" x14ac:dyDescent="0.15">
      <c r="B308" s="1157"/>
      <c r="C308" s="1158"/>
      <c r="D308" s="897"/>
      <c r="E308" s="1159" t="str">
        <f t="shared" si="34"/>
        <v xml:space="preserve"> </v>
      </c>
      <c r="G308" s="1160" t="str">
        <f t="shared" si="35"/>
        <v xml:space="preserve"> </v>
      </c>
      <c r="H308" s="1149"/>
      <c r="I308">
        <f t="shared" si="32"/>
        <v>0</v>
      </c>
      <c r="K308">
        <f t="shared" si="33"/>
        <v>0</v>
      </c>
      <c r="L308" s="1161"/>
      <c r="N308" s="1162" t="str">
        <f t="shared" si="36"/>
        <v xml:space="preserve"> </v>
      </c>
      <c r="O308" s="1163" t="str">
        <f t="shared" si="37"/>
        <v xml:space="preserve"> </v>
      </c>
      <c r="Q308">
        <f t="shared" si="38"/>
        <v>0</v>
      </c>
      <c r="R308">
        <f t="shared" si="39"/>
        <v>0</v>
      </c>
    </row>
    <row r="309" spans="2:18" x14ac:dyDescent="0.15">
      <c r="B309" s="1157"/>
      <c r="C309" s="1158"/>
      <c r="D309" s="897"/>
      <c r="E309" s="1159" t="str">
        <f t="shared" si="34"/>
        <v xml:space="preserve"> </v>
      </c>
      <c r="G309" s="1160" t="str">
        <f t="shared" si="35"/>
        <v xml:space="preserve"> </v>
      </c>
      <c r="H309" s="1149"/>
      <c r="I309">
        <f t="shared" si="32"/>
        <v>0</v>
      </c>
      <c r="K309">
        <f t="shared" si="33"/>
        <v>0</v>
      </c>
      <c r="L309" s="1161"/>
      <c r="N309" s="1162" t="str">
        <f t="shared" si="36"/>
        <v xml:space="preserve"> </v>
      </c>
      <c r="O309" s="1163" t="str">
        <f t="shared" si="37"/>
        <v xml:space="preserve"> </v>
      </c>
      <c r="Q309">
        <f t="shared" si="38"/>
        <v>0</v>
      </c>
      <c r="R309">
        <f t="shared" si="39"/>
        <v>0</v>
      </c>
    </row>
    <row r="310" spans="2:18" x14ac:dyDescent="0.15">
      <c r="B310" s="1157"/>
      <c r="C310" s="1158"/>
      <c r="D310" s="897"/>
      <c r="E310" s="1159" t="str">
        <f t="shared" si="34"/>
        <v xml:space="preserve"> </v>
      </c>
      <c r="G310" s="1160" t="str">
        <f t="shared" si="35"/>
        <v xml:space="preserve"> </v>
      </c>
      <c r="H310" s="1149"/>
      <c r="I310">
        <f t="shared" si="32"/>
        <v>0</v>
      </c>
      <c r="K310">
        <f t="shared" si="33"/>
        <v>0</v>
      </c>
      <c r="L310" s="1161"/>
      <c r="N310" s="1162" t="str">
        <f t="shared" si="36"/>
        <v xml:space="preserve"> </v>
      </c>
      <c r="O310" s="1163" t="str">
        <f t="shared" si="37"/>
        <v xml:space="preserve"> </v>
      </c>
      <c r="Q310">
        <f t="shared" si="38"/>
        <v>0</v>
      </c>
      <c r="R310">
        <f t="shared" si="39"/>
        <v>0</v>
      </c>
    </row>
    <row r="311" spans="2:18" x14ac:dyDescent="0.15">
      <c r="B311" s="1157"/>
      <c r="C311" s="1158"/>
      <c r="D311" s="897"/>
      <c r="E311" s="1159" t="str">
        <f t="shared" si="34"/>
        <v xml:space="preserve"> </v>
      </c>
      <c r="G311" s="1160" t="str">
        <f t="shared" si="35"/>
        <v xml:space="preserve"> </v>
      </c>
      <c r="H311" s="1149"/>
      <c r="I311">
        <f t="shared" si="32"/>
        <v>0</v>
      </c>
      <c r="K311">
        <f t="shared" si="33"/>
        <v>0</v>
      </c>
      <c r="L311" s="1161"/>
      <c r="N311" s="1162" t="str">
        <f t="shared" si="36"/>
        <v xml:space="preserve"> </v>
      </c>
      <c r="O311" s="1163" t="str">
        <f t="shared" si="37"/>
        <v xml:space="preserve"> </v>
      </c>
      <c r="Q311">
        <f t="shared" si="38"/>
        <v>0</v>
      </c>
      <c r="R311">
        <f t="shared" si="39"/>
        <v>0</v>
      </c>
    </row>
    <row r="312" spans="2:18" x14ac:dyDescent="0.15">
      <c r="B312" s="1157"/>
      <c r="C312" s="1158"/>
      <c r="D312" s="897"/>
      <c r="E312" s="1159" t="str">
        <f t="shared" si="34"/>
        <v xml:space="preserve"> </v>
      </c>
      <c r="G312" s="1160" t="str">
        <f t="shared" si="35"/>
        <v xml:space="preserve"> </v>
      </c>
      <c r="H312" s="1149"/>
      <c r="I312">
        <f t="shared" si="32"/>
        <v>0</v>
      </c>
      <c r="K312">
        <f t="shared" si="33"/>
        <v>0</v>
      </c>
      <c r="L312" s="1161"/>
      <c r="N312" s="1162" t="str">
        <f t="shared" si="36"/>
        <v xml:space="preserve"> </v>
      </c>
      <c r="O312" s="1163" t="str">
        <f t="shared" si="37"/>
        <v xml:space="preserve"> </v>
      </c>
      <c r="Q312">
        <f t="shared" si="38"/>
        <v>0</v>
      </c>
      <c r="R312">
        <f t="shared" si="39"/>
        <v>0</v>
      </c>
    </row>
    <row r="313" spans="2:18" x14ac:dyDescent="0.15">
      <c r="B313" s="1157"/>
      <c r="C313" s="1158"/>
      <c r="D313" s="897"/>
      <c r="E313" s="1159" t="str">
        <f t="shared" si="34"/>
        <v xml:space="preserve"> </v>
      </c>
      <c r="G313" s="1160" t="str">
        <f t="shared" si="35"/>
        <v xml:space="preserve"> </v>
      </c>
      <c r="H313" s="1149"/>
      <c r="I313">
        <f t="shared" si="32"/>
        <v>0</v>
      </c>
      <c r="K313">
        <f t="shared" si="33"/>
        <v>0</v>
      </c>
      <c r="L313" s="1161"/>
      <c r="N313" s="1162" t="str">
        <f t="shared" si="36"/>
        <v xml:space="preserve"> </v>
      </c>
      <c r="O313" s="1163" t="str">
        <f t="shared" si="37"/>
        <v xml:space="preserve"> </v>
      </c>
      <c r="Q313">
        <f t="shared" si="38"/>
        <v>0</v>
      </c>
      <c r="R313">
        <f t="shared" si="39"/>
        <v>0</v>
      </c>
    </row>
    <row r="314" spans="2:18" x14ac:dyDescent="0.15">
      <c r="B314" s="1157"/>
      <c r="C314" s="1158"/>
      <c r="D314" s="897"/>
      <c r="E314" s="1159" t="str">
        <f t="shared" si="34"/>
        <v xml:space="preserve"> </v>
      </c>
      <c r="G314" s="1160" t="str">
        <f t="shared" si="35"/>
        <v xml:space="preserve"> </v>
      </c>
      <c r="H314" s="1149"/>
      <c r="I314">
        <f t="shared" si="32"/>
        <v>0</v>
      </c>
      <c r="K314">
        <f t="shared" si="33"/>
        <v>0</v>
      </c>
      <c r="L314" s="1161"/>
      <c r="N314" s="1162" t="str">
        <f t="shared" si="36"/>
        <v xml:space="preserve"> </v>
      </c>
      <c r="O314" s="1163" t="str">
        <f t="shared" si="37"/>
        <v xml:space="preserve"> </v>
      </c>
      <c r="Q314">
        <f t="shared" si="38"/>
        <v>0</v>
      </c>
      <c r="R314">
        <f t="shared" si="39"/>
        <v>0</v>
      </c>
    </row>
    <row r="315" spans="2:18" x14ac:dyDescent="0.15">
      <c r="B315" s="1157"/>
      <c r="C315" s="1158"/>
      <c r="D315" s="897"/>
      <c r="E315" s="1159" t="str">
        <f t="shared" si="34"/>
        <v xml:space="preserve"> </v>
      </c>
      <c r="G315" s="1160" t="str">
        <f t="shared" si="35"/>
        <v xml:space="preserve"> </v>
      </c>
      <c r="H315" s="1149"/>
      <c r="I315">
        <f t="shared" si="32"/>
        <v>0</v>
      </c>
      <c r="K315">
        <f t="shared" si="33"/>
        <v>0</v>
      </c>
      <c r="L315" s="1161"/>
      <c r="N315" s="1162" t="str">
        <f t="shared" si="36"/>
        <v xml:space="preserve"> </v>
      </c>
      <c r="O315" s="1163" t="str">
        <f t="shared" si="37"/>
        <v xml:space="preserve"> </v>
      </c>
      <c r="Q315">
        <f t="shared" si="38"/>
        <v>0</v>
      </c>
      <c r="R315">
        <f t="shared" si="39"/>
        <v>0</v>
      </c>
    </row>
    <row r="316" spans="2:18" x14ac:dyDescent="0.15">
      <c r="B316" s="1157"/>
      <c r="C316" s="1158"/>
      <c r="D316" s="897"/>
      <c r="E316" s="1159" t="str">
        <f t="shared" si="34"/>
        <v xml:space="preserve"> </v>
      </c>
      <c r="G316" s="1160" t="str">
        <f t="shared" si="35"/>
        <v xml:space="preserve"> </v>
      </c>
      <c r="H316" s="1149"/>
      <c r="I316">
        <f t="shared" si="32"/>
        <v>0</v>
      </c>
      <c r="K316">
        <f t="shared" si="33"/>
        <v>0</v>
      </c>
      <c r="L316" s="1161"/>
      <c r="N316" s="1162" t="str">
        <f t="shared" si="36"/>
        <v xml:space="preserve"> </v>
      </c>
      <c r="O316" s="1163" t="str">
        <f t="shared" si="37"/>
        <v xml:space="preserve"> </v>
      </c>
      <c r="Q316">
        <f t="shared" si="38"/>
        <v>0</v>
      </c>
      <c r="R316">
        <f t="shared" si="39"/>
        <v>0</v>
      </c>
    </row>
    <row r="317" spans="2:18" x14ac:dyDescent="0.15">
      <c r="B317" s="1157"/>
      <c r="C317" s="1158"/>
      <c r="D317" s="897"/>
      <c r="E317" s="1159" t="str">
        <f t="shared" si="34"/>
        <v xml:space="preserve"> </v>
      </c>
      <c r="G317" s="1160" t="str">
        <f t="shared" si="35"/>
        <v xml:space="preserve"> </v>
      </c>
      <c r="H317" s="1149"/>
      <c r="I317">
        <f t="shared" si="32"/>
        <v>0</v>
      </c>
      <c r="K317">
        <f t="shared" si="33"/>
        <v>0</v>
      </c>
      <c r="L317" s="1161"/>
      <c r="N317" s="1162" t="str">
        <f t="shared" si="36"/>
        <v xml:space="preserve"> </v>
      </c>
      <c r="O317" s="1163" t="str">
        <f t="shared" si="37"/>
        <v xml:space="preserve"> </v>
      </c>
      <c r="Q317">
        <f t="shared" si="38"/>
        <v>0</v>
      </c>
      <c r="R317">
        <f t="shared" si="39"/>
        <v>0</v>
      </c>
    </row>
    <row r="318" spans="2:18" x14ac:dyDescent="0.15">
      <c r="B318" s="1157"/>
      <c r="C318" s="1158"/>
      <c r="D318" s="897"/>
      <c r="E318" s="1159" t="str">
        <f t="shared" si="34"/>
        <v xml:space="preserve"> </v>
      </c>
      <c r="G318" s="1160" t="str">
        <f t="shared" si="35"/>
        <v xml:space="preserve"> </v>
      </c>
      <c r="H318" s="1149"/>
      <c r="I318">
        <f t="shared" si="32"/>
        <v>0</v>
      </c>
      <c r="K318">
        <f t="shared" si="33"/>
        <v>0</v>
      </c>
      <c r="L318" s="1161"/>
      <c r="N318" s="1162" t="str">
        <f t="shared" si="36"/>
        <v xml:space="preserve"> </v>
      </c>
      <c r="O318" s="1163" t="str">
        <f t="shared" si="37"/>
        <v xml:space="preserve"> </v>
      </c>
      <c r="Q318">
        <f t="shared" si="38"/>
        <v>0</v>
      </c>
      <c r="R318">
        <f t="shared" si="39"/>
        <v>0</v>
      </c>
    </row>
    <row r="319" spans="2:18" x14ac:dyDescent="0.15">
      <c r="B319" s="1157"/>
      <c r="C319" s="1158"/>
      <c r="D319" s="897"/>
      <c r="E319" s="1159" t="str">
        <f t="shared" si="34"/>
        <v xml:space="preserve"> </v>
      </c>
      <c r="G319" s="1160" t="str">
        <f t="shared" si="35"/>
        <v xml:space="preserve"> </v>
      </c>
      <c r="H319" s="1149"/>
      <c r="I319">
        <f t="shared" si="32"/>
        <v>0</v>
      </c>
      <c r="K319">
        <f t="shared" si="33"/>
        <v>0</v>
      </c>
      <c r="L319" s="1161"/>
      <c r="N319" s="1162" t="str">
        <f t="shared" si="36"/>
        <v xml:space="preserve"> </v>
      </c>
      <c r="O319" s="1163" t="str">
        <f t="shared" si="37"/>
        <v xml:space="preserve"> </v>
      </c>
      <c r="Q319">
        <f t="shared" si="38"/>
        <v>0</v>
      </c>
      <c r="R319">
        <f t="shared" si="39"/>
        <v>0</v>
      </c>
    </row>
    <row r="320" spans="2:18" x14ac:dyDescent="0.15">
      <c r="B320" s="1157"/>
      <c r="C320" s="1158"/>
      <c r="D320" s="897"/>
      <c r="E320" s="1159" t="str">
        <f t="shared" si="34"/>
        <v xml:space="preserve"> </v>
      </c>
      <c r="G320" s="1160" t="str">
        <f t="shared" si="35"/>
        <v xml:space="preserve"> </v>
      </c>
      <c r="H320" s="1149"/>
      <c r="I320">
        <f t="shared" si="32"/>
        <v>0</v>
      </c>
      <c r="K320">
        <f t="shared" si="33"/>
        <v>0</v>
      </c>
      <c r="L320" s="1161"/>
      <c r="N320" s="1162" t="str">
        <f t="shared" si="36"/>
        <v xml:space="preserve"> </v>
      </c>
      <c r="O320" s="1163" t="str">
        <f t="shared" si="37"/>
        <v xml:space="preserve"> </v>
      </c>
      <c r="Q320">
        <f t="shared" si="38"/>
        <v>0</v>
      </c>
      <c r="R320">
        <f t="shared" si="39"/>
        <v>0</v>
      </c>
    </row>
    <row r="321" spans="2:18" x14ac:dyDescent="0.15">
      <c r="B321" s="1157"/>
      <c r="C321" s="1158"/>
      <c r="D321" s="897"/>
      <c r="E321" s="1159" t="str">
        <f t="shared" si="34"/>
        <v xml:space="preserve"> </v>
      </c>
      <c r="G321" s="1160" t="str">
        <f t="shared" si="35"/>
        <v xml:space="preserve"> </v>
      </c>
      <c r="H321" s="1149"/>
      <c r="I321">
        <f t="shared" si="32"/>
        <v>0</v>
      </c>
      <c r="K321">
        <f t="shared" si="33"/>
        <v>0</v>
      </c>
      <c r="L321" s="1161"/>
      <c r="N321" s="1162" t="str">
        <f t="shared" si="36"/>
        <v xml:space="preserve"> </v>
      </c>
      <c r="O321" s="1163" t="str">
        <f t="shared" si="37"/>
        <v xml:space="preserve"> </v>
      </c>
      <c r="Q321">
        <f t="shared" si="38"/>
        <v>0</v>
      </c>
      <c r="R321">
        <f t="shared" si="39"/>
        <v>0</v>
      </c>
    </row>
    <row r="322" spans="2:18" x14ac:dyDescent="0.15">
      <c r="B322" s="1157"/>
      <c r="C322" s="1158"/>
      <c r="D322" s="897"/>
      <c r="E322" s="1159" t="str">
        <f t="shared" si="34"/>
        <v xml:space="preserve"> </v>
      </c>
      <c r="G322" s="1160" t="str">
        <f t="shared" si="35"/>
        <v xml:space="preserve"> </v>
      </c>
      <c r="H322" s="1149"/>
      <c r="I322">
        <f t="shared" si="32"/>
        <v>0</v>
      </c>
      <c r="K322">
        <f t="shared" si="33"/>
        <v>0</v>
      </c>
      <c r="L322" s="1161"/>
      <c r="N322" s="1162" t="str">
        <f t="shared" si="36"/>
        <v xml:space="preserve"> </v>
      </c>
      <c r="O322" s="1163" t="str">
        <f t="shared" si="37"/>
        <v xml:space="preserve"> </v>
      </c>
      <c r="Q322">
        <f t="shared" si="38"/>
        <v>0</v>
      </c>
      <c r="R322">
        <f t="shared" si="39"/>
        <v>0</v>
      </c>
    </row>
    <row r="323" spans="2:18" x14ac:dyDescent="0.15">
      <c r="B323" s="1157"/>
      <c r="C323" s="1158"/>
      <c r="D323" s="897"/>
      <c r="E323" s="1159" t="str">
        <f t="shared" si="34"/>
        <v xml:space="preserve"> </v>
      </c>
      <c r="G323" s="1160" t="str">
        <f t="shared" si="35"/>
        <v xml:space="preserve"> </v>
      </c>
      <c r="H323" s="1149"/>
      <c r="I323">
        <f t="shared" si="32"/>
        <v>0</v>
      </c>
      <c r="K323">
        <f t="shared" si="33"/>
        <v>0</v>
      </c>
      <c r="L323" s="1161"/>
      <c r="N323" s="1162" t="str">
        <f t="shared" si="36"/>
        <v xml:space="preserve"> </v>
      </c>
      <c r="O323" s="1163" t="str">
        <f t="shared" si="37"/>
        <v xml:space="preserve"> </v>
      </c>
      <c r="Q323">
        <f t="shared" si="38"/>
        <v>0</v>
      </c>
      <c r="R323">
        <f t="shared" si="39"/>
        <v>0</v>
      </c>
    </row>
    <row r="324" spans="2:18" x14ac:dyDescent="0.15">
      <c r="B324" s="1157"/>
      <c r="C324" s="1158"/>
      <c r="D324" s="897"/>
      <c r="E324" s="1159" t="str">
        <f t="shared" si="34"/>
        <v xml:space="preserve"> </v>
      </c>
      <c r="G324" s="1160" t="str">
        <f t="shared" si="35"/>
        <v xml:space="preserve"> </v>
      </c>
      <c r="H324" s="1149"/>
      <c r="I324">
        <f t="shared" si="32"/>
        <v>0</v>
      </c>
      <c r="K324">
        <f t="shared" si="33"/>
        <v>0</v>
      </c>
      <c r="L324" s="1161"/>
      <c r="N324" s="1162" t="str">
        <f t="shared" si="36"/>
        <v xml:space="preserve"> </v>
      </c>
      <c r="O324" s="1163" t="str">
        <f t="shared" si="37"/>
        <v xml:space="preserve"> </v>
      </c>
      <c r="Q324">
        <f t="shared" si="38"/>
        <v>0</v>
      </c>
      <c r="R324">
        <f t="shared" si="39"/>
        <v>0</v>
      </c>
    </row>
    <row r="325" spans="2:18" x14ac:dyDescent="0.15">
      <c r="B325" s="1157"/>
      <c r="C325" s="1158"/>
      <c r="D325" s="897"/>
      <c r="E325" s="1159" t="str">
        <f t="shared" si="34"/>
        <v xml:space="preserve"> </v>
      </c>
      <c r="G325" s="1160" t="str">
        <f t="shared" si="35"/>
        <v xml:space="preserve"> </v>
      </c>
      <c r="H325" s="1149"/>
      <c r="I325">
        <f t="shared" si="32"/>
        <v>0</v>
      </c>
      <c r="K325">
        <f t="shared" si="33"/>
        <v>0</v>
      </c>
      <c r="L325" s="1161"/>
      <c r="N325" s="1162" t="str">
        <f t="shared" si="36"/>
        <v xml:space="preserve"> </v>
      </c>
      <c r="O325" s="1163" t="str">
        <f t="shared" si="37"/>
        <v xml:space="preserve"> </v>
      </c>
      <c r="Q325">
        <f t="shared" si="38"/>
        <v>0</v>
      </c>
      <c r="R325">
        <f t="shared" si="39"/>
        <v>0</v>
      </c>
    </row>
    <row r="326" spans="2:18" x14ac:dyDescent="0.15">
      <c r="B326" s="1157"/>
      <c r="C326" s="1158"/>
      <c r="D326" s="897"/>
      <c r="E326" s="1159" t="str">
        <f t="shared" si="34"/>
        <v xml:space="preserve"> </v>
      </c>
      <c r="G326" s="1160" t="str">
        <f t="shared" si="35"/>
        <v xml:space="preserve"> </v>
      </c>
      <c r="H326" s="1149"/>
      <c r="I326">
        <f t="shared" si="32"/>
        <v>0</v>
      </c>
      <c r="K326">
        <f t="shared" si="33"/>
        <v>0</v>
      </c>
      <c r="L326" s="1161"/>
      <c r="N326" s="1162" t="str">
        <f t="shared" si="36"/>
        <v xml:space="preserve"> </v>
      </c>
      <c r="O326" s="1163" t="str">
        <f t="shared" si="37"/>
        <v xml:space="preserve"> </v>
      </c>
      <c r="Q326">
        <f t="shared" si="38"/>
        <v>0</v>
      </c>
      <c r="R326">
        <f t="shared" si="39"/>
        <v>0</v>
      </c>
    </row>
    <row r="327" spans="2:18" x14ac:dyDescent="0.15">
      <c r="B327" s="1157"/>
      <c r="C327" s="1158"/>
      <c r="D327" s="897"/>
      <c r="E327" s="1159" t="str">
        <f t="shared" si="34"/>
        <v xml:space="preserve"> </v>
      </c>
      <c r="G327" s="1160" t="str">
        <f t="shared" si="35"/>
        <v xml:space="preserve"> </v>
      </c>
      <c r="H327" s="1149"/>
      <c r="I327">
        <f t="shared" si="32"/>
        <v>0</v>
      </c>
      <c r="K327">
        <f t="shared" si="33"/>
        <v>0</v>
      </c>
      <c r="L327" s="1161"/>
      <c r="N327" s="1162" t="str">
        <f t="shared" si="36"/>
        <v xml:space="preserve"> </v>
      </c>
      <c r="O327" s="1163" t="str">
        <f t="shared" si="37"/>
        <v xml:space="preserve"> </v>
      </c>
      <c r="Q327">
        <f t="shared" si="38"/>
        <v>0</v>
      </c>
      <c r="R327">
        <f t="shared" si="39"/>
        <v>0</v>
      </c>
    </row>
    <row r="328" spans="2:18" x14ac:dyDescent="0.15">
      <c r="B328" s="1157"/>
      <c r="C328" s="1158"/>
      <c r="D328" s="897"/>
      <c r="E328" s="1159" t="str">
        <f t="shared" si="34"/>
        <v xml:space="preserve"> </v>
      </c>
      <c r="G328" s="1160" t="str">
        <f t="shared" si="35"/>
        <v xml:space="preserve"> </v>
      </c>
      <c r="H328" s="1149"/>
      <c r="I328">
        <f t="shared" ref="I328:I391" si="40">(J328+C328)/12</f>
        <v>0</v>
      </c>
      <c r="K328">
        <f t="shared" ref="K328:K391" si="41">I328+B328</f>
        <v>0</v>
      </c>
      <c r="L328" s="1161"/>
      <c r="N328" s="1162" t="str">
        <f t="shared" si="36"/>
        <v xml:space="preserve"> </v>
      </c>
      <c r="O328" s="1163" t="str">
        <f t="shared" si="37"/>
        <v xml:space="preserve"> </v>
      </c>
      <c r="Q328">
        <f t="shared" si="38"/>
        <v>0</v>
      </c>
      <c r="R328">
        <f t="shared" si="39"/>
        <v>0</v>
      </c>
    </row>
    <row r="329" spans="2:18" x14ac:dyDescent="0.15">
      <c r="B329" s="1157"/>
      <c r="C329" s="1158"/>
      <c r="D329" s="897"/>
      <c r="E329" s="1159" t="str">
        <f t="shared" si="34"/>
        <v xml:space="preserve"> </v>
      </c>
      <c r="G329" s="1160" t="str">
        <f t="shared" si="35"/>
        <v xml:space="preserve"> </v>
      </c>
      <c r="H329" s="1149"/>
      <c r="I329">
        <f t="shared" si="40"/>
        <v>0</v>
      </c>
      <c r="K329">
        <f t="shared" si="41"/>
        <v>0</v>
      </c>
      <c r="L329" s="1161"/>
      <c r="N329" s="1162" t="str">
        <f t="shared" si="36"/>
        <v xml:space="preserve"> </v>
      </c>
      <c r="O329" s="1163" t="str">
        <f t="shared" si="37"/>
        <v xml:space="preserve"> </v>
      </c>
      <c r="Q329">
        <f t="shared" si="38"/>
        <v>0</v>
      </c>
      <c r="R329">
        <f t="shared" si="39"/>
        <v>0</v>
      </c>
    </row>
    <row r="330" spans="2:18" x14ac:dyDescent="0.15">
      <c r="B330" s="1157"/>
      <c r="C330" s="1158"/>
      <c r="D330" s="897"/>
      <c r="E330" s="1159" t="str">
        <f t="shared" ref="E330:E393" si="42">IF(K330=0," ",IF(K330&gt;0,K330*12*25.4))</f>
        <v xml:space="preserve"> </v>
      </c>
      <c r="G330" s="1160" t="str">
        <f t="shared" ref="G330:G393" si="43">IF(K330=0," ",IF(K330&gt;0,E330/1000))</f>
        <v xml:space="preserve"> </v>
      </c>
      <c r="H330" s="1149"/>
      <c r="I330">
        <f t="shared" si="40"/>
        <v>0</v>
      </c>
      <c r="K330">
        <f t="shared" si="41"/>
        <v>0</v>
      </c>
      <c r="L330" s="1161"/>
      <c r="N330" s="1162" t="str">
        <f t="shared" ref="N330:N393" si="44">IF(R330=0," ",IF(R330&gt;0,TRUNC(R330)))</f>
        <v xml:space="preserve"> </v>
      </c>
      <c r="O330" s="1163" t="str">
        <f t="shared" ref="O330:O393" si="45">IF(R330=0," ",IF(R330&gt;0,(R330-N330)*12))</f>
        <v xml:space="preserve"> </v>
      </c>
      <c r="Q330">
        <f t="shared" ref="Q330:Q393" si="46">L330/25.4</f>
        <v>0</v>
      </c>
      <c r="R330">
        <f t="shared" ref="R330:R393" si="47">Q330/12</f>
        <v>0</v>
      </c>
    </row>
    <row r="331" spans="2:18" x14ac:dyDescent="0.15">
      <c r="B331" s="1157"/>
      <c r="C331" s="1158"/>
      <c r="D331" s="897"/>
      <c r="E331" s="1159" t="str">
        <f t="shared" si="42"/>
        <v xml:space="preserve"> </v>
      </c>
      <c r="G331" s="1160" t="str">
        <f t="shared" si="43"/>
        <v xml:space="preserve"> </v>
      </c>
      <c r="H331" s="1149"/>
      <c r="I331">
        <f t="shared" si="40"/>
        <v>0</v>
      </c>
      <c r="K331">
        <f t="shared" si="41"/>
        <v>0</v>
      </c>
      <c r="L331" s="1161"/>
      <c r="N331" s="1162" t="str">
        <f t="shared" si="44"/>
        <v xml:space="preserve"> </v>
      </c>
      <c r="O331" s="1163" t="str">
        <f t="shared" si="45"/>
        <v xml:space="preserve"> </v>
      </c>
      <c r="Q331">
        <f t="shared" si="46"/>
        <v>0</v>
      </c>
      <c r="R331">
        <f t="shared" si="47"/>
        <v>0</v>
      </c>
    </row>
    <row r="332" spans="2:18" x14ac:dyDescent="0.15">
      <c r="B332" s="1157"/>
      <c r="C332" s="1158"/>
      <c r="D332" s="897"/>
      <c r="E332" s="1159" t="str">
        <f t="shared" si="42"/>
        <v xml:space="preserve"> </v>
      </c>
      <c r="G332" s="1160" t="str">
        <f t="shared" si="43"/>
        <v xml:space="preserve"> </v>
      </c>
      <c r="H332" s="1149"/>
      <c r="I332">
        <f t="shared" si="40"/>
        <v>0</v>
      </c>
      <c r="K332">
        <f t="shared" si="41"/>
        <v>0</v>
      </c>
      <c r="L332" s="1161"/>
      <c r="N332" s="1162" t="str">
        <f t="shared" si="44"/>
        <v xml:space="preserve"> </v>
      </c>
      <c r="O332" s="1163" t="str">
        <f t="shared" si="45"/>
        <v xml:space="preserve"> </v>
      </c>
      <c r="Q332">
        <f t="shared" si="46"/>
        <v>0</v>
      </c>
      <c r="R332">
        <f t="shared" si="47"/>
        <v>0</v>
      </c>
    </row>
    <row r="333" spans="2:18" x14ac:dyDescent="0.15">
      <c r="B333" s="1157"/>
      <c r="C333" s="1158"/>
      <c r="D333" s="897"/>
      <c r="E333" s="1159" t="str">
        <f t="shared" si="42"/>
        <v xml:space="preserve"> </v>
      </c>
      <c r="G333" s="1160" t="str">
        <f t="shared" si="43"/>
        <v xml:space="preserve"> </v>
      </c>
      <c r="H333" s="1149"/>
      <c r="I333">
        <f t="shared" si="40"/>
        <v>0</v>
      </c>
      <c r="K333">
        <f t="shared" si="41"/>
        <v>0</v>
      </c>
      <c r="L333" s="1161"/>
      <c r="N333" s="1162" t="str">
        <f t="shared" si="44"/>
        <v xml:space="preserve"> </v>
      </c>
      <c r="O333" s="1163" t="str">
        <f t="shared" si="45"/>
        <v xml:space="preserve"> </v>
      </c>
      <c r="Q333">
        <f t="shared" si="46"/>
        <v>0</v>
      </c>
      <c r="R333">
        <f t="shared" si="47"/>
        <v>0</v>
      </c>
    </row>
    <row r="334" spans="2:18" x14ac:dyDescent="0.15">
      <c r="B334" s="1157"/>
      <c r="C334" s="1158"/>
      <c r="D334" s="897"/>
      <c r="E334" s="1159" t="str">
        <f t="shared" si="42"/>
        <v xml:space="preserve"> </v>
      </c>
      <c r="G334" s="1160" t="str">
        <f t="shared" si="43"/>
        <v xml:space="preserve"> </v>
      </c>
      <c r="H334" s="1149"/>
      <c r="I334">
        <f t="shared" si="40"/>
        <v>0</v>
      </c>
      <c r="K334">
        <f t="shared" si="41"/>
        <v>0</v>
      </c>
      <c r="L334" s="1161"/>
      <c r="N334" s="1162" t="str">
        <f t="shared" si="44"/>
        <v xml:space="preserve"> </v>
      </c>
      <c r="O334" s="1163" t="str">
        <f t="shared" si="45"/>
        <v xml:space="preserve"> </v>
      </c>
      <c r="Q334">
        <f t="shared" si="46"/>
        <v>0</v>
      </c>
      <c r="R334">
        <f t="shared" si="47"/>
        <v>0</v>
      </c>
    </row>
    <row r="335" spans="2:18" x14ac:dyDescent="0.15">
      <c r="B335" s="1157"/>
      <c r="C335" s="1158"/>
      <c r="D335" s="897"/>
      <c r="E335" s="1159" t="str">
        <f t="shared" si="42"/>
        <v xml:space="preserve"> </v>
      </c>
      <c r="G335" s="1160" t="str">
        <f t="shared" si="43"/>
        <v xml:space="preserve"> </v>
      </c>
      <c r="H335" s="1149"/>
      <c r="I335">
        <f t="shared" si="40"/>
        <v>0</v>
      </c>
      <c r="K335">
        <f t="shared" si="41"/>
        <v>0</v>
      </c>
      <c r="L335" s="1161"/>
      <c r="N335" s="1162" t="str">
        <f t="shared" si="44"/>
        <v xml:space="preserve"> </v>
      </c>
      <c r="O335" s="1163" t="str">
        <f t="shared" si="45"/>
        <v xml:space="preserve"> </v>
      </c>
      <c r="Q335">
        <f t="shared" si="46"/>
        <v>0</v>
      </c>
      <c r="R335">
        <f t="shared" si="47"/>
        <v>0</v>
      </c>
    </row>
    <row r="336" spans="2:18" x14ac:dyDescent="0.15">
      <c r="B336" s="1157"/>
      <c r="C336" s="1158"/>
      <c r="D336" s="897"/>
      <c r="E336" s="1159" t="str">
        <f t="shared" si="42"/>
        <v xml:space="preserve"> </v>
      </c>
      <c r="G336" s="1160" t="str">
        <f t="shared" si="43"/>
        <v xml:space="preserve"> </v>
      </c>
      <c r="H336" s="1149"/>
      <c r="I336">
        <f t="shared" si="40"/>
        <v>0</v>
      </c>
      <c r="K336">
        <f t="shared" si="41"/>
        <v>0</v>
      </c>
      <c r="L336" s="1161"/>
      <c r="N336" s="1162" t="str">
        <f t="shared" si="44"/>
        <v xml:space="preserve"> </v>
      </c>
      <c r="O336" s="1163" t="str">
        <f t="shared" si="45"/>
        <v xml:space="preserve"> </v>
      </c>
      <c r="Q336">
        <f t="shared" si="46"/>
        <v>0</v>
      </c>
      <c r="R336">
        <f t="shared" si="47"/>
        <v>0</v>
      </c>
    </row>
    <row r="337" spans="2:18" x14ac:dyDescent="0.15">
      <c r="B337" s="1157"/>
      <c r="C337" s="1158"/>
      <c r="D337" s="897"/>
      <c r="E337" s="1159" t="str">
        <f t="shared" si="42"/>
        <v xml:space="preserve"> </v>
      </c>
      <c r="G337" s="1160" t="str">
        <f t="shared" si="43"/>
        <v xml:space="preserve"> </v>
      </c>
      <c r="H337" s="1149"/>
      <c r="I337">
        <f t="shared" si="40"/>
        <v>0</v>
      </c>
      <c r="K337">
        <f t="shared" si="41"/>
        <v>0</v>
      </c>
      <c r="L337" s="1161"/>
      <c r="N337" s="1162" t="str">
        <f t="shared" si="44"/>
        <v xml:space="preserve"> </v>
      </c>
      <c r="O337" s="1163" t="str">
        <f t="shared" si="45"/>
        <v xml:space="preserve"> </v>
      </c>
      <c r="Q337">
        <f t="shared" si="46"/>
        <v>0</v>
      </c>
      <c r="R337">
        <f t="shared" si="47"/>
        <v>0</v>
      </c>
    </row>
    <row r="338" spans="2:18" x14ac:dyDescent="0.15">
      <c r="B338" s="1157"/>
      <c r="C338" s="1158"/>
      <c r="D338" s="897"/>
      <c r="E338" s="1159" t="str">
        <f t="shared" si="42"/>
        <v xml:space="preserve"> </v>
      </c>
      <c r="G338" s="1160" t="str">
        <f t="shared" si="43"/>
        <v xml:space="preserve"> </v>
      </c>
      <c r="H338" s="1149"/>
      <c r="I338">
        <f t="shared" si="40"/>
        <v>0</v>
      </c>
      <c r="K338">
        <f t="shared" si="41"/>
        <v>0</v>
      </c>
      <c r="L338" s="1161"/>
      <c r="N338" s="1162" t="str">
        <f t="shared" si="44"/>
        <v xml:space="preserve"> </v>
      </c>
      <c r="O338" s="1163" t="str">
        <f t="shared" si="45"/>
        <v xml:space="preserve"> </v>
      </c>
      <c r="Q338">
        <f t="shared" si="46"/>
        <v>0</v>
      </c>
      <c r="R338">
        <f t="shared" si="47"/>
        <v>0</v>
      </c>
    </row>
    <row r="339" spans="2:18" x14ac:dyDescent="0.15">
      <c r="B339" s="1157"/>
      <c r="C339" s="1158"/>
      <c r="D339" s="897"/>
      <c r="E339" s="1159" t="str">
        <f t="shared" si="42"/>
        <v xml:space="preserve"> </v>
      </c>
      <c r="G339" s="1160" t="str">
        <f t="shared" si="43"/>
        <v xml:space="preserve"> </v>
      </c>
      <c r="H339" s="1149"/>
      <c r="I339">
        <f t="shared" si="40"/>
        <v>0</v>
      </c>
      <c r="K339">
        <f t="shared" si="41"/>
        <v>0</v>
      </c>
      <c r="L339" s="1161"/>
      <c r="N339" s="1162" t="str">
        <f t="shared" si="44"/>
        <v xml:space="preserve"> </v>
      </c>
      <c r="O339" s="1163" t="str">
        <f t="shared" si="45"/>
        <v xml:space="preserve"> </v>
      </c>
      <c r="Q339">
        <f t="shared" si="46"/>
        <v>0</v>
      </c>
      <c r="R339">
        <f t="shared" si="47"/>
        <v>0</v>
      </c>
    </row>
    <row r="340" spans="2:18" x14ac:dyDescent="0.15">
      <c r="B340" s="1157"/>
      <c r="C340" s="1158"/>
      <c r="D340" s="897"/>
      <c r="E340" s="1159" t="str">
        <f t="shared" si="42"/>
        <v xml:space="preserve"> </v>
      </c>
      <c r="G340" s="1160" t="str">
        <f t="shared" si="43"/>
        <v xml:space="preserve"> </v>
      </c>
      <c r="H340" s="1149"/>
      <c r="I340">
        <f t="shared" si="40"/>
        <v>0</v>
      </c>
      <c r="K340">
        <f t="shared" si="41"/>
        <v>0</v>
      </c>
      <c r="L340" s="1161"/>
      <c r="N340" s="1162" t="str">
        <f t="shared" si="44"/>
        <v xml:space="preserve"> </v>
      </c>
      <c r="O340" s="1163" t="str">
        <f t="shared" si="45"/>
        <v xml:space="preserve"> </v>
      </c>
      <c r="Q340">
        <f t="shared" si="46"/>
        <v>0</v>
      </c>
      <c r="R340">
        <f t="shared" si="47"/>
        <v>0</v>
      </c>
    </row>
    <row r="341" spans="2:18" x14ac:dyDescent="0.15">
      <c r="B341" s="1157"/>
      <c r="C341" s="1158"/>
      <c r="D341" s="897"/>
      <c r="E341" s="1159" t="str">
        <f t="shared" si="42"/>
        <v xml:space="preserve"> </v>
      </c>
      <c r="G341" s="1160" t="str">
        <f t="shared" si="43"/>
        <v xml:space="preserve"> </v>
      </c>
      <c r="H341" s="1149"/>
      <c r="I341">
        <f t="shared" si="40"/>
        <v>0</v>
      </c>
      <c r="K341">
        <f t="shared" si="41"/>
        <v>0</v>
      </c>
      <c r="L341" s="1161"/>
      <c r="N341" s="1162" t="str">
        <f t="shared" si="44"/>
        <v xml:space="preserve"> </v>
      </c>
      <c r="O341" s="1163" t="str">
        <f t="shared" si="45"/>
        <v xml:space="preserve"> </v>
      </c>
      <c r="Q341">
        <f t="shared" si="46"/>
        <v>0</v>
      </c>
      <c r="R341">
        <f t="shared" si="47"/>
        <v>0</v>
      </c>
    </row>
    <row r="342" spans="2:18" x14ac:dyDescent="0.15">
      <c r="B342" s="1157"/>
      <c r="C342" s="1158"/>
      <c r="D342" s="897"/>
      <c r="E342" s="1159" t="str">
        <f t="shared" si="42"/>
        <v xml:space="preserve"> </v>
      </c>
      <c r="G342" s="1160" t="str">
        <f t="shared" si="43"/>
        <v xml:space="preserve"> </v>
      </c>
      <c r="H342" s="1149"/>
      <c r="I342">
        <f t="shared" si="40"/>
        <v>0</v>
      </c>
      <c r="K342">
        <f t="shared" si="41"/>
        <v>0</v>
      </c>
      <c r="L342" s="1161"/>
      <c r="N342" s="1162" t="str">
        <f t="shared" si="44"/>
        <v xml:space="preserve"> </v>
      </c>
      <c r="O342" s="1163" t="str">
        <f t="shared" si="45"/>
        <v xml:space="preserve"> </v>
      </c>
      <c r="Q342">
        <f t="shared" si="46"/>
        <v>0</v>
      </c>
      <c r="R342">
        <f t="shared" si="47"/>
        <v>0</v>
      </c>
    </row>
    <row r="343" spans="2:18" x14ac:dyDescent="0.15">
      <c r="B343" s="1157"/>
      <c r="C343" s="1158"/>
      <c r="D343" s="897"/>
      <c r="E343" s="1159" t="str">
        <f t="shared" si="42"/>
        <v xml:space="preserve"> </v>
      </c>
      <c r="G343" s="1160" t="str">
        <f t="shared" si="43"/>
        <v xml:space="preserve"> </v>
      </c>
      <c r="H343" s="1149"/>
      <c r="I343">
        <f t="shared" si="40"/>
        <v>0</v>
      </c>
      <c r="K343">
        <f t="shared" si="41"/>
        <v>0</v>
      </c>
      <c r="L343" s="1161"/>
      <c r="N343" s="1162" t="str">
        <f t="shared" si="44"/>
        <v xml:space="preserve"> </v>
      </c>
      <c r="O343" s="1163" t="str">
        <f t="shared" si="45"/>
        <v xml:space="preserve"> </v>
      </c>
      <c r="Q343">
        <f t="shared" si="46"/>
        <v>0</v>
      </c>
      <c r="R343">
        <f t="shared" si="47"/>
        <v>0</v>
      </c>
    </row>
    <row r="344" spans="2:18" x14ac:dyDescent="0.15">
      <c r="B344" s="1157"/>
      <c r="C344" s="1158"/>
      <c r="D344" s="897"/>
      <c r="E344" s="1159" t="str">
        <f t="shared" si="42"/>
        <v xml:space="preserve"> </v>
      </c>
      <c r="G344" s="1160" t="str">
        <f t="shared" si="43"/>
        <v xml:space="preserve"> </v>
      </c>
      <c r="H344" s="1149"/>
      <c r="I344">
        <f t="shared" si="40"/>
        <v>0</v>
      </c>
      <c r="K344">
        <f t="shared" si="41"/>
        <v>0</v>
      </c>
      <c r="L344" s="1161"/>
      <c r="N344" s="1162" t="str">
        <f t="shared" si="44"/>
        <v xml:space="preserve"> </v>
      </c>
      <c r="O344" s="1163" t="str">
        <f t="shared" si="45"/>
        <v xml:space="preserve"> </v>
      </c>
      <c r="Q344">
        <f t="shared" si="46"/>
        <v>0</v>
      </c>
      <c r="R344">
        <f t="shared" si="47"/>
        <v>0</v>
      </c>
    </row>
    <row r="345" spans="2:18" x14ac:dyDescent="0.15">
      <c r="B345" s="1157"/>
      <c r="C345" s="1158"/>
      <c r="D345" s="897"/>
      <c r="E345" s="1159" t="str">
        <f t="shared" si="42"/>
        <v xml:space="preserve"> </v>
      </c>
      <c r="G345" s="1160" t="str">
        <f t="shared" si="43"/>
        <v xml:space="preserve"> </v>
      </c>
      <c r="H345" s="1149"/>
      <c r="I345">
        <f t="shared" si="40"/>
        <v>0</v>
      </c>
      <c r="K345">
        <f t="shared" si="41"/>
        <v>0</v>
      </c>
      <c r="L345" s="1161"/>
      <c r="N345" s="1162" t="str">
        <f t="shared" si="44"/>
        <v xml:space="preserve"> </v>
      </c>
      <c r="O345" s="1163" t="str">
        <f t="shared" si="45"/>
        <v xml:space="preserve"> </v>
      </c>
      <c r="Q345">
        <f t="shared" si="46"/>
        <v>0</v>
      </c>
      <c r="R345">
        <f t="shared" si="47"/>
        <v>0</v>
      </c>
    </row>
    <row r="346" spans="2:18" x14ac:dyDescent="0.15">
      <c r="B346" s="1157"/>
      <c r="C346" s="1158"/>
      <c r="D346" s="897"/>
      <c r="E346" s="1159" t="str">
        <f t="shared" si="42"/>
        <v xml:space="preserve"> </v>
      </c>
      <c r="G346" s="1160" t="str">
        <f t="shared" si="43"/>
        <v xml:space="preserve"> </v>
      </c>
      <c r="H346" s="1149"/>
      <c r="I346">
        <f t="shared" si="40"/>
        <v>0</v>
      </c>
      <c r="K346">
        <f t="shared" si="41"/>
        <v>0</v>
      </c>
      <c r="L346" s="1161"/>
      <c r="N346" s="1162" t="str">
        <f t="shared" si="44"/>
        <v xml:space="preserve"> </v>
      </c>
      <c r="O346" s="1163" t="str">
        <f t="shared" si="45"/>
        <v xml:space="preserve"> </v>
      </c>
      <c r="Q346">
        <f t="shared" si="46"/>
        <v>0</v>
      </c>
      <c r="R346">
        <f t="shared" si="47"/>
        <v>0</v>
      </c>
    </row>
    <row r="347" spans="2:18" x14ac:dyDescent="0.15">
      <c r="B347" s="1157"/>
      <c r="C347" s="1158"/>
      <c r="D347" s="897"/>
      <c r="E347" s="1159" t="str">
        <f t="shared" si="42"/>
        <v xml:space="preserve"> </v>
      </c>
      <c r="G347" s="1160" t="str">
        <f t="shared" si="43"/>
        <v xml:space="preserve"> </v>
      </c>
      <c r="H347" s="1149"/>
      <c r="I347">
        <f t="shared" si="40"/>
        <v>0</v>
      </c>
      <c r="K347">
        <f t="shared" si="41"/>
        <v>0</v>
      </c>
      <c r="L347" s="1161"/>
      <c r="N347" s="1162" t="str">
        <f t="shared" si="44"/>
        <v xml:space="preserve"> </v>
      </c>
      <c r="O347" s="1163" t="str">
        <f t="shared" si="45"/>
        <v xml:space="preserve"> </v>
      </c>
      <c r="Q347">
        <f t="shared" si="46"/>
        <v>0</v>
      </c>
      <c r="R347">
        <f t="shared" si="47"/>
        <v>0</v>
      </c>
    </row>
    <row r="348" spans="2:18" x14ac:dyDescent="0.15">
      <c r="B348" s="1157"/>
      <c r="C348" s="1158"/>
      <c r="D348" s="897"/>
      <c r="E348" s="1159" t="str">
        <f t="shared" si="42"/>
        <v xml:space="preserve"> </v>
      </c>
      <c r="G348" s="1160" t="str">
        <f t="shared" si="43"/>
        <v xml:space="preserve"> </v>
      </c>
      <c r="H348" s="1149"/>
      <c r="I348">
        <f t="shared" si="40"/>
        <v>0</v>
      </c>
      <c r="K348">
        <f t="shared" si="41"/>
        <v>0</v>
      </c>
      <c r="L348" s="1161"/>
      <c r="N348" s="1162" t="str">
        <f t="shared" si="44"/>
        <v xml:space="preserve"> </v>
      </c>
      <c r="O348" s="1163" t="str">
        <f t="shared" si="45"/>
        <v xml:space="preserve"> </v>
      </c>
      <c r="Q348">
        <f t="shared" si="46"/>
        <v>0</v>
      </c>
      <c r="R348">
        <f t="shared" si="47"/>
        <v>0</v>
      </c>
    </row>
    <row r="349" spans="2:18" x14ac:dyDescent="0.15">
      <c r="B349" s="1157"/>
      <c r="C349" s="1158"/>
      <c r="D349" s="897"/>
      <c r="E349" s="1159" t="str">
        <f t="shared" si="42"/>
        <v xml:space="preserve"> </v>
      </c>
      <c r="G349" s="1160" t="str">
        <f t="shared" si="43"/>
        <v xml:space="preserve"> </v>
      </c>
      <c r="H349" s="1149"/>
      <c r="I349">
        <f t="shared" si="40"/>
        <v>0</v>
      </c>
      <c r="K349">
        <f t="shared" si="41"/>
        <v>0</v>
      </c>
      <c r="L349" s="1161"/>
      <c r="N349" s="1162" t="str">
        <f t="shared" si="44"/>
        <v xml:space="preserve"> </v>
      </c>
      <c r="O349" s="1163" t="str">
        <f t="shared" si="45"/>
        <v xml:space="preserve"> </v>
      </c>
      <c r="Q349">
        <f t="shared" si="46"/>
        <v>0</v>
      </c>
      <c r="R349">
        <f t="shared" si="47"/>
        <v>0</v>
      </c>
    </row>
    <row r="350" spans="2:18" x14ac:dyDescent="0.15">
      <c r="B350" s="1157"/>
      <c r="C350" s="1158"/>
      <c r="D350" s="897"/>
      <c r="E350" s="1159" t="str">
        <f t="shared" si="42"/>
        <v xml:space="preserve"> </v>
      </c>
      <c r="G350" s="1160" t="str">
        <f t="shared" si="43"/>
        <v xml:space="preserve"> </v>
      </c>
      <c r="H350" s="1149"/>
      <c r="I350">
        <f t="shared" si="40"/>
        <v>0</v>
      </c>
      <c r="K350">
        <f t="shared" si="41"/>
        <v>0</v>
      </c>
      <c r="L350" s="1161"/>
      <c r="N350" s="1162" t="str">
        <f t="shared" si="44"/>
        <v xml:space="preserve"> </v>
      </c>
      <c r="O350" s="1163" t="str">
        <f t="shared" si="45"/>
        <v xml:space="preserve"> </v>
      </c>
      <c r="Q350">
        <f t="shared" si="46"/>
        <v>0</v>
      </c>
      <c r="R350">
        <f t="shared" si="47"/>
        <v>0</v>
      </c>
    </row>
    <row r="351" spans="2:18" x14ac:dyDescent="0.15">
      <c r="B351" s="1157"/>
      <c r="C351" s="1158"/>
      <c r="D351" s="897"/>
      <c r="E351" s="1159" t="str">
        <f t="shared" si="42"/>
        <v xml:space="preserve"> </v>
      </c>
      <c r="G351" s="1160" t="str">
        <f t="shared" si="43"/>
        <v xml:space="preserve"> </v>
      </c>
      <c r="H351" s="1149"/>
      <c r="I351">
        <f t="shared" si="40"/>
        <v>0</v>
      </c>
      <c r="K351">
        <f t="shared" si="41"/>
        <v>0</v>
      </c>
      <c r="L351" s="1161"/>
      <c r="N351" s="1162" t="str">
        <f t="shared" si="44"/>
        <v xml:space="preserve"> </v>
      </c>
      <c r="O351" s="1163" t="str">
        <f t="shared" si="45"/>
        <v xml:space="preserve"> </v>
      </c>
      <c r="Q351">
        <f t="shared" si="46"/>
        <v>0</v>
      </c>
      <c r="R351">
        <f t="shared" si="47"/>
        <v>0</v>
      </c>
    </row>
    <row r="352" spans="2:18" x14ac:dyDescent="0.15">
      <c r="B352" s="1157"/>
      <c r="C352" s="1158"/>
      <c r="D352" s="897"/>
      <c r="E352" s="1159" t="str">
        <f t="shared" si="42"/>
        <v xml:space="preserve"> </v>
      </c>
      <c r="G352" s="1160" t="str">
        <f t="shared" si="43"/>
        <v xml:space="preserve"> </v>
      </c>
      <c r="H352" s="1149"/>
      <c r="I352">
        <f t="shared" si="40"/>
        <v>0</v>
      </c>
      <c r="K352">
        <f t="shared" si="41"/>
        <v>0</v>
      </c>
      <c r="L352" s="1161"/>
      <c r="N352" s="1162" t="str">
        <f t="shared" si="44"/>
        <v xml:space="preserve"> </v>
      </c>
      <c r="O352" s="1163" t="str">
        <f t="shared" si="45"/>
        <v xml:space="preserve"> </v>
      </c>
      <c r="Q352">
        <f t="shared" si="46"/>
        <v>0</v>
      </c>
      <c r="R352">
        <f t="shared" si="47"/>
        <v>0</v>
      </c>
    </row>
    <row r="353" spans="2:18" x14ac:dyDescent="0.15">
      <c r="B353" s="1157"/>
      <c r="C353" s="1158"/>
      <c r="D353" s="897"/>
      <c r="E353" s="1159" t="str">
        <f t="shared" si="42"/>
        <v xml:space="preserve"> </v>
      </c>
      <c r="G353" s="1160" t="str">
        <f t="shared" si="43"/>
        <v xml:space="preserve"> </v>
      </c>
      <c r="H353" s="1149"/>
      <c r="I353">
        <f t="shared" si="40"/>
        <v>0</v>
      </c>
      <c r="K353">
        <f t="shared" si="41"/>
        <v>0</v>
      </c>
      <c r="L353" s="1161"/>
      <c r="N353" s="1162" t="str">
        <f t="shared" si="44"/>
        <v xml:space="preserve"> </v>
      </c>
      <c r="O353" s="1163" t="str">
        <f t="shared" si="45"/>
        <v xml:space="preserve"> </v>
      </c>
      <c r="Q353">
        <f t="shared" si="46"/>
        <v>0</v>
      </c>
      <c r="R353">
        <f t="shared" si="47"/>
        <v>0</v>
      </c>
    </row>
    <row r="354" spans="2:18" x14ac:dyDescent="0.15">
      <c r="B354" s="1157"/>
      <c r="C354" s="1158"/>
      <c r="D354" s="897"/>
      <c r="E354" s="1159" t="str">
        <f t="shared" si="42"/>
        <v xml:space="preserve"> </v>
      </c>
      <c r="G354" s="1160" t="str">
        <f t="shared" si="43"/>
        <v xml:space="preserve"> </v>
      </c>
      <c r="H354" s="1149"/>
      <c r="I354">
        <f t="shared" si="40"/>
        <v>0</v>
      </c>
      <c r="K354">
        <f t="shared" si="41"/>
        <v>0</v>
      </c>
      <c r="L354" s="1161"/>
      <c r="N354" s="1162" t="str">
        <f t="shared" si="44"/>
        <v xml:space="preserve"> </v>
      </c>
      <c r="O354" s="1163" t="str">
        <f t="shared" si="45"/>
        <v xml:space="preserve"> </v>
      </c>
      <c r="Q354">
        <f t="shared" si="46"/>
        <v>0</v>
      </c>
      <c r="R354">
        <f t="shared" si="47"/>
        <v>0</v>
      </c>
    </row>
    <row r="355" spans="2:18" x14ac:dyDescent="0.15">
      <c r="B355" s="1157"/>
      <c r="C355" s="1158"/>
      <c r="D355" s="897"/>
      <c r="E355" s="1159" t="str">
        <f t="shared" si="42"/>
        <v xml:space="preserve"> </v>
      </c>
      <c r="G355" s="1160" t="str">
        <f t="shared" si="43"/>
        <v xml:space="preserve"> </v>
      </c>
      <c r="H355" s="1149"/>
      <c r="I355">
        <f t="shared" si="40"/>
        <v>0</v>
      </c>
      <c r="K355">
        <f t="shared" si="41"/>
        <v>0</v>
      </c>
      <c r="L355" s="1161"/>
      <c r="N355" s="1162" t="str">
        <f t="shared" si="44"/>
        <v xml:space="preserve"> </v>
      </c>
      <c r="O355" s="1163" t="str">
        <f t="shared" si="45"/>
        <v xml:space="preserve"> </v>
      </c>
      <c r="Q355">
        <f t="shared" si="46"/>
        <v>0</v>
      </c>
      <c r="R355">
        <f t="shared" si="47"/>
        <v>0</v>
      </c>
    </row>
    <row r="356" spans="2:18" x14ac:dyDescent="0.15">
      <c r="B356" s="1157"/>
      <c r="C356" s="1158"/>
      <c r="D356" s="897"/>
      <c r="E356" s="1159" t="str">
        <f t="shared" si="42"/>
        <v xml:space="preserve"> </v>
      </c>
      <c r="G356" s="1160" t="str">
        <f t="shared" si="43"/>
        <v xml:space="preserve"> </v>
      </c>
      <c r="H356" s="1149"/>
      <c r="I356">
        <f t="shared" si="40"/>
        <v>0</v>
      </c>
      <c r="K356">
        <f t="shared" si="41"/>
        <v>0</v>
      </c>
      <c r="L356" s="1161"/>
      <c r="N356" s="1162" t="str">
        <f t="shared" si="44"/>
        <v xml:space="preserve"> </v>
      </c>
      <c r="O356" s="1163" t="str">
        <f t="shared" si="45"/>
        <v xml:space="preserve"> </v>
      </c>
      <c r="Q356">
        <f t="shared" si="46"/>
        <v>0</v>
      </c>
      <c r="R356">
        <f t="shared" si="47"/>
        <v>0</v>
      </c>
    </row>
    <row r="357" spans="2:18" x14ac:dyDescent="0.15">
      <c r="B357" s="1157"/>
      <c r="C357" s="1158"/>
      <c r="D357" s="897"/>
      <c r="E357" s="1159" t="str">
        <f t="shared" si="42"/>
        <v xml:space="preserve"> </v>
      </c>
      <c r="G357" s="1160" t="str">
        <f t="shared" si="43"/>
        <v xml:space="preserve"> </v>
      </c>
      <c r="H357" s="1149"/>
      <c r="I357">
        <f t="shared" si="40"/>
        <v>0</v>
      </c>
      <c r="K357">
        <f t="shared" si="41"/>
        <v>0</v>
      </c>
      <c r="L357" s="1161"/>
      <c r="N357" s="1162" t="str">
        <f t="shared" si="44"/>
        <v xml:space="preserve"> </v>
      </c>
      <c r="O357" s="1163" t="str">
        <f t="shared" si="45"/>
        <v xml:space="preserve"> </v>
      </c>
      <c r="Q357">
        <f t="shared" si="46"/>
        <v>0</v>
      </c>
      <c r="R357">
        <f t="shared" si="47"/>
        <v>0</v>
      </c>
    </row>
    <row r="358" spans="2:18" x14ac:dyDescent="0.15">
      <c r="B358" s="1157"/>
      <c r="C358" s="1158"/>
      <c r="D358" s="897"/>
      <c r="E358" s="1159" t="str">
        <f t="shared" si="42"/>
        <v xml:space="preserve"> </v>
      </c>
      <c r="G358" s="1160" t="str">
        <f t="shared" si="43"/>
        <v xml:space="preserve"> </v>
      </c>
      <c r="H358" s="1149"/>
      <c r="I358">
        <f t="shared" si="40"/>
        <v>0</v>
      </c>
      <c r="K358">
        <f t="shared" si="41"/>
        <v>0</v>
      </c>
      <c r="L358" s="1161"/>
      <c r="N358" s="1162" t="str">
        <f t="shared" si="44"/>
        <v xml:space="preserve"> </v>
      </c>
      <c r="O358" s="1163" t="str">
        <f t="shared" si="45"/>
        <v xml:space="preserve"> </v>
      </c>
      <c r="Q358">
        <f t="shared" si="46"/>
        <v>0</v>
      </c>
      <c r="R358">
        <f t="shared" si="47"/>
        <v>0</v>
      </c>
    </row>
    <row r="359" spans="2:18" x14ac:dyDescent="0.15">
      <c r="B359" s="1157"/>
      <c r="C359" s="1158"/>
      <c r="D359" s="897"/>
      <c r="E359" s="1159" t="str">
        <f t="shared" si="42"/>
        <v xml:space="preserve"> </v>
      </c>
      <c r="G359" s="1160" t="str">
        <f t="shared" si="43"/>
        <v xml:space="preserve"> </v>
      </c>
      <c r="H359" s="1149"/>
      <c r="I359">
        <f t="shared" si="40"/>
        <v>0</v>
      </c>
      <c r="K359">
        <f t="shared" si="41"/>
        <v>0</v>
      </c>
      <c r="L359" s="1161"/>
      <c r="N359" s="1162" t="str">
        <f t="shared" si="44"/>
        <v xml:space="preserve"> </v>
      </c>
      <c r="O359" s="1163" t="str">
        <f t="shared" si="45"/>
        <v xml:space="preserve"> </v>
      </c>
      <c r="Q359">
        <f t="shared" si="46"/>
        <v>0</v>
      </c>
      <c r="R359">
        <f t="shared" si="47"/>
        <v>0</v>
      </c>
    </row>
    <row r="360" spans="2:18" x14ac:dyDescent="0.15">
      <c r="B360" s="1157"/>
      <c r="C360" s="1158"/>
      <c r="D360" s="897"/>
      <c r="E360" s="1159" t="str">
        <f t="shared" si="42"/>
        <v xml:space="preserve"> </v>
      </c>
      <c r="G360" s="1160" t="str">
        <f t="shared" si="43"/>
        <v xml:space="preserve"> </v>
      </c>
      <c r="H360" s="1149"/>
      <c r="I360">
        <f t="shared" si="40"/>
        <v>0</v>
      </c>
      <c r="K360">
        <f t="shared" si="41"/>
        <v>0</v>
      </c>
      <c r="L360" s="1161"/>
      <c r="N360" s="1162" t="str">
        <f t="shared" si="44"/>
        <v xml:space="preserve"> </v>
      </c>
      <c r="O360" s="1163" t="str">
        <f t="shared" si="45"/>
        <v xml:space="preserve"> </v>
      </c>
      <c r="Q360">
        <f t="shared" si="46"/>
        <v>0</v>
      </c>
      <c r="R360">
        <f t="shared" si="47"/>
        <v>0</v>
      </c>
    </row>
    <row r="361" spans="2:18" x14ac:dyDescent="0.15">
      <c r="B361" s="1157"/>
      <c r="C361" s="1158"/>
      <c r="D361" s="897"/>
      <c r="E361" s="1159" t="str">
        <f t="shared" si="42"/>
        <v xml:space="preserve"> </v>
      </c>
      <c r="G361" s="1160" t="str">
        <f t="shared" si="43"/>
        <v xml:space="preserve"> </v>
      </c>
      <c r="H361" s="1149"/>
      <c r="I361">
        <f t="shared" si="40"/>
        <v>0</v>
      </c>
      <c r="K361">
        <f t="shared" si="41"/>
        <v>0</v>
      </c>
      <c r="L361" s="1161"/>
      <c r="N361" s="1162" t="str">
        <f t="shared" si="44"/>
        <v xml:space="preserve"> </v>
      </c>
      <c r="O361" s="1163" t="str">
        <f t="shared" si="45"/>
        <v xml:space="preserve"> </v>
      </c>
      <c r="Q361">
        <f t="shared" si="46"/>
        <v>0</v>
      </c>
      <c r="R361">
        <f t="shared" si="47"/>
        <v>0</v>
      </c>
    </row>
    <row r="362" spans="2:18" x14ac:dyDescent="0.15">
      <c r="B362" s="1157"/>
      <c r="C362" s="1158"/>
      <c r="D362" s="897"/>
      <c r="E362" s="1159" t="str">
        <f t="shared" si="42"/>
        <v xml:space="preserve"> </v>
      </c>
      <c r="G362" s="1160" t="str">
        <f t="shared" si="43"/>
        <v xml:space="preserve"> </v>
      </c>
      <c r="H362" s="1149"/>
      <c r="I362">
        <f t="shared" si="40"/>
        <v>0</v>
      </c>
      <c r="K362">
        <f t="shared" si="41"/>
        <v>0</v>
      </c>
      <c r="L362" s="1161"/>
      <c r="N362" s="1162" t="str">
        <f t="shared" si="44"/>
        <v xml:space="preserve"> </v>
      </c>
      <c r="O362" s="1163" t="str">
        <f t="shared" si="45"/>
        <v xml:space="preserve"> </v>
      </c>
      <c r="Q362">
        <f t="shared" si="46"/>
        <v>0</v>
      </c>
      <c r="R362">
        <f t="shared" si="47"/>
        <v>0</v>
      </c>
    </row>
    <row r="363" spans="2:18" x14ac:dyDescent="0.15">
      <c r="B363" s="1157"/>
      <c r="C363" s="1158"/>
      <c r="D363" s="897"/>
      <c r="E363" s="1159" t="str">
        <f t="shared" si="42"/>
        <v xml:space="preserve"> </v>
      </c>
      <c r="G363" s="1160" t="str">
        <f t="shared" si="43"/>
        <v xml:space="preserve"> </v>
      </c>
      <c r="H363" s="1149"/>
      <c r="I363">
        <f t="shared" si="40"/>
        <v>0</v>
      </c>
      <c r="K363">
        <f t="shared" si="41"/>
        <v>0</v>
      </c>
      <c r="L363" s="1161"/>
      <c r="N363" s="1162" t="str">
        <f t="shared" si="44"/>
        <v xml:space="preserve"> </v>
      </c>
      <c r="O363" s="1163" t="str">
        <f t="shared" si="45"/>
        <v xml:space="preserve"> </v>
      </c>
      <c r="Q363">
        <f t="shared" si="46"/>
        <v>0</v>
      </c>
      <c r="R363">
        <f t="shared" si="47"/>
        <v>0</v>
      </c>
    </row>
    <row r="364" spans="2:18" x14ac:dyDescent="0.15">
      <c r="B364" s="1157"/>
      <c r="C364" s="1158"/>
      <c r="D364" s="897"/>
      <c r="E364" s="1159" t="str">
        <f t="shared" si="42"/>
        <v xml:space="preserve"> </v>
      </c>
      <c r="G364" s="1160" t="str">
        <f t="shared" si="43"/>
        <v xml:space="preserve"> </v>
      </c>
      <c r="H364" s="1149"/>
      <c r="I364">
        <f t="shared" si="40"/>
        <v>0</v>
      </c>
      <c r="K364">
        <f t="shared" si="41"/>
        <v>0</v>
      </c>
      <c r="L364" s="1161"/>
      <c r="N364" s="1162" t="str">
        <f t="shared" si="44"/>
        <v xml:space="preserve"> </v>
      </c>
      <c r="O364" s="1163" t="str">
        <f t="shared" si="45"/>
        <v xml:space="preserve"> </v>
      </c>
      <c r="Q364">
        <f t="shared" si="46"/>
        <v>0</v>
      </c>
      <c r="R364">
        <f t="shared" si="47"/>
        <v>0</v>
      </c>
    </row>
    <row r="365" spans="2:18" x14ac:dyDescent="0.15">
      <c r="B365" s="1157"/>
      <c r="C365" s="1158"/>
      <c r="D365" s="897"/>
      <c r="E365" s="1159" t="str">
        <f t="shared" si="42"/>
        <v xml:space="preserve"> </v>
      </c>
      <c r="G365" s="1160" t="str">
        <f t="shared" si="43"/>
        <v xml:space="preserve"> </v>
      </c>
      <c r="H365" s="1149"/>
      <c r="I365">
        <f t="shared" si="40"/>
        <v>0</v>
      </c>
      <c r="K365">
        <f t="shared" si="41"/>
        <v>0</v>
      </c>
      <c r="L365" s="1161"/>
      <c r="N365" s="1162" t="str">
        <f t="shared" si="44"/>
        <v xml:space="preserve"> </v>
      </c>
      <c r="O365" s="1163" t="str">
        <f t="shared" si="45"/>
        <v xml:space="preserve"> </v>
      </c>
      <c r="Q365">
        <f t="shared" si="46"/>
        <v>0</v>
      </c>
      <c r="R365">
        <f t="shared" si="47"/>
        <v>0</v>
      </c>
    </row>
    <row r="366" spans="2:18" x14ac:dyDescent="0.15">
      <c r="B366" s="1157"/>
      <c r="C366" s="1158"/>
      <c r="D366" s="897"/>
      <c r="E366" s="1159" t="str">
        <f t="shared" si="42"/>
        <v xml:space="preserve"> </v>
      </c>
      <c r="G366" s="1160" t="str">
        <f t="shared" si="43"/>
        <v xml:space="preserve"> </v>
      </c>
      <c r="H366" s="1149"/>
      <c r="I366">
        <f t="shared" si="40"/>
        <v>0</v>
      </c>
      <c r="K366">
        <f t="shared" si="41"/>
        <v>0</v>
      </c>
      <c r="L366" s="1161"/>
      <c r="N366" s="1162" t="str">
        <f t="shared" si="44"/>
        <v xml:space="preserve"> </v>
      </c>
      <c r="O366" s="1163" t="str">
        <f t="shared" si="45"/>
        <v xml:space="preserve"> </v>
      </c>
      <c r="Q366">
        <f t="shared" si="46"/>
        <v>0</v>
      </c>
      <c r="R366">
        <f t="shared" si="47"/>
        <v>0</v>
      </c>
    </row>
    <row r="367" spans="2:18" x14ac:dyDescent="0.15">
      <c r="B367" s="1157"/>
      <c r="C367" s="1158"/>
      <c r="D367" s="897"/>
      <c r="E367" s="1159" t="str">
        <f t="shared" si="42"/>
        <v xml:space="preserve"> </v>
      </c>
      <c r="G367" s="1160" t="str">
        <f t="shared" si="43"/>
        <v xml:space="preserve"> </v>
      </c>
      <c r="H367" s="1149"/>
      <c r="I367">
        <f t="shared" si="40"/>
        <v>0</v>
      </c>
      <c r="K367">
        <f t="shared" si="41"/>
        <v>0</v>
      </c>
      <c r="L367" s="1161"/>
      <c r="N367" s="1162" t="str">
        <f t="shared" si="44"/>
        <v xml:space="preserve"> </v>
      </c>
      <c r="O367" s="1163" t="str">
        <f t="shared" si="45"/>
        <v xml:space="preserve"> </v>
      </c>
      <c r="Q367">
        <f t="shared" si="46"/>
        <v>0</v>
      </c>
      <c r="R367">
        <f t="shared" si="47"/>
        <v>0</v>
      </c>
    </row>
    <row r="368" spans="2:18" x14ac:dyDescent="0.15">
      <c r="B368" s="1157"/>
      <c r="C368" s="1158"/>
      <c r="D368" s="897"/>
      <c r="E368" s="1159" t="str">
        <f t="shared" si="42"/>
        <v xml:space="preserve"> </v>
      </c>
      <c r="G368" s="1160" t="str">
        <f t="shared" si="43"/>
        <v xml:space="preserve"> </v>
      </c>
      <c r="H368" s="1149"/>
      <c r="I368">
        <f t="shared" si="40"/>
        <v>0</v>
      </c>
      <c r="K368">
        <f t="shared" si="41"/>
        <v>0</v>
      </c>
      <c r="L368" s="1161"/>
      <c r="N368" s="1162" t="str">
        <f t="shared" si="44"/>
        <v xml:space="preserve"> </v>
      </c>
      <c r="O368" s="1163" t="str">
        <f t="shared" si="45"/>
        <v xml:space="preserve"> </v>
      </c>
      <c r="Q368">
        <f t="shared" si="46"/>
        <v>0</v>
      </c>
      <c r="R368">
        <f t="shared" si="47"/>
        <v>0</v>
      </c>
    </row>
    <row r="369" spans="2:18" x14ac:dyDescent="0.15">
      <c r="B369" s="1157"/>
      <c r="C369" s="1158"/>
      <c r="D369" s="897"/>
      <c r="E369" s="1159" t="str">
        <f t="shared" si="42"/>
        <v xml:space="preserve"> </v>
      </c>
      <c r="G369" s="1160" t="str">
        <f t="shared" si="43"/>
        <v xml:space="preserve"> </v>
      </c>
      <c r="H369" s="1149"/>
      <c r="I369">
        <f t="shared" si="40"/>
        <v>0</v>
      </c>
      <c r="K369">
        <f t="shared" si="41"/>
        <v>0</v>
      </c>
      <c r="L369" s="1161"/>
      <c r="N369" s="1162" t="str">
        <f t="shared" si="44"/>
        <v xml:space="preserve"> </v>
      </c>
      <c r="O369" s="1163" t="str">
        <f t="shared" si="45"/>
        <v xml:space="preserve"> </v>
      </c>
      <c r="Q369">
        <f t="shared" si="46"/>
        <v>0</v>
      </c>
      <c r="R369">
        <f t="shared" si="47"/>
        <v>0</v>
      </c>
    </row>
    <row r="370" spans="2:18" x14ac:dyDescent="0.15">
      <c r="B370" s="1157"/>
      <c r="C370" s="1158"/>
      <c r="D370" s="897"/>
      <c r="E370" s="1159" t="str">
        <f t="shared" si="42"/>
        <v xml:space="preserve"> </v>
      </c>
      <c r="G370" s="1160" t="str">
        <f t="shared" si="43"/>
        <v xml:space="preserve"> </v>
      </c>
      <c r="H370" s="1149"/>
      <c r="I370">
        <f t="shared" si="40"/>
        <v>0</v>
      </c>
      <c r="K370">
        <f t="shared" si="41"/>
        <v>0</v>
      </c>
      <c r="L370" s="1161"/>
      <c r="N370" s="1162" t="str">
        <f t="shared" si="44"/>
        <v xml:space="preserve"> </v>
      </c>
      <c r="O370" s="1163" t="str">
        <f t="shared" si="45"/>
        <v xml:space="preserve"> </v>
      </c>
      <c r="Q370">
        <f t="shared" si="46"/>
        <v>0</v>
      </c>
      <c r="R370">
        <f t="shared" si="47"/>
        <v>0</v>
      </c>
    </row>
    <row r="371" spans="2:18" x14ac:dyDescent="0.15">
      <c r="B371" s="1157"/>
      <c r="C371" s="1158"/>
      <c r="D371" s="897"/>
      <c r="E371" s="1159" t="str">
        <f t="shared" si="42"/>
        <v xml:space="preserve"> </v>
      </c>
      <c r="G371" s="1160" t="str">
        <f t="shared" si="43"/>
        <v xml:space="preserve"> </v>
      </c>
      <c r="H371" s="1149"/>
      <c r="I371">
        <f t="shared" si="40"/>
        <v>0</v>
      </c>
      <c r="K371">
        <f t="shared" si="41"/>
        <v>0</v>
      </c>
      <c r="L371" s="1161"/>
      <c r="N371" s="1162" t="str">
        <f t="shared" si="44"/>
        <v xml:space="preserve"> </v>
      </c>
      <c r="O371" s="1163" t="str">
        <f t="shared" si="45"/>
        <v xml:space="preserve"> </v>
      </c>
      <c r="Q371">
        <f t="shared" si="46"/>
        <v>0</v>
      </c>
      <c r="R371">
        <f t="shared" si="47"/>
        <v>0</v>
      </c>
    </row>
    <row r="372" spans="2:18" x14ac:dyDescent="0.15">
      <c r="B372" s="1157"/>
      <c r="C372" s="1158"/>
      <c r="D372" s="897"/>
      <c r="E372" s="1159" t="str">
        <f t="shared" si="42"/>
        <v xml:space="preserve"> </v>
      </c>
      <c r="G372" s="1160" t="str">
        <f t="shared" si="43"/>
        <v xml:space="preserve"> </v>
      </c>
      <c r="H372" s="1149"/>
      <c r="I372">
        <f t="shared" si="40"/>
        <v>0</v>
      </c>
      <c r="K372">
        <f t="shared" si="41"/>
        <v>0</v>
      </c>
      <c r="L372" s="1161"/>
      <c r="N372" s="1162" t="str">
        <f t="shared" si="44"/>
        <v xml:space="preserve"> </v>
      </c>
      <c r="O372" s="1163" t="str">
        <f t="shared" si="45"/>
        <v xml:space="preserve"> </v>
      </c>
      <c r="Q372">
        <f t="shared" si="46"/>
        <v>0</v>
      </c>
      <c r="R372">
        <f t="shared" si="47"/>
        <v>0</v>
      </c>
    </row>
    <row r="373" spans="2:18" x14ac:dyDescent="0.15">
      <c r="B373" s="1157"/>
      <c r="C373" s="1158"/>
      <c r="D373" s="897"/>
      <c r="E373" s="1159" t="str">
        <f t="shared" si="42"/>
        <v xml:space="preserve"> </v>
      </c>
      <c r="G373" s="1160" t="str">
        <f t="shared" si="43"/>
        <v xml:space="preserve"> </v>
      </c>
      <c r="H373" s="1149"/>
      <c r="I373">
        <f t="shared" si="40"/>
        <v>0</v>
      </c>
      <c r="K373">
        <f t="shared" si="41"/>
        <v>0</v>
      </c>
      <c r="L373" s="1161"/>
      <c r="N373" s="1162" t="str">
        <f t="shared" si="44"/>
        <v xml:space="preserve"> </v>
      </c>
      <c r="O373" s="1163" t="str">
        <f t="shared" si="45"/>
        <v xml:space="preserve"> </v>
      </c>
      <c r="Q373">
        <f t="shared" si="46"/>
        <v>0</v>
      </c>
      <c r="R373">
        <f t="shared" si="47"/>
        <v>0</v>
      </c>
    </row>
    <row r="374" spans="2:18" x14ac:dyDescent="0.15">
      <c r="B374" s="1157"/>
      <c r="C374" s="1158"/>
      <c r="D374" s="897"/>
      <c r="E374" s="1159" t="str">
        <f t="shared" si="42"/>
        <v xml:space="preserve"> </v>
      </c>
      <c r="G374" s="1160" t="str">
        <f t="shared" si="43"/>
        <v xml:space="preserve"> </v>
      </c>
      <c r="H374" s="1149"/>
      <c r="I374">
        <f t="shared" si="40"/>
        <v>0</v>
      </c>
      <c r="K374">
        <f t="shared" si="41"/>
        <v>0</v>
      </c>
      <c r="L374" s="1161"/>
      <c r="N374" s="1162" t="str">
        <f t="shared" si="44"/>
        <v xml:space="preserve"> </v>
      </c>
      <c r="O374" s="1163" t="str">
        <f t="shared" si="45"/>
        <v xml:space="preserve"> </v>
      </c>
      <c r="Q374">
        <f t="shared" si="46"/>
        <v>0</v>
      </c>
      <c r="R374">
        <f t="shared" si="47"/>
        <v>0</v>
      </c>
    </row>
    <row r="375" spans="2:18" x14ac:dyDescent="0.15">
      <c r="B375" s="1157"/>
      <c r="C375" s="1158"/>
      <c r="D375" s="897"/>
      <c r="E375" s="1159" t="str">
        <f t="shared" si="42"/>
        <v xml:space="preserve"> </v>
      </c>
      <c r="G375" s="1160" t="str">
        <f t="shared" si="43"/>
        <v xml:space="preserve"> </v>
      </c>
      <c r="H375" s="1149"/>
      <c r="I375">
        <f t="shared" si="40"/>
        <v>0</v>
      </c>
      <c r="K375">
        <f t="shared" si="41"/>
        <v>0</v>
      </c>
      <c r="L375" s="1161"/>
      <c r="N375" s="1162" t="str">
        <f t="shared" si="44"/>
        <v xml:space="preserve"> </v>
      </c>
      <c r="O375" s="1163" t="str">
        <f t="shared" si="45"/>
        <v xml:space="preserve"> </v>
      </c>
      <c r="Q375">
        <f t="shared" si="46"/>
        <v>0</v>
      </c>
      <c r="R375">
        <f t="shared" si="47"/>
        <v>0</v>
      </c>
    </row>
    <row r="376" spans="2:18" x14ac:dyDescent="0.15">
      <c r="B376" s="1157"/>
      <c r="C376" s="1158"/>
      <c r="D376" s="897"/>
      <c r="E376" s="1159" t="str">
        <f t="shared" si="42"/>
        <v xml:space="preserve"> </v>
      </c>
      <c r="G376" s="1160" t="str">
        <f t="shared" si="43"/>
        <v xml:space="preserve"> </v>
      </c>
      <c r="H376" s="1149"/>
      <c r="I376">
        <f t="shared" si="40"/>
        <v>0</v>
      </c>
      <c r="K376">
        <f t="shared" si="41"/>
        <v>0</v>
      </c>
      <c r="L376" s="1161"/>
      <c r="N376" s="1162" t="str">
        <f t="shared" si="44"/>
        <v xml:space="preserve"> </v>
      </c>
      <c r="O376" s="1163" t="str">
        <f t="shared" si="45"/>
        <v xml:space="preserve"> </v>
      </c>
      <c r="Q376">
        <f t="shared" si="46"/>
        <v>0</v>
      </c>
      <c r="R376">
        <f t="shared" si="47"/>
        <v>0</v>
      </c>
    </row>
    <row r="377" spans="2:18" x14ac:dyDescent="0.15">
      <c r="B377" s="1157"/>
      <c r="C377" s="1158"/>
      <c r="D377" s="897"/>
      <c r="E377" s="1159" t="str">
        <f t="shared" si="42"/>
        <v xml:space="preserve"> </v>
      </c>
      <c r="G377" s="1160" t="str">
        <f t="shared" si="43"/>
        <v xml:space="preserve"> </v>
      </c>
      <c r="H377" s="1149"/>
      <c r="I377">
        <f t="shared" si="40"/>
        <v>0</v>
      </c>
      <c r="K377">
        <f t="shared" si="41"/>
        <v>0</v>
      </c>
      <c r="L377" s="1161"/>
      <c r="N377" s="1162" t="str">
        <f t="shared" si="44"/>
        <v xml:space="preserve"> </v>
      </c>
      <c r="O377" s="1163" t="str">
        <f t="shared" si="45"/>
        <v xml:space="preserve"> </v>
      </c>
      <c r="Q377">
        <f t="shared" si="46"/>
        <v>0</v>
      </c>
      <c r="R377">
        <f t="shared" si="47"/>
        <v>0</v>
      </c>
    </row>
    <row r="378" spans="2:18" x14ac:dyDescent="0.15">
      <c r="B378" s="1157"/>
      <c r="C378" s="1158"/>
      <c r="D378" s="897"/>
      <c r="E378" s="1159" t="str">
        <f t="shared" si="42"/>
        <v xml:space="preserve"> </v>
      </c>
      <c r="G378" s="1160" t="str">
        <f t="shared" si="43"/>
        <v xml:space="preserve"> </v>
      </c>
      <c r="H378" s="1149"/>
      <c r="I378">
        <f t="shared" si="40"/>
        <v>0</v>
      </c>
      <c r="K378">
        <f t="shared" si="41"/>
        <v>0</v>
      </c>
      <c r="L378" s="1161"/>
      <c r="N378" s="1162" t="str">
        <f t="shared" si="44"/>
        <v xml:space="preserve"> </v>
      </c>
      <c r="O378" s="1163" t="str">
        <f t="shared" si="45"/>
        <v xml:space="preserve"> </v>
      </c>
      <c r="Q378">
        <f t="shared" si="46"/>
        <v>0</v>
      </c>
      <c r="R378">
        <f t="shared" si="47"/>
        <v>0</v>
      </c>
    </row>
    <row r="379" spans="2:18" x14ac:dyDescent="0.15">
      <c r="B379" s="1157"/>
      <c r="C379" s="1158"/>
      <c r="D379" s="897"/>
      <c r="E379" s="1159" t="str">
        <f t="shared" si="42"/>
        <v xml:space="preserve"> </v>
      </c>
      <c r="G379" s="1160" t="str">
        <f t="shared" si="43"/>
        <v xml:space="preserve"> </v>
      </c>
      <c r="H379" s="1149"/>
      <c r="I379">
        <f t="shared" si="40"/>
        <v>0</v>
      </c>
      <c r="K379">
        <f t="shared" si="41"/>
        <v>0</v>
      </c>
      <c r="L379" s="1161"/>
      <c r="N379" s="1162" t="str">
        <f t="shared" si="44"/>
        <v xml:space="preserve"> </v>
      </c>
      <c r="O379" s="1163" t="str">
        <f t="shared" si="45"/>
        <v xml:space="preserve"> </v>
      </c>
      <c r="Q379">
        <f t="shared" si="46"/>
        <v>0</v>
      </c>
      <c r="R379">
        <f t="shared" si="47"/>
        <v>0</v>
      </c>
    </row>
    <row r="380" spans="2:18" x14ac:dyDescent="0.15">
      <c r="B380" s="1157"/>
      <c r="C380" s="1158"/>
      <c r="D380" s="897"/>
      <c r="E380" s="1159" t="str">
        <f t="shared" si="42"/>
        <v xml:space="preserve"> </v>
      </c>
      <c r="G380" s="1160" t="str">
        <f t="shared" si="43"/>
        <v xml:space="preserve"> </v>
      </c>
      <c r="H380" s="1149"/>
      <c r="I380">
        <f t="shared" si="40"/>
        <v>0</v>
      </c>
      <c r="K380">
        <f t="shared" si="41"/>
        <v>0</v>
      </c>
      <c r="L380" s="1161"/>
      <c r="N380" s="1162" t="str">
        <f t="shared" si="44"/>
        <v xml:space="preserve"> </v>
      </c>
      <c r="O380" s="1163" t="str">
        <f t="shared" si="45"/>
        <v xml:space="preserve"> </v>
      </c>
      <c r="Q380">
        <f t="shared" si="46"/>
        <v>0</v>
      </c>
      <c r="R380">
        <f t="shared" si="47"/>
        <v>0</v>
      </c>
    </row>
    <row r="381" spans="2:18" x14ac:dyDescent="0.15">
      <c r="B381" s="1157"/>
      <c r="C381" s="1158"/>
      <c r="D381" s="897"/>
      <c r="E381" s="1159" t="str">
        <f t="shared" si="42"/>
        <v xml:space="preserve"> </v>
      </c>
      <c r="G381" s="1160" t="str">
        <f t="shared" si="43"/>
        <v xml:space="preserve"> </v>
      </c>
      <c r="H381" s="1149"/>
      <c r="I381">
        <f t="shared" si="40"/>
        <v>0</v>
      </c>
      <c r="K381">
        <f t="shared" si="41"/>
        <v>0</v>
      </c>
      <c r="L381" s="1161"/>
      <c r="N381" s="1162" t="str">
        <f t="shared" si="44"/>
        <v xml:space="preserve"> </v>
      </c>
      <c r="O381" s="1163" t="str">
        <f t="shared" si="45"/>
        <v xml:space="preserve"> </v>
      </c>
      <c r="Q381">
        <f t="shared" si="46"/>
        <v>0</v>
      </c>
      <c r="R381">
        <f t="shared" si="47"/>
        <v>0</v>
      </c>
    </row>
    <row r="382" spans="2:18" x14ac:dyDescent="0.15">
      <c r="B382" s="1157"/>
      <c r="C382" s="1158"/>
      <c r="D382" s="897"/>
      <c r="E382" s="1159" t="str">
        <f t="shared" si="42"/>
        <v xml:space="preserve"> </v>
      </c>
      <c r="G382" s="1160" t="str">
        <f t="shared" si="43"/>
        <v xml:space="preserve"> </v>
      </c>
      <c r="H382" s="1149"/>
      <c r="I382">
        <f t="shared" si="40"/>
        <v>0</v>
      </c>
      <c r="K382">
        <f t="shared" si="41"/>
        <v>0</v>
      </c>
      <c r="L382" s="1161"/>
      <c r="N382" s="1162" t="str">
        <f t="shared" si="44"/>
        <v xml:space="preserve"> </v>
      </c>
      <c r="O382" s="1163" t="str">
        <f t="shared" si="45"/>
        <v xml:space="preserve"> </v>
      </c>
      <c r="Q382">
        <f t="shared" si="46"/>
        <v>0</v>
      </c>
      <c r="R382">
        <f t="shared" si="47"/>
        <v>0</v>
      </c>
    </row>
    <row r="383" spans="2:18" x14ac:dyDescent="0.15">
      <c r="B383" s="1157"/>
      <c r="C383" s="1158"/>
      <c r="D383" s="897"/>
      <c r="E383" s="1159" t="str">
        <f t="shared" si="42"/>
        <v xml:space="preserve"> </v>
      </c>
      <c r="G383" s="1160" t="str">
        <f t="shared" si="43"/>
        <v xml:space="preserve"> </v>
      </c>
      <c r="H383" s="1149"/>
      <c r="I383">
        <f t="shared" si="40"/>
        <v>0</v>
      </c>
      <c r="K383">
        <f t="shared" si="41"/>
        <v>0</v>
      </c>
      <c r="L383" s="1161"/>
      <c r="N383" s="1162" t="str">
        <f t="shared" si="44"/>
        <v xml:space="preserve"> </v>
      </c>
      <c r="O383" s="1163" t="str">
        <f t="shared" si="45"/>
        <v xml:space="preserve"> </v>
      </c>
      <c r="Q383">
        <f t="shared" si="46"/>
        <v>0</v>
      </c>
      <c r="R383">
        <f t="shared" si="47"/>
        <v>0</v>
      </c>
    </row>
    <row r="384" spans="2:18" x14ac:dyDescent="0.15">
      <c r="B384" s="1157"/>
      <c r="C384" s="1158"/>
      <c r="D384" s="897"/>
      <c r="E384" s="1159" t="str">
        <f t="shared" si="42"/>
        <v xml:space="preserve"> </v>
      </c>
      <c r="G384" s="1160" t="str">
        <f t="shared" si="43"/>
        <v xml:space="preserve"> </v>
      </c>
      <c r="H384" s="1149"/>
      <c r="I384">
        <f t="shared" si="40"/>
        <v>0</v>
      </c>
      <c r="K384">
        <f t="shared" si="41"/>
        <v>0</v>
      </c>
      <c r="L384" s="1161"/>
      <c r="N384" s="1162" t="str">
        <f t="shared" si="44"/>
        <v xml:space="preserve"> </v>
      </c>
      <c r="O384" s="1163" t="str">
        <f t="shared" si="45"/>
        <v xml:space="preserve"> </v>
      </c>
      <c r="Q384">
        <f t="shared" si="46"/>
        <v>0</v>
      </c>
      <c r="R384">
        <f t="shared" si="47"/>
        <v>0</v>
      </c>
    </row>
    <row r="385" spans="2:18" x14ac:dyDescent="0.15">
      <c r="B385" s="1157"/>
      <c r="C385" s="1158"/>
      <c r="D385" s="897"/>
      <c r="E385" s="1159" t="str">
        <f t="shared" si="42"/>
        <v xml:space="preserve"> </v>
      </c>
      <c r="G385" s="1160" t="str">
        <f t="shared" si="43"/>
        <v xml:space="preserve"> </v>
      </c>
      <c r="H385" s="1149"/>
      <c r="I385">
        <f t="shared" si="40"/>
        <v>0</v>
      </c>
      <c r="K385">
        <f t="shared" si="41"/>
        <v>0</v>
      </c>
      <c r="L385" s="1161"/>
      <c r="N385" s="1162" t="str">
        <f t="shared" si="44"/>
        <v xml:space="preserve"> </v>
      </c>
      <c r="O385" s="1163" t="str">
        <f t="shared" si="45"/>
        <v xml:space="preserve"> </v>
      </c>
      <c r="Q385">
        <f t="shared" si="46"/>
        <v>0</v>
      </c>
      <c r="R385">
        <f t="shared" si="47"/>
        <v>0</v>
      </c>
    </row>
    <row r="386" spans="2:18" x14ac:dyDescent="0.15">
      <c r="B386" s="1157"/>
      <c r="C386" s="1158"/>
      <c r="D386" s="897"/>
      <c r="E386" s="1159" t="str">
        <f t="shared" si="42"/>
        <v xml:space="preserve"> </v>
      </c>
      <c r="G386" s="1160" t="str">
        <f t="shared" si="43"/>
        <v xml:space="preserve"> </v>
      </c>
      <c r="H386" s="1149"/>
      <c r="I386">
        <f t="shared" si="40"/>
        <v>0</v>
      </c>
      <c r="K386">
        <f t="shared" si="41"/>
        <v>0</v>
      </c>
      <c r="L386" s="1161"/>
      <c r="N386" s="1162" t="str">
        <f t="shared" si="44"/>
        <v xml:space="preserve"> </v>
      </c>
      <c r="O386" s="1163" t="str">
        <f t="shared" si="45"/>
        <v xml:space="preserve"> </v>
      </c>
      <c r="Q386">
        <f t="shared" si="46"/>
        <v>0</v>
      </c>
      <c r="R386">
        <f t="shared" si="47"/>
        <v>0</v>
      </c>
    </row>
    <row r="387" spans="2:18" x14ac:dyDescent="0.15">
      <c r="B387" s="1157"/>
      <c r="C387" s="1158"/>
      <c r="D387" s="897"/>
      <c r="E387" s="1159" t="str">
        <f t="shared" si="42"/>
        <v xml:space="preserve"> </v>
      </c>
      <c r="G387" s="1160" t="str">
        <f t="shared" si="43"/>
        <v xml:space="preserve"> </v>
      </c>
      <c r="H387" s="1149"/>
      <c r="I387">
        <f t="shared" si="40"/>
        <v>0</v>
      </c>
      <c r="K387">
        <f t="shared" si="41"/>
        <v>0</v>
      </c>
      <c r="L387" s="1161"/>
      <c r="N387" s="1162" t="str">
        <f t="shared" si="44"/>
        <v xml:space="preserve"> </v>
      </c>
      <c r="O387" s="1163" t="str">
        <f t="shared" si="45"/>
        <v xml:space="preserve"> </v>
      </c>
      <c r="Q387">
        <f t="shared" si="46"/>
        <v>0</v>
      </c>
      <c r="R387">
        <f t="shared" si="47"/>
        <v>0</v>
      </c>
    </row>
    <row r="388" spans="2:18" x14ac:dyDescent="0.15">
      <c r="B388" s="1157"/>
      <c r="C388" s="1158"/>
      <c r="D388" s="897"/>
      <c r="E388" s="1159" t="str">
        <f t="shared" si="42"/>
        <v xml:space="preserve"> </v>
      </c>
      <c r="G388" s="1160" t="str">
        <f t="shared" si="43"/>
        <v xml:space="preserve"> </v>
      </c>
      <c r="H388" s="1149"/>
      <c r="I388">
        <f t="shared" si="40"/>
        <v>0</v>
      </c>
      <c r="K388">
        <f t="shared" si="41"/>
        <v>0</v>
      </c>
      <c r="L388" s="1161"/>
      <c r="N388" s="1162" t="str">
        <f t="shared" si="44"/>
        <v xml:space="preserve"> </v>
      </c>
      <c r="O388" s="1163" t="str">
        <f t="shared" si="45"/>
        <v xml:space="preserve"> </v>
      </c>
      <c r="Q388">
        <f t="shared" si="46"/>
        <v>0</v>
      </c>
      <c r="R388">
        <f t="shared" si="47"/>
        <v>0</v>
      </c>
    </row>
    <row r="389" spans="2:18" x14ac:dyDescent="0.15">
      <c r="B389" s="1157"/>
      <c r="C389" s="1158"/>
      <c r="D389" s="897"/>
      <c r="E389" s="1159" t="str">
        <f t="shared" si="42"/>
        <v xml:space="preserve"> </v>
      </c>
      <c r="G389" s="1160" t="str">
        <f t="shared" si="43"/>
        <v xml:space="preserve"> </v>
      </c>
      <c r="H389" s="1149"/>
      <c r="I389">
        <f t="shared" si="40"/>
        <v>0</v>
      </c>
      <c r="K389">
        <f t="shared" si="41"/>
        <v>0</v>
      </c>
      <c r="L389" s="1161"/>
      <c r="N389" s="1162" t="str">
        <f t="shared" si="44"/>
        <v xml:space="preserve"> </v>
      </c>
      <c r="O389" s="1163" t="str">
        <f t="shared" si="45"/>
        <v xml:space="preserve"> </v>
      </c>
      <c r="Q389">
        <f t="shared" si="46"/>
        <v>0</v>
      </c>
      <c r="R389">
        <f t="shared" si="47"/>
        <v>0</v>
      </c>
    </row>
    <row r="390" spans="2:18" x14ac:dyDescent="0.15">
      <c r="B390" s="1157"/>
      <c r="C390" s="1158"/>
      <c r="D390" s="897"/>
      <c r="E390" s="1159" t="str">
        <f t="shared" si="42"/>
        <v xml:space="preserve"> </v>
      </c>
      <c r="G390" s="1160" t="str">
        <f t="shared" si="43"/>
        <v xml:space="preserve"> </v>
      </c>
      <c r="H390" s="1149"/>
      <c r="I390">
        <f t="shared" si="40"/>
        <v>0</v>
      </c>
      <c r="K390">
        <f t="shared" si="41"/>
        <v>0</v>
      </c>
      <c r="L390" s="1161"/>
      <c r="N390" s="1162" t="str">
        <f t="shared" si="44"/>
        <v xml:space="preserve"> </v>
      </c>
      <c r="O390" s="1163" t="str">
        <f t="shared" si="45"/>
        <v xml:space="preserve"> </v>
      </c>
      <c r="Q390">
        <f t="shared" si="46"/>
        <v>0</v>
      </c>
      <c r="R390">
        <f t="shared" si="47"/>
        <v>0</v>
      </c>
    </row>
    <row r="391" spans="2:18" x14ac:dyDescent="0.15">
      <c r="B391" s="1157"/>
      <c r="C391" s="1158"/>
      <c r="D391" s="897"/>
      <c r="E391" s="1159" t="str">
        <f t="shared" si="42"/>
        <v xml:space="preserve"> </v>
      </c>
      <c r="G391" s="1160" t="str">
        <f t="shared" si="43"/>
        <v xml:space="preserve"> </v>
      </c>
      <c r="H391" s="1149"/>
      <c r="I391">
        <f t="shared" si="40"/>
        <v>0</v>
      </c>
      <c r="K391">
        <f t="shared" si="41"/>
        <v>0</v>
      </c>
      <c r="L391" s="1161"/>
      <c r="N391" s="1162" t="str">
        <f t="shared" si="44"/>
        <v xml:space="preserve"> </v>
      </c>
      <c r="O391" s="1163" t="str">
        <f t="shared" si="45"/>
        <v xml:space="preserve"> </v>
      </c>
      <c r="Q391">
        <f t="shared" si="46"/>
        <v>0</v>
      </c>
      <c r="R391">
        <f t="shared" si="47"/>
        <v>0</v>
      </c>
    </row>
    <row r="392" spans="2:18" x14ac:dyDescent="0.15">
      <c r="B392" s="1157"/>
      <c r="C392" s="1158"/>
      <c r="D392" s="897"/>
      <c r="E392" s="1159" t="str">
        <f t="shared" si="42"/>
        <v xml:space="preserve"> </v>
      </c>
      <c r="G392" s="1160" t="str">
        <f t="shared" si="43"/>
        <v xml:space="preserve"> </v>
      </c>
      <c r="H392" s="1149"/>
      <c r="I392">
        <f t="shared" ref="I392:I455" si="48">(J392+C392)/12</f>
        <v>0</v>
      </c>
      <c r="K392">
        <f t="shared" ref="K392:K455" si="49">I392+B392</f>
        <v>0</v>
      </c>
      <c r="L392" s="1161"/>
      <c r="N392" s="1162" t="str">
        <f t="shared" si="44"/>
        <v xml:space="preserve"> </v>
      </c>
      <c r="O392" s="1163" t="str">
        <f t="shared" si="45"/>
        <v xml:space="preserve"> </v>
      </c>
      <c r="Q392">
        <f t="shared" si="46"/>
        <v>0</v>
      </c>
      <c r="R392">
        <f t="shared" si="47"/>
        <v>0</v>
      </c>
    </row>
    <row r="393" spans="2:18" x14ac:dyDescent="0.15">
      <c r="B393" s="1157"/>
      <c r="C393" s="1158"/>
      <c r="D393" s="897"/>
      <c r="E393" s="1159" t="str">
        <f t="shared" si="42"/>
        <v xml:space="preserve"> </v>
      </c>
      <c r="G393" s="1160" t="str">
        <f t="shared" si="43"/>
        <v xml:space="preserve"> </v>
      </c>
      <c r="H393" s="1149"/>
      <c r="I393">
        <f t="shared" si="48"/>
        <v>0</v>
      </c>
      <c r="K393">
        <f t="shared" si="49"/>
        <v>0</v>
      </c>
      <c r="L393" s="1161"/>
      <c r="N393" s="1162" t="str">
        <f t="shared" si="44"/>
        <v xml:space="preserve"> </v>
      </c>
      <c r="O393" s="1163" t="str">
        <f t="shared" si="45"/>
        <v xml:space="preserve"> </v>
      </c>
      <c r="Q393">
        <f t="shared" si="46"/>
        <v>0</v>
      </c>
      <c r="R393">
        <f t="shared" si="47"/>
        <v>0</v>
      </c>
    </row>
    <row r="394" spans="2:18" x14ac:dyDescent="0.15">
      <c r="B394" s="1157"/>
      <c r="C394" s="1158"/>
      <c r="D394" s="897"/>
      <c r="E394" s="1159" t="str">
        <f t="shared" ref="E394:E457" si="50">IF(K394=0," ",IF(K394&gt;0,K394*12*25.4))</f>
        <v xml:space="preserve"> </v>
      </c>
      <c r="G394" s="1160" t="str">
        <f t="shared" ref="G394:G457" si="51">IF(K394=0," ",IF(K394&gt;0,E394/1000))</f>
        <v xml:space="preserve"> </v>
      </c>
      <c r="H394" s="1149"/>
      <c r="I394">
        <f t="shared" si="48"/>
        <v>0</v>
      </c>
      <c r="K394">
        <f t="shared" si="49"/>
        <v>0</v>
      </c>
      <c r="L394" s="1161"/>
      <c r="N394" s="1162" t="str">
        <f t="shared" ref="N394:N457" si="52">IF(R394=0," ",IF(R394&gt;0,TRUNC(R394)))</f>
        <v xml:space="preserve"> </v>
      </c>
      <c r="O394" s="1163" t="str">
        <f t="shared" ref="O394:O457" si="53">IF(R394=0," ",IF(R394&gt;0,(R394-N394)*12))</f>
        <v xml:space="preserve"> </v>
      </c>
      <c r="Q394">
        <f t="shared" ref="Q394:Q457" si="54">L394/25.4</f>
        <v>0</v>
      </c>
      <c r="R394">
        <f t="shared" ref="R394:R457" si="55">Q394/12</f>
        <v>0</v>
      </c>
    </row>
    <row r="395" spans="2:18" x14ac:dyDescent="0.15">
      <c r="B395" s="1157"/>
      <c r="C395" s="1158"/>
      <c r="D395" s="897"/>
      <c r="E395" s="1159" t="str">
        <f t="shared" si="50"/>
        <v xml:space="preserve"> </v>
      </c>
      <c r="G395" s="1160" t="str">
        <f t="shared" si="51"/>
        <v xml:space="preserve"> </v>
      </c>
      <c r="H395" s="1149"/>
      <c r="I395">
        <f t="shared" si="48"/>
        <v>0</v>
      </c>
      <c r="K395">
        <f t="shared" si="49"/>
        <v>0</v>
      </c>
      <c r="L395" s="1161"/>
      <c r="N395" s="1162" t="str">
        <f t="shared" si="52"/>
        <v xml:space="preserve"> </v>
      </c>
      <c r="O395" s="1163" t="str">
        <f t="shared" si="53"/>
        <v xml:space="preserve"> </v>
      </c>
      <c r="Q395">
        <f t="shared" si="54"/>
        <v>0</v>
      </c>
      <c r="R395">
        <f t="shared" si="55"/>
        <v>0</v>
      </c>
    </row>
    <row r="396" spans="2:18" x14ac:dyDescent="0.15">
      <c r="B396" s="1157"/>
      <c r="C396" s="1158"/>
      <c r="D396" s="897"/>
      <c r="E396" s="1159" t="str">
        <f t="shared" si="50"/>
        <v xml:space="preserve"> </v>
      </c>
      <c r="G396" s="1160" t="str">
        <f t="shared" si="51"/>
        <v xml:space="preserve"> </v>
      </c>
      <c r="H396" s="1149"/>
      <c r="I396">
        <f t="shared" si="48"/>
        <v>0</v>
      </c>
      <c r="K396">
        <f t="shared" si="49"/>
        <v>0</v>
      </c>
      <c r="L396" s="1161"/>
      <c r="N396" s="1162" t="str">
        <f t="shared" si="52"/>
        <v xml:space="preserve"> </v>
      </c>
      <c r="O396" s="1163" t="str">
        <f t="shared" si="53"/>
        <v xml:space="preserve"> </v>
      </c>
      <c r="Q396">
        <f t="shared" si="54"/>
        <v>0</v>
      </c>
      <c r="R396">
        <f t="shared" si="55"/>
        <v>0</v>
      </c>
    </row>
    <row r="397" spans="2:18" x14ac:dyDescent="0.15">
      <c r="B397" s="1157"/>
      <c r="C397" s="1158"/>
      <c r="D397" s="897"/>
      <c r="E397" s="1159" t="str">
        <f t="shared" si="50"/>
        <v xml:space="preserve"> </v>
      </c>
      <c r="G397" s="1160" t="str">
        <f t="shared" si="51"/>
        <v xml:space="preserve"> </v>
      </c>
      <c r="H397" s="1149"/>
      <c r="I397">
        <f t="shared" si="48"/>
        <v>0</v>
      </c>
      <c r="K397">
        <f t="shared" si="49"/>
        <v>0</v>
      </c>
      <c r="L397" s="1161"/>
      <c r="N397" s="1162" t="str">
        <f t="shared" si="52"/>
        <v xml:space="preserve"> </v>
      </c>
      <c r="O397" s="1163" t="str">
        <f t="shared" si="53"/>
        <v xml:space="preserve"> </v>
      </c>
      <c r="Q397">
        <f t="shared" si="54"/>
        <v>0</v>
      </c>
      <c r="R397">
        <f t="shared" si="55"/>
        <v>0</v>
      </c>
    </row>
    <row r="398" spans="2:18" x14ac:dyDescent="0.15">
      <c r="B398" s="1157"/>
      <c r="C398" s="1158"/>
      <c r="D398" s="897"/>
      <c r="E398" s="1159" t="str">
        <f t="shared" si="50"/>
        <v xml:space="preserve"> </v>
      </c>
      <c r="G398" s="1160" t="str">
        <f t="shared" si="51"/>
        <v xml:space="preserve"> </v>
      </c>
      <c r="H398" s="1149"/>
      <c r="I398">
        <f t="shared" si="48"/>
        <v>0</v>
      </c>
      <c r="K398">
        <f t="shared" si="49"/>
        <v>0</v>
      </c>
      <c r="L398" s="1161"/>
      <c r="N398" s="1162" t="str">
        <f t="shared" si="52"/>
        <v xml:space="preserve"> </v>
      </c>
      <c r="O398" s="1163" t="str">
        <f t="shared" si="53"/>
        <v xml:space="preserve"> </v>
      </c>
      <c r="Q398">
        <f t="shared" si="54"/>
        <v>0</v>
      </c>
      <c r="R398">
        <f t="shared" si="55"/>
        <v>0</v>
      </c>
    </row>
    <row r="399" spans="2:18" x14ac:dyDescent="0.15">
      <c r="B399" s="1157"/>
      <c r="C399" s="1158"/>
      <c r="D399" s="897"/>
      <c r="E399" s="1159" t="str">
        <f t="shared" si="50"/>
        <v xml:space="preserve"> </v>
      </c>
      <c r="G399" s="1160" t="str">
        <f t="shared" si="51"/>
        <v xml:space="preserve"> </v>
      </c>
      <c r="H399" s="1149"/>
      <c r="I399">
        <f t="shared" si="48"/>
        <v>0</v>
      </c>
      <c r="K399">
        <f t="shared" si="49"/>
        <v>0</v>
      </c>
      <c r="L399" s="1161"/>
      <c r="N399" s="1162" t="str">
        <f t="shared" si="52"/>
        <v xml:space="preserve"> </v>
      </c>
      <c r="O399" s="1163" t="str">
        <f t="shared" si="53"/>
        <v xml:space="preserve"> </v>
      </c>
      <c r="Q399">
        <f t="shared" si="54"/>
        <v>0</v>
      </c>
      <c r="R399">
        <f t="shared" si="55"/>
        <v>0</v>
      </c>
    </row>
    <row r="400" spans="2:18" x14ac:dyDescent="0.15">
      <c r="B400" s="1157"/>
      <c r="C400" s="1158"/>
      <c r="D400" s="897"/>
      <c r="E400" s="1159" t="str">
        <f t="shared" si="50"/>
        <v xml:space="preserve"> </v>
      </c>
      <c r="G400" s="1160" t="str">
        <f t="shared" si="51"/>
        <v xml:space="preserve"> </v>
      </c>
      <c r="H400" s="1149"/>
      <c r="I400">
        <f t="shared" si="48"/>
        <v>0</v>
      </c>
      <c r="K400">
        <f t="shared" si="49"/>
        <v>0</v>
      </c>
      <c r="L400" s="1161"/>
      <c r="N400" s="1162" t="str">
        <f t="shared" si="52"/>
        <v xml:space="preserve"> </v>
      </c>
      <c r="O400" s="1163" t="str">
        <f t="shared" si="53"/>
        <v xml:space="preserve"> </v>
      </c>
      <c r="Q400">
        <f t="shared" si="54"/>
        <v>0</v>
      </c>
      <c r="R400">
        <f t="shared" si="55"/>
        <v>0</v>
      </c>
    </row>
    <row r="401" spans="2:18" x14ac:dyDescent="0.15">
      <c r="B401" s="1157"/>
      <c r="C401" s="1158"/>
      <c r="D401" s="897"/>
      <c r="E401" s="1159" t="str">
        <f t="shared" si="50"/>
        <v xml:space="preserve"> </v>
      </c>
      <c r="G401" s="1160" t="str">
        <f t="shared" si="51"/>
        <v xml:space="preserve"> </v>
      </c>
      <c r="H401" s="1149"/>
      <c r="I401">
        <f t="shared" si="48"/>
        <v>0</v>
      </c>
      <c r="K401">
        <f t="shared" si="49"/>
        <v>0</v>
      </c>
      <c r="L401" s="1161"/>
      <c r="N401" s="1162" t="str">
        <f t="shared" si="52"/>
        <v xml:space="preserve"> </v>
      </c>
      <c r="O401" s="1163" t="str">
        <f t="shared" si="53"/>
        <v xml:space="preserve"> </v>
      </c>
      <c r="Q401">
        <f t="shared" si="54"/>
        <v>0</v>
      </c>
      <c r="R401">
        <f t="shared" si="55"/>
        <v>0</v>
      </c>
    </row>
    <row r="402" spans="2:18" x14ac:dyDescent="0.15">
      <c r="B402" s="1157"/>
      <c r="C402" s="1158"/>
      <c r="D402" s="897"/>
      <c r="E402" s="1159" t="str">
        <f t="shared" si="50"/>
        <v xml:space="preserve"> </v>
      </c>
      <c r="G402" s="1160" t="str">
        <f t="shared" si="51"/>
        <v xml:space="preserve"> </v>
      </c>
      <c r="H402" s="1149"/>
      <c r="I402">
        <f t="shared" si="48"/>
        <v>0</v>
      </c>
      <c r="K402">
        <f t="shared" si="49"/>
        <v>0</v>
      </c>
      <c r="L402" s="1161"/>
      <c r="N402" s="1162" t="str">
        <f t="shared" si="52"/>
        <v xml:space="preserve"> </v>
      </c>
      <c r="O402" s="1163" t="str">
        <f t="shared" si="53"/>
        <v xml:space="preserve"> </v>
      </c>
      <c r="Q402">
        <f t="shared" si="54"/>
        <v>0</v>
      </c>
      <c r="R402">
        <f t="shared" si="55"/>
        <v>0</v>
      </c>
    </row>
    <row r="403" spans="2:18" x14ac:dyDescent="0.15">
      <c r="B403" s="1157"/>
      <c r="C403" s="1158"/>
      <c r="D403" s="897"/>
      <c r="E403" s="1159" t="str">
        <f t="shared" si="50"/>
        <v xml:space="preserve"> </v>
      </c>
      <c r="G403" s="1160" t="str">
        <f t="shared" si="51"/>
        <v xml:space="preserve"> </v>
      </c>
      <c r="H403" s="1149"/>
      <c r="I403">
        <f t="shared" si="48"/>
        <v>0</v>
      </c>
      <c r="K403">
        <f t="shared" si="49"/>
        <v>0</v>
      </c>
      <c r="L403" s="1161"/>
      <c r="N403" s="1162" t="str">
        <f t="shared" si="52"/>
        <v xml:space="preserve"> </v>
      </c>
      <c r="O403" s="1163" t="str">
        <f t="shared" si="53"/>
        <v xml:space="preserve"> </v>
      </c>
      <c r="Q403">
        <f t="shared" si="54"/>
        <v>0</v>
      </c>
      <c r="R403">
        <f t="shared" si="55"/>
        <v>0</v>
      </c>
    </row>
    <row r="404" spans="2:18" x14ac:dyDescent="0.15">
      <c r="B404" s="1157"/>
      <c r="C404" s="1158"/>
      <c r="D404" s="897"/>
      <c r="E404" s="1159" t="str">
        <f t="shared" si="50"/>
        <v xml:space="preserve"> </v>
      </c>
      <c r="G404" s="1160" t="str">
        <f t="shared" si="51"/>
        <v xml:space="preserve"> </v>
      </c>
      <c r="H404" s="1149"/>
      <c r="I404">
        <f t="shared" si="48"/>
        <v>0</v>
      </c>
      <c r="K404">
        <f t="shared" si="49"/>
        <v>0</v>
      </c>
      <c r="L404" s="1161"/>
      <c r="N404" s="1162" t="str">
        <f t="shared" si="52"/>
        <v xml:space="preserve"> </v>
      </c>
      <c r="O404" s="1163" t="str">
        <f t="shared" si="53"/>
        <v xml:space="preserve"> </v>
      </c>
      <c r="Q404">
        <f t="shared" si="54"/>
        <v>0</v>
      </c>
      <c r="R404">
        <f t="shared" si="55"/>
        <v>0</v>
      </c>
    </row>
    <row r="405" spans="2:18" x14ac:dyDescent="0.15">
      <c r="B405" s="1157"/>
      <c r="C405" s="1158"/>
      <c r="D405" s="897"/>
      <c r="E405" s="1159" t="str">
        <f t="shared" si="50"/>
        <v xml:space="preserve"> </v>
      </c>
      <c r="G405" s="1160" t="str">
        <f t="shared" si="51"/>
        <v xml:space="preserve"> </v>
      </c>
      <c r="H405" s="1149"/>
      <c r="I405">
        <f t="shared" si="48"/>
        <v>0</v>
      </c>
      <c r="K405">
        <f t="shared" si="49"/>
        <v>0</v>
      </c>
      <c r="L405" s="1161"/>
      <c r="N405" s="1162" t="str">
        <f t="shared" si="52"/>
        <v xml:space="preserve"> </v>
      </c>
      <c r="O405" s="1163" t="str">
        <f t="shared" si="53"/>
        <v xml:space="preserve"> </v>
      </c>
      <c r="Q405">
        <f t="shared" si="54"/>
        <v>0</v>
      </c>
      <c r="R405">
        <f t="shared" si="55"/>
        <v>0</v>
      </c>
    </row>
    <row r="406" spans="2:18" x14ac:dyDescent="0.15">
      <c r="B406" s="1157"/>
      <c r="C406" s="1158"/>
      <c r="D406" s="897"/>
      <c r="E406" s="1159" t="str">
        <f t="shared" si="50"/>
        <v xml:space="preserve"> </v>
      </c>
      <c r="G406" s="1160" t="str">
        <f t="shared" si="51"/>
        <v xml:space="preserve"> </v>
      </c>
      <c r="H406" s="1149"/>
      <c r="I406">
        <f t="shared" si="48"/>
        <v>0</v>
      </c>
      <c r="K406">
        <f t="shared" si="49"/>
        <v>0</v>
      </c>
      <c r="L406" s="1161"/>
      <c r="N406" s="1162" t="str">
        <f t="shared" si="52"/>
        <v xml:space="preserve"> </v>
      </c>
      <c r="O406" s="1163" t="str">
        <f t="shared" si="53"/>
        <v xml:space="preserve"> </v>
      </c>
      <c r="Q406">
        <f t="shared" si="54"/>
        <v>0</v>
      </c>
      <c r="R406">
        <f t="shared" si="55"/>
        <v>0</v>
      </c>
    </row>
    <row r="407" spans="2:18" x14ac:dyDescent="0.15">
      <c r="B407" s="1157"/>
      <c r="C407" s="1158"/>
      <c r="D407" s="897"/>
      <c r="E407" s="1159" t="str">
        <f t="shared" si="50"/>
        <v xml:space="preserve"> </v>
      </c>
      <c r="G407" s="1160" t="str">
        <f t="shared" si="51"/>
        <v xml:space="preserve"> </v>
      </c>
      <c r="H407" s="1149"/>
      <c r="I407">
        <f t="shared" si="48"/>
        <v>0</v>
      </c>
      <c r="K407">
        <f t="shared" si="49"/>
        <v>0</v>
      </c>
      <c r="L407" s="1161"/>
      <c r="N407" s="1162" t="str">
        <f t="shared" si="52"/>
        <v xml:space="preserve"> </v>
      </c>
      <c r="O407" s="1163" t="str">
        <f t="shared" si="53"/>
        <v xml:space="preserve"> </v>
      </c>
      <c r="Q407">
        <f t="shared" si="54"/>
        <v>0</v>
      </c>
      <c r="R407">
        <f t="shared" si="55"/>
        <v>0</v>
      </c>
    </row>
    <row r="408" spans="2:18" x14ac:dyDescent="0.15">
      <c r="B408" s="1157"/>
      <c r="C408" s="1158"/>
      <c r="D408" s="897"/>
      <c r="E408" s="1159" t="str">
        <f t="shared" si="50"/>
        <v xml:space="preserve"> </v>
      </c>
      <c r="G408" s="1160" t="str">
        <f t="shared" si="51"/>
        <v xml:space="preserve"> </v>
      </c>
      <c r="H408" s="1149"/>
      <c r="I408">
        <f t="shared" si="48"/>
        <v>0</v>
      </c>
      <c r="K408">
        <f t="shared" si="49"/>
        <v>0</v>
      </c>
      <c r="L408" s="1161"/>
      <c r="N408" s="1162" t="str">
        <f t="shared" si="52"/>
        <v xml:space="preserve"> </v>
      </c>
      <c r="O408" s="1163" t="str">
        <f t="shared" si="53"/>
        <v xml:space="preserve"> </v>
      </c>
      <c r="Q408">
        <f t="shared" si="54"/>
        <v>0</v>
      </c>
      <c r="R408">
        <f t="shared" si="55"/>
        <v>0</v>
      </c>
    </row>
    <row r="409" spans="2:18" x14ac:dyDescent="0.15">
      <c r="B409" s="1157"/>
      <c r="C409" s="1158"/>
      <c r="D409" s="897"/>
      <c r="E409" s="1159" t="str">
        <f t="shared" si="50"/>
        <v xml:space="preserve"> </v>
      </c>
      <c r="G409" s="1160" t="str">
        <f t="shared" si="51"/>
        <v xml:space="preserve"> </v>
      </c>
      <c r="H409" s="1149"/>
      <c r="I409">
        <f t="shared" si="48"/>
        <v>0</v>
      </c>
      <c r="K409">
        <f t="shared" si="49"/>
        <v>0</v>
      </c>
      <c r="L409" s="1161"/>
      <c r="N409" s="1162" t="str">
        <f t="shared" si="52"/>
        <v xml:space="preserve"> </v>
      </c>
      <c r="O409" s="1163" t="str">
        <f t="shared" si="53"/>
        <v xml:space="preserve"> </v>
      </c>
      <c r="Q409">
        <f t="shared" si="54"/>
        <v>0</v>
      </c>
      <c r="R409">
        <f t="shared" si="55"/>
        <v>0</v>
      </c>
    </row>
    <row r="410" spans="2:18" x14ac:dyDescent="0.15">
      <c r="B410" s="1157"/>
      <c r="C410" s="1158"/>
      <c r="D410" s="897"/>
      <c r="E410" s="1159" t="str">
        <f t="shared" si="50"/>
        <v xml:space="preserve"> </v>
      </c>
      <c r="G410" s="1160" t="str">
        <f t="shared" si="51"/>
        <v xml:space="preserve"> </v>
      </c>
      <c r="H410" s="1149"/>
      <c r="I410">
        <f t="shared" si="48"/>
        <v>0</v>
      </c>
      <c r="K410">
        <f t="shared" si="49"/>
        <v>0</v>
      </c>
      <c r="L410" s="1161"/>
      <c r="N410" s="1162" t="str">
        <f t="shared" si="52"/>
        <v xml:space="preserve"> </v>
      </c>
      <c r="O410" s="1163" t="str">
        <f t="shared" si="53"/>
        <v xml:space="preserve"> </v>
      </c>
      <c r="Q410">
        <f t="shared" si="54"/>
        <v>0</v>
      </c>
      <c r="R410">
        <f t="shared" si="55"/>
        <v>0</v>
      </c>
    </row>
    <row r="411" spans="2:18" x14ac:dyDescent="0.15">
      <c r="B411" s="1157"/>
      <c r="C411" s="1158"/>
      <c r="D411" s="897"/>
      <c r="E411" s="1159" t="str">
        <f t="shared" si="50"/>
        <v xml:space="preserve"> </v>
      </c>
      <c r="G411" s="1160" t="str">
        <f t="shared" si="51"/>
        <v xml:space="preserve"> </v>
      </c>
      <c r="H411" s="1149"/>
      <c r="I411">
        <f t="shared" si="48"/>
        <v>0</v>
      </c>
      <c r="K411">
        <f t="shared" si="49"/>
        <v>0</v>
      </c>
      <c r="L411" s="1161"/>
      <c r="N411" s="1162" t="str">
        <f t="shared" si="52"/>
        <v xml:space="preserve"> </v>
      </c>
      <c r="O411" s="1163" t="str">
        <f t="shared" si="53"/>
        <v xml:space="preserve"> </v>
      </c>
      <c r="Q411">
        <f t="shared" si="54"/>
        <v>0</v>
      </c>
      <c r="R411">
        <f t="shared" si="55"/>
        <v>0</v>
      </c>
    </row>
    <row r="412" spans="2:18" x14ac:dyDescent="0.15">
      <c r="B412" s="1157"/>
      <c r="C412" s="1158"/>
      <c r="D412" s="897"/>
      <c r="E412" s="1159" t="str">
        <f t="shared" si="50"/>
        <v xml:space="preserve"> </v>
      </c>
      <c r="G412" s="1160" t="str">
        <f t="shared" si="51"/>
        <v xml:space="preserve"> </v>
      </c>
      <c r="H412" s="1149"/>
      <c r="I412">
        <f t="shared" si="48"/>
        <v>0</v>
      </c>
      <c r="K412">
        <f t="shared" si="49"/>
        <v>0</v>
      </c>
      <c r="L412" s="1161"/>
      <c r="N412" s="1162" t="str">
        <f t="shared" si="52"/>
        <v xml:space="preserve"> </v>
      </c>
      <c r="O412" s="1163" t="str">
        <f t="shared" si="53"/>
        <v xml:space="preserve"> </v>
      </c>
      <c r="Q412">
        <f t="shared" si="54"/>
        <v>0</v>
      </c>
      <c r="R412">
        <f t="shared" si="55"/>
        <v>0</v>
      </c>
    </row>
    <row r="413" spans="2:18" x14ac:dyDescent="0.15">
      <c r="B413" s="1157"/>
      <c r="C413" s="1158"/>
      <c r="D413" s="897"/>
      <c r="E413" s="1159" t="str">
        <f t="shared" si="50"/>
        <v xml:space="preserve"> </v>
      </c>
      <c r="G413" s="1160" t="str">
        <f t="shared" si="51"/>
        <v xml:space="preserve"> </v>
      </c>
      <c r="H413" s="1149"/>
      <c r="I413">
        <f t="shared" si="48"/>
        <v>0</v>
      </c>
      <c r="K413">
        <f t="shared" si="49"/>
        <v>0</v>
      </c>
      <c r="L413" s="1161"/>
      <c r="N413" s="1162" t="str">
        <f t="shared" si="52"/>
        <v xml:space="preserve"> </v>
      </c>
      <c r="O413" s="1163" t="str">
        <f t="shared" si="53"/>
        <v xml:space="preserve"> </v>
      </c>
      <c r="Q413">
        <f t="shared" si="54"/>
        <v>0</v>
      </c>
      <c r="R413">
        <f t="shared" si="55"/>
        <v>0</v>
      </c>
    </row>
    <row r="414" spans="2:18" x14ac:dyDescent="0.15">
      <c r="B414" s="1157"/>
      <c r="C414" s="1158"/>
      <c r="D414" s="897"/>
      <c r="E414" s="1159" t="str">
        <f t="shared" si="50"/>
        <v xml:space="preserve"> </v>
      </c>
      <c r="G414" s="1160" t="str">
        <f t="shared" si="51"/>
        <v xml:space="preserve"> </v>
      </c>
      <c r="H414" s="1149"/>
      <c r="I414">
        <f t="shared" si="48"/>
        <v>0</v>
      </c>
      <c r="K414">
        <f t="shared" si="49"/>
        <v>0</v>
      </c>
      <c r="L414" s="1161"/>
      <c r="N414" s="1162" t="str">
        <f t="shared" si="52"/>
        <v xml:space="preserve"> </v>
      </c>
      <c r="O414" s="1163" t="str">
        <f t="shared" si="53"/>
        <v xml:space="preserve"> </v>
      </c>
      <c r="Q414">
        <f t="shared" si="54"/>
        <v>0</v>
      </c>
      <c r="R414">
        <f t="shared" si="55"/>
        <v>0</v>
      </c>
    </row>
    <row r="415" spans="2:18" x14ac:dyDescent="0.15">
      <c r="B415" s="1157"/>
      <c r="C415" s="1158"/>
      <c r="D415" s="897"/>
      <c r="E415" s="1159" t="str">
        <f t="shared" si="50"/>
        <v xml:space="preserve"> </v>
      </c>
      <c r="G415" s="1160" t="str">
        <f t="shared" si="51"/>
        <v xml:space="preserve"> </v>
      </c>
      <c r="H415" s="1149"/>
      <c r="I415">
        <f t="shared" si="48"/>
        <v>0</v>
      </c>
      <c r="K415">
        <f t="shared" si="49"/>
        <v>0</v>
      </c>
      <c r="L415" s="1161"/>
      <c r="N415" s="1162" t="str">
        <f t="shared" si="52"/>
        <v xml:space="preserve"> </v>
      </c>
      <c r="O415" s="1163" t="str">
        <f t="shared" si="53"/>
        <v xml:space="preserve"> </v>
      </c>
      <c r="Q415">
        <f t="shared" si="54"/>
        <v>0</v>
      </c>
      <c r="R415">
        <f t="shared" si="55"/>
        <v>0</v>
      </c>
    </row>
    <row r="416" spans="2:18" x14ac:dyDescent="0.15">
      <c r="B416" s="1157"/>
      <c r="C416" s="1158"/>
      <c r="D416" s="897"/>
      <c r="E416" s="1159" t="str">
        <f t="shared" si="50"/>
        <v xml:space="preserve"> </v>
      </c>
      <c r="G416" s="1160" t="str">
        <f t="shared" si="51"/>
        <v xml:space="preserve"> </v>
      </c>
      <c r="H416" s="1149"/>
      <c r="I416">
        <f t="shared" si="48"/>
        <v>0</v>
      </c>
      <c r="K416">
        <f t="shared" si="49"/>
        <v>0</v>
      </c>
      <c r="L416" s="1161"/>
      <c r="N416" s="1162" t="str">
        <f t="shared" si="52"/>
        <v xml:space="preserve"> </v>
      </c>
      <c r="O416" s="1163" t="str">
        <f t="shared" si="53"/>
        <v xml:space="preserve"> </v>
      </c>
      <c r="Q416">
        <f t="shared" si="54"/>
        <v>0</v>
      </c>
      <c r="R416">
        <f t="shared" si="55"/>
        <v>0</v>
      </c>
    </row>
    <row r="417" spans="2:18" x14ac:dyDescent="0.15">
      <c r="B417" s="1157"/>
      <c r="C417" s="1158"/>
      <c r="D417" s="897"/>
      <c r="E417" s="1159" t="str">
        <f t="shared" si="50"/>
        <v xml:space="preserve"> </v>
      </c>
      <c r="G417" s="1160" t="str">
        <f t="shared" si="51"/>
        <v xml:space="preserve"> </v>
      </c>
      <c r="H417" s="1149"/>
      <c r="I417">
        <f t="shared" si="48"/>
        <v>0</v>
      </c>
      <c r="K417">
        <f t="shared" si="49"/>
        <v>0</v>
      </c>
      <c r="L417" s="1161"/>
      <c r="N417" s="1162" t="str">
        <f t="shared" si="52"/>
        <v xml:space="preserve"> </v>
      </c>
      <c r="O417" s="1163" t="str">
        <f t="shared" si="53"/>
        <v xml:space="preserve"> </v>
      </c>
      <c r="Q417">
        <f t="shared" si="54"/>
        <v>0</v>
      </c>
      <c r="R417">
        <f t="shared" si="55"/>
        <v>0</v>
      </c>
    </row>
    <row r="418" spans="2:18" x14ac:dyDescent="0.15">
      <c r="B418" s="1157"/>
      <c r="C418" s="1158"/>
      <c r="D418" s="897"/>
      <c r="E418" s="1159" t="str">
        <f t="shared" si="50"/>
        <v xml:space="preserve"> </v>
      </c>
      <c r="G418" s="1160" t="str">
        <f t="shared" si="51"/>
        <v xml:space="preserve"> </v>
      </c>
      <c r="H418" s="1149"/>
      <c r="I418">
        <f t="shared" si="48"/>
        <v>0</v>
      </c>
      <c r="K418">
        <f t="shared" si="49"/>
        <v>0</v>
      </c>
      <c r="L418" s="1161"/>
      <c r="N418" s="1162" t="str">
        <f t="shared" si="52"/>
        <v xml:space="preserve"> </v>
      </c>
      <c r="O418" s="1163" t="str">
        <f t="shared" si="53"/>
        <v xml:space="preserve"> </v>
      </c>
      <c r="Q418">
        <f t="shared" si="54"/>
        <v>0</v>
      </c>
      <c r="R418">
        <f t="shared" si="55"/>
        <v>0</v>
      </c>
    </row>
    <row r="419" spans="2:18" x14ac:dyDescent="0.15">
      <c r="B419" s="1157"/>
      <c r="C419" s="1158"/>
      <c r="D419" s="897"/>
      <c r="E419" s="1159" t="str">
        <f t="shared" si="50"/>
        <v xml:space="preserve"> </v>
      </c>
      <c r="G419" s="1160" t="str">
        <f t="shared" si="51"/>
        <v xml:space="preserve"> </v>
      </c>
      <c r="H419" s="1149"/>
      <c r="I419">
        <f t="shared" si="48"/>
        <v>0</v>
      </c>
      <c r="K419">
        <f t="shared" si="49"/>
        <v>0</v>
      </c>
      <c r="L419" s="1161"/>
      <c r="N419" s="1162" t="str">
        <f t="shared" si="52"/>
        <v xml:space="preserve"> </v>
      </c>
      <c r="O419" s="1163" t="str">
        <f t="shared" si="53"/>
        <v xml:space="preserve"> </v>
      </c>
      <c r="Q419">
        <f t="shared" si="54"/>
        <v>0</v>
      </c>
      <c r="R419">
        <f t="shared" si="55"/>
        <v>0</v>
      </c>
    </row>
    <row r="420" spans="2:18" x14ac:dyDescent="0.15">
      <c r="B420" s="1157"/>
      <c r="C420" s="1158"/>
      <c r="D420" s="897"/>
      <c r="E420" s="1159" t="str">
        <f t="shared" si="50"/>
        <v xml:space="preserve"> </v>
      </c>
      <c r="G420" s="1160" t="str">
        <f t="shared" si="51"/>
        <v xml:space="preserve"> </v>
      </c>
      <c r="H420" s="1149"/>
      <c r="I420">
        <f t="shared" si="48"/>
        <v>0</v>
      </c>
      <c r="K420">
        <f t="shared" si="49"/>
        <v>0</v>
      </c>
      <c r="L420" s="1161"/>
      <c r="N420" s="1162" t="str">
        <f t="shared" si="52"/>
        <v xml:space="preserve"> </v>
      </c>
      <c r="O420" s="1163" t="str">
        <f t="shared" si="53"/>
        <v xml:space="preserve"> </v>
      </c>
      <c r="Q420">
        <f t="shared" si="54"/>
        <v>0</v>
      </c>
      <c r="R420">
        <f t="shared" si="55"/>
        <v>0</v>
      </c>
    </row>
    <row r="421" spans="2:18" x14ac:dyDescent="0.15">
      <c r="B421" s="1157"/>
      <c r="C421" s="1158"/>
      <c r="D421" s="897"/>
      <c r="E421" s="1159" t="str">
        <f t="shared" si="50"/>
        <v xml:space="preserve"> </v>
      </c>
      <c r="G421" s="1160" t="str">
        <f t="shared" si="51"/>
        <v xml:space="preserve"> </v>
      </c>
      <c r="H421" s="1149"/>
      <c r="I421">
        <f t="shared" si="48"/>
        <v>0</v>
      </c>
      <c r="K421">
        <f t="shared" si="49"/>
        <v>0</v>
      </c>
      <c r="L421" s="1161"/>
      <c r="N421" s="1162" t="str">
        <f t="shared" si="52"/>
        <v xml:space="preserve"> </v>
      </c>
      <c r="O421" s="1163" t="str">
        <f t="shared" si="53"/>
        <v xml:space="preserve"> </v>
      </c>
      <c r="Q421">
        <f t="shared" si="54"/>
        <v>0</v>
      </c>
      <c r="R421">
        <f t="shared" si="55"/>
        <v>0</v>
      </c>
    </row>
    <row r="422" spans="2:18" x14ac:dyDescent="0.15">
      <c r="B422" s="1157"/>
      <c r="C422" s="1158"/>
      <c r="D422" s="897"/>
      <c r="E422" s="1159" t="str">
        <f t="shared" si="50"/>
        <v xml:space="preserve"> </v>
      </c>
      <c r="G422" s="1160" t="str">
        <f t="shared" si="51"/>
        <v xml:space="preserve"> </v>
      </c>
      <c r="H422" s="1149"/>
      <c r="I422">
        <f t="shared" si="48"/>
        <v>0</v>
      </c>
      <c r="K422">
        <f t="shared" si="49"/>
        <v>0</v>
      </c>
      <c r="L422" s="1161"/>
      <c r="N422" s="1162" t="str">
        <f t="shared" si="52"/>
        <v xml:space="preserve"> </v>
      </c>
      <c r="O422" s="1163" t="str">
        <f t="shared" si="53"/>
        <v xml:space="preserve"> </v>
      </c>
      <c r="Q422">
        <f t="shared" si="54"/>
        <v>0</v>
      </c>
      <c r="R422">
        <f t="shared" si="55"/>
        <v>0</v>
      </c>
    </row>
    <row r="423" spans="2:18" x14ac:dyDescent="0.15">
      <c r="B423" s="1157"/>
      <c r="C423" s="1158"/>
      <c r="D423" s="897"/>
      <c r="E423" s="1159" t="str">
        <f t="shared" si="50"/>
        <v xml:space="preserve"> </v>
      </c>
      <c r="G423" s="1160" t="str">
        <f t="shared" si="51"/>
        <v xml:space="preserve"> </v>
      </c>
      <c r="H423" s="1149"/>
      <c r="I423">
        <f t="shared" si="48"/>
        <v>0</v>
      </c>
      <c r="K423">
        <f t="shared" si="49"/>
        <v>0</v>
      </c>
      <c r="L423" s="1161"/>
      <c r="N423" s="1162" t="str">
        <f t="shared" si="52"/>
        <v xml:space="preserve"> </v>
      </c>
      <c r="O423" s="1163" t="str">
        <f t="shared" si="53"/>
        <v xml:space="preserve"> </v>
      </c>
      <c r="Q423">
        <f t="shared" si="54"/>
        <v>0</v>
      </c>
      <c r="R423">
        <f t="shared" si="55"/>
        <v>0</v>
      </c>
    </row>
    <row r="424" spans="2:18" x14ac:dyDescent="0.15">
      <c r="B424" s="1157"/>
      <c r="C424" s="1158"/>
      <c r="D424" s="897"/>
      <c r="E424" s="1159" t="str">
        <f t="shared" si="50"/>
        <v xml:space="preserve"> </v>
      </c>
      <c r="G424" s="1160" t="str">
        <f t="shared" si="51"/>
        <v xml:space="preserve"> </v>
      </c>
      <c r="H424" s="1149"/>
      <c r="I424">
        <f t="shared" si="48"/>
        <v>0</v>
      </c>
      <c r="K424">
        <f t="shared" si="49"/>
        <v>0</v>
      </c>
      <c r="L424" s="1161"/>
      <c r="N424" s="1162" t="str">
        <f t="shared" si="52"/>
        <v xml:space="preserve"> </v>
      </c>
      <c r="O424" s="1163" t="str">
        <f t="shared" si="53"/>
        <v xml:space="preserve"> </v>
      </c>
      <c r="Q424">
        <f t="shared" si="54"/>
        <v>0</v>
      </c>
      <c r="R424">
        <f t="shared" si="55"/>
        <v>0</v>
      </c>
    </row>
    <row r="425" spans="2:18" x14ac:dyDescent="0.15">
      <c r="B425" s="1157"/>
      <c r="C425" s="1158"/>
      <c r="D425" s="897"/>
      <c r="E425" s="1159" t="str">
        <f t="shared" si="50"/>
        <v xml:space="preserve"> </v>
      </c>
      <c r="G425" s="1160" t="str">
        <f t="shared" si="51"/>
        <v xml:space="preserve"> </v>
      </c>
      <c r="H425" s="1149"/>
      <c r="I425">
        <f t="shared" si="48"/>
        <v>0</v>
      </c>
      <c r="K425">
        <f t="shared" si="49"/>
        <v>0</v>
      </c>
      <c r="L425" s="1161"/>
      <c r="N425" s="1162" t="str">
        <f t="shared" si="52"/>
        <v xml:space="preserve"> </v>
      </c>
      <c r="O425" s="1163" t="str">
        <f t="shared" si="53"/>
        <v xml:space="preserve"> </v>
      </c>
      <c r="Q425">
        <f t="shared" si="54"/>
        <v>0</v>
      </c>
      <c r="R425">
        <f t="shared" si="55"/>
        <v>0</v>
      </c>
    </row>
    <row r="426" spans="2:18" x14ac:dyDescent="0.15">
      <c r="B426" s="1157"/>
      <c r="C426" s="1158"/>
      <c r="D426" s="897"/>
      <c r="E426" s="1159" t="str">
        <f t="shared" si="50"/>
        <v xml:space="preserve"> </v>
      </c>
      <c r="G426" s="1160" t="str">
        <f t="shared" si="51"/>
        <v xml:space="preserve"> </v>
      </c>
      <c r="H426" s="1149"/>
      <c r="I426">
        <f t="shared" si="48"/>
        <v>0</v>
      </c>
      <c r="K426">
        <f t="shared" si="49"/>
        <v>0</v>
      </c>
      <c r="L426" s="1161"/>
      <c r="N426" s="1162" t="str">
        <f t="shared" si="52"/>
        <v xml:space="preserve"> </v>
      </c>
      <c r="O426" s="1163" t="str">
        <f t="shared" si="53"/>
        <v xml:space="preserve"> </v>
      </c>
      <c r="Q426">
        <f t="shared" si="54"/>
        <v>0</v>
      </c>
      <c r="R426">
        <f t="shared" si="55"/>
        <v>0</v>
      </c>
    </row>
    <row r="427" spans="2:18" x14ac:dyDescent="0.15">
      <c r="B427" s="1157"/>
      <c r="C427" s="1158"/>
      <c r="D427" s="897"/>
      <c r="E427" s="1159" t="str">
        <f t="shared" si="50"/>
        <v xml:space="preserve"> </v>
      </c>
      <c r="G427" s="1160" t="str">
        <f t="shared" si="51"/>
        <v xml:space="preserve"> </v>
      </c>
      <c r="H427" s="1149"/>
      <c r="I427">
        <f t="shared" si="48"/>
        <v>0</v>
      </c>
      <c r="K427">
        <f t="shared" si="49"/>
        <v>0</v>
      </c>
      <c r="L427" s="1161"/>
      <c r="N427" s="1162" t="str">
        <f t="shared" si="52"/>
        <v xml:space="preserve"> </v>
      </c>
      <c r="O427" s="1163" t="str">
        <f t="shared" si="53"/>
        <v xml:space="preserve"> </v>
      </c>
      <c r="Q427">
        <f t="shared" si="54"/>
        <v>0</v>
      </c>
      <c r="R427">
        <f t="shared" si="55"/>
        <v>0</v>
      </c>
    </row>
    <row r="428" spans="2:18" x14ac:dyDescent="0.15">
      <c r="B428" s="1157"/>
      <c r="C428" s="1158"/>
      <c r="D428" s="897"/>
      <c r="E428" s="1159" t="str">
        <f t="shared" si="50"/>
        <v xml:space="preserve"> </v>
      </c>
      <c r="G428" s="1160" t="str">
        <f t="shared" si="51"/>
        <v xml:space="preserve"> </v>
      </c>
      <c r="H428" s="1149"/>
      <c r="I428">
        <f t="shared" si="48"/>
        <v>0</v>
      </c>
      <c r="K428">
        <f t="shared" si="49"/>
        <v>0</v>
      </c>
      <c r="L428" s="1161"/>
      <c r="N428" s="1162" t="str">
        <f t="shared" si="52"/>
        <v xml:space="preserve"> </v>
      </c>
      <c r="O428" s="1163" t="str">
        <f t="shared" si="53"/>
        <v xml:space="preserve"> </v>
      </c>
      <c r="Q428">
        <f t="shared" si="54"/>
        <v>0</v>
      </c>
      <c r="R428">
        <f t="shared" si="55"/>
        <v>0</v>
      </c>
    </row>
    <row r="429" spans="2:18" x14ac:dyDescent="0.15">
      <c r="B429" s="1157"/>
      <c r="C429" s="1158"/>
      <c r="D429" s="897"/>
      <c r="E429" s="1159" t="str">
        <f t="shared" si="50"/>
        <v xml:space="preserve"> </v>
      </c>
      <c r="G429" s="1160" t="str">
        <f t="shared" si="51"/>
        <v xml:space="preserve"> </v>
      </c>
      <c r="H429" s="1149"/>
      <c r="I429">
        <f t="shared" si="48"/>
        <v>0</v>
      </c>
      <c r="K429">
        <f t="shared" si="49"/>
        <v>0</v>
      </c>
      <c r="L429" s="1161"/>
      <c r="N429" s="1162" t="str">
        <f t="shared" si="52"/>
        <v xml:space="preserve"> </v>
      </c>
      <c r="O429" s="1163" t="str">
        <f t="shared" si="53"/>
        <v xml:space="preserve"> </v>
      </c>
      <c r="Q429">
        <f t="shared" si="54"/>
        <v>0</v>
      </c>
      <c r="R429">
        <f t="shared" si="55"/>
        <v>0</v>
      </c>
    </row>
    <row r="430" spans="2:18" x14ac:dyDescent="0.15">
      <c r="B430" s="1157"/>
      <c r="C430" s="1158"/>
      <c r="D430" s="897"/>
      <c r="E430" s="1159" t="str">
        <f t="shared" si="50"/>
        <v xml:space="preserve"> </v>
      </c>
      <c r="G430" s="1160" t="str">
        <f t="shared" si="51"/>
        <v xml:space="preserve"> </v>
      </c>
      <c r="H430" s="1149"/>
      <c r="I430">
        <f t="shared" si="48"/>
        <v>0</v>
      </c>
      <c r="K430">
        <f t="shared" si="49"/>
        <v>0</v>
      </c>
      <c r="L430" s="1161"/>
      <c r="N430" s="1162" t="str">
        <f t="shared" si="52"/>
        <v xml:space="preserve"> </v>
      </c>
      <c r="O430" s="1163" t="str">
        <f t="shared" si="53"/>
        <v xml:space="preserve"> </v>
      </c>
      <c r="Q430">
        <f t="shared" si="54"/>
        <v>0</v>
      </c>
      <c r="R430">
        <f t="shared" si="55"/>
        <v>0</v>
      </c>
    </row>
    <row r="431" spans="2:18" x14ac:dyDescent="0.15">
      <c r="B431" s="1157"/>
      <c r="C431" s="1158"/>
      <c r="D431" s="897"/>
      <c r="E431" s="1159" t="str">
        <f t="shared" si="50"/>
        <v xml:space="preserve"> </v>
      </c>
      <c r="G431" s="1160" t="str">
        <f t="shared" si="51"/>
        <v xml:space="preserve"> </v>
      </c>
      <c r="H431" s="1149"/>
      <c r="I431">
        <f t="shared" si="48"/>
        <v>0</v>
      </c>
      <c r="K431">
        <f t="shared" si="49"/>
        <v>0</v>
      </c>
      <c r="L431" s="1161"/>
      <c r="N431" s="1162" t="str">
        <f t="shared" si="52"/>
        <v xml:space="preserve"> </v>
      </c>
      <c r="O431" s="1163" t="str">
        <f t="shared" si="53"/>
        <v xml:space="preserve"> </v>
      </c>
      <c r="Q431">
        <f t="shared" si="54"/>
        <v>0</v>
      </c>
      <c r="R431">
        <f t="shared" si="55"/>
        <v>0</v>
      </c>
    </row>
    <row r="432" spans="2:18" x14ac:dyDescent="0.15">
      <c r="B432" s="1157"/>
      <c r="C432" s="1158"/>
      <c r="D432" s="897"/>
      <c r="E432" s="1159" t="str">
        <f t="shared" si="50"/>
        <v xml:space="preserve"> </v>
      </c>
      <c r="G432" s="1160" t="str">
        <f t="shared" si="51"/>
        <v xml:space="preserve"> </v>
      </c>
      <c r="H432" s="1149"/>
      <c r="I432">
        <f t="shared" si="48"/>
        <v>0</v>
      </c>
      <c r="K432">
        <f t="shared" si="49"/>
        <v>0</v>
      </c>
      <c r="L432" s="1161"/>
      <c r="N432" s="1162" t="str">
        <f t="shared" si="52"/>
        <v xml:space="preserve"> </v>
      </c>
      <c r="O432" s="1163" t="str">
        <f t="shared" si="53"/>
        <v xml:space="preserve"> </v>
      </c>
      <c r="Q432">
        <f t="shared" si="54"/>
        <v>0</v>
      </c>
      <c r="R432">
        <f t="shared" si="55"/>
        <v>0</v>
      </c>
    </row>
    <row r="433" spans="2:18" x14ac:dyDescent="0.15">
      <c r="B433" s="1157"/>
      <c r="C433" s="1158"/>
      <c r="D433" s="897"/>
      <c r="E433" s="1159" t="str">
        <f t="shared" si="50"/>
        <v xml:space="preserve"> </v>
      </c>
      <c r="G433" s="1160" t="str">
        <f t="shared" si="51"/>
        <v xml:space="preserve"> </v>
      </c>
      <c r="H433" s="1149"/>
      <c r="I433">
        <f t="shared" si="48"/>
        <v>0</v>
      </c>
      <c r="K433">
        <f t="shared" si="49"/>
        <v>0</v>
      </c>
      <c r="L433" s="1161"/>
      <c r="N433" s="1162" t="str">
        <f t="shared" si="52"/>
        <v xml:space="preserve"> </v>
      </c>
      <c r="O433" s="1163" t="str">
        <f t="shared" si="53"/>
        <v xml:space="preserve"> </v>
      </c>
      <c r="Q433">
        <f t="shared" si="54"/>
        <v>0</v>
      </c>
      <c r="R433">
        <f t="shared" si="55"/>
        <v>0</v>
      </c>
    </row>
    <row r="434" spans="2:18" x14ac:dyDescent="0.15">
      <c r="B434" s="1157"/>
      <c r="C434" s="1158"/>
      <c r="D434" s="897"/>
      <c r="E434" s="1159" t="str">
        <f t="shared" si="50"/>
        <v xml:space="preserve"> </v>
      </c>
      <c r="G434" s="1160" t="str">
        <f t="shared" si="51"/>
        <v xml:space="preserve"> </v>
      </c>
      <c r="H434" s="1149"/>
      <c r="I434">
        <f t="shared" si="48"/>
        <v>0</v>
      </c>
      <c r="K434">
        <f t="shared" si="49"/>
        <v>0</v>
      </c>
      <c r="L434" s="1161"/>
      <c r="N434" s="1162" t="str">
        <f t="shared" si="52"/>
        <v xml:space="preserve"> </v>
      </c>
      <c r="O434" s="1163" t="str">
        <f t="shared" si="53"/>
        <v xml:space="preserve"> </v>
      </c>
      <c r="Q434">
        <f t="shared" si="54"/>
        <v>0</v>
      </c>
      <c r="R434">
        <f t="shared" si="55"/>
        <v>0</v>
      </c>
    </row>
    <row r="435" spans="2:18" x14ac:dyDescent="0.15">
      <c r="B435" s="1157"/>
      <c r="C435" s="1158"/>
      <c r="D435" s="897"/>
      <c r="E435" s="1159" t="str">
        <f t="shared" si="50"/>
        <v xml:space="preserve"> </v>
      </c>
      <c r="G435" s="1160" t="str">
        <f t="shared" si="51"/>
        <v xml:space="preserve"> </v>
      </c>
      <c r="H435" s="1149"/>
      <c r="I435">
        <f t="shared" si="48"/>
        <v>0</v>
      </c>
      <c r="K435">
        <f t="shared" si="49"/>
        <v>0</v>
      </c>
      <c r="L435" s="1161"/>
      <c r="N435" s="1162" t="str">
        <f t="shared" si="52"/>
        <v xml:space="preserve"> </v>
      </c>
      <c r="O435" s="1163" t="str">
        <f t="shared" si="53"/>
        <v xml:space="preserve"> </v>
      </c>
      <c r="Q435">
        <f t="shared" si="54"/>
        <v>0</v>
      </c>
      <c r="R435">
        <f t="shared" si="55"/>
        <v>0</v>
      </c>
    </row>
    <row r="436" spans="2:18" x14ac:dyDescent="0.15">
      <c r="B436" s="1157"/>
      <c r="C436" s="1158"/>
      <c r="D436" s="897"/>
      <c r="E436" s="1159" t="str">
        <f t="shared" si="50"/>
        <v xml:space="preserve"> </v>
      </c>
      <c r="G436" s="1160" t="str">
        <f t="shared" si="51"/>
        <v xml:space="preserve"> </v>
      </c>
      <c r="H436" s="1149"/>
      <c r="I436">
        <f t="shared" si="48"/>
        <v>0</v>
      </c>
      <c r="K436">
        <f t="shared" si="49"/>
        <v>0</v>
      </c>
      <c r="L436" s="1161"/>
      <c r="N436" s="1162" t="str">
        <f t="shared" si="52"/>
        <v xml:space="preserve"> </v>
      </c>
      <c r="O436" s="1163" t="str">
        <f t="shared" si="53"/>
        <v xml:space="preserve"> </v>
      </c>
      <c r="Q436">
        <f t="shared" si="54"/>
        <v>0</v>
      </c>
      <c r="R436">
        <f t="shared" si="55"/>
        <v>0</v>
      </c>
    </row>
    <row r="437" spans="2:18" x14ac:dyDescent="0.15">
      <c r="B437" s="1157"/>
      <c r="C437" s="1158"/>
      <c r="D437" s="897"/>
      <c r="E437" s="1159" t="str">
        <f t="shared" si="50"/>
        <v xml:space="preserve"> </v>
      </c>
      <c r="G437" s="1160" t="str">
        <f t="shared" si="51"/>
        <v xml:space="preserve"> </v>
      </c>
      <c r="H437" s="1149"/>
      <c r="I437">
        <f t="shared" si="48"/>
        <v>0</v>
      </c>
      <c r="K437">
        <f t="shared" si="49"/>
        <v>0</v>
      </c>
      <c r="L437" s="1161"/>
      <c r="N437" s="1162" t="str">
        <f t="shared" si="52"/>
        <v xml:space="preserve"> </v>
      </c>
      <c r="O437" s="1163" t="str">
        <f t="shared" si="53"/>
        <v xml:space="preserve"> </v>
      </c>
      <c r="Q437">
        <f t="shared" si="54"/>
        <v>0</v>
      </c>
      <c r="R437">
        <f t="shared" si="55"/>
        <v>0</v>
      </c>
    </row>
    <row r="438" spans="2:18" x14ac:dyDescent="0.15">
      <c r="B438" s="1157"/>
      <c r="C438" s="1158"/>
      <c r="D438" s="897"/>
      <c r="E438" s="1159" t="str">
        <f t="shared" si="50"/>
        <v xml:space="preserve"> </v>
      </c>
      <c r="G438" s="1160" t="str">
        <f t="shared" si="51"/>
        <v xml:space="preserve"> </v>
      </c>
      <c r="H438" s="1149"/>
      <c r="I438">
        <f t="shared" si="48"/>
        <v>0</v>
      </c>
      <c r="K438">
        <f t="shared" si="49"/>
        <v>0</v>
      </c>
      <c r="L438" s="1161"/>
      <c r="N438" s="1162" t="str">
        <f t="shared" si="52"/>
        <v xml:space="preserve"> </v>
      </c>
      <c r="O438" s="1163" t="str">
        <f t="shared" si="53"/>
        <v xml:space="preserve"> </v>
      </c>
      <c r="Q438">
        <f t="shared" si="54"/>
        <v>0</v>
      </c>
      <c r="R438">
        <f t="shared" si="55"/>
        <v>0</v>
      </c>
    </row>
    <row r="439" spans="2:18" x14ac:dyDescent="0.15">
      <c r="B439" s="1157"/>
      <c r="C439" s="1158"/>
      <c r="D439" s="897"/>
      <c r="E439" s="1159" t="str">
        <f t="shared" si="50"/>
        <v xml:space="preserve"> </v>
      </c>
      <c r="G439" s="1160" t="str">
        <f t="shared" si="51"/>
        <v xml:space="preserve"> </v>
      </c>
      <c r="H439" s="1149"/>
      <c r="I439">
        <f t="shared" si="48"/>
        <v>0</v>
      </c>
      <c r="K439">
        <f t="shared" si="49"/>
        <v>0</v>
      </c>
      <c r="L439" s="1161"/>
      <c r="N439" s="1162" t="str">
        <f t="shared" si="52"/>
        <v xml:space="preserve"> </v>
      </c>
      <c r="O439" s="1163" t="str">
        <f t="shared" si="53"/>
        <v xml:space="preserve"> </v>
      </c>
      <c r="Q439">
        <f t="shared" si="54"/>
        <v>0</v>
      </c>
      <c r="R439">
        <f t="shared" si="55"/>
        <v>0</v>
      </c>
    </row>
    <row r="440" spans="2:18" x14ac:dyDescent="0.15">
      <c r="B440" s="1157"/>
      <c r="C440" s="1158"/>
      <c r="D440" s="897"/>
      <c r="E440" s="1159" t="str">
        <f t="shared" si="50"/>
        <v xml:space="preserve"> </v>
      </c>
      <c r="G440" s="1160" t="str">
        <f t="shared" si="51"/>
        <v xml:space="preserve"> </v>
      </c>
      <c r="H440" s="1149"/>
      <c r="I440">
        <f t="shared" si="48"/>
        <v>0</v>
      </c>
      <c r="K440">
        <f t="shared" si="49"/>
        <v>0</v>
      </c>
      <c r="L440" s="1161"/>
      <c r="N440" s="1162" t="str">
        <f t="shared" si="52"/>
        <v xml:space="preserve"> </v>
      </c>
      <c r="O440" s="1163" t="str">
        <f t="shared" si="53"/>
        <v xml:space="preserve"> </v>
      </c>
      <c r="Q440">
        <f t="shared" si="54"/>
        <v>0</v>
      </c>
      <c r="R440">
        <f t="shared" si="55"/>
        <v>0</v>
      </c>
    </row>
    <row r="441" spans="2:18" x14ac:dyDescent="0.15">
      <c r="B441" s="1157"/>
      <c r="C441" s="1158"/>
      <c r="D441" s="897"/>
      <c r="E441" s="1159" t="str">
        <f t="shared" si="50"/>
        <v xml:space="preserve"> </v>
      </c>
      <c r="G441" s="1160" t="str">
        <f t="shared" si="51"/>
        <v xml:space="preserve"> </v>
      </c>
      <c r="H441" s="1149"/>
      <c r="I441">
        <f t="shared" si="48"/>
        <v>0</v>
      </c>
      <c r="K441">
        <f t="shared" si="49"/>
        <v>0</v>
      </c>
      <c r="L441" s="1161"/>
      <c r="N441" s="1162" t="str">
        <f t="shared" si="52"/>
        <v xml:space="preserve"> </v>
      </c>
      <c r="O441" s="1163" t="str">
        <f t="shared" si="53"/>
        <v xml:space="preserve"> </v>
      </c>
      <c r="Q441">
        <f t="shared" si="54"/>
        <v>0</v>
      </c>
      <c r="R441">
        <f t="shared" si="55"/>
        <v>0</v>
      </c>
    </row>
    <row r="442" spans="2:18" x14ac:dyDescent="0.15">
      <c r="B442" s="1157"/>
      <c r="C442" s="1158"/>
      <c r="D442" s="897"/>
      <c r="E442" s="1159" t="str">
        <f t="shared" si="50"/>
        <v xml:space="preserve"> </v>
      </c>
      <c r="G442" s="1160" t="str">
        <f t="shared" si="51"/>
        <v xml:space="preserve"> </v>
      </c>
      <c r="H442" s="1149"/>
      <c r="I442">
        <f t="shared" si="48"/>
        <v>0</v>
      </c>
      <c r="K442">
        <f t="shared" si="49"/>
        <v>0</v>
      </c>
      <c r="L442" s="1161"/>
      <c r="N442" s="1162" t="str">
        <f t="shared" si="52"/>
        <v xml:space="preserve"> </v>
      </c>
      <c r="O442" s="1163" t="str">
        <f t="shared" si="53"/>
        <v xml:space="preserve"> </v>
      </c>
      <c r="Q442">
        <f t="shared" si="54"/>
        <v>0</v>
      </c>
      <c r="R442">
        <f t="shared" si="55"/>
        <v>0</v>
      </c>
    </row>
    <row r="443" spans="2:18" x14ac:dyDescent="0.15">
      <c r="B443" s="1157"/>
      <c r="C443" s="1158"/>
      <c r="D443" s="897"/>
      <c r="E443" s="1159" t="str">
        <f t="shared" si="50"/>
        <v xml:space="preserve"> </v>
      </c>
      <c r="G443" s="1160" t="str">
        <f t="shared" si="51"/>
        <v xml:space="preserve"> </v>
      </c>
      <c r="H443" s="1149"/>
      <c r="I443">
        <f t="shared" si="48"/>
        <v>0</v>
      </c>
      <c r="K443">
        <f t="shared" si="49"/>
        <v>0</v>
      </c>
      <c r="L443" s="1161"/>
      <c r="N443" s="1162" t="str">
        <f t="shared" si="52"/>
        <v xml:space="preserve"> </v>
      </c>
      <c r="O443" s="1163" t="str">
        <f t="shared" si="53"/>
        <v xml:space="preserve"> </v>
      </c>
      <c r="Q443">
        <f t="shared" si="54"/>
        <v>0</v>
      </c>
      <c r="R443">
        <f t="shared" si="55"/>
        <v>0</v>
      </c>
    </row>
    <row r="444" spans="2:18" x14ac:dyDescent="0.15">
      <c r="B444" s="1157"/>
      <c r="C444" s="1158"/>
      <c r="D444" s="897"/>
      <c r="E444" s="1159" t="str">
        <f t="shared" si="50"/>
        <v xml:space="preserve"> </v>
      </c>
      <c r="G444" s="1160" t="str">
        <f t="shared" si="51"/>
        <v xml:space="preserve"> </v>
      </c>
      <c r="H444" s="1149"/>
      <c r="I444">
        <f t="shared" si="48"/>
        <v>0</v>
      </c>
      <c r="K444">
        <f t="shared" si="49"/>
        <v>0</v>
      </c>
      <c r="L444" s="1161"/>
      <c r="N444" s="1162" t="str">
        <f t="shared" si="52"/>
        <v xml:space="preserve"> </v>
      </c>
      <c r="O444" s="1163" t="str">
        <f t="shared" si="53"/>
        <v xml:space="preserve"> </v>
      </c>
      <c r="Q444">
        <f t="shared" si="54"/>
        <v>0</v>
      </c>
      <c r="R444">
        <f t="shared" si="55"/>
        <v>0</v>
      </c>
    </row>
    <row r="445" spans="2:18" x14ac:dyDescent="0.15">
      <c r="B445" s="1157"/>
      <c r="C445" s="1158"/>
      <c r="D445" s="897"/>
      <c r="E445" s="1159" t="str">
        <f t="shared" si="50"/>
        <v xml:space="preserve"> </v>
      </c>
      <c r="G445" s="1160" t="str">
        <f t="shared" si="51"/>
        <v xml:space="preserve"> </v>
      </c>
      <c r="H445" s="1149"/>
      <c r="I445">
        <f t="shared" si="48"/>
        <v>0</v>
      </c>
      <c r="K445">
        <f t="shared" si="49"/>
        <v>0</v>
      </c>
      <c r="L445" s="1161"/>
      <c r="N445" s="1162" t="str">
        <f t="shared" si="52"/>
        <v xml:space="preserve"> </v>
      </c>
      <c r="O445" s="1163" t="str">
        <f t="shared" si="53"/>
        <v xml:space="preserve"> </v>
      </c>
      <c r="Q445">
        <f t="shared" si="54"/>
        <v>0</v>
      </c>
      <c r="R445">
        <f t="shared" si="55"/>
        <v>0</v>
      </c>
    </row>
    <row r="446" spans="2:18" x14ac:dyDescent="0.15">
      <c r="B446" s="1157"/>
      <c r="C446" s="1158"/>
      <c r="D446" s="897"/>
      <c r="E446" s="1159" t="str">
        <f t="shared" si="50"/>
        <v xml:space="preserve"> </v>
      </c>
      <c r="G446" s="1160" t="str">
        <f t="shared" si="51"/>
        <v xml:space="preserve"> </v>
      </c>
      <c r="H446" s="1149"/>
      <c r="I446">
        <f t="shared" si="48"/>
        <v>0</v>
      </c>
      <c r="K446">
        <f t="shared" si="49"/>
        <v>0</v>
      </c>
      <c r="L446" s="1161"/>
      <c r="N446" s="1162" t="str">
        <f t="shared" si="52"/>
        <v xml:space="preserve"> </v>
      </c>
      <c r="O446" s="1163" t="str">
        <f t="shared" si="53"/>
        <v xml:space="preserve"> </v>
      </c>
      <c r="Q446">
        <f t="shared" si="54"/>
        <v>0</v>
      </c>
      <c r="R446">
        <f t="shared" si="55"/>
        <v>0</v>
      </c>
    </row>
    <row r="447" spans="2:18" x14ac:dyDescent="0.15">
      <c r="B447" s="1157"/>
      <c r="C447" s="1158"/>
      <c r="D447" s="897"/>
      <c r="E447" s="1159" t="str">
        <f t="shared" si="50"/>
        <v xml:space="preserve"> </v>
      </c>
      <c r="G447" s="1160" t="str">
        <f t="shared" si="51"/>
        <v xml:space="preserve"> </v>
      </c>
      <c r="H447" s="1149"/>
      <c r="I447">
        <f t="shared" si="48"/>
        <v>0</v>
      </c>
      <c r="K447">
        <f t="shared" si="49"/>
        <v>0</v>
      </c>
      <c r="L447" s="1161"/>
      <c r="N447" s="1162" t="str">
        <f t="shared" si="52"/>
        <v xml:space="preserve"> </v>
      </c>
      <c r="O447" s="1163" t="str">
        <f t="shared" si="53"/>
        <v xml:space="preserve"> </v>
      </c>
      <c r="Q447">
        <f t="shared" si="54"/>
        <v>0</v>
      </c>
      <c r="R447">
        <f t="shared" si="55"/>
        <v>0</v>
      </c>
    </row>
    <row r="448" spans="2:18" x14ac:dyDescent="0.15">
      <c r="B448" s="1157"/>
      <c r="C448" s="1158"/>
      <c r="D448" s="897"/>
      <c r="E448" s="1159" t="str">
        <f t="shared" si="50"/>
        <v xml:space="preserve"> </v>
      </c>
      <c r="G448" s="1160" t="str">
        <f t="shared" si="51"/>
        <v xml:space="preserve"> </v>
      </c>
      <c r="H448" s="1149"/>
      <c r="I448">
        <f t="shared" si="48"/>
        <v>0</v>
      </c>
      <c r="K448">
        <f t="shared" si="49"/>
        <v>0</v>
      </c>
      <c r="L448" s="1161"/>
      <c r="N448" s="1162" t="str">
        <f t="shared" si="52"/>
        <v xml:space="preserve"> </v>
      </c>
      <c r="O448" s="1163" t="str">
        <f t="shared" si="53"/>
        <v xml:space="preserve"> </v>
      </c>
      <c r="Q448">
        <f t="shared" si="54"/>
        <v>0</v>
      </c>
      <c r="R448">
        <f t="shared" si="55"/>
        <v>0</v>
      </c>
    </row>
    <row r="449" spans="2:18" x14ac:dyDescent="0.15">
      <c r="B449" s="1157"/>
      <c r="C449" s="1158"/>
      <c r="D449" s="897"/>
      <c r="E449" s="1159" t="str">
        <f t="shared" si="50"/>
        <v xml:space="preserve"> </v>
      </c>
      <c r="G449" s="1160" t="str">
        <f t="shared" si="51"/>
        <v xml:space="preserve"> </v>
      </c>
      <c r="H449" s="1149"/>
      <c r="I449">
        <f t="shared" si="48"/>
        <v>0</v>
      </c>
      <c r="K449">
        <f t="shared" si="49"/>
        <v>0</v>
      </c>
      <c r="L449" s="1161"/>
      <c r="N449" s="1162" t="str">
        <f t="shared" si="52"/>
        <v xml:space="preserve"> </v>
      </c>
      <c r="O449" s="1163" t="str">
        <f t="shared" si="53"/>
        <v xml:space="preserve"> </v>
      </c>
      <c r="Q449">
        <f t="shared" si="54"/>
        <v>0</v>
      </c>
      <c r="R449">
        <f t="shared" si="55"/>
        <v>0</v>
      </c>
    </row>
    <row r="450" spans="2:18" x14ac:dyDescent="0.15">
      <c r="B450" s="1157"/>
      <c r="C450" s="1158"/>
      <c r="D450" s="897"/>
      <c r="E450" s="1159" t="str">
        <f t="shared" si="50"/>
        <v xml:space="preserve"> </v>
      </c>
      <c r="G450" s="1160" t="str">
        <f t="shared" si="51"/>
        <v xml:space="preserve"> </v>
      </c>
      <c r="H450" s="1149"/>
      <c r="I450">
        <f t="shared" si="48"/>
        <v>0</v>
      </c>
      <c r="K450">
        <f t="shared" si="49"/>
        <v>0</v>
      </c>
      <c r="L450" s="1161"/>
      <c r="N450" s="1162" t="str">
        <f t="shared" si="52"/>
        <v xml:space="preserve"> </v>
      </c>
      <c r="O450" s="1163" t="str">
        <f t="shared" si="53"/>
        <v xml:space="preserve"> </v>
      </c>
      <c r="Q450">
        <f t="shared" si="54"/>
        <v>0</v>
      </c>
      <c r="R450">
        <f t="shared" si="55"/>
        <v>0</v>
      </c>
    </row>
    <row r="451" spans="2:18" x14ac:dyDescent="0.15">
      <c r="B451" s="1157"/>
      <c r="C451" s="1158"/>
      <c r="D451" s="897"/>
      <c r="E451" s="1159" t="str">
        <f t="shared" si="50"/>
        <v xml:space="preserve"> </v>
      </c>
      <c r="G451" s="1160" t="str">
        <f t="shared" si="51"/>
        <v xml:space="preserve"> </v>
      </c>
      <c r="H451" s="1149"/>
      <c r="I451">
        <f t="shared" si="48"/>
        <v>0</v>
      </c>
      <c r="K451">
        <f t="shared" si="49"/>
        <v>0</v>
      </c>
      <c r="L451" s="1161"/>
      <c r="N451" s="1162" t="str">
        <f t="shared" si="52"/>
        <v xml:space="preserve"> </v>
      </c>
      <c r="O451" s="1163" t="str">
        <f t="shared" si="53"/>
        <v xml:space="preserve"> </v>
      </c>
      <c r="Q451">
        <f t="shared" si="54"/>
        <v>0</v>
      </c>
      <c r="R451">
        <f t="shared" si="55"/>
        <v>0</v>
      </c>
    </row>
    <row r="452" spans="2:18" x14ac:dyDescent="0.15">
      <c r="B452" s="1157"/>
      <c r="C452" s="1158"/>
      <c r="D452" s="897"/>
      <c r="E452" s="1159" t="str">
        <f t="shared" si="50"/>
        <v xml:space="preserve"> </v>
      </c>
      <c r="G452" s="1160" t="str">
        <f t="shared" si="51"/>
        <v xml:space="preserve"> </v>
      </c>
      <c r="H452" s="1149"/>
      <c r="I452">
        <f t="shared" si="48"/>
        <v>0</v>
      </c>
      <c r="K452">
        <f t="shared" si="49"/>
        <v>0</v>
      </c>
      <c r="L452" s="1161"/>
      <c r="N452" s="1162" t="str">
        <f t="shared" si="52"/>
        <v xml:space="preserve"> </v>
      </c>
      <c r="O452" s="1163" t="str">
        <f t="shared" si="53"/>
        <v xml:space="preserve"> </v>
      </c>
      <c r="Q452">
        <f t="shared" si="54"/>
        <v>0</v>
      </c>
      <c r="R452">
        <f t="shared" si="55"/>
        <v>0</v>
      </c>
    </row>
    <row r="453" spans="2:18" x14ac:dyDescent="0.15">
      <c r="B453" s="1157"/>
      <c r="C453" s="1158"/>
      <c r="D453" s="897"/>
      <c r="E453" s="1159" t="str">
        <f t="shared" si="50"/>
        <v xml:space="preserve"> </v>
      </c>
      <c r="G453" s="1160" t="str">
        <f t="shared" si="51"/>
        <v xml:space="preserve"> </v>
      </c>
      <c r="H453" s="1149"/>
      <c r="I453">
        <f t="shared" si="48"/>
        <v>0</v>
      </c>
      <c r="K453">
        <f t="shared" si="49"/>
        <v>0</v>
      </c>
      <c r="L453" s="1161"/>
      <c r="N453" s="1162" t="str">
        <f t="shared" si="52"/>
        <v xml:space="preserve"> </v>
      </c>
      <c r="O453" s="1163" t="str">
        <f t="shared" si="53"/>
        <v xml:space="preserve"> </v>
      </c>
      <c r="Q453">
        <f t="shared" si="54"/>
        <v>0</v>
      </c>
      <c r="R453">
        <f t="shared" si="55"/>
        <v>0</v>
      </c>
    </row>
    <row r="454" spans="2:18" x14ac:dyDescent="0.15">
      <c r="B454" s="1157"/>
      <c r="C454" s="1158"/>
      <c r="D454" s="897"/>
      <c r="E454" s="1159" t="str">
        <f t="shared" si="50"/>
        <v xml:space="preserve"> </v>
      </c>
      <c r="G454" s="1160" t="str">
        <f t="shared" si="51"/>
        <v xml:space="preserve"> </v>
      </c>
      <c r="H454" s="1149"/>
      <c r="I454">
        <f t="shared" si="48"/>
        <v>0</v>
      </c>
      <c r="K454">
        <f t="shared" si="49"/>
        <v>0</v>
      </c>
      <c r="L454" s="1161"/>
      <c r="N454" s="1162" t="str">
        <f t="shared" si="52"/>
        <v xml:space="preserve"> </v>
      </c>
      <c r="O454" s="1163" t="str">
        <f t="shared" si="53"/>
        <v xml:space="preserve"> </v>
      </c>
      <c r="Q454">
        <f t="shared" si="54"/>
        <v>0</v>
      </c>
      <c r="R454">
        <f t="shared" si="55"/>
        <v>0</v>
      </c>
    </row>
    <row r="455" spans="2:18" x14ac:dyDescent="0.15">
      <c r="B455" s="1157"/>
      <c r="C455" s="1158"/>
      <c r="D455" s="897"/>
      <c r="E455" s="1159" t="str">
        <f t="shared" si="50"/>
        <v xml:space="preserve"> </v>
      </c>
      <c r="G455" s="1160" t="str">
        <f t="shared" si="51"/>
        <v xml:space="preserve"> </v>
      </c>
      <c r="H455" s="1149"/>
      <c r="I455">
        <f t="shared" si="48"/>
        <v>0</v>
      </c>
      <c r="K455">
        <f t="shared" si="49"/>
        <v>0</v>
      </c>
      <c r="L455" s="1161"/>
      <c r="N455" s="1162" t="str">
        <f t="shared" si="52"/>
        <v xml:space="preserve"> </v>
      </c>
      <c r="O455" s="1163" t="str">
        <f t="shared" si="53"/>
        <v xml:space="preserve"> </v>
      </c>
      <c r="Q455">
        <f t="shared" si="54"/>
        <v>0</v>
      </c>
      <c r="R455">
        <f t="shared" si="55"/>
        <v>0</v>
      </c>
    </row>
    <row r="456" spans="2:18" x14ac:dyDescent="0.15">
      <c r="B456" s="1157"/>
      <c r="C456" s="1158"/>
      <c r="D456" s="897"/>
      <c r="E456" s="1159" t="str">
        <f t="shared" si="50"/>
        <v xml:space="preserve"> </v>
      </c>
      <c r="G456" s="1160" t="str">
        <f t="shared" si="51"/>
        <v xml:space="preserve"> </v>
      </c>
      <c r="H456" s="1149"/>
      <c r="I456">
        <f t="shared" ref="I456:I519" si="56">(J456+C456)/12</f>
        <v>0</v>
      </c>
      <c r="K456">
        <f t="shared" ref="K456:K519" si="57">I456+B456</f>
        <v>0</v>
      </c>
      <c r="L456" s="1161"/>
      <c r="N456" s="1162" t="str">
        <f t="shared" si="52"/>
        <v xml:space="preserve"> </v>
      </c>
      <c r="O456" s="1163" t="str">
        <f t="shared" si="53"/>
        <v xml:space="preserve"> </v>
      </c>
      <c r="Q456">
        <f t="shared" si="54"/>
        <v>0</v>
      </c>
      <c r="R456">
        <f t="shared" si="55"/>
        <v>0</v>
      </c>
    </row>
    <row r="457" spans="2:18" x14ac:dyDescent="0.15">
      <c r="B457" s="1157"/>
      <c r="C457" s="1158"/>
      <c r="D457" s="897"/>
      <c r="E457" s="1159" t="str">
        <f t="shared" si="50"/>
        <v xml:space="preserve"> </v>
      </c>
      <c r="G457" s="1160" t="str">
        <f t="shared" si="51"/>
        <v xml:space="preserve"> </v>
      </c>
      <c r="H457" s="1149"/>
      <c r="I457">
        <f t="shared" si="56"/>
        <v>0</v>
      </c>
      <c r="K457">
        <f t="shared" si="57"/>
        <v>0</v>
      </c>
      <c r="L457" s="1161"/>
      <c r="N457" s="1162" t="str">
        <f t="shared" si="52"/>
        <v xml:space="preserve"> </v>
      </c>
      <c r="O457" s="1163" t="str">
        <f t="shared" si="53"/>
        <v xml:space="preserve"> </v>
      </c>
      <c r="Q457">
        <f t="shared" si="54"/>
        <v>0</v>
      </c>
      <c r="R457">
        <f t="shared" si="55"/>
        <v>0</v>
      </c>
    </row>
    <row r="458" spans="2:18" x14ac:dyDescent="0.15">
      <c r="B458" s="1157"/>
      <c r="C458" s="1158"/>
      <c r="D458" s="897"/>
      <c r="E458" s="1159" t="str">
        <f t="shared" ref="E458:E521" si="58">IF(K458=0," ",IF(K458&gt;0,K458*12*25.4))</f>
        <v xml:space="preserve"> </v>
      </c>
      <c r="G458" s="1160" t="str">
        <f t="shared" ref="G458:G521" si="59">IF(K458=0," ",IF(K458&gt;0,E458/1000))</f>
        <v xml:space="preserve"> </v>
      </c>
      <c r="H458" s="1149"/>
      <c r="I458">
        <f t="shared" si="56"/>
        <v>0</v>
      </c>
      <c r="K458">
        <f t="shared" si="57"/>
        <v>0</v>
      </c>
      <c r="L458" s="1161"/>
      <c r="N458" s="1162" t="str">
        <f t="shared" ref="N458:N521" si="60">IF(R458=0," ",IF(R458&gt;0,TRUNC(R458)))</f>
        <v xml:space="preserve"> </v>
      </c>
      <c r="O458" s="1163" t="str">
        <f t="shared" ref="O458:O521" si="61">IF(R458=0," ",IF(R458&gt;0,(R458-N458)*12))</f>
        <v xml:space="preserve"> </v>
      </c>
      <c r="Q458">
        <f t="shared" ref="Q458:Q521" si="62">L458/25.4</f>
        <v>0</v>
      </c>
      <c r="R458">
        <f t="shared" ref="R458:R521" si="63">Q458/12</f>
        <v>0</v>
      </c>
    </row>
    <row r="459" spans="2:18" x14ac:dyDescent="0.15">
      <c r="B459" s="1157"/>
      <c r="C459" s="1158"/>
      <c r="D459" s="897"/>
      <c r="E459" s="1159" t="str">
        <f t="shared" si="58"/>
        <v xml:space="preserve"> </v>
      </c>
      <c r="G459" s="1160" t="str">
        <f t="shared" si="59"/>
        <v xml:space="preserve"> </v>
      </c>
      <c r="H459" s="1149"/>
      <c r="I459">
        <f t="shared" si="56"/>
        <v>0</v>
      </c>
      <c r="K459">
        <f t="shared" si="57"/>
        <v>0</v>
      </c>
      <c r="L459" s="1161"/>
      <c r="N459" s="1162" t="str">
        <f t="shared" si="60"/>
        <v xml:space="preserve"> </v>
      </c>
      <c r="O459" s="1163" t="str">
        <f t="shared" si="61"/>
        <v xml:space="preserve"> </v>
      </c>
      <c r="Q459">
        <f t="shared" si="62"/>
        <v>0</v>
      </c>
      <c r="R459">
        <f t="shared" si="63"/>
        <v>0</v>
      </c>
    </row>
    <row r="460" spans="2:18" x14ac:dyDescent="0.15">
      <c r="B460" s="1157"/>
      <c r="C460" s="1158"/>
      <c r="D460" s="897"/>
      <c r="E460" s="1159" t="str">
        <f t="shared" si="58"/>
        <v xml:space="preserve"> </v>
      </c>
      <c r="G460" s="1160" t="str">
        <f t="shared" si="59"/>
        <v xml:space="preserve"> </v>
      </c>
      <c r="H460" s="1149"/>
      <c r="I460">
        <f t="shared" si="56"/>
        <v>0</v>
      </c>
      <c r="K460">
        <f t="shared" si="57"/>
        <v>0</v>
      </c>
      <c r="L460" s="1161"/>
      <c r="N460" s="1162" t="str">
        <f t="shared" si="60"/>
        <v xml:space="preserve"> </v>
      </c>
      <c r="O460" s="1163" t="str">
        <f t="shared" si="61"/>
        <v xml:space="preserve"> </v>
      </c>
      <c r="Q460">
        <f t="shared" si="62"/>
        <v>0</v>
      </c>
      <c r="R460">
        <f t="shared" si="63"/>
        <v>0</v>
      </c>
    </row>
    <row r="461" spans="2:18" x14ac:dyDescent="0.15">
      <c r="B461" s="1157"/>
      <c r="C461" s="1158"/>
      <c r="D461" s="897"/>
      <c r="E461" s="1159" t="str">
        <f t="shared" si="58"/>
        <v xml:space="preserve"> </v>
      </c>
      <c r="G461" s="1160" t="str">
        <f t="shared" si="59"/>
        <v xml:space="preserve"> </v>
      </c>
      <c r="H461" s="1149"/>
      <c r="I461">
        <f t="shared" si="56"/>
        <v>0</v>
      </c>
      <c r="K461">
        <f t="shared" si="57"/>
        <v>0</v>
      </c>
      <c r="L461" s="1161"/>
      <c r="N461" s="1162" t="str">
        <f t="shared" si="60"/>
        <v xml:space="preserve"> </v>
      </c>
      <c r="O461" s="1163" t="str">
        <f t="shared" si="61"/>
        <v xml:space="preserve"> </v>
      </c>
      <c r="Q461">
        <f t="shared" si="62"/>
        <v>0</v>
      </c>
      <c r="R461">
        <f t="shared" si="63"/>
        <v>0</v>
      </c>
    </row>
    <row r="462" spans="2:18" x14ac:dyDescent="0.15">
      <c r="B462" s="1157"/>
      <c r="C462" s="1158"/>
      <c r="D462" s="897"/>
      <c r="E462" s="1159" t="str">
        <f t="shared" si="58"/>
        <v xml:space="preserve"> </v>
      </c>
      <c r="G462" s="1160" t="str">
        <f t="shared" si="59"/>
        <v xml:space="preserve"> </v>
      </c>
      <c r="H462" s="1149"/>
      <c r="I462">
        <f t="shared" si="56"/>
        <v>0</v>
      </c>
      <c r="K462">
        <f t="shared" si="57"/>
        <v>0</v>
      </c>
      <c r="L462" s="1161"/>
      <c r="N462" s="1162" t="str">
        <f t="shared" si="60"/>
        <v xml:space="preserve"> </v>
      </c>
      <c r="O462" s="1163" t="str">
        <f t="shared" si="61"/>
        <v xml:space="preserve"> </v>
      </c>
      <c r="Q462">
        <f t="shared" si="62"/>
        <v>0</v>
      </c>
      <c r="R462">
        <f t="shared" si="63"/>
        <v>0</v>
      </c>
    </row>
    <row r="463" spans="2:18" x14ac:dyDescent="0.15">
      <c r="B463" s="1157"/>
      <c r="C463" s="1158"/>
      <c r="D463" s="897"/>
      <c r="E463" s="1159" t="str">
        <f t="shared" si="58"/>
        <v xml:space="preserve"> </v>
      </c>
      <c r="G463" s="1160" t="str">
        <f t="shared" si="59"/>
        <v xml:space="preserve"> </v>
      </c>
      <c r="H463" s="1149"/>
      <c r="I463">
        <f t="shared" si="56"/>
        <v>0</v>
      </c>
      <c r="K463">
        <f t="shared" si="57"/>
        <v>0</v>
      </c>
      <c r="L463" s="1161"/>
      <c r="N463" s="1162" t="str">
        <f t="shared" si="60"/>
        <v xml:space="preserve"> </v>
      </c>
      <c r="O463" s="1163" t="str">
        <f t="shared" si="61"/>
        <v xml:space="preserve"> </v>
      </c>
      <c r="Q463">
        <f t="shared" si="62"/>
        <v>0</v>
      </c>
      <c r="R463">
        <f t="shared" si="63"/>
        <v>0</v>
      </c>
    </row>
    <row r="464" spans="2:18" x14ac:dyDescent="0.15">
      <c r="B464" s="1157"/>
      <c r="C464" s="1158"/>
      <c r="D464" s="897"/>
      <c r="E464" s="1159" t="str">
        <f t="shared" si="58"/>
        <v xml:space="preserve"> </v>
      </c>
      <c r="G464" s="1160" t="str">
        <f t="shared" si="59"/>
        <v xml:space="preserve"> </v>
      </c>
      <c r="H464" s="1149"/>
      <c r="I464">
        <f t="shared" si="56"/>
        <v>0</v>
      </c>
      <c r="K464">
        <f t="shared" si="57"/>
        <v>0</v>
      </c>
      <c r="L464" s="1161"/>
      <c r="N464" s="1162" t="str">
        <f t="shared" si="60"/>
        <v xml:space="preserve"> </v>
      </c>
      <c r="O464" s="1163" t="str">
        <f t="shared" si="61"/>
        <v xml:space="preserve"> </v>
      </c>
      <c r="Q464">
        <f t="shared" si="62"/>
        <v>0</v>
      </c>
      <c r="R464">
        <f t="shared" si="63"/>
        <v>0</v>
      </c>
    </row>
    <row r="465" spans="2:18" x14ac:dyDescent="0.15">
      <c r="B465" s="1157"/>
      <c r="C465" s="1158"/>
      <c r="D465" s="897"/>
      <c r="E465" s="1159" t="str">
        <f t="shared" si="58"/>
        <v xml:space="preserve"> </v>
      </c>
      <c r="G465" s="1160" t="str">
        <f t="shared" si="59"/>
        <v xml:space="preserve"> </v>
      </c>
      <c r="H465" s="1149"/>
      <c r="I465">
        <f t="shared" si="56"/>
        <v>0</v>
      </c>
      <c r="K465">
        <f t="shared" si="57"/>
        <v>0</v>
      </c>
      <c r="L465" s="1161"/>
      <c r="N465" s="1162" t="str">
        <f t="shared" si="60"/>
        <v xml:space="preserve"> </v>
      </c>
      <c r="O465" s="1163" t="str">
        <f t="shared" si="61"/>
        <v xml:space="preserve"> </v>
      </c>
      <c r="Q465">
        <f t="shared" si="62"/>
        <v>0</v>
      </c>
      <c r="R465">
        <f t="shared" si="63"/>
        <v>0</v>
      </c>
    </row>
    <row r="466" spans="2:18" x14ac:dyDescent="0.15">
      <c r="B466" s="1157"/>
      <c r="C466" s="1158"/>
      <c r="D466" s="897"/>
      <c r="E466" s="1159" t="str">
        <f t="shared" si="58"/>
        <v xml:space="preserve"> </v>
      </c>
      <c r="G466" s="1160" t="str">
        <f t="shared" si="59"/>
        <v xml:space="preserve"> </v>
      </c>
      <c r="H466" s="1149"/>
      <c r="I466">
        <f t="shared" si="56"/>
        <v>0</v>
      </c>
      <c r="K466">
        <f t="shared" si="57"/>
        <v>0</v>
      </c>
      <c r="L466" s="1161"/>
      <c r="N466" s="1162" t="str">
        <f t="shared" si="60"/>
        <v xml:space="preserve"> </v>
      </c>
      <c r="O466" s="1163" t="str">
        <f t="shared" si="61"/>
        <v xml:space="preserve"> </v>
      </c>
      <c r="Q466">
        <f t="shared" si="62"/>
        <v>0</v>
      </c>
      <c r="R466">
        <f t="shared" si="63"/>
        <v>0</v>
      </c>
    </row>
    <row r="467" spans="2:18" x14ac:dyDescent="0.15">
      <c r="B467" s="1157"/>
      <c r="C467" s="1158"/>
      <c r="D467" s="897"/>
      <c r="E467" s="1159" t="str">
        <f t="shared" si="58"/>
        <v xml:space="preserve"> </v>
      </c>
      <c r="G467" s="1160" t="str">
        <f t="shared" si="59"/>
        <v xml:space="preserve"> </v>
      </c>
      <c r="H467" s="1149"/>
      <c r="I467">
        <f t="shared" si="56"/>
        <v>0</v>
      </c>
      <c r="K467">
        <f t="shared" si="57"/>
        <v>0</v>
      </c>
      <c r="L467" s="1161"/>
      <c r="N467" s="1162" t="str">
        <f t="shared" si="60"/>
        <v xml:space="preserve"> </v>
      </c>
      <c r="O467" s="1163" t="str">
        <f t="shared" si="61"/>
        <v xml:space="preserve"> </v>
      </c>
      <c r="Q467">
        <f t="shared" si="62"/>
        <v>0</v>
      </c>
      <c r="R467">
        <f t="shared" si="63"/>
        <v>0</v>
      </c>
    </row>
    <row r="468" spans="2:18" x14ac:dyDescent="0.15">
      <c r="B468" s="1157"/>
      <c r="C468" s="1158"/>
      <c r="D468" s="897"/>
      <c r="E468" s="1159" t="str">
        <f t="shared" si="58"/>
        <v xml:space="preserve"> </v>
      </c>
      <c r="G468" s="1160" t="str">
        <f t="shared" si="59"/>
        <v xml:space="preserve"> </v>
      </c>
      <c r="H468" s="1149"/>
      <c r="I468">
        <f t="shared" si="56"/>
        <v>0</v>
      </c>
      <c r="K468">
        <f t="shared" si="57"/>
        <v>0</v>
      </c>
      <c r="L468" s="1161"/>
      <c r="N468" s="1162" t="str">
        <f t="shared" si="60"/>
        <v xml:space="preserve"> </v>
      </c>
      <c r="O468" s="1163" t="str">
        <f t="shared" si="61"/>
        <v xml:space="preserve"> </v>
      </c>
      <c r="Q468">
        <f t="shared" si="62"/>
        <v>0</v>
      </c>
      <c r="R468">
        <f t="shared" si="63"/>
        <v>0</v>
      </c>
    </row>
    <row r="469" spans="2:18" x14ac:dyDescent="0.15">
      <c r="B469" s="1157"/>
      <c r="C469" s="1158"/>
      <c r="D469" s="897"/>
      <c r="E469" s="1159" t="str">
        <f t="shared" si="58"/>
        <v xml:space="preserve"> </v>
      </c>
      <c r="G469" s="1160" t="str">
        <f t="shared" si="59"/>
        <v xml:space="preserve"> </v>
      </c>
      <c r="H469" s="1149"/>
      <c r="I469">
        <f t="shared" si="56"/>
        <v>0</v>
      </c>
      <c r="K469">
        <f t="shared" si="57"/>
        <v>0</v>
      </c>
      <c r="L469" s="1161"/>
      <c r="N469" s="1162" t="str">
        <f t="shared" si="60"/>
        <v xml:space="preserve"> </v>
      </c>
      <c r="O469" s="1163" t="str">
        <f t="shared" si="61"/>
        <v xml:space="preserve"> </v>
      </c>
      <c r="Q469">
        <f t="shared" si="62"/>
        <v>0</v>
      </c>
      <c r="R469">
        <f t="shared" si="63"/>
        <v>0</v>
      </c>
    </row>
    <row r="470" spans="2:18" x14ac:dyDescent="0.15">
      <c r="B470" s="1157"/>
      <c r="C470" s="1158"/>
      <c r="D470" s="897"/>
      <c r="E470" s="1159" t="str">
        <f t="shared" si="58"/>
        <v xml:space="preserve"> </v>
      </c>
      <c r="G470" s="1160" t="str">
        <f t="shared" si="59"/>
        <v xml:space="preserve"> </v>
      </c>
      <c r="H470" s="1149"/>
      <c r="I470">
        <f t="shared" si="56"/>
        <v>0</v>
      </c>
      <c r="K470">
        <f t="shared" si="57"/>
        <v>0</v>
      </c>
      <c r="L470" s="1161"/>
      <c r="N470" s="1162" t="str">
        <f t="shared" si="60"/>
        <v xml:space="preserve"> </v>
      </c>
      <c r="O470" s="1163" t="str">
        <f t="shared" si="61"/>
        <v xml:space="preserve"> </v>
      </c>
      <c r="Q470">
        <f t="shared" si="62"/>
        <v>0</v>
      </c>
      <c r="R470">
        <f t="shared" si="63"/>
        <v>0</v>
      </c>
    </row>
    <row r="471" spans="2:18" x14ac:dyDescent="0.15">
      <c r="B471" s="1157"/>
      <c r="C471" s="1158"/>
      <c r="D471" s="897"/>
      <c r="E471" s="1159" t="str">
        <f t="shared" si="58"/>
        <v xml:space="preserve"> </v>
      </c>
      <c r="G471" s="1160" t="str">
        <f t="shared" si="59"/>
        <v xml:space="preserve"> </v>
      </c>
      <c r="H471" s="1149"/>
      <c r="I471">
        <f t="shared" si="56"/>
        <v>0</v>
      </c>
      <c r="K471">
        <f t="shared" si="57"/>
        <v>0</v>
      </c>
      <c r="L471" s="1161"/>
      <c r="N471" s="1162" t="str">
        <f t="shared" si="60"/>
        <v xml:space="preserve"> </v>
      </c>
      <c r="O471" s="1163" t="str">
        <f t="shared" si="61"/>
        <v xml:space="preserve"> </v>
      </c>
      <c r="Q471">
        <f t="shared" si="62"/>
        <v>0</v>
      </c>
      <c r="R471">
        <f t="shared" si="63"/>
        <v>0</v>
      </c>
    </row>
    <row r="472" spans="2:18" x14ac:dyDescent="0.15">
      <c r="B472" s="1157"/>
      <c r="C472" s="1158"/>
      <c r="D472" s="897"/>
      <c r="E472" s="1159" t="str">
        <f t="shared" si="58"/>
        <v xml:space="preserve"> </v>
      </c>
      <c r="G472" s="1160" t="str">
        <f t="shared" si="59"/>
        <v xml:space="preserve"> </v>
      </c>
      <c r="H472" s="1149"/>
      <c r="I472">
        <f t="shared" si="56"/>
        <v>0</v>
      </c>
      <c r="K472">
        <f t="shared" si="57"/>
        <v>0</v>
      </c>
      <c r="L472" s="1161"/>
      <c r="N472" s="1162" t="str">
        <f t="shared" si="60"/>
        <v xml:space="preserve"> </v>
      </c>
      <c r="O472" s="1163" t="str">
        <f t="shared" si="61"/>
        <v xml:space="preserve"> </v>
      </c>
      <c r="Q472">
        <f t="shared" si="62"/>
        <v>0</v>
      </c>
      <c r="R472">
        <f t="shared" si="63"/>
        <v>0</v>
      </c>
    </row>
    <row r="473" spans="2:18" x14ac:dyDescent="0.15">
      <c r="B473" s="1157"/>
      <c r="C473" s="1158"/>
      <c r="D473" s="897"/>
      <c r="E473" s="1159" t="str">
        <f t="shared" si="58"/>
        <v xml:space="preserve"> </v>
      </c>
      <c r="G473" s="1160" t="str">
        <f t="shared" si="59"/>
        <v xml:space="preserve"> </v>
      </c>
      <c r="H473" s="1149"/>
      <c r="I473">
        <f t="shared" si="56"/>
        <v>0</v>
      </c>
      <c r="K473">
        <f t="shared" si="57"/>
        <v>0</v>
      </c>
      <c r="L473" s="1161"/>
      <c r="N473" s="1162" t="str">
        <f t="shared" si="60"/>
        <v xml:space="preserve"> </v>
      </c>
      <c r="O473" s="1163" t="str">
        <f t="shared" si="61"/>
        <v xml:space="preserve"> </v>
      </c>
      <c r="Q473">
        <f t="shared" si="62"/>
        <v>0</v>
      </c>
      <c r="R473">
        <f t="shared" si="63"/>
        <v>0</v>
      </c>
    </row>
    <row r="474" spans="2:18" x14ac:dyDescent="0.15">
      <c r="B474" s="1157"/>
      <c r="C474" s="1158"/>
      <c r="D474" s="897"/>
      <c r="E474" s="1159" t="str">
        <f t="shared" si="58"/>
        <v xml:space="preserve"> </v>
      </c>
      <c r="G474" s="1160" t="str">
        <f t="shared" si="59"/>
        <v xml:space="preserve"> </v>
      </c>
      <c r="H474" s="1149"/>
      <c r="I474">
        <f t="shared" si="56"/>
        <v>0</v>
      </c>
      <c r="K474">
        <f t="shared" si="57"/>
        <v>0</v>
      </c>
      <c r="L474" s="1161"/>
      <c r="N474" s="1162" t="str">
        <f t="shared" si="60"/>
        <v xml:space="preserve"> </v>
      </c>
      <c r="O474" s="1163" t="str">
        <f t="shared" si="61"/>
        <v xml:space="preserve"> </v>
      </c>
      <c r="Q474">
        <f t="shared" si="62"/>
        <v>0</v>
      </c>
      <c r="R474">
        <f t="shared" si="63"/>
        <v>0</v>
      </c>
    </row>
    <row r="475" spans="2:18" x14ac:dyDescent="0.15">
      <c r="B475" s="1157"/>
      <c r="C475" s="1158"/>
      <c r="D475" s="897"/>
      <c r="E475" s="1159" t="str">
        <f t="shared" si="58"/>
        <v xml:space="preserve"> </v>
      </c>
      <c r="G475" s="1160" t="str">
        <f t="shared" si="59"/>
        <v xml:space="preserve"> </v>
      </c>
      <c r="H475" s="1149"/>
      <c r="I475">
        <f t="shared" si="56"/>
        <v>0</v>
      </c>
      <c r="K475">
        <f t="shared" si="57"/>
        <v>0</v>
      </c>
      <c r="L475" s="1161"/>
      <c r="N475" s="1162" t="str">
        <f t="shared" si="60"/>
        <v xml:space="preserve"> </v>
      </c>
      <c r="O475" s="1163" t="str">
        <f t="shared" si="61"/>
        <v xml:space="preserve"> </v>
      </c>
      <c r="Q475">
        <f t="shared" si="62"/>
        <v>0</v>
      </c>
      <c r="R475">
        <f t="shared" si="63"/>
        <v>0</v>
      </c>
    </row>
    <row r="476" spans="2:18" x14ac:dyDescent="0.15">
      <c r="B476" s="1157"/>
      <c r="C476" s="1158"/>
      <c r="D476" s="897"/>
      <c r="E476" s="1159" t="str">
        <f t="shared" si="58"/>
        <v xml:space="preserve"> </v>
      </c>
      <c r="G476" s="1160" t="str">
        <f t="shared" si="59"/>
        <v xml:space="preserve"> </v>
      </c>
      <c r="H476" s="1149"/>
      <c r="I476">
        <f t="shared" si="56"/>
        <v>0</v>
      </c>
      <c r="K476">
        <f t="shared" si="57"/>
        <v>0</v>
      </c>
      <c r="L476" s="1161"/>
      <c r="N476" s="1162" t="str">
        <f t="shared" si="60"/>
        <v xml:space="preserve"> </v>
      </c>
      <c r="O476" s="1163" t="str">
        <f t="shared" si="61"/>
        <v xml:space="preserve"> </v>
      </c>
      <c r="Q476">
        <f t="shared" si="62"/>
        <v>0</v>
      </c>
      <c r="R476">
        <f t="shared" si="63"/>
        <v>0</v>
      </c>
    </row>
    <row r="477" spans="2:18" x14ac:dyDescent="0.15">
      <c r="B477" s="1157"/>
      <c r="C477" s="1158"/>
      <c r="D477" s="897"/>
      <c r="E477" s="1159" t="str">
        <f t="shared" si="58"/>
        <v xml:space="preserve"> </v>
      </c>
      <c r="G477" s="1160" t="str">
        <f t="shared" si="59"/>
        <v xml:space="preserve"> </v>
      </c>
      <c r="H477" s="1149"/>
      <c r="I477">
        <f t="shared" si="56"/>
        <v>0</v>
      </c>
      <c r="K477">
        <f t="shared" si="57"/>
        <v>0</v>
      </c>
      <c r="L477" s="1161"/>
      <c r="N477" s="1162" t="str">
        <f t="shared" si="60"/>
        <v xml:space="preserve"> </v>
      </c>
      <c r="O477" s="1163" t="str">
        <f t="shared" si="61"/>
        <v xml:space="preserve"> </v>
      </c>
      <c r="Q477">
        <f t="shared" si="62"/>
        <v>0</v>
      </c>
      <c r="R477">
        <f t="shared" si="63"/>
        <v>0</v>
      </c>
    </row>
    <row r="478" spans="2:18" x14ac:dyDescent="0.15">
      <c r="B478" s="1157"/>
      <c r="C478" s="1158"/>
      <c r="D478" s="897"/>
      <c r="E478" s="1159" t="str">
        <f t="shared" si="58"/>
        <v xml:space="preserve"> </v>
      </c>
      <c r="G478" s="1160" t="str">
        <f t="shared" si="59"/>
        <v xml:space="preserve"> </v>
      </c>
      <c r="H478" s="1149"/>
      <c r="I478">
        <f t="shared" si="56"/>
        <v>0</v>
      </c>
      <c r="K478">
        <f t="shared" si="57"/>
        <v>0</v>
      </c>
      <c r="L478" s="1161"/>
      <c r="N478" s="1162" t="str">
        <f t="shared" si="60"/>
        <v xml:space="preserve"> </v>
      </c>
      <c r="O478" s="1163" t="str">
        <f t="shared" si="61"/>
        <v xml:space="preserve"> </v>
      </c>
      <c r="Q478">
        <f t="shared" si="62"/>
        <v>0</v>
      </c>
      <c r="R478">
        <f t="shared" si="63"/>
        <v>0</v>
      </c>
    </row>
    <row r="479" spans="2:18" x14ac:dyDescent="0.15">
      <c r="B479" s="1157"/>
      <c r="C479" s="1158"/>
      <c r="D479" s="897"/>
      <c r="E479" s="1159" t="str">
        <f t="shared" si="58"/>
        <v xml:space="preserve"> </v>
      </c>
      <c r="G479" s="1160" t="str">
        <f t="shared" si="59"/>
        <v xml:space="preserve"> </v>
      </c>
      <c r="H479" s="1149"/>
      <c r="I479">
        <f t="shared" si="56"/>
        <v>0</v>
      </c>
      <c r="K479">
        <f t="shared" si="57"/>
        <v>0</v>
      </c>
      <c r="L479" s="1161"/>
      <c r="N479" s="1162" t="str">
        <f t="shared" si="60"/>
        <v xml:space="preserve"> </v>
      </c>
      <c r="O479" s="1163" t="str">
        <f t="shared" si="61"/>
        <v xml:space="preserve"> </v>
      </c>
      <c r="Q479">
        <f t="shared" si="62"/>
        <v>0</v>
      </c>
      <c r="R479">
        <f t="shared" si="63"/>
        <v>0</v>
      </c>
    </row>
    <row r="480" spans="2:18" x14ac:dyDescent="0.15">
      <c r="B480" s="1157"/>
      <c r="C480" s="1158"/>
      <c r="D480" s="897"/>
      <c r="E480" s="1159" t="str">
        <f t="shared" si="58"/>
        <v xml:space="preserve"> </v>
      </c>
      <c r="G480" s="1160" t="str">
        <f t="shared" si="59"/>
        <v xml:space="preserve"> </v>
      </c>
      <c r="H480" s="1149"/>
      <c r="I480">
        <f t="shared" si="56"/>
        <v>0</v>
      </c>
      <c r="K480">
        <f t="shared" si="57"/>
        <v>0</v>
      </c>
      <c r="L480" s="1161"/>
      <c r="N480" s="1162" t="str">
        <f t="shared" si="60"/>
        <v xml:space="preserve"> </v>
      </c>
      <c r="O480" s="1163" t="str">
        <f t="shared" si="61"/>
        <v xml:space="preserve"> </v>
      </c>
      <c r="Q480">
        <f t="shared" si="62"/>
        <v>0</v>
      </c>
      <c r="R480">
        <f t="shared" si="63"/>
        <v>0</v>
      </c>
    </row>
    <row r="481" spans="2:18" x14ac:dyDescent="0.15">
      <c r="B481" s="1157"/>
      <c r="C481" s="1158"/>
      <c r="D481" s="897"/>
      <c r="E481" s="1159" t="str">
        <f t="shared" si="58"/>
        <v xml:space="preserve"> </v>
      </c>
      <c r="G481" s="1160" t="str">
        <f t="shared" si="59"/>
        <v xml:space="preserve"> </v>
      </c>
      <c r="H481" s="1149"/>
      <c r="I481">
        <f t="shared" si="56"/>
        <v>0</v>
      </c>
      <c r="K481">
        <f t="shared" si="57"/>
        <v>0</v>
      </c>
      <c r="L481" s="1161"/>
      <c r="N481" s="1162" t="str">
        <f t="shared" si="60"/>
        <v xml:space="preserve"> </v>
      </c>
      <c r="O481" s="1163" t="str">
        <f t="shared" si="61"/>
        <v xml:space="preserve"> </v>
      </c>
      <c r="Q481">
        <f t="shared" si="62"/>
        <v>0</v>
      </c>
      <c r="R481">
        <f t="shared" si="63"/>
        <v>0</v>
      </c>
    </row>
    <row r="482" spans="2:18" x14ac:dyDescent="0.15">
      <c r="B482" s="1157"/>
      <c r="C482" s="1158"/>
      <c r="D482" s="897"/>
      <c r="E482" s="1159" t="str">
        <f t="shared" si="58"/>
        <v xml:space="preserve"> </v>
      </c>
      <c r="G482" s="1160" t="str">
        <f t="shared" si="59"/>
        <v xml:space="preserve"> </v>
      </c>
      <c r="H482" s="1149"/>
      <c r="I482">
        <f t="shared" si="56"/>
        <v>0</v>
      </c>
      <c r="K482">
        <f t="shared" si="57"/>
        <v>0</v>
      </c>
      <c r="L482" s="1161"/>
      <c r="N482" s="1162" t="str">
        <f t="shared" si="60"/>
        <v xml:space="preserve"> </v>
      </c>
      <c r="O482" s="1163" t="str">
        <f t="shared" si="61"/>
        <v xml:space="preserve"> </v>
      </c>
      <c r="Q482">
        <f t="shared" si="62"/>
        <v>0</v>
      </c>
      <c r="R482">
        <f t="shared" si="63"/>
        <v>0</v>
      </c>
    </row>
    <row r="483" spans="2:18" x14ac:dyDescent="0.15">
      <c r="B483" s="1157"/>
      <c r="C483" s="1158"/>
      <c r="D483" s="897"/>
      <c r="E483" s="1159" t="str">
        <f t="shared" si="58"/>
        <v xml:space="preserve"> </v>
      </c>
      <c r="G483" s="1160" t="str">
        <f t="shared" si="59"/>
        <v xml:space="preserve"> </v>
      </c>
      <c r="H483" s="1149"/>
      <c r="I483">
        <f t="shared" si="56"/>
        <v>0</v>
      </c>
      <c r="K483">
        <f t="shared" si="57"/>
        <v>0</v>
      </c>
      <c r="L483" s="1161"/>
      <c r="N483" s="1162" t="str">
        <f t="shared" si="60"/>
        <v xml:space="preserve"> </v>
      </c>
      <c r="O483" s="1163" t="str">
        <f t="shared" si="61"/>
        <v xml:space="preserve"> </v>
      </c>
      <c r="Q483">
        <f t="shared" si="62"/>
        <v>0</v>
      </c>
      <c r="R483">
        <f t="shared" si="63"/>
        <v>0</v>
      </c>
    </row>
    <row r="484" spans="2:18" x14ac:dyDescent="0.15">
      <c r="B484" s="1157"/>
      <c r="C484" s="1158"/>
      <c r="D484" s="897"/>
      <c r="E484" s="1159" t="str">
        <f t="shared" si="58"/>
        <v xml:space="preserve"> </v>
      </c>
      <c r="G484" s="1160" t="str">
        <f t="shared" si="59"/>
        <v xml:space="preserve"> </v>
      </c>
      <c r="H484" s="1149"/>
      <c r="I484">
        <f t="shared" si="56"/>
        <v>0</v>
      </c>
      <c r="K484">
        <f t="shared" si="57"/>
        <v>0</v>
      </c>
      <c r="L484" s="1161"/>
      <c r="N484" s="1162" t="str">
        <f t="shared" si="60"/>
        <v xml:space="preserve"> </v>
      </c>
      <c r="O484" s="1163" t="str">
        <f t="shared" si="61"/>
        <v xml:space="preserve"> </v>
      </c>
      <c r="Q484">
        <f t="shared" si="62"/>
        <v>0</v>
      </c>
      <c r="R484">
        <f t="shared" si="63"/>
        <v>0</v>
      </c>
    </row>
    <row r="485" spans="2:18" x14ac:dyDescent="0.15">
      <c r="B485" s="1157"/>
      <c r="C485" s="1158"/>
      <c r="D485" s="897"/>
      <c r="E485" s="1159" t="str">
        <f t="shared" si="58"/>
        <v xml:space="preserve"> </v>
      </c>
      <c r="G485" s="1160" t="str">
        <f t="shared" si="59"/>
        <v xml:space="preserve"> </v>
      </c>
      <c r="H485" s="1149"/>
      <c r="I485">
        <f t="shared" si="56"/>
        <v>0</v>
      </c>
      <c r="K485">
        <f t="shared" si="57"/>
        <v>0</v>
      </c>
      <c r="L485" s="1161"/>
      <c r="N485" s="1162" t="str">
        <f t="shared" si="60"/>
        <v xml:space="preserve"> </v>
      </c>
      <c r="O485" s="1163" t="str">
        <f t="shared" si="61"/>
        <v xml:space="preserve"> </v>
      </c>
      <c r="Q485">
        <f t="shared" si="62"/>
        <v>0</v>
      </c>
      <c r="R485">
        <f t="shared" si="63"/>
        <v>0</v>
      </c>
    </row>
    <row r="486" spans="2:18" x14ac:dyDescent="0.15">
      <c r="B486" s="1157"/>
      <c r="C486" s="1158"/>
      <c r="D486" s="897"/>
      <c r="E486" s="1159" t="str">
        <f t="shared" si="58"/>
        <v xml:space="preserve"> </v>
      </c>
      <c r="G486" s="1160" t="str">
        <f t="shared" si="59"/>
        <v xml:space="preserve"> </v>
      </c>
      <c r="H486" s="1149"/>
      <c r="I486">
        <f t="shared" si="56"/>
        <v>0</v>
      </c>
      <c r="K486">
        <f t="shared" si="57"/>
        <v>0</v>
      </c>
      <c r="L486" s="1161"/>
      <c r="N486" s="1162" t="str">
        <f t="shared" si="60"/>
        <v xml:space="preserve"> </v>
      </c>
      <c r="O486" s="1163" t="str">
        <f t="shared" si="61"/>
        <v xml:space="preserve"> </v>
      </c>
      <c r="Q486">
        <f t="shared" si="62"/>
        <v>0</v>
      </c>
      <c r="R486">
        <f t="shared" si="63"/>
        <v>0</v>
      </c>
    </row>
    <row r="487" spans="2:18" x14ac:dyDescent="0.15">
      <c r="B487" s="1157"/>
      <c r="C487" s="1158"/>
      <c r="D487" s="897"/>
      <c r="E487" s="1159" t="str">
        <f t="shared" si="58"/>
        <v xml:space="preserve"> </v>
      </c>
      <c r="G487" s="1160" t="str">
        <f t="shared" si="59"/>
        <v xml:space="preserve"> </v>
      </c>
      <c r="H487" s="1149"/>
      <c r="I487">
        <f t="shared" si="56"/>
        <v>0</v>
      </c>
      <c r="K487">
        <f t="shared" si="57"/>
        <v>0</v>
      </c>
      <c r="L487" s="1161"/>
      <c r="N487" s="1162" t="str">
        <f t="shared" si="60"/>
        <v xml:space="preserve"> </v>
      </c>
      <c r="O487" s="1163" t="str">
        <f t="shared" si="61"/>
        <v xml:space="preserve"> </v>
      </c>
      <c r="Q487">
        <f t="shared" si="62"/>
        <v>0</v>
      </c>
      <c r="R487">
        <f t="shared" si="63"/>
        <v>0</v>
      </c>
    </row>
    <row r="488" spans="2:18" x14ac:dyDescent="0.15">
      <c r="B488" s="1157"/>
      <c r="C488" s="1158"/>
      <c r="D488" s="897"/>
      <c r="E488" s="1159" t="str">
        <f t="shared" si="58"/>
        <v xml:space="preserve"> </v>
      </c>
      <c r="G488" s="1160" t="str">
        <f t="shared" si="59"/>
        <v xml:space="preserve"> </v>
      </c>
      <c r="H488" s="1149"/>
      <c r="I488">
        <f t="shared" si="56"/>
        <v>0</v>
      </c>
      <c r="K488">
        <f t="shared" si="57"/>
        <v>0</v>
      </c>
      <c r="L488" s="1161"/>
      <c r="N488" s="1162" t="str">
        <f t="shared" si="60"/>
        <v xml:space="preserve"> </v>
      </c>
      <c r="O488" s="1163" t="str">
        <f t="shared" si="61"/>
        <v xml:space="preserve"> </v>
      </c>
      <c r="Q488">
        <f t="shared" si="62"/>
        <v>0</v>
      </c>
      <c r="R488">
        <f t="shared" si="63"/>
        <v>0</v>
      </c>
    </row>
    <row r="489" spans="2:18" x14ac:dyDescent="0.15">
      <c r="B489" s="1157"/>
      <c r="C489" s="1158"/>
      <c r="D489" s="897"/>
      <c r="E489" s="1159" t="str">
        <f t="shared" si="58"/>
        <v xml:space="preserve"> </v>
      </c>
      <c r="G489" s="1160" t="str">
        <f t="shared" si="59"/>
        <v xml:space="preserve"> </v>
      </c>
      <c r="H489" s="1149"/>
      <c r="I489">
        <f t="shared" si="56"/>
        <v>0</v>
      </c>
      <c r="K489">
        <f t="shared" si="57"/>
        <v>0</v>
      </c>
      <c r="L489" s="1161"/>
      <c r="N489" s="1162" t="str">
        <f t="shared" si="60"/>
        <v xml:space="preserve"> </v>
      </c>
      <c r="O489" s="1163" t="str">
        <f t="shared" si="61"/>
        <v xml:space="preserve"> </v>
      </c>
      <c r="Q489">
        <f t="shared" si="62"/>
        <v>0</v>
      </c>
      <c r="R489">
        <f t="shared" si="63"/>
        <v>0</v>
      </c>
    </row>
    <row r="490" spans="2:18" x14ac:dyDescent="0.15">
      <c r="B490" s="1157"/>
      <c r="C490" s="1158"/>
      <c r="D490" s="897"/>
      <c r="E490" s="1159" t="str">
        <f t="shared" si="58"/>
        <v xml:space="preserve"> </v>
      </c>
      <c r="G490" s="1160" t="str">
        <f t="shared" si="59"/>
        <v xml:space="preserve"> </v>
      </c>
      <c r="H490" s="1149"/>
      <c r="I490">
        <f t="shared" si="56"/>
        <v>0</v>
      </c>
      <c r="K490">
        <f t="shared" si="57"/>
        <v>0</v>
      </c>
      <c r="L490" s="1161"/>
      <c r="N490" s="1162" t="str">
        <f t="shared" si="60"/>
        <v xml:space="preserve"> </v>
      </c>
      <c r="O490" s="1163" t="str">
        <f t="shared" si="61"/>
        <v xml:space="preserve"> </v>
      </c>
      <c r="Q490">
        <f t="shared" si="62"/>
        <v>0</v>
      </c>
      <c r="R490">
        <f t="shared" si="63"/>
        <v>0</v>
      </c>
    </row>
    <row r="491" spans="2:18" x14ac:dyDescent="0.15">
      <c r="B491" s="1157"/>
      <c r="C491" s="1158"/>
      <c r="D491" s="897"/>
      <c r="E491" s="1159" t="str">
        <f t="shared" si="58"/>
        <v xml:space="preserve"> </v>
      </c>
      <c r="G491" s="1160" t="str">
        <f t="shared" si="59"/>
        <v xml:space="preserve"> </v>
      </c>
      <c r="H491" s="1149"/>
      <c r="I491">
        <f t="shared" si="56"/>
        <v>0</v>
      </c>
      <c r="K491">
        <f t="shared" si="57"/>
        <v>0</v>
      </c>
      <c r="L491" s="1161"/>
      <c r="N491" s="1162" t="str">
        <f t="shared" si="60"/>
        <v xml:space="preserve"> </v>
      </c>
      <c r="O491" s="1163" t="str">
        <f t="shared" si="61"/>
        <v xml:space="preserve"> </v>
      </c>
      <c r="Q491">
        <f t="shared" si="62"/>
        <v>0</v>
      </c>
      <c r="R491">
        <f t="shared" si="63"/>
        <v>0</v>
      </c>
    </row>
    <row r="492" spans="2:18" x14ac:dyDescent="0.15">
      <c r="B492" s="1157"/>
      <c r="C492" s="1158"/>
      <c r="D492" s="897"/>
      <c r="E492" s="1159" t="str">
        <f t="shared" si="58"/>
        <v xml:space="preserve"> </v>
      </c>
      <c r="G492" s="1160" t="str">
        <f t="shared" si="59"/>
        <v xml:space="preserve"> </v>
      </c>
      <c r="H492" s="1149"/>
      <c r="I492">
        <f t="shared" si="56"/>
        <v>0</v>
      </c>
      <c r="K492">
        <f t="shared" si="57"/>
        <v>0</v>
      </c>
      <c r="L492" s="1161"/>
      <c r="N492" s="1162" t="str">
        <f t="shared" si="60"/>
        <v xml:space="preserve"> </v>
      </c>
      <c r="O492" s="1163" t="str">
        <f t="shared" si="61"/>
        <v xml:space="preserve"> </v>
      </c>
      <c r="Q492">
        <f t="shared" si="62"/>
        <v>0</v>
      </c>
      <c r="R492">
        <f t="shared" si="63"/>
        <v>0</v>
      </c>
    </row>
    <row r="493" spans="2:18" x14ac:dyDescent="0.15">
      <c r="B493" s="1157"/>
      <c r="C493" s="1158"/>
      <c r="D493" s="897"/>
      <c r="E493" s="1159" t="str">
        <f t="shared" si="58"/>
        <v xml:space="preserve"> </v>
      </c>
      <c r="G493" s="1160" t="str">
        <f t="shared" si="59"/>
        <v xml:space="preserve"> </v>
      </c>
      <c r="H493" s="1149"/>
      <c r="I493">
        <f t="shared" si="56"/>
        <v>0</v>
      </c>
      <c r="K493">
        <f t="shared" si="57"/>
        <v>0</v>
      </c>
      <c r="L493" s="1161"/>
      <c r="N493" s="1162" t="str">
        <f t="shared" si="60"/>
        <v xml:space="preserve"> </v>
      </c>
      <c r="O493" s="1163" t="str">
        <f t="shared" si="61"/>
        <v xml:space="preserve"> </v>
      </c>
      <c r="Q493">
        <f t="shared" si="62"/>
        <v>0</v>
      </c>
      <c r="R493">
        <f t="shared" si="63"/>
        <v>0</v>
      </c>
    </row>
    <row r="494" spans="2:18" x14ac:dyDescent="0.15">
      <c r="B494" s="1157"/>
      <c r="C494" s="1158"/>
      <c r="D494" s="897"/>
      <c r="E494" s="1159" t="str">
        <f t="shared" si="58"/>
        <v xml:space="preserve"> </v>
      </c>
      <c r="G494" s="1160" t="str">
        <f t="shared" si="59"/>
        <v xml:space="preserve"> </v>
      </c>
      <c r="H494" s="1149"/>
      <c r="I494">
        <f t="shared" si="56"/>
        <v>0</v>
      </c>
      <c r="K494">
        <f t="shared" si="57"/>
        <v>0</v>
      </c>
      <c r="L494" s="1161"/>
      <c r="N494" s="1162" t="str">
        <f t="shared" si="60"/>
        <v xml:space="preserve"> </v>
      </c>
      <c r="O494" s="1163" t="str">
        <f t="shared" si="61"/>
        <v xml:space="preserve"> </v>
      </c>
      <c r="Q494">
        <f t="shared" si="62"/>
        <v>0</v>
      </c>
      <c r="R494">
        <f t="shared" si="63"/>
        <v>0</v>
      </c>
    </row>
    <row r="495" spans="2:18" x14ac:dyDescent="0.15">
      <c r="B495" s="1157"/>
      <c r="C495" s="1158"/>
      <c r="D495" s="897"/>
      <c r="E495" s="1159" t="str">
        <f t="shared" si="58"/>
        <v xml:space="preserve"> </v>
      </c>
      <c r="G495" s="1160" t="str">
        <f t="shared" si="59"/>
        <v xml:space="preserve"> </v>
      </c>
      <c r="H495" s="1149"/>
      <c r="I495">
        <f t="shared" si="56"/>
        <v>0</v>
      </c>
      <c r="K495">
        <f t="shared" si="57"/>
        <v>0</v>
      </c>
      <c r="L495" s="1161"/>
      <c r="N495" s="1162" t="str">
        <f t="shared" si="60"/>
        <v xml:space="preserve"> </v>
      </c>
      <c r="O495" s="1163" t="str">
        <f t="shared" si="61"/>
        <v xml:space="preserve"> </v>
      </c>
      <c r="Q495">
        <f t="shared" si="62"/>
        <v>0</v>
      </c>
      <c r="R495">
        <f t="shared" si="63"/>
        <v>0</v>
      </c>
    </row>
    <row r="496" spans="2:18" x14ac:dyDescent="0.15">
      <c r="B496" s="1157"/>
      <c r="C496" s="1158"/>
      <c r="D496" s="897"/>
      <c r="E496" s="1159" t="str">
        <f t="shared" si="58"/>
        <v xml:space="preserve"> </v>
      </c>
      <c r="G496" s="1160" t="str">
        <f t="shared" si="59"/>
        <v xml:space="preserve"> </v>
      </c>
      <c r="H496" s="1149"/>
      <c r="I496">
        <f t="shared" si="56"/>
        <v>0</v>
      </c>
      <c r="K496">
        <f t="shared" si="57"/>
        <v>0</v>
      </c>
      <c r="L496" s="1161"/>
      <c r="N496" s="1162" t="str">
        <f t="shared" si="60"/>
        <v xml:space="preserve"> </v>
      </c>
      <c r="O496" s="1163" t="str">
        <f t="shared" si="61"/>
        <v xml:space="preserve"> </v>
      </c>
      <c r="Q496">
        <f t="shared" si="62"/>
        <v>0</v>
      </c>
      <c r="R496">
        <f t="shared" si="63"/>
        <v>0</v>
      </c>
    </row>
    <row r="497" spans="2:18" x14ac:dyDescent="0.15">
      <c r="B497" s="1157"/>
      <c r="C497" s="1158"/>
      <c r="D497" s="897"/>
      <c r="E497" s="1159" t="str">
        <f t="shared" si="58"/>
        <v xml:space="preserve"> </v>
      </c>
      <c r="G497" s="1160" t="str">
        <f t="shared" si="59"/>
        <v xml:space="preserve"> </v>
      </c>
      <c r="H497" s="1149"/>
      <c r="I497">
        <f t="shared" si="56"/>
        <v>0</v>
      </c>
      <c r="K497">
        <f t="shared" si="57"/>
        <v>0</v>
      </c>
      <c r="L497" s="1161"/>
      <c r="N497" s="1162" t="str">
        <f t="shared" si="60"/>
        <v xml:space="preserve"> </v>
      </c>
      <c r="O497" s="1163" t="str">
        <f t="shared" si="61"/>
        <v xml:space="preserve"> </v>
      </c>
      <c r="Q497">
        <f t="shared" si="62"/>
        <v>0</v>
      </c>
      <c r="R497">
        <f t="shared" si="63"/>
        <v>0</v>
      </c>
    </row>
    <row r="498" spans="2:18" x14ac:dyDescent="0.15">
      <c r="B498" s="1157"/>
      <c r="C498" s="1158"/>
      <c r="D498" s="897"/>
      <c r="E498" s="1159" t="str">
        <f t="shared" si="58"/>
        <v xml:space="preserve"> </v>
      </c>
      <c r="G498" s="1160" t="str">
        <f t="shared" si="59"/>
        <v xml:space="preserve"> </v>
      </c>
      <c r="H498" s="1149"/>
      <c r="I498">
        <f t="shared" si="56"/>
        <v>0</v>
      </c>
      <c r="K498">
        <f t="shared" si="57"/>
        <v>0</v>
      </c>
      <c r="L498" s="1161"/>
      <c r="N498" s="1162" t="str">
        <f t="shared" si="60"/>
        <v xml:space="preserve"> </v>
      </c>
      <c r="O498" s="1163" t="str">
        <f t="shared" si="61"/>
        <v xml:space="preserve"> </v>
      </c>
      <c r="Q498">
        <f t="shared" si="62"/>
        <v>0</v>
      </c>
      <c r="R498">
        <f t="shared" si="63"/>
        <v>0</v>
      </c>
    </row>
    <row r="499" spans="2:18" x14ac:dyDescent="0.15">
      <c r="B499" s="1157"/>
      <c r="C499" s="1158"/>
      <c r="D499" s="897"/>
      <c r="E499" s="1159" t="str">
        <f t="shared" si="58"/>
        <v xml:space="preserve"> </v>
      </c>
      <c r="G499" s="1160" t="str">
        <f t="shared" si="59"/>
        <v xml:space="preserve"> </v>
      </c>
      <c r="H499" s="1149"/>
      <c r="I499">
        <f t="shared" si="56"/>
        <v>0</v>
      </c>
      <c r="K499">
        <f t="shared" si="57"/>
        <v>0</v>
      </c>
      <c r="L499" s="1161"/>
      <c r="N499" s="1162" t="str">
        <f t="shared" si="60"/>
        <v xml:space="preserve"> </v>
      </c>
      <c r="O499" s="1163" t="str">
        <f t="shared" si="61"/>
        <v xml:space="preserve"> </v>
      </c>
      <c r="Q499">
        <f t="shared" si="62"/>
        <v>0</v>
      </c>
      <c r="R499">
        <f t="shared" si="63"/>
        <v>0</v>
      </c>
    </row>
    <row r="500" spans="2:18" x14ac:dyDescent="0.15">
      <c r="B500" s="1157"/>
      <c r="C500" s="1158"/>
      <c r="D500" s="897"/>
      <c r="E500" s="1159" t="str">
        <f t="shared" si="58"/>
        <v xml:space="preserve"> </v>
      </c>
      <c r="G500" s="1160" t="str">
        <f t="shared" si="59"/>
        <v xml:space="preserve"> </v>
      </c>
      <c r="H500" s="1149"/>
      <c r="I500">
        <f t="shared" si="56"/>
        <v>0</v>
      </c>
      <c r="K500">
        <f t="shared" si="57"/>
        <v>0</v>
      </c>
      <c r="L500" s="1161"/>
      <c r="N500" s="1162" t="str">
        <f t="shared" si="60"/>
        <v xml:space="preserve"> </v>
      </c>
      <c r="O500" s="1163" t="str">
        <f t="shared" si="61"/>
        <v xml:space="preserve"> </v>
      </c>
      <c r="Q500">
        <f t="shared" si="62"/>
        <v>0</v>
      </c>
      <c r="R500">
        <f t="shared" si="63"/>
        <v>0</v>
      </c>
    </row>
    <row r="501" spans="2:18" x14ac:dyDescent="0.15">
      <c r="B501" s="1157"/>
      <c r="C501" s="1158"/>
      <c r="D501" s="897"/>
      <c r="E501" s="1159" t="str">
        <f t="shared" si="58"/>
        <v xml:space="preserve"> </v>
      </c>
      <c r="G501" s="1160" t="str">
        <f t="shared" si="59"/>
        <v xml:space="preserve"> </v>
      </c>
      <c r="H501" s="1149"/>
      <c r="I501">
        <f t="shared" si="56"/>
        <v>0</v>
      </c>
      <c r="K501">
        <f t="shared" si="57"/>
        <v>0</v>
      </c>
      <c r="L501" s="1161"/>
      <c r="N501" s="1162" t="str">
        <f t="shared" si="60"/>
        <v xml:space="preserve"> </v>
      </c>
      <c r="O501" s="1163" t="str">
        <f t="shared" si="61"/>
        <v xml:space="preserve"> </v>
      </c>
      <c r="Q501">
        <f t="shared" si="62"/>
        <v>0</v>
      </c>
      <c r="R501">
        <f t="shared" si="63"/>
        <v>0</v>
      </c>
    </row>
    <row r="502" spans="2:18" x14ac:dyDescent="0.15">
      <c r="B502" s="1157"/>
      <c r="C502" s="1158"/>
      <c r="D502" s="897"/>
      <c r="E502" s="1159" t="str">
        <f t="shared" si="58"/>
        <v xml:space="preserve"> </v>
      </c>
      <c r="G502" s="1160" t="str">
        <f t="shared" si="59"/>
        <v xml:space="preserve"> </v>
      </c>
      <c r="H502" s="1149"/>
      <c r="I502">
        <f t="shared" si="56"/>
        <v>0</v>
      </c>
      <c r="K502">
        <f t="shared" si="57"/>
        <v>0</v>
      </c>
      <c r="L502" s="1161"/>
      <c r="N502" s="1162" t="str">
        <f t="shared" si="60"/>
        <v xml:space="preserve"> </v>
      </c>
      <c r="O502" s="1163" t="str">
        <f t="shared" si="61"/>
        <v xml:space="preserve"> </v>
      </c>
      <c r="Q502">
        <f t="shared" si="62"/>
        <v>0</v>
      </c>
      <c r="R502">
        <f t="shared" si="63"/>
        <v>0</v>
      </c>
    </row>
    <row r="503" spans="2:18" x14ac:dyDescent="0.15">
      <c r="B503" s="1157"/>
      <c r="C503" s="1158"/>
      <c r="D503" s="897"/>
      <c r="E503" s="1159" t="str">
        <f t="shared" si="58"/>
        <v xml:space="preserve"> </v>
      </c>
      <c r="G503" s="1160" t="str">
        <f t="shared" si="59"/>
        <v xml:space="preserve"> </v>
      </c>
      <c r="H503" s="1149"/>
      <c r="I503">
        <f t="shared" si="56"/>
        <v>0</v>
      </c>
      <c r="K503">
        <f t="shared" si="57"/>
        <v>0</v>
      </c>
      <c r="L503" s="1161"/>
      <c r="N503" s="1162" t="str">
        <f t="shared" si="60"/>
        <v xml:space="preserve"> </v>
      </c>
      <c r="O503" s="1163" t="str">
        <f t="shared" si="61"/>
        <v xml:space="preserve"> </v>
      </c>
      <c r="Q503">
        <f t="shared" si="62"/>
        <v>0</v>
      </c>
      <c r="R503">
        <f t="shared" si="63"/>
        <v>0</v>
      </c>
    </row>
    <row r="504" spans="2:18" x14ac:dyDescent="0.15">
      <c r="B504" s="1157"/>
      <c r="C504" s="1158"/>
      <c r="D504" s="897"/>
      <c r="E504" s="1159" t="str">
        <f t="shared" si="58"/>
        <v xml:space="preserve"> </v>
      </c>
      <c r="G504" s="1160" t="str">
        <f t="shared" si="59"/>
        <v xml:space="preserve"> </v>
      </c>
      <c r="H504" s="1149"/>
      <c r="I504">
        <f t="shared" si="56"/>
        <v>0</v>
      </c>
      <c r="K504">
        <f t="shared" si="57"/>
        <v>0</v>
      </c>
      <c r="L504" s="1161"/>
      <c r="N504" s="1162" t="str">
        <f t="shared" si="60"/>
        <v xml:space="preserve"> </v>
      </c>
      <c r="O504" s="1163" t="str">
        <f t="shared" si="61"/>
        <v xml:space="preserve"> </v>
      </c>
      <c r="Q504">
        <f t="shared" si="62"/>
        <v>0</v>
      </c>
      <c r="R504">
        <f t="shared" si="63"/>
        <v>0</v>
      </c>
    </row>
    <row r="505" spans="2:18" x14ac:dyDescent="0.15">
      <c r="B505" s="1157"/>
      <c r="C505" s="1158"/>
      <c r="D505" s="897"/>
      <c r="E505" s="1159" t="str">
        <f t="shared" si="58"/>
        <v xml:space="preserve"> </v>
      </c>
      <c r="G505" s="1160" t="str">
        <f t="shared" si="59"/>
        <v xml:space="preserve"> </v>
      </c>
      <c r="H505" s="1149"/>
      <c r="I505">
        <f t="shared" si="56"/>
        <v>0</v>
      </c>
      <c r="K505">
        <f t="shared" si="57"/>
        <v>0</v>
      </c>
      <c r="L505" s="1161"/>
      <c r="N505" s="1162" t="str">
        <f t="shared" si="60"/>
        <v xml:space="preserve"> </v>
      </c>
      <c r="O505" s="1163" t="str">
        <f t="shared" si="61"/>
        <v xml:space="preserve"> </v>
      </c>
      <c r="Q505">
        <f t="shared" si="62"/>
        <v>0</v>
      </c>
      <c r="R505">
        <f t="shared" si="63"/>
        <v>0</v>
      </c>
    </row>
    <row r="506" spans="2:18" x14ac:dyDescent="0.15">
      <c r="B506" s="1157"/>
      <c r="C506" s="1158"/>
      <c r="D506" s="897"/>
      <c r="E506" s="1159" t="str">
        <f t="shared" si="58"/>
        <v xml:space="preserve"> </v>
      </c>
      <c r="G506" s="1160" t="str">
        <f t="shared" si="59"/>
        <v xml:space="preserve"> </v>
      </c>
      <c r="H506" s="1149"/>
      <c r="I506">
        <f t="shared" si="56"/>
        <v>0</v>
      </c>
      <c r="K506">
        <f t="shared" si="57"/>
        <v>0</v>
      </c>
      <c r="L506" s="1161"/>
      <c r="N506" s="1162" t="str">
        <f t="shared" si="60"/>
        <v xml:space="preserve"> </v>
      </c>
      <c r="O506" s="1163" t="str">
        <f t="shared" si="61"/>
        <v xml:space="preserve"> </v>
      </c>
      <c r="Q506">
        <f t="shared" si="62"/>
        <v>0</v>
      </c>
      <c r="R506">
        <f t="shared" si="63"/>
        <v>0</v>
      </c>
    </row>
    <row r="507" spans="2:18" x14ac:dyDescent="0.15">
      <c r="B507" s="1157"/>
      <c r="C507" s="1158"/>
      <c r="D507" s="897"/>
      <c r="E507" s="1159" t="str">
        <f t="shared" si="58"/>
        <v xml:space="preserve"> </v>
      </c>
      <c r="G507" s="1160" t="str">
        <f t="shared" si="59"/>
        <v xml:space="preserve"> </v>
      </c>
      <c r="H507" s="1149"/>
      <c r="I507">
        <f t="shared" si="56"/>
        <v>0</v>
      </c>
      <c r="K507">
        <f t="shared" si="57"/>
        <v>0</v>
      </c>
      <c r="L507" s="1161"/>
      <c r="N507" s="1162" t="str">
        <f t="shared" si="60"/>
        <v xml:space="preserve"> </v>
      </c>
      <c r="O507" s="1163" t="str">
        <f t="shared" si="61"/>
        <v xml:space="preserve"> </v>
      </c>
      <c r="Q507">
        <f t="shared" si="62"/>
        <v>0</v>
      </c>
      <c r="R507">
        <f t="shared" si="63"/>
        <v>0</v>
      </c>
    </row>
    <row r="508" spans="2:18" x14ac:dyDescent="0.15">
      <c r="B508" s="1157"/>
      <c r="C508" s="1158"/>
      <c r="D508" s="897"/>
      <c r="E508" s="1159" t="str">
        <f t="shared" si="58"/>
        <v xml:space="preserve"> </v>
      </c>
      <c r="G508" s="1160" t="str">
        <f t="shared" si="59"/>
        <v xml:space="preserve"> </v>
      </c>
      <c r="H508" s="1149"/>
      <c r="I508">
        <f t="shared" si="56"/>
        <v>0</v>
      </c>
      <c r="K508">
        <f t="shared" si="57"/>
        <v>0</v>
      </c>
      <c r="L508" s="1161"/>
      <c r="N508" s="1162" t="str">
        <f t="shared" si="60"/>
        <v xml:space="preserve"> </v>
      </c>
      <c r="O508" s="1163" t="str">
        <f t="shared" si="61"/>
        <v xml:space="preserve"> </v>
      </c>
      <c r="Q508">
        <f t="shared" si="62"/>
        <v>0</v>
      </c>
      <c r="R508">
        <f t="shared" si="63"/>
        <v>0</v>
      </c>
    </row>
    <row r="509" spans="2:18" x14ac:dyDescent="0.15">
      <c r="B509" s="1157"/>
      <c r="C509" s="1158"/>
      <c r="D509" s="897"/>
      <c r="E509" s="1159" t="str">
        <f t="shared" si="58"/>
        <v xml:space="preserve"> </v>
      </c>
      <c r="G509" s="1160" t="str">
        <f t="shared" si="59"/>
        <v xml:space="preserve"> </v>
      </c>
      <c r="H509" s="1149"/>
      <c r="I509">
        <f t="shared" si="56"/>
        <v>0</v>
      </c>
      <c r="K509">
        <f t="shared" si="57"/>
        <v>0</v>
      </c>
      <c r="L509" s="1161"/>
      <c r="N509" s="1162" t="str">
        <f t="shared" si="60"/>
        <v xml:space="preserve"> </v>
      </c>
      <c r="O509" s="1163" t="str">
        <f t="shared" si="61"/>
        <v xml:space="preserve"> </v>
      </c>
      <c r="Q509">
        <f t="shared" si="62"/>
        <v>0</v>
      </c>
      <c r="R509">
        <f t="shared" si="63"/>
        <v>0</v>
      </c>
    </row>
    <row r="510" spans="2:18" x14ac:dyDescent="0.15">
      <c r="B510" s="1157"/>
      <c r="C510" s="1158"/>
      <c r="D510" s="897"/>
      <c r="E510" s="1159" t="str">
        <f t="shared" si="58"/>
        <v xml:space="preserve"> </v>
      </c>
      <c r="G510" s="1160" t="str">
        <f t="shared" si="59"/>
        <v xml:space="preserve"> </v>
      </c>
      <c r="H510" s="1149"/>
      <c r="I510">
        <f t="shared" si="56"/>
        <v>0</v>
      </c>
      <c r="K510">
        <f t="shared" si="57"/>
        <v>0</v>
      </c>
      <c r="L510" s="1161"/>
      <c r="N510" s="1162" t="str">
        <f t="shared" si="60"/>
        <v xml:space="preserve"> </v>
      </c>
      <c r="O510" s="1163" t="str">
        <f t="shared" si="61"/>
        <v xml:space="preserve"> </v>
      </c>
      <c r="Q510">
        <f t="shared" si="62"/>
        <v>0</v>
      </c>
      <c r="R510">
        <f t="shared" si="63"/>
        <v>0</v>
      </c>
    </row>
    <row r="511" spans="2:18" x14ac:dyDescent="0.15">
      <c r="B511" s="1157"/>
      <c r="C511" s="1158"/>
      <c r="D511" s="897"/>
      <c r="E511" s="1159" t="str">
        <f t="shared" si="58"/>
        <v xml:space="preserve"> </v>
      </c>
      <c r="G511" s="1160" t="str">
        <f t="shared" si="59"/>
        <v xml:space="preserve"> </v>
      </c>
      <c r="H511" s="1149"/>
      <c r="I511">
        <f t="shared" si="56"/>
        <v>0</v>
      </c>
      <c r="K511">
        <f t="shared" si="57"/>
        <v>0</v>
      </c>
      <c r="L511" s="1161"/>
      <c r="N511" s="1162" t="str">
        <f t="shared" si="60"/>
        <v xml:space="preserve"> </v>
      </c>
      <c r="O511" s="1163" t="str">
        <f t="shared" si="61"/>
        <v xml:space="preserve"> </v>
      </c>
      <c r="Q511">
        <f t="shared" si="62"/>
        <v>0</v>
      </c>
      <c r="R511">
        <f t="shared" si="63"/>
        <v>0</v>
      </c>
    </row>
    <row r="512" spans="2:18" x14ac:dyDescent="0.15">
      <c r="B512" s="1157"/>
      <c r="C512" s="1158"/>
      <c r="D512" s="897"/>
      <c r="E512" s="1159" t="str">
        <f t="shared" si="58"/>
        <v xml:space="preserve"> </v>
      </c>
      <c r="G512" s="1160" t="str">
        <f t="shared" si="59"/>
        <v xml:space="preserve"> </v>
      </c>
      <c r="H512" s="1149"/>
      <c r="I512">
        <f t="shared" si="56"/>
        <v>0</v>
      </c>
      <c r="K512">
        <f t="shared" si="57"/>
        <v>0</v>
      </c>
      <c r="L512" s="1161"/>
      <c r="N512" s="1162" t="str">
        <f t="shared" si="60"/>
        <v xml:space="preserve"> </v>
      </c>
      <c r="O512" s="1163" t="str">
        <f t="shared" si="61"/>
        <v xml:space="preserve"> </v>
      </c>
      <c r="Q512">
        <f t="shared" si="62"/>
        <v>0</v>
      </c>
      <c r="R512">
        <f t="shared" si="63"/>
        <v>0</v>
      </c>
    </row>
    <row r="513" spans="2:18" x14ac:dyDescent="0.15">
      <c r="B513" s="1157"/>
      <c r="C513" s="1158"/>
      <c r="D513" s="897"/>
      <c r="E513" s="1159" t="str">
        <f t="shared" si="58"/>
        <v xml:space="preserve"> </v>
      </c>
      <c r="G513" s="1160" t="str">
        <f t="shared" si="59"/>
        <v xml:space="preserve"> </v>
      </c>
      <c r="H513" s="1149"/>
      <c r="I513">
        <f t="shared" si="56"/>
        <v>0</v>
      </c>
      <c r="K513">
        <f t="shared" si="57"/>
        <v>0</v>
      </c>
      <c r="L513" s="1161"/>
      <c r="N513" s="1162" t="str">
        <f t="shared" si="60"/>
        <v xml:space="preserve"> </v>
      </c>
      <c r="O513" s="1163" t="str">
        <f t="shared" si="61"/>
        <v xml:space="preserve"> </v>
      </c>
      <c r="Q513">
        <f t="shared" si="62"/>
        <v>0</v>
      </c>
      <c r="R513">
        <f t="shared" si="63"/>
        <v>0</v>
      </c>
    </row>
    <row r="514" spans="2:18" x14ac:dyDescent="0.15">
      <c r="B514" s="1157"/>
      <c r="C514" s="1158"/>
      <c r="D514" s="897"/>
      <c r="E514" s="1159" t="str">
        <f t="shared" si="58"/>
        <v xml:space="preserve"> </v>
      </c>
      <c r="G514" s="1160" t="str">
        <f t="shared" si="59"/>
        <v xml:space="preserve"> </v>
      </c>
      <c r="H514" s="1149"/>
      <c r="I514">
        <f t="shared" si="56"/>
        <v>0</v>
      </c>
      <c r="K514">
        <f t="shared" si="57"/>
        <v>0</v>
      </c>
      <c r="L514" s="1161"/>
      <c r="N514" s="1162" t="str">
        <f t="shared" si="60"/>
        <v xml:space="preserve"> </v>
      </c>
      <c r="O514" s="1163" t="str">
        <f t="shared" si="61"/>
        <v xml:space="preserve"> </v>
      </c>
      <c r="Q514">
        <f t="shared" si="62"/>
        <v>0</v>
      </c>
      <c r="R514">
        <f t="shared" si="63"/>
        <v>0</v>
      </c>
    </row>
    <row r="515" spans="2:18" x14ac:dyDescent="0.15">
      <c r="B515" s="1157"/>
      <c r="C515" s="1158"/>
      <c r="D515" s="897"/>
      <c r="E515" s="1159" t="str">
        <f t="shared" si="58"/>
        <v xml:space="preserve"> </v>
      </c>
      <c r="G515" s="1160" t="str">
        <f t="shared" si="59"/>
        <v xml:space="preserve"> </v>
      </c>
      <c r="H515" s="1149"/>
      <c r="I515">
        <f t="shared" si="56"/>
        <v>0</v>
      </c>
      <c r="K515">
        <f t="shared" si="57"/>
        <v>0</v>
      </c>
      <c r="L515" s="1161"/>
      <c r="N515" s="1162" t="str">
        <f t="shared" si="60"/>
        <v xml:space="preserve"> </v>
      </c>
      <c r="O515" s="1163" t="str">
        <f t="shared" si="61"/>
        <v xml:space="preserve"> </v>
      </c>
      <c r="Q515">
        <f t="shared" si="62"/>
        <v>0</v>
      </c>
      <c r="R515">
        <f t="shared" si="63"/>
        <v>0</v>
      </c>
    </row>
    <row r="516" spans="2:18" x14ac:dyDescent="0.15">
      <c r="B516" s="1157"/>
      <c r="C516" s="1158"/>
      <c r="D516" s="897"/>
      <c r="E516" s="1159" t="str">
        <f t="shared" si="58"/>
        <v xml:space="preserve"> </v>
      </c>
      <c r="G516" s="1160" t="str">
        <f t="shared" si="59"/>
        <v xml:space="preserve"> </v>
      </c>
      <c r="H516" s="1149"/>
      <c r="I516">
        <f t="shared" si="56"/>
        <v>0</v>
      </c>
      <c r="K516">
        <f t="shared" si="57"/>
        <v>0</v>
      </c>
      <c r="L516" s="1161"/>
      <c r="N516" s="1162" t="str">
        <f t="shared" si="60"/>
        <v xml:space="preserve"> </v>
      </c>
      <c r="O516" s="1163" t="str">
        <f t="shared" si="61"/>
        <v xml:space="preserve"> </v>
      </c>
      <c r="Q516">
        <f t="shared" si="62"/>
        <v>0</v>
      </c>
      <c r="R516">
        <f t="shared" si="63"/>
        <v>0</v>
      </c>
    </row>
    <row r="517" spans="2:18" x14ac:dyDescent="0.15">
      <c r="B517" s="1157"/>
      <c r="C517" s="1158"/>
      <c r="D517" s="897"/>
      <c r="E517" s="1159" t="str">
        <f t="shared" si="58"/>
        <v xml:space="preserve"> </v>
      </c>
      <c r="G517" s="1160" t="str">
        <f t="shared" si="59"/>
        <v xml:space="preserve"> </v>
      </c>
      <c r="H517" s="1149"/>
      <c r="I517">
        <f t="shared" si="56"/>
        <v>0</v>
      </c>
      <c r="K517">
        <f t="shared" si="57"/>
        <v>0</v>
      </c>
      <c r="L517" s="1161"/>
      <c r="N517" s="1162" t="str">
        <f t="shared" si="60"/>
        <v xml:space="preserve"> </v>
      </c>
      <c r="O517" s="1163" t="str">
        <f t="shared" si="61"/>
        <v xml:space="preserve"> </v>
      </c>
      <c r="Q517">
        <f t="shared" si="62"/>
        <v>0</v>
      </c>
      <c r="R517">
        <f t="shared" si="63"/>
        <v>0</v>
      </c>
    </row>
    <row r="518" spans="2:18" x14ac:dyDescent="0.15">
      <c r="B518" s="1157"/>
      <c r="C518" s="1158"/>
      <c r="D518" s="897"/>
      <c r="E518" s="1159" t="str">
        <f t="shared" si="58"/>
        <v xml:space="preserve"> </v>
      </c>
      <c r="G518" s="1160" t="str">
        <f t="shared" si="59"/>
        <v xml:space="preserve"> </v>
      </c>
      <c r="H518" s="1149"/>
      <c r="I518">
        <f t="shared" si="56"/>
        <v>0</v>
      </c>
      <c r="K518">
        <f t="shared" si="57"/>
        <v>0</v>
      </c>
      <c r="L518" s="1161"/>
      <c r="N518" s="1162" t="str">
        <f t="shared" si="60"/>
        <v xml:space="preserve"> </v>
      </c>
      <c r="O518" s="1163" t="str">
        <f t="shared" si="61"/>
        <v xml:space="preserve"> </v>
      </c>
      <c r="Q518">
        <f t="shared" si="62"/>
        <v>0</v>
      </c>
      <c r="R518">
        <f t="shared" si="63"/>
        <v>0</v>
      </c>
    </row>
    <row r="519" spans="2:18" x14ac:dyDescent="0.15">
      <c r="B519" s="1157"/>
      <c r="C519" s="1158"/>
      <c r="D519" s="897"/>
      <c r="E519" s="1159" t="str">
        <f t="shared" si="58"/>
        <v xml:space="preserve"> </v>
      </c>
      <c r="G519" s="1160" t="str">
        <f t="shared" si="59"/>
        <v xml:space="preserve"> </v>
      </c>
      <c r="H519" s="1149"/>
      <c r="I519">
        <f t="shared" si="56"/>
        <v>0</v>
      </c>
      <c r="K519">
        <f t="shared" si="57"/>
        <v>0</v>
      </c>
      <c r="L519" s="1161"/>
      <c r="N519" s="1162" t="str">
        <f t="shared" si="60"/>
        <v xml:space="preserve"> </v>
      </c>
      <c r="O519" s="1163" t="str">
        <f t="shared" si="61"/>
        <v xml:space="preserve"> </v>
      </c>
      <c r="Q519">
        <f t="shared" si="62"/>
        <v>0</v>
      </c>
      <c r="R519">
        <f t="shared" si="63"/>
        <v>0</v>
      </c>
    </row>
    <row r="520" spans="2:18" x14ac:dyDescent="0.15">
      <c r="B520" s="1157"/>
      <c r="C520" s="1158"/>
      <c r="D520" s="897"/>
      <c r="E520" s="1159" t="str">
        <f t="shared" si="58"/>
        <v xml:space="preserve"> </v>
      </c>
      <c r="G520" s="1160" t="str">
        <f t="shared" si="59"/>
        <v xml:space="preserve"> </v>
      </c>
      <c r="H520" s="1149"/>
      <c r="I520">
        <f t="shared" ref="I520:I583" si="64">(J520+C520)/12</f>
        <v>0</v>
      </c>
      <c r="K520">
        <f t="shared" ref="K520:K583" si="65">I520+B520</f>
        <v>0</v>
      </c>
      <c r="L520" s="1161"/>
      <c r="N520" s="1162" t="str">
        <f t="shared" si="60"/>
        <v xml:space="preserve"> </v>
      </c>
      <c r="O520" s="1163" t="str">
        <f t="shared" si="61"/>
        <v xml:space="preserve"> </v>
      </c>
      <c r="Q520">
        <f t="shared" si="62"/>
        <v>0</v>
      </c>
      <c r="R520">
        <f t="shared" si="63"/>
        <v>0</v>
      </c>
    </row>
    <row r="521" spans="2:18" x14ac:dyDescent="0.15">
      <c r="B521" s="1157"/>
      <c r="C521" s="1158"/>
      <c r="D521" s="897"/>
      <c r="E521" s="1159" t="str">
        <f t="shared" si="58"/>
        <v xml:space="preserve"> </v>
      </c>
      <c r="G521" s="1160" t="str">
        <f t="shared" si="59"/>
        <v xml:space="preserve"> </v>
      </c>
      <c r="H521" s="1149"/>
      <c r="I521">
        <f t="shared" si="64"/>
        <v>0</v>
      </c>
      <c r="K521">
        <f t="shared" si="65"/>
        <v>0</v>
      </c>
      <c r="L521" s="1161"/>
      <c r="N521" s="1162" t="str">
        <f t="shared" si="60"/>
        <v xml:space="preserve"> </v>
      </c>
      <c r="O521" s="1163" t="str">
        <f t="shared" si="61"/>
        <v xml:space="preserve"> </v>
      </c>
      <c r="Q521">
        <f t="shared" si="62"/>
        <v>0</v>
      </c>
      <c r="R521">
        <f t="shared" si="63"/>
        <v>0</v>
      </c>
    </row>
    <row r="522" spans="2:18" x14ac:dyDescent="0.15">
      <c r="B522" s="1157"/>
      <c r="C522" s="1158"/>
      <c r="D522" s="897"/>
      <c r="E522" s="1159" t="str">
        <f t="shared" ref="E522:E585" si="66">IF(K522=0," ",IF(K522&gt;0,K522*12*25.4))</f>
        <v xml:space="preserve"> </v>
      </c>
      <c r="G522" s="1160" t="str">
        <f t="shared" ref="G522:G585" si="67">IF(K522=0," ",IF(K522&gt;0,E522/1000))</f>
        <v xml:space="preserve"> </v>
      </c>
      <c r="H522" s="1149"/>
      <c r="I522">
        <f t="shared" si="64"/>
        <v>0</v>
      </c>
      <c r="K522">
        <f t="shared" si="65"/>
        <v>0</v>
      </c>
      <c r="L522" s="1161"/>
      <c r="N522" s="1162" t="str">
        <f t="shared" ref="N522:N585" si="68">IF(R522=0," ",IF(R522&gt;0,TRUNC(R522)))</f>
        <v xml:space="preserve"> </v>
      </c>
      <c r="O522" s="1163" t="str">
        <f t="shared" ref="O522:O585" si="69">IF(R522=0," ",IF(R522&gt;0,(R522-N522)*12))</f>
        <v xml:space="preserve"> </v>
      </c>
      <c r="Q522">
        <f t="shared" ref="Q522:Q585" si="70">L522/25.4</f>
        <v>0</v>
      </c>
      <c r="R522">
        <f t="shared" ref="R522:R585" si="71">Q522/12</f>
        <v>0</v>
      </c>
    </row>
    <row r="523" spans="2:18" x14ac:dyDescent="0.15">
      <c r="B523" s="1157"/>
      <c r="C523" s="1158"/>
      <c r="D523" s="897"/>
      <c r="E523" s="1159" t="str">
        <f t="shared" si="66"/>
        <v xml:space="preserve"> </v>
      </c>
      <c r="G523" s="1160" t="str">
        <f t="shared" si="67"/>
        <v xml:space="preserve"> </v>
      </c>
      <c r="H523" s="1149"/>
      <c r="I523">
        <f t="shared" si="64"/>
        <v>0</v>
      </c>
      <c r="K523">
        <f t="shared" si="65"/>
        <v>0</v>
      </c>
      <c r="L523" s="1161"/>
      <c r="N523" s="1162" t="str">
        <f t="shared" si="68"/>
        <v xml:space="preserve"> </v>
      </c>
      <c r="O523" s="1163" t="str">
        <f t="shared" si="69"/>
        <v xml:space="preserve"> </v>
      </c>
      <c r="Q523">
        <f t="shared" si="70"/>
        <v>0</v>
      </c>
      <c r="R523">
        <f t="shared" si="71"/>
        <v>0</v>
      </c>
    </row>
    <row r="524" spans="2:18" x14ac:dyDescent="0.15">
      <c r="B524" s="1157"/>
      <c r="C524" s="1158"/>
      <c r="D524" s="897"/>
      <c r="E524" s="1159" t="str">
        <f t="shared" si="66"/>
        <v xml:space="preserve"> </v>
      </c>
      <c r="G524" s="1160" t="str">
        <f t="shared" si="67"/>
        <v xml:space="preserve"> </v>
      </c>
      <c r="H524" s="1149"/>
      <c r="I524">
        <f t="shared" si="64"/>
        <v>0</v>
      </c>
      <c r="K524">
        <f t="shared" si="65"/>
        <v>0</v>
      </c>
      <c r="L524" s="1161"/>
      <c r="N524" s="1162" t="str">
        <f t="shared" si="68"/>
        <v xml:space="preserve"> </v>
      </c>
      <c r="O524" s="1163" t="str">
        <f t="shared" si="69"/>
        <v xml:space="preserve"> </v>
      </c>
      <c r="Q524">
        <f t="shared" si="70"/>
        <v>0</v>
      </c>
      <c r="R524">
        <f t="shared" si="71"/>
        <v>0</v>
      </c>
    </row>
    <row r="525" spans="2:18" x14ac:dyDescent="0.15">
      <c r="B525" s="1157"/>
      <c r="C525" s="1158"/>
      <c r="D525" s="897"/>
      <c r="E525" s="1159" t="str">
        <f t="shared" si="66"/>
        <v xml:space="preserve"> </v>
      </c>
      <c r="G525" s="1160" t="str">
        <f t="shared" si="67"/>
        <v xml:space="preserve"> </v>
      </c>
      <c r="H525" s="1149"/>
      <c r="I525">
        <f t="shared" si="64"/>
        <v>0</v>
      </c>
      <c r="K525">
        <f t="shared" si="65"/>
        <v>0</v>
      </c>
      <c r="L525" s="1161"/>
      <c r="N525" s="1162" t="str">
        <f t="shared" si="68"/>
        <v xml:space="preserve"> </v>
      </c>
      <c r="O525" s="1163" t="str">
        <f t="shared" si="69"/>
        <v xml:space="preserve"> </v>
      </c>
      <c r="Q525">
        <f t="shared" si="70"/>
        <v>0</v>
      </c>
      <c r="R525">
        <f t="shared" si="71"/>
        <v>0</v>
      </c>
    </row>
    <row r="526" spans="2:18" x14ac:dyDescent="0.15">
      <c r="B526" s="1157"/>
      <c r="C526" s="1158"/>
      <c r="D526" s="897"/>
      <c r="E526" s="1159" t="str">
        <f t="shared" si="66"/>
        <v xml:space="preserve"> </v>
      </c>
      <c r="G526" s="1160" t="str">
        <f t="shared" si="67"/>
        <v xml:space="preserve"> </v>
      </c>
      <c r="H526" s="1149"/>
      <c r="I526">
        <f t="shared" si="64"/>
        <v>0</v>
      </c>
      <c r="K526">
        <f t="shared" si="65"/>
        <v>0</v>
      </c>
      <c r="L526" s="1161"/>
      <c r="N526" s="1162" t="str">
        <f t="shared" si="68"/>
        <v xml:space="preserve"> </v>
      </c>
      <c r="O526" s="1163" t="str">
        <f t="shared" si="69"/>
        <v xml:space="preserve"> </v>
      </c>
      <c r="Q526">
        <f t="shared" si="70"/>
        <v>0</v>
      </c>
      <c r="R526">
        <f t="shared" si="71"/>
        <v>0</v>
      </c>
    </row>
    <row r="527" spans="2:18" x14ac:dyDescent="0.15">
      <c r="B527" s="1157"/>
      <c r="C527" s="1158"/>
      <c r="D527" s="897"/>
      <c r="E527" s="1159" t="str">
        <f t="shared" si="66"/>
        <v xml:space="preserve"> </v>
      </c>
      <c r="G527" s="1160" t="str">
        <f t="shared" si="67"/>
        <v xml:space="preserve"> </v>
      </c>
      <c r="H527" s="1149"/>
      <c r="I527">
        <f t="shared" si="64"/>
        <v>0</v>
      </c>
      <c r="K527">
        <f t="shared" si="65"/>
        <v>0</v>
      </c>
      <c r="L527" s="1161"/>
      <c r="N527" s="1162" t="str">
        <f t="shared" si="68"/>
        <v xml:space="preserve"> </v>
      </c>
      <c r="O527" s="1163" t="str">
        <f t="shared" si="69"/>
        <v xml:space="preserve"> </v>
      </c>
      <c r="Q527">
        <f t="shared" si="70"/>
        <v>0</v>
      </c>
      <c r="R527">
        <f t="shared" si="71"/>
        <v>0</v>
      </c>
    </row>
    <row r="528" spans="2:18" x14ac:dyDescent="0.15">
      <c r="B528" s="1157"/>
      <c r="C528" s="1158"/>
      <c r="D528" s="897"/>
      <c r="E528" s="1159" t="str">
        <f t="shared" si="66"/>
        <v xml:space="preserve"> </v>
      </c>
      <c r="G528" s="1160" t="str">
        <f t="shared" si="67"/>
        <v xml:space="preserve"> </v>
      </c>
      <c r="H528" s="1149"/>
      <c r="I528">
        <f t="shared" si="64"/>
        <v>0</v>
      </c>
      <c r="K528">
        <f t="shared" si="65"/>
        <v>0</v>
      </c>
      <c r="L528" s="1161"/>
      <c r="N528" s="1162" t="str">
        <f t="shared" si="68"/>
        <v xml:space="preserve"> </v>
      </c>
      <c r="O528" s="1163" t="str">
        <f t="shared" si="69"/>
        <v xml:space="preserve"> </v>
      </c>
      <c r="Q528">
        <f t="shared" si="70"/>
        <v>0</v>
      </c>
      <c r="R528">
        <f t="shared" si="71"/>
        <v>0</v>
      </c>
    </row>
    <row r="529" spans="2:18" x14ac:dyDescent="0.15">
      <c r="B529" s="1157"/>
      <c r="C529" s="1158"/>
      <c r="D529" s="897"/>
      <c r="E529" s="1159" t="str">
        <f t="shared" si="66"/>
        <v xml:space="preserve"> </v>
      </c>
      <c r="G529" s="1160" t="str">
        <f t="shared" si="67"/>
        <v xml:space="preserve"> </v>
      </c>
      <c r="H529" s="1149"/>
      <c r="I529">
        <f t="shared" si="64"/>
        <v>0</v>
      </c>
      <c r="K529">
        <f t="shared" si="65"/>
        <v>0</v>
      </c>
      <c r="L529" s="1161"/>
      <c r="N529" s="1162" t="str">
        <f t="shared" si="68"/>
        <v xml:space="preserve"> </v>
      </c>
      <c r="O529" s="1163" t="str">
        <f t="shared" si="69"/>
        <v xml:space="preserve"> </v>
      </c>
      <c r="Q529">
        <f t="shared" si="70"/>
        <v>0</v>
      </c>
      <c r="R529">
        <f t="shared" si="71"/>
        <v>0</v>
      </c>
    </row>
    <row r="530" spans="2:18" x14ac:dyDescent="0.15">
      <c r="B530" s="1157"/>
      <c r="C530" s="1158"/>
      <c r="D530" s="897"/>
      <c r="E530" s="1159" t="str">
        <f t="shared" si="66"/>
        <v xml:space="preserve"> </v>
      </c>
      <c r="G530" s="1160" t="str">
        <f t="shared" si="67"/>
        <v xml:space="preserve"> </v>
      </c>
      <c r="H530" s="1149"/>
      <c r="I530">
        <f t="shared" si="64"/>
        <v>0</v>
      </c>
      <c r="K530">
        <f t="shared" si="65"/>
        <v>0</v>
      </c>
      <c r="L530" s="1161"/>
      <c r="N530" s="1162" t="str">
        <f t="shared" si="68"/>
        <v xml:space="preserve"> </v>
      </c>
      <c r="O530" s="1163" t="str">
        <f t="shared" si="69"/>
        <v xml:space="preserve"> </v>
      </c>
      <c r="Q530">
        <f t="shared" si="70"/>
        <v>0</v>
      </c>
      <c r="R530">
        <f t="shared" si="71"/>
        <v>0</v>
      </c>
    </row>
    <row r="531" spans="2:18" x14ac:dyDescent="0.15">
      <c r="B531" s="1157"/>
      <c r="C531" s="1158"/>
      <c r="D531" s="897"/>
      <c r="E531" s="1159" t="str">
        <f t="shared" si="66"/>
        <v xml:space="preserve"> </v>
      </c>
      <c r="G531" s="1160" t="str">
        <f t="shared" si="67"/>
        <v xml:space="preserve"> </v>
      </c>
      <c r="H531" s="1149"/>
      <c r="I531">
        <f t="shared" si="64"/>
        <v>0</v>
      </c>
      <c r="K531">
        <f t="shared" si="65"/>
        <v>0</v>
      </c>
      <c r="L531" s="1161"/>
      <c r="N531" s="1162" t="str">
        <f t="shared" si="68"/>
        <v xml:space="preserve"> </v>
      </c>
      <c r="O531" s="1163" t="str">
        <f t="shared" si="69"/>
        <v xml:space="preserve"> </v>
      </c>
      <c r="Q531">
        <f t="shared" si="70"/>
        <v>0</v>
      </c>
      <c r="R531">
        <f t="shared" si="71"/>
        <v>0</v>
      </c>
    </row>
    <row r="532" spans="2:18" x14ac:dyDescent="0.15">
      <c r="B532" s="1157"/>
      <c r="C532" s="1158"/>
      <c r="D532" s="897"/>
      <c r="E532" s="1159" t="str">
        <f t="shared" si="66"/>
        <v xml:space="preserve"> </v>
      </c>
      <c r="G532" s="1160" t="str">
        <f t="shared" si="67"/>
        <v xml:space="preserve"> </v>
      </c>
      <c r="H532" s="1149"/>
      <c r="I532">
        <f t="shared" si="64"/>
        <v>0</v>
      </c>
      <c r="K532">
        <f t="shared" si="65"/>
        <v>0</v>
      </c>
      <c r="L532" s="1161"/>
      <c r="N532" s="1162" t="str">
        <f t="shared" si="68"/>
        <v xml:space="preserve"> </v>
      </c>
      <c r="O532" s="1163" t="str">
        <f t="shared" si="69"/>
        <v xml:space="preserve"> </v>
      </c>
      <c r="Q532">
        <f t="shared" si="70"/>
        <v>0</v>
      </c>
      <c r="R532">
        <f t="shared" si="71"/>
        <v>0</v>
      </c>
    </row>
    <row r="533" spans="2:18" x14ac:dyDescent="0.15">
      <c r="B533" s="1157"/>
      <c r="C533" s="1158"/>
      <c r="D533" s="897"/>
      <c r="E533" s="1159" t="str">
        <f t="shared" si="66"/>
        <v xml:space="preserve"> </v>
      </c>
      <c r="G533" s="1160" t="str">
        <f t="shared" si="67"/>
        <v xml:space="preserve"> </v>
      </c>
      <c r="H533" s="1149"/>
      <c r="I533">
        <f t="shared" si="64"/>
        <v>0</v>
      </c>
      <c r="K533">
        <f t="shared" si="65"/>
        <v>0</v>
      </c>
      <c r="L533" s="1161"/>
      <c r="N533" s="1162" t="str">
        <f t="shared" si="68"/>
        <v xml:space="preserve"> </v>
      </c>
      <c r="O533" s="1163" t="str">
        <f t="shared" si="69"/>
        <v xml:space="preserve"> </v>
      </c>
      <c r="Q533">
        <f t="shared" si="70"/>
        <v>0</v>
      </c>
      <c r="R533">
        <f t="shared" si="71"/>
        <v>0</v>
      </c>
    </row>
    <row r="534" spans="2:18" x14ac:dyDescent="0.15">
      <c r="B534" s="1157"/>
      <c r="C534" s="1158"/>
      <c r="D534" s="897"/>
      <c r="E534" s="1159" t="str">
        <f t="shared" si="66"/>
        <v xml:space="preserve"> </v>
      </c>
      <c r="G534" s="1160" t="str">
        <f t="shared" si="67"/>
        <v xml:space="preserve"> </v>
      </c>
      <c r="H534" s="1149"/>
      <c r="I534">
        <f t="shared" si="64"/>
        <v>0</v>
      </c>
      <c r="K534">
        <f t="shared" si="65"/>
        <v>0</v>
      </c>
      <c r="L534" s="1161"/>
      <c r="N534" s="1162" t="str">
        <f t="shared" si="68"/>
        <v xml:space="preserve"> </v>
      </c>
      <c r="O534" s="1163" t="str">
        <f t="shared" si="69"/>
        <v xml:space="preserve"> </v>
      </c>
      <c r="Q534">
        <f t="shared" si="70"/>
        <v>0</v>
      </c>
      <c r="R534">
        <f t="shared" si="71"/>
        <v>0</v>
      </c>
    </row>
    <row r="535" spans="2:18" x14ac:dyDescent="0.15">
      <c r="B535" s="1157"/>
      <c r="C535" s="1158"/>
      <c r="D535" s="897"/>
      <c r="E535" s="1159" t="str">
        <f t="shared" si="66"/>
        <v xml:space="preserve"> </v>
      </c>
      <c r="G535" s="1160" t="str">
        <f t="shared" si="67"/>
        <v xml:space="preserve"> </v>
      </c>
      <c r="H535" s="1149"/>
      <c r="I535">
        <f t="shared" si="64"/>
        <v>0</v>
      </c>
      <c r="K535">
        <f t="shared" si="65"/>
        <v>0</v>
      </c>
      <c r="L535" s="1161"/>
      <c r="N535" s="1162" t="str">
        <f t="shared" si="68"/>
        <v xml:space="preserve"> </v>
      </c>
      <c r="O535" s="1163" t="str">
        <f t="shared" si="69"/>
        <v xml:space="preserve"> </v>
      </c>
      <c r="Q535">
        <f t="shared" si="70"/>
        <v>0</v>
      </c>
      <c r="R535">
        <f t="shared" si="71"/>
        <v>0</v>
      </c>
    </row>
    <row r="536" spans="2:18" x14ac:dyDescent="0.15">
      <c r="B536" s="1157"/>
      <c r="C536" s="1158"/>
      <c r="D536" s="897"/>
      <c r="E536" s="1159" t="str">
        <f t="shared" si="66"/>
        <v xml:space="preserve"> </v>
      </c>
      <c r="G536" s="1160" t="str">
        <f t="shared" si="67"/>
        <v xml:space="preserve"> </v>
      </c>
      <c r="H536" s="1149"/>
      <c r="I536">
        <f t="shared" si="64"/>
        <v>0</v>
      </c>
      <c r="K536">
        <f t="shared" si="65"/>
        <v>0</v>
      </c>
      <c r="L536" s="1161"/>
      <c r="N536" s="1162" t="str">
        <f t="shared" si="68"/>
        <v xml:space="preserve"> </v>
      </c>
      <c r="O536" s="1163" t="str">
        <f t="shared" si="69"/>
        <v xml:space="preserve"> </v>
      </c>
      <c r="Q536">
        <f t="shared" si="70"/>
        <v>0</v>
      </c>
      <c r="R536">
        <f t="shared" si="71"/>
        <v>0</v>
      </c>
    </row>
    <row r="537" spans="2:18" x14ac:dyDescent="0.15">
      <c r="B537" s="1157"/>
      <c r="C537" s="1158"/>
      <c r="D537" s="897"/>
      <c r="E537" s="1159" t="str">
        <f t="shared" si="66"/>
        <v xml:space="preserve"> </v>
      </c>
      <c r="G537" s="1160" t="str">
        <f t="shared" si="67"/>
        <v xml:space="preserve"> </v>
      </c>
      <c r="H537" s="1149"/>
      <c r="I537">
        <f t="shared" si="64"/>
        <v>0</v>
      </c>
      <c r="K537">
        <f t="shared" si="65"/>
        <v>0</v>
      </c>
      <c r="L537" s="1161"/>
      <c r="N537" s="1162" t="str">
        <f t="shared" si="68"/>
        <v xml:space="preserve"> </v>
      </c>
      <c r="O537" s="1163" t="str">
        <f t="shared" si="69"/>
        <v xml:space="preserve"> </v>
      </c>
      <c r="Q537">
        <f t="shared" si="70"/>
        <v>0</v>
      </c>
      <c r="R537">
        <f t="shared" si="71"/>
        <v>0</v>
      </c>
    </row>
    <row r="538" spans="2:18" x14ac:dyDescent="0.15">
      <c r="B538" s="1157"/>
      <c r="C538" s="1158"/>
      <c r="D538" s="897"/>
      <c r="E538" s="1159" t="str">
        <f t="shared" si="66"/>
        <v xml:space="preserve"> </v>
      </c>
      <c r="G538" s="1160" t="str">
        <f t="shared" si="67"/>
        <v xml:space="preserve"> </v>
      </c>
      <c r="H538" s="1149"/>
      <c r="I538">
        <f t="shared" si="64"/>
        <v>0</v>
      </c>
      <c r="K538">
        <f t="shared" si="65"/>
        <v>0</v>
      </c>
      <c r="L538" s="1161"/>
      <c r="N538" s="1162" t="str">
        <f t="shared" si="68"/>
        <v xml:space="preserve"> </v>
      </c>
      <c r="O538" s="1163" t="str">
        <f t="shared" si="69"/>
        <v xml:space="preserve"> </v>
      </c>
      <c r="Q538">
        <f t="shared" si="70"/>
        <v>0</v>
      </c>
      <c r="R538">
        <f t="shared" si="71"/>
        <v>0</v>
      </c>
    </row>
    <row r="539" spans="2:18" x14ac:dyDescent="0.15">
      <c r="B539" s="1157"/>
      <c r="C539" s="1158"/>
      <c r="D539" s="897"/>
      <c r="E539" s="1159" t="str">
        <f t="shared" si="66"/>
        <v xml:space="preserve"> </v>
      </c>
      <c r="G539" s="1160" t="str">
        <f t="shared" si="67"/>
        <v xml:space="preserve"> </v>
      </c>
      <c r="H539" s="1149"/>
      <c r="I539">
        <f t="shared" si="64"/>
        <v>0</v>
      </c>
      <c r="K539">
        <f t="shared" si="65"/>
        <v>0</v>
      </c>
      <c r="L539" s="1161"/>
      <c r="N539" s="1162" t="str">
        <f t="shared" si="68"/>
        <v xml:space="preserve"> </v>
      </c>
      <c r="O539" s="1163" t="str">
        <f t="shared" si="69"/>
        <v xml:space="preserve"> </v>
      </c>
      <c r="Q539">
        <f t="shared" si="70"/>
        <v>0</v>
      </c>
      <c r="R539">
        <f t="shared" si="71"/>
        <v>0</v>
      </c>
    </row>
    <row r="540" spans="2:18" x14ac:dyDescent="0.15">
      <c r="B540" s="1157"/>
      <c r="C540" s="1158"/>
      <c r="D540" s="897"/>
      <c r="E540" s="1159" t="str">
        <f t="shared" si="66"/>
        <v xml:space="preserve"> </v>
      </c>
      <c r="G540" s="1160" t="str">
        <f t="shared" si="67"/>
        <v xml:space="preserve"> </v>
      </c>
      <c r="H540" s="1149"/>
      <c r="I540">
        <f t="shared" si="64"/>
        <v>0</v>
      </c>
      <c r="K540">
        <f t="shared" si="65"/>
        <v>0</v>
      </c>
      <c r="L540" s="1161"/>
      <c r="N540" s="1162" t="str">
        <f t="shared" si="68"/>
        <v xml:space="preserve"> </v>
      </c>
      <c r="O540" s="1163" t="str">
        <f t="shared" si="69"/>
        <v xml:space="preserve"> </v>
      </c>
      <c r="Q540">
        <f t="shared" si="70"/>
        <v>0</v>
      </c>
      <c r="R540">
        <f t="shared" si="71"/>
        <v>0</v>
      </c>
    </row>
    <row r="541" spans="2:18" x14ac:dyDescent="0.15">
      <c r="B541" s="1157"/>
      <c r="C541" s="1158"/>
      <c r="D541" s="897"/>
      <c r="E541" s="1159" t="str">
        <f t="shared" si="66"/>
        <v xml:space="preserve"> </v>
      </c>
      <c r="G541" s="1160" t="str">
        <f t="shared" si="67"/>
        <v xml:space="preserve"> </v>
      </c>
      <c r="H541" s="1149"/>
      <c r="I541">
        <f t="shared" si="64"/>
        <v>0</v>
      </c>
      <c r="K541">
        <f t="shared" si="65"/>
        <v>0</v>
      </c>
      <c r="L541" s="1161"/>
      <c r="N541" s="1162" t="str">
        <f t="shared" si="68"/>
        <v xml:space="preserve"> </v>
      </c>
      <c r="O541" s="1163" t="str">
        <f t="shared" si="69"/>
        <v xml:space="preserve"> </v>
      </c>
      <c r="Q541">
        <f t="shared" si="70"/>
        <v>0</v>
      </c>
      <c r="R541">
        <f t="shared" si="71"/>
        <v>0</v>
      </c>
    </row>
    <row r="542" spans="2:18" x14ac:dyDescent="0.15">
      <c r="B542" s="1157"/>
      <c r="C542" s="1158"/>
      <c r="D542" s="897"/>
      <c r="E542" s="1159" t="str">
        <f t="shared" si="66"/>
        <v xml:space="preserve"> </v>
      </c>
      <c r="G542" s="1160" t="str">
        <f t="shared" si="67"/>
        <v xml:space="preserve"> </v>
      </c>
      <c r="H542" s="1149"/>
      <c r="I542">
        <f t="shared" si="64"/>
        <v>0</v>
      </c>
      <c r="K542">
        <f t="shared" si="65"/>
        <v>0</v>
      </c>
      <c r="L542" s="1161"/>
      <c r="N542" s="1162" t="str">
        <f t="shared" si="68"/>
        <v xml:space="preserve"> </v>
      </c>
      <c r="O542" s="1163" t="str">
        <f t="shared" si="69"/>
        <v xml:space="preserve"> </v>
      </c>
      <c r="Q542">
        <f t="shared" si="70"/>
        <v>0</v>
      </c>
      <c r="R542">
        <f t="shared" si="71"/>
        <v>0</v>
      </c>
    </row>
    <row r="543" spans="2:18" x14ac:dyDescent="0.15">
      <c r="B543" s="1157"/>
      <c r="C543" s="1158"/>
      <c r="D543" s="897"/>
      <c r="E543" s="1159" t="str">
        <f t="shared" si="66"/>
        <v xml:space="preserve"> </v>
      </c>
      <c r="G543" s="1160" t="str">
        <f t="shared" si="67"/>
        <v xml:space="preserve"> </v>
      </c>
      <c r="H543" s="1149"/>
      <c r="I543">
        <f t="shared" si="64"/>
        <v>0</v>
      </c>
      <c r="K543">
        <f t="shared" si="65"/>
        <v>0</v>
      </c>
      <c r="L543" s="1161"/>
      <c r="N543" s="1162" t="str">
        <f t="shared" si="68"/>
        <v xml:space="preserve"> </v>
      </c>
      <c r="O543" s="1163" t="str">
        <f t="shared" si="69"/>
        <v xml:space="preserve"> </v>
      </c>
      <c r="Q543">
        <f t="shared" si="70"/>
        <v>0</v>
      </c>
      <c r="R543">
        <f t="shared" si="71"/>
        <v>0</v>
      </c>
    </row>
    <row r="544" spans="2:18" x14ac:dyDescent="0.15">
      <c r="B544" s="1157"/>
      <c r="C544" s="1158"/>
      <c r="D544" s="897"/>
      <c r="E544" s="1159" t="str">
        <f t="shared" si="66"/>
        <v xml:space="preserve"> </v>
      </c>
      <c r="G544" s="1160" t="str">
        <f t="shared" si="67"/>
        <v xml:space="preserve"> </v>
      </c>
      <c r="H544" s="1149"/>
      <c r="I544">
        <f t="shared" si="64"/>
        <v>0</v>
      </c>
      <c r="K544">
        <f t="shared" si="65"/>
        <v>0</v>
      </c>
      <c r="L544" s="1161"/>
      <c r="N544" s="1162" t="str">
        <f t="shared" si="68"/>
        <v xml:space="preserve"> </v>
      </c>
      <c r="O544" s="1163" t="str">
        <f t="shared" si="69"/>
        <v xml:space="preserve"> </v>
      </c>
      <c r="Q544">
        <f t="shared" si="70"/>
        <v>0</v>
      </c>
      <c r="R544">
        <f t="shared" si="71"/>
        <v>0</v>
      </c>
    </row>
    <row r="545" spans="2:18" x14ac:dyDescent="0.15">
      <c r="B545" s="1157"/>
      <c r="C545" s="1158"/>
      <c r="D545" s="897"/>
      <c r="E545" s="1159" t="str">
        <f t="shared" si="66"/>
        <v xml:space="preserve"> </v>
      </c>
      <c r="G545" s="1160" t="str">
        <f t="shared" si="67"/>
        <v xml:space="preserve"> </v>
      </c>
      <c r="H545" s="1149"/>
      <c r="I545">
        <f t="shared" si="64"/>
        <v>0</v>
      </c>
      <c r="K545">
        <f t="shared" si="65"/>
        <v>0</v>
      </c>
      <c r="L545" s="1161"/>
      <c r="N545" s="1162" t="str">
        <f t="shared" si="68"/>
        <v xml:space="preserve"> </v>
      </c>
      <c r="O545" s="1163" t="str">
        <f t="shared" si="69"/>
        <v xml:space="preserve"> </v>
      </c>
      <c r="Q545">
        <f t="shared" si="70"/>
        <v>0</v>
      </c>
      <c r="R545">
        <f t="shared" si="71"/>
        <v>0</v>
      </c>
    </row>
    <row r="546" spans="2:18" x14ac:dyDescent="0.15">
      <c r="B546" s="1157"/>
      <c r="C546" s="1158"/>
      <c r="D546" s="897"/>
      <c r="E546" s="1159" t="str">
        <f t="shared" si="66"/>
        <v xml:space="preserve"> </v>
      </c>
      <c r="G546" s="1160" t="str">
        <f t="shared" si="67"/>
        <v xml:space="preserve"> </v>
      </c>
      <c r="H546" s="1149"/>
      <c r="I546">
        <f t="shared" si="64"/>
        <v>0</v>
      </c>
      <c r="K546">
        <f t="shared" si="65"/>
        <v>0</v>
      </c>
      <c r="L546" s="1161"/>
      <c r="N546" s="1162" t="str">
        <f t="shared" si="68"/>
        <v xml:space="preserve"> </v>
      </c>
      <c r="O546" s="1163" t="str">
        <f t="shared" si="69"/>
        <v xml:space="preserve"> </v>
      </c>
      <c r="Q546">
        <f t="shared" si="70"/>
        <v>0</v>
      </c>
      <c r="R546">
        <f t="shared" si="71"/>
        <v>0</v>
      </c>
    </row>
    <row r="547" spans="2:18" x14ac:dyDescent="0.15">
      <c r="B547" s="1157"/>
      <c r="C547" s="1158"/>
      <c r="D547" s="897"/>
      <c r="E547" s="1159" t="str">
        <f t="shared" si="66"/>
        <v xml:space="preserve"> </v>
      </c>
      <c r="G547" s="1160" t="str">
        <f t="shared" si="67"/>
        <v xml:space="preserve"> </v>
      </c>
      <c r="H547" s="1149"/>
      <c r="I547">
        <f t="shared" si="64"/>
        <v>0</v>
      </c>
      <c r="K547">
        <f t="shared" si="65"/>
        <v>0</v>
      </c>
      <c r="L547" s="1161"/>
      <c r="N547" s="1162" t="str">
        <f t="shared" si="68"/>
        <v xml:space="preserve"> </v>
      </c>
      <c r="O547" s="1163" t="str">
        <f t="shared" si="69"/>
        <v xml:space="preserve"> </v>
      </c>
      <c r="Q547">
        <f t="shared" si="70"/>
        <v>0</v>
      </c>
      <c r="R547">
        <f t="shared" si="71"/>
        <v>0</v>
      </c>
    </row>
    <row r="548" spans="2:18" x14ac:dyDescent="0.15">
      <c r="B548" s="1157"/>
      <c r="C548" s="1158"/>
      <c r="D548" s="897"/>
      <c r="E548" s="1159" t="str">
        <f t="shared" si="66"/>
        <v xml:space="preserve"> </v>
      </c>
      <c r="G548" s="1160" t="str">
        <f t="shared" si="67"/>
        <v xml:space="preserve"> </v>
      </c>
      <c r="H548" s="1149"/>
      <c r="I548">
        <f t="shared" si="64"/>
        <v>0</v>
      </c>
      <c r="K548">
        <f t="shared" si="65"/>
        <v>0</v>
      </c>
      <c r="L548" s="1161"/>
      <c r="N548" s="1162" t="str">
        <f t="shared" si="68"/>
        <v xml:space="preserve"> </v>
      </c>
      <c r="O548" s="1163" t="str">
        <f t="shared" si="69"/>
        <v xml:space="preserve"> </v>
      </c>
      <c r="Q548">
        <f t="shared" si="70"/>
        <v>0</v>
      </c>
      <c r="R548">
        <f t="shared" si="71"/>
        <v>0</v>
      </c>
    </row>
    <row r="549" spans="2:18" x14ac:dyDescent="0.15">
      <c r="B549" s="1157"/>
      <c r="C549" s="1158"/>
      <c r="D549" s="897"/>
      <c r="E549" s="1159" t="str">
        <f t="shared" si="66"/>
        <v xml:space="preserve"> </v>
      </c>
      <c r="G549" s="1160" t="str">
        <f t="shared" si="67"/>
        <v xml:space="preserve"> </v>
      </c>
      <c r="H549" s="1149"/>
      <c r="I549">
        <f t="shared" si="64"/>
        <v>0</v>
      </c>
      <c r="K549">
        <f t="shared" si="65"/>
        <v>0</v>
      </c>
      <c r="L549" s="1161"/>
      <c r="N549" s="1162" t="str">
        <f t="shared" si="68"/>
        <v xml:space="preserve"> </v>
      </c>
      <c r="O549" s="1163" t="str">
        <f t="shared" si="69"/>
        <v xml:space="preserve"> </v>
      </c>
      <c r="Q549">
        <f t="shared" si="70"/>
        <v>0</v>
      </c>
      <c r="R549">
        <f t="shared" si="71"/>
        <v>0</v>
      </c>
    </row>
    <row r="550" spans="2:18" x14ac:dyDescent="0.15">
      <c r="B550" s="1157"/>
      <c r="C550" s="1158"/>
      <c r="D550" s="897"/>
      <c r="E550" s="1159" t="str">
        <f t="shared" si="66"/>
        <v xml:space="preserve"> </v>
      </c>
      <c r="G550" s="1160" t="str">
        <f t="shared" si="67"/>
        <v xml:space="preserve"> </v>
      </c>
      <c r="H550" s="1149"/>
      <c r="I550">
        <f t="shared" si="64"/>
        <v>0</v>
      </c>
      <c r="K550">
        <f t="shared" si="65"/>
        <v>0</v>
      </c>
      <c r="L550" s="1161"/>
      <c r="N550" s="1162" t="str">
        <f t="shared" si="68"/>
        <v xml:space="preserve"> </v>
      </c>
      <c r="O550" s="1163" t="str">
        <f t="shared" si="69"/>
        <v xml:space="preserve"> </v>
      </c>
      <c r="Q550">
        <f t="shared" si="70"/>
        <v>0</v>
      </c>
      <c r="R550">
        <f t="shared" si="71"/>
        <v>0</v>
      </c>
    </row>
    <row r="551" spans="2:18" x14ac:dyDescent="0.15">
      <c r="B551" s="1157"/>
      <c r="C551" s="1158"/>
      <c r="D551" s="897"/>
      <c r="E551" s="1159" t="str">
        <f t="shared" si="66"/>
        <v xml:space="preserve"> </v>
      </c>
      <c r="G551" s="1160" t="str">
        <f t="shared" si="67"/>
        <v xml:space="preserve"> </v>
      </c>
      <c r="H551" s="1149"/>
      <c r="I551">
        <f t="shared" si="64"/>
        <v>0</v>
      </c>
      <c r="K551">
        <f t="shared" si="65"/>
        <v>0</v>
      </c>
      <c r="L551" s="1161"/>
      <c r="N551" s="1162" t="str">
        <f t="shared" si="68"/>
        <v xml:space="preserve"> </v>
      </c>
      <c r="O551" s="1163" t="str">
        <f t="shared" si="69"/>
        <v xml:space="preserve"> </v>
      </c>
      <c r="Q551">
        <f t="shared" si="70"/>
        <v>0</v>
      </c>
      <c r="R551">
        <f t="shared" si="71"/>
        <v>0</v>
      </c>
    </row>
    <row r="552" spans="2:18" x14ac:dyDescent="0.15">
      <c r="B552" s="1157"/>
      <c r="C552" s="1158"/>
      <c r="D552" s="897"/>
      <c r="E552" s="1159" t="str">
        <f t="shared" si="66"/>
        <v xml:space="preserve"> </v>
      </c>
      <c r="G552" s="1160" t="str">
        <f t="shared" si="67"/>
        <v xml:space="preserve"> </v>
      </c>
      <c r="H552" s="1149"/>
      <c r="I552">
        <f t="shared" si="64"/>
        <v>0</v>
      </c>
      <c r="K552">
        <f t="shared" si="65"/>
        <v>0</v>
      </c>
      <c r="L552" s="1161"/>
      <c r="N552" s="1162" t="str">
        <f t="shared" si="68"/>
        <v xml:space="preserve"> </v>
      </c>
      <c r="O552" s="1163" t="str">
        <f t="shared" si="69"/>
        <v xml:space="preserve"> </v>
      </c>
      <c r="Q552">
        <f t="shared" si="70"/>
        <v>0</v>
      </c>
      <c r="R552">
        <f t="shared" si="71"/>
        <v>0</v>
      </c>
    </row>
    <row r="553" spans="2:18" x14ac:dyDescent="0.15">
      <c r="B553" s="1157"/>
      <c r="C553" s="1158"/>
      <c r="D553" s="897"/>
      <c r="E553" s="1159" t="str">
        <f t="shared" si="66"/>
        <v xml:space="preserve"> </v>
      </c>
      <c r="G553" s="1160" t="str">
        <f t="shared" si="67"/>
        <v xml:space="preserve"> </v>
      </c>
      <c r="H553" s="1149"/>
      <c r="I553">
        <f t="shared" si="64"/>
        <v>0</v>
      </c>
      <c r="K553">
        <f t="shared" si="65"/>
        <v>0</v>
      </c>
      <c r="L553" s="1161"/>
      <c r="N553" s="1162" t="str">
        <f t="shared" si="68"/>
        <v xml:space="preserve"> </v>
      </c>
      <c r="O553" s="1163" t="str">
        <f t="shared" si="69"/>
        <v xml:space="preserve"> </v>
      </c>
      <c r="Q553">
        <f t="shared" si="70"/>
        <v>0</v>
      </c>
      <c r="R553">
        <f t="shared" si="71"/>
        <v>0</v>
      </c>
    </row>
    <row r="554" spans="2:18" x14ac:dyDescent="0.15">
      <c r="B554" s="1157"/>
      <c r="C554" s="1158"/>
      <c r="D554" s="897"/>
      <c r="E554" s="1159" t="str">
        <f t="shared" si="66"/>
        <v xml:space="preserve"> </v>
      </c>
      <c r="G554" s="1160" t="str">
        <f t="shared" si="67"/>
        <v xml:space="preserve"> </v>
      </c>
      <c r="H554" s="1149"/>
      <c r="I554">
        <f t="shared" si="64"/>
        <v>0</v>
      </c>
      <c r="K554">
        <f t="shared" si="65"/>
        <v>0</v>
      </c>
      <c r="L554" s="1161"/>
      <c r="N554" s="1162" t="str">
        <f t="shared" si="68"/>
        <v xml:space="preserve"> </v>
      </c>
      <c r="O554" s="1163" t="str">
        <f t="shared" si="69"/>
        <v xml:space="preserve"> </v>
      </c>
      <c r="Q554">
        <f t="shared" si="70"/>
        <v>0</v>
      </c>
      <c r="R554">
        <f t="shared" si="71"/>
        <v>0</v>
      </c>
    </row>
    <row r="555" spans="2:18" x14ac:dyDescent="0.15">
      <c r="B555" s="1157"/>
      <c r="C555" s="1158"/>
      <c r="D555" s="897"/>
      <c r="E555" s="1159" t="str">
        <f t="shared" si="66"/>
        <v xml:space="preserve"> </v>
      </c>
      <c r="G555" s="1160" t="str">
        <f t="shared" si="67"/>
        <v xml:space="preserve"> </v>
      </c>
      <c r="H555" s="1149"/>
      <c r="I555">
        <f t="shared" si="64"/>
        <v>0</v>
      </c>
      <c r="K555">
        <f t="shared" si="65"/>
        <v>0</v>
      </c>
      <c r="L555" s="1161"/>
      <c r="N555" s="1162" t="str">
        <f t="shared" si="68"/>
        <v xml:space="preserve"> </v>
      </c>
      <c r="O555" s="1163" t="str">
        <f t="shared" si="69"/>
        <v xml:space="preserve"> </v>
      </c>
      <c r="Q555">
        <f t="shared" si="70"/>
        <v>0</v>
      </c>
      <c r="R555">
        <f t="shared" si="71"/>
        <v>0</v>
      </c>
    </row>
    <row r="556" spans="2:18" x14ac:dyDescent="0.15">
      <c r="B556" s="1157"/>
      <c r="C556" s="1158"/>
      <c r="D556" s="897"/>
      <c r="E556" s="1159" t="str">
        <f t="shared" si="66"/>
        <v xml:space="preserve"> </v>
      </c>
      <c r="G556" s="1160" t="str">
        <f t="shared" si="67"/>
        <v xml:space="preserve"> </v>
      </c>
      <c r="H556" s="1149"/>
      <c r="I556">
        <f t="shared" si="64"/>
        <v>0</v>
      </c>
      <c r="K556">
        <f t="shared" si="65"/>
        <v>0</v>
      </c>
      <c r="L556" s="1161"/>
      <c r="N556" s="1162" t="str">
        <f t="shared" si="68"/>
        <v xml:space="preserve"> </v>
      </c>
      <c r="O556" s="1163" t="str">
        <f t="shared" si="69"/>
        <v xml:space="preserve"> </v>
      </c>
      <c r="Q556">
        <f t="shared" si="70"/>
        <v>0</v>
      </c>
      <c r="R556">
        <f t="shared" si="71"/>
        <v>0</v>
      </c>
    </row>
    <row r="557" spans="2:18" x14ac:dyDescent="0.15">
      <c r="B557" s="1157"/>
      <c r="C557" s="1158"/>
      <c r="D557" s="897"/>
      <c r="E557" s="1159" t="str">
        <f t="shared" si="66"/>
        <v xml:space="preserve"> </v>
      </c>
      <c r="G557" s="1160" t="str">
        <f t="shared" si="67"/>
        <v xml:space="preserve"> </v>
      </c>
      <c r="H557" s="1149"/>
      <c r="I557">
        <f t="shared" si="64"/>
        <v>0</v>
      </c>
      <c r="K557">
        <f t="shared" si="65"/>
        <v>0</v>
      </c>
      <c r="L557" s="1161"/>
      <c r="N557" s="1162" t="str">
        <f t="shared" si="68"/>
        <v xml:space="preserve"> </v>
      </c>
      <c r="O557" s="1163" t="str">
        <f t="shared" si="69"/>
        <v xml:space="preserve"> </v>
      </c>
      <c r="Q557">
        <f t="shared" si="70"/>
        <v>0</v>
      </c>
      <c r="R557">
        <f t="shared" si="71"/>
        <v>0</v>
      </c>
    </row>
    <row r="558" spans="2:18" x14ac:dyDescent="0.15">
      <c r="B558" s="1157"/>
      <c r="C558" s="1158"/>
      <c r="D558" s="897"/>
      <c r="E558" s="1159" t="str">
        <f t="shared" si="66"/>
        <v xml:space="preserve"> </v>
      </c>
      <c r="G558" s="1160" t="str">
        <f t="shared" si="67"/>
        <v xml:space="preserve"> </v>
      </c>
      <c r="H558" s="1149"/>
      <c r="I558">
        <f t="shared" si="64"/>
        <v>0</v>
      </c>
      <c r="K558">
        <f t="shared" si="65"/>
        <v>0</v>
      </c>
      <c r="L558" s="1161"/>
      <c r="N558" s="1162" t="str">
        <f t="shared" si="68"/>
        <v xml:space="preserve"> </v>
      </c>
      <c r="O558" s="1163" t="str">
        <f t="shared" si="69"/>
        <v xml:space="preserve"> </v>
      </c>
      <c r="Q558">
        <f t="shared" si="70"/>
        <v>0</v>
      </c>
      <c r="R558">
        <f t="shared" si="71"/>
        <v>0</v>
      </c>
    </row>
    <row r="559" spans="2:18" x14ac:dyDescent="0.15">
      <c r="B559" s="1157"/>
      <c r="C559" s="1158"/>
      <c r="D559" s="897"/>
      <c r="E559" s="1159" t="str">
        <f t="shared" si="66"/>
        <v xml:space="preserve"> </v>
      </c>
      <c r="G559" s="1160" t="str">
        <f t="shared" si="67"/>
        <v xml:space="preserve"> </v>
      </c>
      <c r="H559" s="1149"/>
      <c r="I559">
        <f t="shared" si="64"/>
        <v>0</v>
      </c>
      <c r="K559">
        <f t="shared" si="65"/>
        <v>0</v>
      </c>
      <c r="L559" s="1161"/>
      <c r="N559" s="1162" t="str">
        <f t="shared" si="68"/>
        <v xml:space="preserve"> </v>
      </c>
      <c r="O559" s="1163" t="str">
        <f t="shared" si="69"/>
        <v xml:space="preserve"> </v>
      </c>
      <c r="Q559">
        <f t="shared" si="70"/>
        <v>0</v>
      </c>
      <c r="R559">
        <f t="shared" si="71"/>
        <v>0</v>
      </c>
    </row>
    <row r="560" spans="2:18" x14ac:dyDescent="0.15">
      <c r="B560" s="1157"/>
      <c r="C560" s="1158"/>
      <c r="D560" s="897"/>
      <c r="E560" s="1159" t="str">
        <f t="shared" si="66"/>
        <v xml:space="preserve"> </v>
      </c>
      <c r="G560" s="1160" t="str">
        <f t="shared" si="67"/>
        <v xml:space="preserve"> </v>
      </c>
      <c r="H560" s="1149"/>
      <c r="I560">
        <f t="shared" si="64"/>
        <v>0</v>
      </c>
      <c r="K560">
        <f t="shared" si="65"/>
        <v>0</v>
      </c>
      <c r="L560" s="1161"/>
      <c r="N560" s="1162" t="str">
        <f t="shared" si="68"/>
        <v xml:space="preserve"> </v>
      </c>
      <c r="O560" s="1163" t="str">
        <f t="shared" si="69"/>
        <v xml:space="preserve"> </v>
      </c>
      <c r="Q560">
        <f t="shared" si="70"/>
        <v>0</v>
      </c>
      <c r="R560">
        <f t="shared" si="71"/>
        <v>0</v>
      </c>
    </row>
    <row r="561" spans="2:18" x14ac:dyDescent="0.15">
      <c r="B561" s="1157"/>
      <c r="C561" s="1158"/>
      <c r="D561" s="897"/>
      <c r="E561" s="1159" t="str">
        <f t="shared" si="66"/>
        <v xml:space="preserve"> </v>
      </c>
      <c r="G561" s="1160" t="str">
        <f t="shared" si="67"/>
        <v xml:space="preserve"> </v>
      </c>
      <c r="H561" s="1149"/>
      <c r="I561">
        <f t="shared" si="64"/>
        <v>0</v>
      </c>
      <c r="K561">
        <f t="shared" si="65"/>
        <v>0</v>
      </c>
      <c r="L561" s="1161"/>
      <c r="N561" s="1162" t="str">
        <f t="shared" si="68"/>
        <v xml:space="preserve"> </v>
      </c>
      <c r="O561" s="1163" t="str">
        <f t="shared" si="69"/>
        <v xml:space="preserve"> </v>
      </c>
      <c r="Q561">
        <f t="shared" si="70"/>
        <v>0</v>
      </c>
      <c r="R561">
        <f t="shared" si="71"/>
        <v>0</v>
      </c>
    </row>
    <row r="562" spans="2:18" x14ac:dyDescent="0.15">
      <c r="B562" s="1157"/>
      <c r="C562" s="1158"/>
      <c r="D562" s="897"/>
      <c r="E562" s="1159" t="str">
        <f t="shared" si="66"/>
        <v xml:space="preserve"> </v>
      </c>
      <c r="G562" s="1160" t="str">
        <f t="shared" si="67"/>
        <v xml:space="preserve"> </v>
      </c>
      <c r="H562" s="1149"/>
      <c r="I562">
        <f t="shared" si="64"/>
        <v>0</v>
      </c>
      <c r="K562">
        <f t="shared" si="65"/>
        <v>0</v>
      </c>
      <c r="L562" s="1161"/>
      <c r="N562" s="1162" t="str">
        <f t="shared" si="68"/>
        <v xml:space="preserve"> </v>
      </c>
      <c r="O562" s="1163" t="str">
        <f t="shared" si="69"/>
        <v xml:space="preserve"> </v>
      </c>
      <c r="Q562">
        <f t="shared" si="70"/>
        <v>0</v>
      </c>
      <c r="R562">
        <f t="shared" si="71"/>
        <v>0</v>
      </c>
    </row>
    <row r="563" spans="2:18" x14ac:dyDescent="0.15">
      <c r="B563" s="1157"/>
      <c r="C563" s="1158"/>
      <c r="D563" s="897"/>
      <c r="E563" s="1159" t="str">
        <f t="shared" si="66"/>
        <v xml:space="preserve"> </v>
      </c>
      <c r="G563" s="1160" t="str">
        <f t="shared" si="67"/>
        <v xml:space="preserve"> </v>
      </c>
      <c r="H563" s="1149"/>
      <c r="I563">
        <f t="shared" si="64"/>
        <v>0</v>
      </c>
      <c r="K563">
        <f t="shared" si="65"/>
        <v>0</v>
      </c>
      <c r="L563" s="1161"/>
      <c r="N563" s="1162" t="str">
        <f t="shared" si="68"/>
        <v xml:space="preserve"> </v>
      </c>
      <c r="O563" s="1163" t="str">
        <f t="shared" si="69"/>
        <v xml:space="preserve"> </v>
      </c>
      <c r="Q563">
        <f t="shared" si="70"/>
        <v>0</v>
      </c>
      <c r="R563">
        <f t="shared" si="71"/>
        <v>0</v>
      </c>
    </row>
    <row r="564" spans="2:18" x14ac:dyDescent="0.15">
      <c r="B564" s="1157"/>
      <c r="C564" s="1158"/>
      <c r="D564" s="897"/>
      <c r="E564" s="1159" t="str">
        <f t="shared" si="66"/>
        <v xml:space="preserve"> </v>
      </c>
      <c r="G564" s="1160" t="str">
        <f t="shared" si="67"/>
        <v xml:space="preserve"> </v>
      </c>
      <c r="H564" s="1149"/>
      <c r="I564">
        <f t="shared" si="64"/>
        <v>0</v>
      </c>
      <c r="K564">
        <f t="shared" si="65"/>
        <v>0</v>
      </c>
      <c r="L564" s="1161"/>
      <c r="N564" s="1162" t="str">
        <f t="shared" si="68"/>
        <v xml:space="preserve"> </v>
      </c>
      <c r="O564" s="1163" t="str">
        <f t="shared" si="69"/>
        <v xml:space="preserve"> </v>
      </c>
      <c r="Q564">
        <f t="shared" si="70"/>
        <v>0</v>
      </c>
      <c r="R564">
        <f t="shared" si="71"/>
        <v>0</v>
      </c>
    </row>
    <row r="565" spans="2:18" x14ac:dyDescent="0.15">
      <c r="B565" s="1157"/>
      <c r="C565" s="1158"/>
      <c r="D565" s="897"/>
      <c r="E565" s="1159" t="str">
        <f t="shared" si="66"/>
        <v xml:space="preserve"> </v>
      </c>
      <c r="G565" s="1160" t="str">
        <f t="shared" si="67"/>
        <v xml:space="preserve"> </v>
      </c>
      <c r="H565" s="1149"/>
      <c r="I565">
        <f t="shared" si="64"/>
        <v>0</v>
      </c>
      <c r="K565">
        <f t="shared" si="65"/>
        <v>0</v>
      </c>
      <c r="L565" s="1161"/>
      <c r="N565" s="1162" t="str">
        <f t="shared" si="68"/>
        <v xml:space="preserve"> </v>
      </c>
      <c r="O565" s="1163" t="str">
        <f t="shared" si="69"/>
        <v xml:space="preserve"> </v>
      </c>
      <c r="Q565">
        <f t="shared" si="70"/>
        <v>0</v>
      </c>
      <c r="R565">
        <f t="shared" si="71"/>
        <v>0</v>
      </c>
    </row>
    <row r="566" spans="2:18" x14ac:dyDescent="0.15">
      <c r="B566" s="1157"/>
      <c r="C566" s="1158"/>
      <c r="D566" s="897"/>
      <c r="E566" s="1159" t="str">
        <f t="shared" si="66"/>
        <v xml:space="preserve"> </v>
      </c>
      <c r="G566" s="1160" t="str">
        <f t="shared" si="67"/>
        <v xml:space="preserve"> </v>
      </c>
      <c r="H566" s="1149"/>
      <c r="I566">
        <f t="shared" si="64"/>
        <v>0</v>
      </c>
      <c r="K566">
        <f t="shared" si="65"/>
        <v>0</v>
      </c>
      <c r="L566" s="1161"/>
      <c r="N566" s="1162" t="str">
        <f t="shared" si="68"/>
        <v xml:space="preserve"> </v>
      </c>
      <c r="O566" s="1163" t="str">
        <f t="shared" si="69"/>
        <v xml:space="preserve"> </v>
      </c>
      <c r="Q566">
        <f t="shared" si="70"/>
        <v>0</v>
      </c>
      <c r="R566">
        <f t="shared" si="71"/>
        <v>0</v>
      </c>
    </row>
    <row r="567" spans="2:18" x14ac:dyDescent="0.15">
      <c r="B567" s="1157"/>
      <c r="C567" s="1158"/>
      <c r="D567" s="897"/>
      <c r="E567" s="1159" t="str">
        <f t="shared" si="66"/>
        <v xml:space="preserve"> </v>
      </c>
      <c r="G567" s="1160" t="str">
        <f t="shared" si="67"/>
        <v xml:space="preserve"> </v>
      </c>
      <c r="H567" s="1149"/>
      <c r="I567">
        <f t="shared" si="64"/>
        <v>0</v>
      </c>
      <c r="K567">
        <f t="shared" si="65"/>
        <v>0</v>
      </c>
      <c r="L567" s="1161"/>
      <c r="N567" s="1162" t="str">
        <f t="shared" si="68"/>
        <v xml:space="preserve"> </v>
      </c>
      <c r="O567" s="1163" t="str">
        <f t="shared" si="69"/>
        <v xml:space="preserve"> </v>
      </c>
      <c r="Q567">
        <f t="shared" si="70"/>
        <v>0</v>
      </c>
      <c r="R567">
        <f t="shared" si="71"/>
        <v>0</v>
      </c>
    </row>
    <row r="568" spans="2:18" x14ac:dyDescent="0.15">
      <c r="B568" s="1157"/>
      <c r="C568" s="1158"/>
      <c r="D568" s="897"/>
      <c r="E568" s="1159" t="str">
        <f t="shared" si="66"/>
        <v xml:space="preserve"> </v>
      </c>
      <c r="G568" s="1160" t="str">
        <f t="shared" si="67"/>
        <v xml:space="preserve"> </v>
      </c>
      <c r="H568" s="1149"/>
      <c r="I568">
        <f t="shared" si="64"/>
        <v>0</v>
      </c>
      <c r="K568">
        <f t="shared" si="65"/>
        <v>0</v>
      </c>
      <c r="L568" s="1161"/>
      <c r="N568" s="1162" t="str">
        <f t="shared" si="68"/>
        <v xml:space="preserve"> </v>
      </c>
      <c r="O568" s="1163" t="str">
        <f t="shared" si="69"/>
        <v xml:space="preserve"> </v>
      </c>
      <c r="Q568">
        <f t="shared" si="70"/>
        <v>0</v>
      </c>
      <c r="R568">
        <f t="shared" si="71"/>
        <v>0</v>
      </c>
    </row>
    <row r="569" spans="2:18" x14ac:dyDescent="0.15">
      <c r="B569" s="1157"/>
      <c r="C569" s="1158"/>
      <c r="D569" s="897"/>
      <c r="E569" s="1159" t="str">
        <f t="shared" si="66"/>
        <v xml:space="preserve"> </v>
      </c>
      <c r="G569" s="1160" t="str">
        <f t="shared" si="67"/>
        <v xml:space="preserve"> </v>
      </c>
      <c r="H569" s="1149"/>
      <c r="I569">
        <f t="shared" si="64"/>
        <v>0</v>
      </c>
      <c r="K569">
        <f t="shared" si="65"/>
        <v>0</v>
      </c>
      <c r="L569" s="1161"/>
      <c r="N569" s="1162" t="str">
        <f t="shared" si="68"/>
        <v xml:space="preserve"> </v>
      </c>
      <c r="O569" s="1163" t="str">
        <f t="shared" si="69"/>
        <v xml:space="preserve"> </v>
      </c>
      <c r="Q569">
        <f t="shared" si="70"/>
        <v>0</v>
      </c>
      <c r="R569">
        <f t="shared" si="71"/>
        <v>0</v>
      </c>
    </row>
    <row r="570" spans="2:18" x14ac:dyDescent="0.15">
      <c r="B570" s="1157"/>
      <c r="C570" s="1158"/>
      <c r="D570" s="897"/>
      <c r="E570" s="1159" t="str">
        <f t="shared" si="66"/>
        <v xml:space="preserve"> </v>
      </c>
      <c r="G570" s="1160" t="str">
        <f t="shared" si="67"/>
        <v xml:space="preserve"> </v>
      </c>
      <c r="H570" s="1149"/>
      <c r="I570">
        <f t="shared" si="64"/>
        <v>0</v>
      </c>
      <c r="K570">
        <f t="shared" si="65"/>
        <v>0</v>
      </c>
      <c r="L570" s="1161"/>
      <c r="N570" s="1162" t="str">
        <f t="shared" si="68"/>
        <v xml:space="preserve"> </v>
      </c>
      <c r="O570" s="1163" t="str">
        <f t="shared" si="69"/>
        <v xml:space="preserve"> </v>
      </c>
      <c r="Q570">
        <f t="shared" si="70"/>
        <v>0</v>
      </c>
      <c r="R570">
        <f t="shared" si="71"/>
        <v>0</v>
      </c>
    </row>
    <row r="571" spans="2:18" x14ac:dyDescent="0.15">
      <c r="B571" s="1157"/>
      <c r="C571" s="1158"/>
      <c r="D571" s="897"/>
      <c r="E571" s="1159" t="str">
        <f t="shared" si="66"/>
        <v xml:space="preserve"> </v>
      </c>
      <c r="G571" s="1160" t="str">
        <f t="shared" si="67"/>
        <v xml:space="preserve"> </v>
      </c>
      <c r="H571" s="1149"/>
      <c r="I571">
        <f t="shared" si="64"/>
        <v>0</v>
      </c>
      <c r="K571">
        <f t="shared" si="65"/>
        <v>0</v>
      </c>
      <c r="L571" s="1161"/>
      <c r="N571" s="1162" t="str">
        <f t="shared" si="68"/>
        <v xml:space="preserve"> </v>
      </c>
      <c r="O571" s="1163" t="str">
        <f t="shared" si="69"/>
        <v xml:space="preserve"> </v>
      </c>
      <c r="Q571">
        <f t="shared" si="70"/>
        <v>0</v>
      </c>
      <c r="R571">
        <f t="shared" si="71"/>
        <v>0</v>
      </c>
    </row>
    <row r="572" spans="2:18" x14ac:dyDescent="0.15">
      <c r="B572" s="1157"/>
      <c r="C572" s="1158"/>
      <c r="D572" s="897"/>
      <c r="E572" s="1159" t="str">
        <f t="shared" si="66"/>
        <v xml:space="preserve"> </v>
      </c>
      <c r="G572" s="1160" t="str">
        <f t="shared" si="67"/>
        <v xml:space="preserve"> </v>
      </c>
      <c r="H572" s="1149"/>
      <c r="I572">
        <f t="shared" si="64"/>
        <v>0</v>
      </c>
      <c r="K572">
        <f t="shared" si="65"/>
        <v>0</v>
      </c>
      <c r="L572" s="1161"/>
      <c r="N572" s="1162" t="str">
        <f t="shared" si="68"/>
        <v xml:space="preserve"> </v>
      </c>
      <c r="O572" s="1163" t="str">
        <f t="shared" si="69"/>
        <v xml:space="preserve"> </v>
      </c>
      <c r="Q572">
        <f t="shared" si="70"/>
        <v>0</v>
      </c>
      <c r="R572">
        <f t="shared" si="71"/>
        <v>0</v>
      </c>
    </row>
    <row r="573" spans="2:18" x14ac:dyDescent="0.15">
      <c r="B573" s="1157"/>
      <c r="C573" s="1158"/>
      <c r="D573" s="897"/>
      <c r="E573" s="1159" t="str">
        <f t="shared" si="66"/>
        <v xml:space="preserve"> </v>
      </c>
      <c r="G573" s="1160" t="str">
        <f t="shared" si="67"/>
        <v xml:space="preserve"> </v>
      </c>
      <c r="H573" s="1149"/>
      <c r="I573">
        <f t="shared" si="64"/>
        <v>0</v>
      </c>
      <c r="K573">
        <f t="shared" si="65"/>
        <v>0</v>
      </c>
      <c r="L573" s="1161"/>
      <c r="N573" s="1162" t="str">
        <f t="shared" si="68"/>
        <v xml:space="preserve"> </v>
      </c>
      <c r="O573" s="1163" t="str">
        <f t="shared" si="69"/>
        <v xml:space="preserve"> </v>
      </c>
      <c r="Q573">
        <f t="shared" si="70"/>
        <v>0</v>
      </c>
      <c r="R573">
        <f t="shared" si="71"/>
        <v>0</v>
      </c>
    </row>
    <row r="574" spans="2:18" x14ac:dyDescent="0.15">
      <c r="B574" s="1157"/>
      <c r="C574" s="1158"/>
      <c r="D574" s="897"/>
      <c r="E574" s="1159" t="str">
        <f t="shared" si="66"/>
        <v xml:space="preserve"> </v>
      </c>
      <c r="G574" s="1160" t="str">
        <f t="shared" si="67"/>
        <v xml:space="preserve"> </v>
      </c>
      <c r="H574" s="1149"/>
      <c r="I574">
        <f t="shared" si="64"/>
        <v>0</v>
      </c>
      <c r="K574">
        <f t="shared" si="65"/>
        <v>0</v>
      </c>
      <c r="L574" s="1161"/>
      <c r="N574" s="1162" t="str">
        <f t="shared" si="68"/>
        <v xml:space="preserve"> </v>
      </c>
      <c r="O574" s="1163" t="str">
        <f t="shared" si="69"/>
        <v xml:space="preserve"> </v>
      </c>
      <c r="Q574">
        <f t="shared" si="70"/>
        <v>0</v>
      </c>
      <c r="R574">
        <f t="shared" si="71"/>
        <v>0</v>
      </c>
    </row>
    <row r="575" spans="2:18" x14ac:dyDescent="0.15">
      <c r="B575" s="1157"/>
      <c r="C575" s="1158"/>
      <c r="D575" s="897"/>
      <c r="E575" s="1159" t="str">
        <f t="shared" si="66"/>
        <v xml:space="preserve"> </v>
      </c>
      <c r="G575" s="1160" t="str">
        <f t="shared" si="67"/>
        <v xml:space="preserve"> </v>
      </c>
      <c r="H575" s="1149"/>
      <c r="I575">
        <f t="shared" si="64"/>
        <v>0</v>
      </c>
      <c r="K575">
        <f t="shared" si="65"/>
        <v>0</v>
      </c>
      <c r="L575" s="1161"/>
      <c r="N575" s="1162" t="str">
        <f t="shared" si="68"/>
        <v xml:space="preserve"> </v>
      </c>
      <c r="O575" s="1163" t="str">
        <f t="shared" si="69"/>
        <v xml:space="preserve"> </v>
      </c>
      <c r="Q575">
        <f t="shared" si="70"/>
        <v>0</v>
      </c>
      <c r="R575">
        <f t="shared" si="71"/>
        <v>0</v>
      </c>
    </row>
    <row r="576" spans="2:18" x14ac:dyDescent="0.15">
      <c r="B576" s="1157"/>
      <c r="C576" s="1158"/>
      <c r="D576" s="897"/>
      <c r="E576" s="1159" t="str">
        <f t="shared" si="66"/>
        <v xml:space="preserve"> </v>
      </c>
      <c r="G576" s="1160" t="str">
        <f t="shared" si="67"/>
        <v xml:space="preserve"> </v>
      </c>
      <c r="H576" s="1149"/>
      <c r="I576">
        <f t="shared" si="64"/>
        <v>0</v>
      </c>
      <c r="K576">
        <f t="shared" si="65"/>
        <v>0</v>
      </c>
      <c r="L576" s="1161"/>
      <c r="N576" s="1162" t="str">
        <f t="shared" si="68"/>
        <v xml:space="preserve"> </v>
      </c>
      <c r="O576" s="1163" t="str">
        <f t="shared" si="69"/>
        <v xml:space="preserve"> </v>
      </c>
      <c r="Q576">
        <f t="shared" si="70"/>
        <v>0</v>
      </c>
      <c r="R576">
        <f t="shared" si="71"/>
        <v>0</v>
      </c>
    </row>
    <row r="577" spans="2:18" x14ac:dyDescent="0.15">
      <c r="B577" s="1157"/>
      <c r="C577" s="1158"/>
      <c r="D577" s="897"/>
      <c r="E577" s="1159" t="str">
        <f t="shared" si="66"/>
        <v xml:space="preserve"> </v>
      </c>
      <c r="G577" s="1160" t="str">
        <f t="shared" si="67"/>
        <v xml:space="preserve"> </v>
      </c>
      <c r="H577" s="1149"/>
      <c r="I577">
        <f t="shared" si="64"/>
        <v>0</v>
      </c>
      <c r="K577">
        <f t="shared" si="65"/>
        <v>0</v>
      </c>
      <c r="L577" s="1161"/>
      <c r="N577" s="1162" t="str">
        <f t="shared" si="68"/>
        <v xml:space="preserve"> </v>
      </c>
      <c r="O577" s="1163" t="str">
        <f t="shared" si="69"/>
        <v xml:space="preserve"> </v>
      </c>
      <c r="Q577">
        <f t="shared" si="70"/>
        <v>0</v>
      </c>
      <c r="R577">
        <f t="shared" si="71"/>
        <v>0</v>
      </c>
    </row>
    <row r="578" spans="2:18" x14ac:dyDescent="0.15">
      <c r="B578" s="1157"/>
      <c r="C578" s="1158"/>
      <c r="D578" s="897"/>
      <c r="E578" s="1159" t="str">
        <f t="shared" si="66"/>
        <v xml:space="preserve"> </v>
      </c>
      <c r="G578" s="1160" t="str">
        <f t="shared" si="67"/>
        <v xml:space="preserve"> </v>
      </c>
      <c r="H578" s="1149"/>
      <c r="I578">
        <f t="shared" si="64"/>
        <v>0</v>
      </c>
      <c r="K578">
        <f t="shared" si="65"/>
        <v>0</v>
      </c>
      <c r="L578" s="1161"/>
      <c r="N578" s="1162" t="str">
        <f t="shared" si="68"/>
        <v xml:space="preserve"> </v>
      </c>
      <c r="O578" s="1163" t="str">
        <f t="shared" si="69"/>
        <v xml:space="preserve"> </v>
      </c>
      <c r="Q578">
        <f t="shared" si="70"/>
        <v>0</v>
      </c>
      <c r="R578">
        <f t="shared" si="71"/>
        <v>0</v>
      </c>
    </row>
    <row r="579" spans="2:18" x14ac:dyDescent="0.15">
      <c r="B579" s="1157"/>
      <c r="C579" s="1158"/>
      <c r="D579" s="897"/>
      <c r="E579" s="1159" t="str">
        <f t="shared" si="66"/>
        <v xml:space="preserve"> </v>
      </c>
      <c r="G579" s="1160" t="str">
        <f t="shared" si="67"/>
        <v xml:space="preserve"> </v>
      </c>
      <c r="H579" s="1149"/>
      <c r="I579">
        <f t="shared" si="64"/>
        <v>0</v>
      </c>
      <c r="K579">
        <f t="shared" si="65"/>
        <v>0</v>
      </c>
      <c r="L579" s="1161"/>
      <c r="N579" s="1162" t="str">
        <f t="shared" si="68"/>
        <v xml:space="preserve"> </v>
      </c>
      <c r="O579" s="1163" t="str">
        <f t="shared" si="69"/>
        <v xml:space="preserve"> </v>
      </c>
      <c r="Q579">
        <f t="shared" si="70"/>
        <v>0</v>
      </c>
      <c r="R579">
        <f t="shared" si="71"/>
        <v>0</v>
      </c>
    </row>
    <row r="580" spans="2:18" x14ac:dyDescent="0.15">
      <c r="B580" s="1157"/>
      <c r="C580" s="1158"/>
      <c r="D580" s="897"/>
      <c r="E580" s="1159" t="str">
        <f t="shared" si="66"/>
        <v xml:space="preserve"> </v>
      </c>
      <c r="G580" s="1160" t="str">
        <f t="shared" si="67"/>
        <v xml:space="preserve"> </v>
      </c>
      <c r="H580" s="1149"/>
      <c r="I580">
        <f t="shared" si="64"/>
        <v>0</v>
      </c>
      <c r="K580">
        <f t="shared" si="65"/>
        <v>0</v>
      </c>
      <c r="L580" s="1161"/>
      <c r="N580" s="1162" t="str">
        <f t="shared" si="68"/>
        <v xml:space="preserve"> </v>
      </c>
      <c r="O580" s="1163" t="str">
        <f t="shared" si="69"/>
        <v xml:space="preserve"> </v>
      </c>
      <c r="Q580">
        <f t="shared" si="70"/>
        <v>0</v>
      </c>
      <c r="R580">
        <f t="shared" si="71"/>
        <v>0</v>
      </c>
    </row>
    <row r="581" spans="2:18" x14ac:dyDescent="0.15">
      <c r="B581" s="1157"/>
      <c r="C581" s="1158"/>
      <c r="D581" s="897"/>
      <c r="E581" s="1159" t="str">
        <f t="shared" si="66"/>
        <v xml:space="preserve"> </v>
      </c>
      <c r="G581" s="1160" t="str">
        <f t="shared" si="67"/>
        <v xml:space="preserve"> </v>
      </c>
      <c r="H581" s="1149"/>
      <c r="I581">
        <f t="shared" si="64"/>
        <v>0</v>
      </c>
      <c r="K581">
        <f t="shared" si="65"/>
        <v>0</v>
      </c>
      <c r="L581" s="1161"/>
      <c r="N581" s="1162" t="str">
        <f t="shared" si="68"/>
        <v xml:space="preserve"> </v>
      </c>
      <c r="O581" s="1163" t="str">
        <f t="shared" si="69"/>
        <v xml:space="preserve"> </v>
      </c>
      <c r="Q581">
        <f t="shared" si="70"/>
        <v>0</v>
      </c>
      <c r="R581">
        <f t="shared" si="71"/>
        <v>0</v>
      </c>
    </row>
    <row r="582" spans="2:18" x14ac:dyDescent="0.15">
      <c r="B582" s="1157"/>
      <c r="C582" s="1158"/>
      <c r="D582" s="897"/>
      <c r="E582" s="1159" t="str">
        <f t="shared" si="66"/>
        <v xml:space="preserve"> </v>
      </c>
      <c r="G582" s="1160" t="str">
        <f t="shared" si="67"/>
        <v xml:space="preserve"> </v>
      </c>
      <c r="H582" s="1149"/>
      <c r="I582">
        <f t="shared" si="64"/>
        <v>0</v>
      </c>
      <c r="K582">
        <f t="shared" si="65"/>
        <v>0</v>
      </c>
      <c r="L582" s="1161"/>
      <c r="N582" s="1162" t="str">
        <f t="shared" si="68"/>
        <v xml:space="preserve"> </v>
      </c>
      <c r="O582" s="1163" t="str">
        <f t="shared" si="69"/>
        <v xml:space="preserve"> </v>
      </c>
      <c r="Q582">
        <f t="shared" si="70"/>
        <v>0</v>
      </c>
      <c r="R582">
        <f t="shared" si="71"/>
        <v>0</v>
      </c>
    </row>
    <row r="583" spans="2:18" x14ac:dyDescent="0.15">
      <c r="B583" s="1157"/>
      <c r="C583" s="1158"/>
      <c r="D583" s="897"/>
      <c r="E583" s="1159" t="str">
        <f t="shared" si="66"/>
        <v xml:space="preserve"> </v>
      </c>
      <c r="G583" s="1160" t="str">
        <f t="shared" si="67"/>
        <v xml:space="preserve"> </v>
      </c>
      <c r="H583" s="1149"/>
      <c r="I583">
        <f t="shared" si="64"/>
        <v>0</v>
      </c>
      <c r="K583">
        <f t="shared" si="65"/>
        <v>0</v>
      </c>
      <c r="L583" s="1161"/>
      <c r="N583" s="1162" t="str">
        <f t="shared" si="68"/>
        <v xml:space="preserve"> </v>
      </c>
      <c r="O583" s="1163" t="str">
        <f t="shared" si="69"/>
        <v xml:space="preserve"> </v>
      </c>
      <c r="Q583">
        <f t="shared" si="70"/>
        <v>0</v>
      </c>
      <c r="R583">
        <f t="shared" si="71"/>
        <v>0</v>
      </c>
    </row>
    <row r="584" spans="2:18" x14ac:dyDescent="0.15">
      <c r="B584" s="1157"/>
      <c r="C584" s="1158"/>
      <c r="D584" s="897"/>
      <c r="E584" s="1159" t="str">
        <f t="shared" si="66"/>
        <v xml:space="preserve"> </v>
      </c>
      <c r="G584" s="1160" t="str">
        <f t="shared" si="67"/>
        <v xml:space="preserve"> </v>
      </c>
      <c r="H584" s="1149"/>
      <c r="I584">
        <f t="shared" ref="I584:I647" si="72">(J584+C584)/12</f>
        <v>0</v>
      </c>
      <c r="K584">
        <f t="shared" ref="K584:K647" si="73">I584+B584</f>
        <v>0</v>
      </c>
      <c r="L584" s="1161"/>
      <c r="N584" s="1162" t="str">
        <f t="shared" si="68"/>
        <v xml:space="preserve"> </v>
      </c>
      <c r="O584" s="1163" t="str">
        <f t="shared" si="69"/>
        <v xml:space="preserve"> </v>
      </c>
      <c r="Q584">
        <f t="shared" si="70"/>
        <v>0</v>
      </c>
      <c r="R584">
        <f t="shared" si="71"/>
        <v>0</v>
      </c>
    </row>
    <row r="585" spans="2:18" x14ac:dyDescent="0.15">
      <c r="B585" s="1157"/>
      <c r="C585" s="1158"/>
      <c r="D585" s="897"/>
      <c r="E585" s="1159" t="str">
        <f t="shared" si="66"/>
        <v xml:space="preserve"> </v>
      </c>
      <c r="G585" s="1160" t="str">
        <f t="shared" si="67"/>
        <v xml:space="preserve"> </v>
      </c>
      <c r="H585" s="1149"/>
      <c r="I585">
        <f t="shared" si="72"/>
        <v>0</v>
      </c>
      <c r="K585">
        <f t="shared" si="73"/>
        <v>0</v>
      </c>
      <c r="L585" s="1161"/>
      <c r="N585" s="1162" t="str">
        <f t="shared" si="68"/>
        <v xml:space="preserve"> </v>
      </c>
      <c r="O585" s="1163" t="str">
        <f t="shared" si="69"/>
        <v xml:space="preserve"> </v>
      </c>
      <c r="Q585">
        <f t="shared" si="70"/>
        <v>0</v>
      </c>
      <c r="R585">
        <f t="shared" si="71"/>
        <v>0</v>
      </c>
    </row>
    <row r="586" spans="2:18" x14ac:dyDescent="0.15">
      <c r="B586" s="1157"/>
      <c r="C586" s="1158"/>
      <c r="D586" s="897"/>
      <c r="E586" s="1159" t="str">
        <f t="shared" ref="E586:E649" si="74">IF(K586=0," ",IF(K586&gt;0,K586*12*25.4))</f>
        <v xml:space="preserve"> </v>
      </c>
      <c r="G586" s="1160" t="str">
        <f t="shared" ref="G586:G649" si="75">IF(K586=0," ",IF(K586&gt;0,E586/1000))</f>
        <v xml:space="preserve"> </v>
      </c>
      <c r="H586" s="1149"/>
      <c r="I586">
        <f t="shared" si="72"/>
        <v>0</v>
      </c>
      <c r="K586">
        <f t="shared" si="73"/>
        <v>0</v>
      </c>
      <c r="L586" s="1161"/>
      <c r="N586" s="1162" t="str">
        <f t="shared" ref="N586:N649" si="76">IF(R586=0," ",IF(R586&gt;0,TRUNC(R586)))</f>
        <v xml:space="preserve"> </v>
      </c>
      <c r="O586" s="1163" t="str">
        <f t="shared" ref="O586:O649" si="77">IF(R586=0," ",IF(R586&gt;0,(R586-N586)*12))</f>
        <v xml:space="preserve"> </v>
      </c>
      <c r="Q586">
        <f t="shared" ref="Q586:Q649" si="78">L586/25.4</f>
        <v>0</v>
      </c>
      <c r="R586">
        <f t="shared" ref="R586:R649" si="79">Q586/12</f>
        <v>0</v>
      </c>
    </row>
    <row r="587" spans="2:18" x14ac:dyDescent="0.15">
      <c r="B587" s="1157"/>
      <c r="C587" s="1158"/>
      <c r="D587" s="897"/>
      <c r="E587" s="1159" t="str">
        <f t="shared" si="74"/>
        <v xml:space="preserve"> </v>
      </c>
      <c r="G587" s="1160" t="str">
        <f t="shared" si="75"/>
        <v xml:space="preserve"> </v>
      </c>
      <c r="H587" s="1149"/>
      <c r="I587">
        <f t="shared" si="72"/>
        <v>0</v>
      </c>
      <c r="K587">
        <f t="shared" si="73"/>
        <v>0</v>
      </c>
      <c r="L587" s="1161"/>
      <c r="N587" s="1162" t="str">
        <f t="shared" si="76"/>
        <v xml:space="preserve"> </v>
      </c>
      <c r="O587" s="1163" t="str">
        <f t="shared" si="77"/>
        <v xml:space="preserve"> </v>
      </c>
      <c r="Q587">
        <f t="shared" si="78"/>
        <v>0</v>
      </c>
      <c r="R587">
        <f t="shared" si="79"/>
        <v>0</v>
      </c>
    </row>
    <row r="588" spans="2:18" x14ac:dyDescent="0.15">
      <c r="B588" s="1157"/>
      <c r="C588" s="1158"/>
      <c r="D588" s="897"/>
      <c r="E588" s="1159" t="str">
        <f t="shared" si="74"/>
        <v xml:space="preserve"> </v>
      </c>
      <c r="G588" s="1160" t="str">
        <f t="shared" si="75"/>
        <v xml:space="preserve"> </v>
      </c>
      <c r="H588" s="1149"/>
      <c r="I588">
        <f t="shared" si="72"/>
        <v>0</v>
      </c>
      <c r="K588">
        <f t="shared" si="73"/>
        <v>0</v>
      </c>
      <c r="L588" s="1161"/>
      <c r="N588" s="1162" t="str">
        <f t="shared" si="76"/>
        <v xml:space="preserve"> </v>
      </c>
      <c r="O588" s="1163" t="str">
        <f t="shared" si="77"/>
        <v xml:space="preserve"> </v>
      </c>
      <c r="Q588">
        <f t="shared" si="78"/>
        <v>0</v>
      </c>
      <c r="R588">
        <f t="shared" si="79"/>
        <v>0</v>
      </c>
    </row>
    <row r="589" spans="2:18" x14ac:dyDescent="0.15">
      <c r="B589" s="1157"/>
      <c r="C589" s="1158"/>
      <c r="D589" s="897"/>
      <c r="E589" s="1159" t="str">
        <f t="shared" si="74"/>
        <v xml:space="preserve"> </v>
      </c>
      <c r="G589" s="1160" t="str">
        <f t="shared" si="75"/>
        <v xml:space="preserve"> </v>
      </c>
      <c r="H589" s="1149"/>
      <c r="I589">
        <f t="shared" si="72"/>
        <v>0</v>
      </c>
      <c r="K589">
        <f t="shared" si="73"/>
        <v>0</v>
      </c>
      <c r="L589" s="1161"/>
      <c r="N589" s="1162" t="str">
        <f t="shared" si="76"/>
        <v xml:space="preserve"> </v>
      </c>
      <c r="O589" s="1163" t="str">
        <f t="shared" si="77"/>
        <v xml:space="preserve"> </v>
      </c>
      <c r="Q589">
        <f t="shared" si="78"/>
        <v>0</v>
      </c>
      <c r="R589">
        <f t="shared" si="79"/>
        <v>0</v>
      </c>
    </row>
    <row r="590" spans="2:18" x14ac:dyDescent="0.15">
      <c r="B590" s="1157"/>
      <c r="C590" s="1158"/>
      <c r="D590" s="897"/>
      <c r="E590" s="1159" t="str">
        <f t="shared" si="74"/>
        <v xml:space="preserve"> </v>
      </c>
      <c r="G590" s="1160" t="str">
        <f t="shared" si="75"/>
        <v xml:space="preserve"> </v>
      </c>
      <c r="H590" s="1149"/>
      <c r="I590">
        <f t="shared" si="72"/>
        <v>0</v>
      </c>
      <c r="K590">
        <f t="shared" si="73"/>
        <v>0</v>
      </c>
      <c r="L590" s="1161"/>
      <c r="N590" s="1162" t="str">
        <f t="shared" si="76"/>
        <v xml:space="preserve"> </v>
      </c>
      <c r="O590" s="1163" t="str">
        <f t="shared" si="77"/>
        <v xml:space="preserve"> </v>
      </c>
      <c r="Q590">
        <f t="shared" si="78"/>
        <v>0</v>
      </c>
      <c r="R590">
        <f t="shared" si="79"/>
        <v>0</v>
      </c>
    </row>
    <row r="591" spans="2:18" x14ac:dyDescent="0.15">
      <c r="B591" s="1157"/>
      <c r="C591" s="1158"/>
      <c r="D591" s="897"/>
      <c r="E591" s="1159" t="str">
        <f t="shared" si="74"/>
        <v xml:space="preserve"> </v>
      </c>
      <c r="G591" s="1160" t="str">
        <f t="shared" si="75"/>
        <v xml:space="preserve"> </v>
      </c>
      <c r="H591" s="1149"/>
      <c r="I591">
        <f t="shared" si="72"/>
        <v>0</v>
      </c>
      <c r="K591">
        <f t="shared" si="73"/>
        <v>0</v>
      </c>
      <c r="L591" s="1161"/>
      <c r="N591" s="1162" t="str">
        <f t="shared" si="76"/>
        <v xml:space="preserve"> </v>
      </c>
      <c r="O591" s="1163" t="str">
        <f t="shared" si="77"/>
        <v xml:space="preserve"> </v>
      </c>
      <c r="Q591">
        <f t="shared" si="78"/>
        <v>0</v>
      </c>
      <c r="R591">
        <f t="shared" si="79"/>
        <v>0</v>
      </c>
    </row>
    <row r="592" spans="2:18" x14ac:dyDescent="0.15">
      <c r="B592" s="1157"/>
      <c r="C592" s="1158"/>
      <c r="D592" s="897"/>
      <c r="E592" s="1159" t="str">
        <f t="shared" si="74"/>
        <v xml:space="preserve"> </v>
      </c>
      <c r="G592" s="1160" t="str">
        <f t="shared" si="75"/>
        <v xml:space="preserve"> </v>
      </c>
      <c r="H592" s="1149"/>
      <c r="I592">
        <f t="shared" si="72"/>
        <v>0</v>
      </c>
      <c r="K592">
        <f t="shared" si="73"/>
        <v>0</v>
      </c>
      <c r="L592" s="1161"/>
      <c r="N592" s="1162" t="str">
        <f t="shared" si="76"/>
        <v xml:space="preserve"> </v>
      </c>
      <c r="O592" s="1163" t="str">
        <f t="shared" si="77"/>
        <v xml:space="preserve"> </v>
      </c>
      <c r="Q592">
        <f t="shared" si="78"/>
        <v>0</v>
      </c>
      <c r="R592">
        <f t="shared" si="79"/>
        <v>0</v>
      </c>
    </row>
    <row r="593" spans="2:18" x14ac:dyDescent="0.15">
      <c r="B593" s="1157"/>
      <c r="C593" s="1158"/>
      <c r="D593" s="897"/>
      <c r="E593" s="1159" t="str">
        <f t="shared" si="74"/>
        <v xml:space="preserve"> </v>
      </c>
      <c r="G593" s="1160" t="str">
        <f t="shared" si="75"/>
        <v xml:space="preserve"> </v>
      </c>
      <c r="H593" s="1149"/>
      <c r="I593">
        <f t="shared" si="72"/>
        <v>0</v>
      </c>
      <c r="K593">
        <f t="shared" si="73"/>
        <v>0</v>
      </c>
      <c r="L593" s="1161"/>
      <c r="N593" s="1162" t="str">
        <f t="shared" si="76"/>
        <v xml:space="preserve"> </v>
      </c>
      <c r="O593" s="1163" t="str">
        <f t="shared" si="77"/>
        <v xml:space="preserve"> </v>
      </c>
      <c r="Q593">
        <f t="shared" si="78"/>
        <v>0</v>
      </c>
      <c r="R593">
        <f t="shared" si="79"/>
        <v>0</v>
      </c>
    </row>
    <row r="594" spans="2:18" x14ac:dyDescent="0.15">
      <c r="B594" s="1157"/>
      <c r="C594" s="1158"/>
      <c r="D594" s="897"/>
      <c r="E594" s="1159" t="str">
        <f t="shared" si="74"/>
        <v xml:space="preserve"> </v>
      </c>
      <c r="G594" s="1160" t="str">
        <f t="shared" si="75"/>
        <v xml:space="preserve"> </v>
      </c>
      <c r="H594" s="1149"/>
      <c r="I594">
        <f t="shared" si="72"/>
        <v>0</v>
      </c>
      <c r="K594">
        <f t="shared" si="73"/>
        <v>0</v>
      </c>
      <c r="L594" s="1161"/>
      <c r="N594" s="1162" t="str">
        <f t="shared" si="76"/>
        <v xml:space="preserve"> </v>
      </c>
      <c r="O594" s="1163" t="str">
        <f t="shared" si="77"/>
        <v xml:space="preserve"> </v>
      </c>
      <c r="Q594">
        <f t="shared" si="78"/>
        <v>0</v>
      </c>
      <c r="R594">
        <f t="shared" si="79"/>
        <v>0</v>
      </c>
    </row>
    <row r="595" spans="2:18" x14ac:dyDescent="0.15">
      <c r="B595" s="1157"/>
      <c r="C595" s="1158"/>
      <c r="D595" s="897"/>
      <c r="E595" s="1159" t="str">
        <f t="shared" si="74"/>
        <v xml:space="preserve"> </v>
      </c>
      <c r="G595" s="1160" t="str">
        <f t="shared" si="75"/>
        <v xml:space="preserve"> </v>
      </c>
      <c r="H595" s="1149"/>
      <c r="I595">
        <f t="shared" si="72"/>
        <v>0</v>
      </c>
      <c r="K595">
        <f t="shared" si="73"/>
        <v>0</v>
      </c>
      <c r="L595" s="1161"/>
      <c r="N595" s="1162" t="str">
        <f t="shared" si="76"/>
        <v xml:space="preserve"> </v>
      </c>
      <c r="O595" s="1163" t="str">
        <f t="shared" si="77"/>
        <v xml:space="preserve"> </v>
      </c>
      <c r="Q595">
        <f t="shared" si="78"/>
        <v>0</v>
      </c>
      <c r="R595">
        <f t="shared" si="79"/>
        <v>0</v>
      </c>
    </row>
    <row r="596" spans="2:18" x14ac:dyDescent="0.15">
      <c r="B596" s="1157"/>
      <c r="C596" s="1158"/>
      <c r="D596" s="897"/>
      <c r="E596" s="1159" t="str">
        <f t="shared" si="74"/>
        <v xml:space="preserve"> </v>
      </c>
      <c r="G596" s="1160" t="str">
        <f t="shared" si="75"/>
        <v xml:space="preserve"> </v>
      </c>
      <c r="H596" s="1149"/>
      <c r="I596">
        <f t="shared" si="72"/>
        <v>0</v>
      </c>
      <c r="K596">
        <f t="shared" si="73"/>
        <v>0</v>
      </c>
      <c r="L596" s="1161"/>
      <c r="N596" s="1162" t="str">
        <f t="shared" si="76"/>
        <v xml:space="preserve"> </v>
      </c>
      <c r="O596" s="1163" t="str">
        <f t="shared" si="77"/>
        <v xml:space="preserve"> </v>
      </c>
      <c r="Q596">
        <f t="shared" si="78"/>
        <v>0</v>
      </c>
      <c r="R596">
        <f t="shared" si="79"/>
        <v>0</v>
      </c>
    </row>
    <row r="597" spans="2:18" x14ac:dyDescent="0.15">
      <c r="B597" s="1157"/>
      <c r="C597" s="1158"/>
      <c r="D597" s="897"/>
      <c r="E597" s="1159" t="str">
        <f t="shared" si="74"/>
        <v xml:space="preserve"> </v>
      </c>
      <c r="G597" s="1160" t="str">
        <f t="shared" si="75"/>
        <v xml:space="preserve"> </v>
      </c>
      <c r="H597" s="1149"/>
      <c r="I597">
        <f t="shared" si="72"/>
        <v>0</v>
      </c>
      <c r="K597">
        <f t="shared" si="73"/>
        <v>0</v>
      </c>
      <c r="L597" s="1161"/>
      <c r="N597" s="1162" t="str">
        <f t="shared" si="76"/>
        <v xml:space="preserve"> </v>
      </c>
      <c r="O597" s="1163" t="str">
        <f t="shared" si="77"/>
        <v xml:space="preserve"> </v>
      </c>
      <c r="Q597">
        <f t="shared" si="78"/>
        <v>0</v>
      </c>
      <c r="R597">
        <f t="shared" si="79"/>
        <v>0</v>
      </c>
    </row>
    <row r="598" spans="2:18" x14ac:dyDescent="0.15">
      <c r="B598" s="1157"/>
      <c r="C598" s="1158"/>
      <c r="D598" s="897"/>
      <c r="E598" s="1159" t="str">
        <f t="shared" si="74"/>
        <v xml:space="preserve"> </v>
      </c>
      <c r="G598" s="1160" t="str">
        <f t="shared" si="75"/>
        <v xml:space="preserve"> </v>
      </c>
      <c r="H598" s="1149"/>
      <c r="I598">
        <f t="shared" si="72"/>
        <v>0</v>
      </c>
      <c r="K598">
        <f t="shared" si="73"/>
        <v>0</v>
      </c>
      <c r="L598" s="1161"/>
      <c r="N598" s="1162" t="str">
        <f t="shared" si="76"/>
        <v xml:space="preserve"> </v>
      </c>
      <c r="O598" s="1163" t="str">
        <f t="shared" si="77"/>
        <v xml:space="preserve"> </v>
      </c>
      <c r="Q598">
        <f t="shared" si="78"/>
        <v>0</v>
      </c>
      <c r="R598">
        <f t="shared" si="79"/>
        <v>0</v>
      </c>
    </row>
    <row r="599" spans="2:18" x14ac:dyDescent="0.15">
      <c r="B599" s="1157"/>
      <c r="C599" s="1158"/>
      <c r="D599" s="897"/>
      <c r="E599" s="1159" t="str">
        <f t="shared" si="74"/>
        <v xml:space="preserve"> </v>
      </c>
      <c r="G599" s="1160" t="str">
        <f t="shared" si="75"/>
        <v xml:space="preserve"> </v>
      </c>
      <c r="H599" s="1149"/>
      <c r="I599">
        <f t="shared" si="72"/>
        <v>0</v>
      </c>
      <c r="K599">
        <f t="shared" si="73"/>
        <v>0</v>
      </c>
      <c r="L599" s="1161"/>
      <c r="N599" s="1162" t="str">
        <f t="shared" si="76"/>
        <v xml:space="preserve"> </v>
      </c>
      <c r="O599" s="1163" t="str">
        <f t="shared" si="77"/>
        <v xml:space="preserve"> </v>
      </c>
      <c r="Q599">
        <f t="shared" si="78"/>
        <v>0</v>
      </c>
      <c r="R599">
        <f t="shared" si="79"/>
        <v>0</v>
      </c>
    </row>
    <row r="600" spans="2:18" x14ac:dyDescent="0.15">
      <c r="B600" s="1157"/>
      <c r="C600" s="1158"/>
      <c r="D600" s="897"/>
      <c r="E600" s="1159" t="str">
        <f t="shared" si="74"/>
        <v xml:space="preserve"> </v>
      </c>
      <c r="G600" s="1160" t="str">
        <f t="shared" si="75"/>
        <v xml:space="preserve"> </v>
      </c>
      <c r="H600" s="1149"/>
      <c r="I600">
        <f t="shared" si="72"/>
        <v>0</v>
      </c>
      <c r="K600">
        <f t="shared" si="73"/>
        <v>0</v>
      </c>
      <c r="L600" s="1161"/>
      <c r="N600" s="1162" t="str">
        <f t="shared" si="76"/>
        <v xml:space="preserve"> </v>
      </c>
      <c r="O600" s="1163" t="str">
        <f t="shared" si="77"/>
        <v xml:space="preserve"> </v>
      </c>
      <c r="Q600">
        <f t="shared" si="78"/>
        <v>0</v>
      </c>
      <c r="R600">
        <f t="shared" si="79"/>
        <v>0</v>
      </c>
    </row>
    <row r="601" spans="2:18" x14ac:dyDescent="0.15">
      <c r="B601" s="1157"/>
      <c r="C601" s="1158"/>
      <c r="D601" s="897"/>
      <c r="E601" s="1159" t="str">
        <f t="shared" si="74"/>
        <v xml:space="preserve"> </v>
      </c>
      <c r="G601" s="1160" t="str">
        <f t="shared" si="75"/>
        <v xml:space="preserve"> </v>
      </c>
      <c r="H601" s="1149"/>
      <c r="I601">
        <f t="shared" si="72"/>
        <v>0</v>
      </c>
      <c r="K601">
        <f t="shared" si="73"/>
        <v>0</v>
      </c>
      <c r="L601" s="1161"/>
      <c r="N601" s="1162" t="str">
        <f t="shared" si="76"/>
        <v xml:space="preserve"> </v>
      </c>
      <c r="O601" s="1163" t="str">
        <f t="shared" si="77"/>
        <v xml:space="preserve"> </v>
      </c>
      <c r="Q601">
        <f t="shared" si="78"/>
        <v>0</v>
      </c>
      <c r="R601">
        <f t="shared" si="79"/>
        <v>0</v>
      </c>
    </row>
    <row r="602" spans="2:18" x14ac:dyDescent="0.15">
      <c r="B602" s="1157"/>
      <c r="C602" s="1158"/>
      <c r="D602" s="897"/>
      <c r="E602" s="1159" t="str">
        <f t="shared" si="74"/>
        <v xml:space="preserve"> </v>
      </c>
      <c r="G602" s="1160" t="str">
        <f t="shared" si="75"/>
        <v xml:space="preserve"> </v>
      </c>
      <c r="H602" s="1149"/>
      <c r="I602">
        <f t="shared" si="72"/>
        <v>0</v>
      </c>
      <c r="K602">
        <f t="shared" si="73"/>
        <v>0</v>
      </c>
      <c r="L602" s="1161"/>
      <c r="N602" s="1162" t="str">
        <f t="shared" si="76"/>
        <v xml:space="preserve"> </v>
      </c>
      <c r="O602" s="1163" t="str">
        <f t="shared" si="77"/>
        <v xml:space="preserve"> </v>
      </c>
      <c r="Q602">
        <f t="shared" si="78"/>
        <v>0</v>
      </c>
      <c r="R602">
        <f t="shared" si="79"/>
        <v>0</v>
      </c>
    </row>
    <row r="603" spans="2:18" x14ac:dyDescent="0.15">
      <c r="B603" s="1157"/>
      <c r="C603" s="1158"/>
      <c r="D603" s="897"/>
      <c r="E603" s="1159" t="str">
        <f t="shared" si="74"/>
        <v xml:space="preserve"> </v>
      </c>
      <c r="G603" s="1160" t="str">
        <f t="shared" si="75"/>
        <v xml:space="preserve"> </v>
      </c>
      <c r="H603" s="1149"/>
      <c r="I603">
        <f t="shared" si="72"/>
        <v>0</v>
      </c>
      <c r="K603">
        <f t="shared" si="73"/>
        <v>0</v>
      </c>
      <c r="L603" s="1161"/>
      <c r="N603" s="1162" t="str">
        <f t="shared" si="76"/>
        <v xml:space="preserve"> </v>
      </c>
      <c r="O603" s="1163" t="str">
        <f t="shared" si="77"/>
        <v xml:space="preserve"> </v>
      </c>
      <c r="Q603">
        <f t="shared" si="78"/>
        <v>0</v>
      </c>
      <c r="R603">
        <f t="shared" si="79"/>
        <v>0</v>
      </c>
    </row>
    <row r="604" spans="2:18" x14ac:dyDescent="0.15">
      <c r="B604" s="1157"/>
      <c r="C604" s="1158"/>
      <c r="D604" s="897"/>
      <c r="E604" s="1159" t="str">
        <f t="shared" si="74"/>
        <v xml:space="preserve"> </v>
      </c>
      <c r="G604" s="1160" t="str">
        <f t="shared" si="75"/>
        <v xml:space="preserve"> </v>
      </c>
      <c r="H604" s="1149"/>
      <c r="I604">
        <f t="shared" si="72"/>
        <v>0</v>
      </c>
      <c r="K604">
        <f t="shared" si="73"/>
        <v>0</v>
      </c>
      <c r="L604" s="1161"/>
      <c r="N604" s="1162" t="str">
        <f t="shared" si="76"/>
        <v xml:space="preserve"> </v>
      </c>
      <c r="O604" s="1163" t="str">
        <f t="shared" si="77"/>
        <v xml:space="preserve"> </v>
      </c>
      <c r="Q604">
        <f t="shared" si="78"/>
        <v>0</v>
      </c>
      <c r="R604">
        <f t="shared" si="79"/>
        <v>0</v>
      </c>
    </row>
    <row r="605" spans="2:18" x14ac:dyDescent="0.15">
      <c r="B605" s="1157"/>
      <c r="C605" s="1158"/>
      <c r="D605" s="897"/>
      <c r="E605" s="1159" t="str">
        <f t="shared" si="74"/>
        <v xml:space="preserve"> </v>
      </c>
      <c r="G605" s="1160" t="str">
        <f t="shared" si="75"/>
        <v xml:space="preserve"> </v>
      </c>
      <c r="H605" s="1149"/>
      <c r="I605">
        <f t="shared" si="72"/>
        <v>0</v>
      </c>
      <c r="K605">
        <f t="shared" si="73"/>
        <v>0</v>
      </c>
      <c r="L605" s="1161"/>
      <c r="N605" s="1162" t="str">
        <f t="shared" si="76"/>
        <v xml:space="preserve"> </v>
      </c>
      <c r="O605" s="1163" t="str">
        <f t="shared" si="77"/>
        <v xml:space="preserve"> </v>
      </c>
      <c r="Q605">
        <f t="shared" si="78"/>
        <v>0</v>
      </c>
      <c r="R605">
        <f t="shared" si="79"/>
        <v>0</v>
      </c>
    </row>
    <row r="606" spans="2:18" x14ac:dyDescent="0.15">
      <c r="B606" s="1157"/>
      <c r="C606" s="1158"/>
      <c r="D606" s="897"/>
      <c r="E606" s="1159" t="str">
        <f t="shared" si="74"/>
        <v xml:space="preserve"> </v>
      </c>
      <c r="G606" s="1160" t="str">
        <f t="shared" si="75"/>
        <v xml:space="preserve"> </v>
      </c>
      <c r="H606" s="1149"/>
      <c r="I606">
        <f t="shared" si="72"/>
        <v>0</v>
      </c>
      <c r="K606">
        <f t="shared" si="73"/>
        <v>0</v>
      </c>
      <c r="L606" s="1161"/>
      <c r="N606" s="1162" t="str">
        <f t="shared" si="76"/>
        <v xml:space="preserve"> </v>
      </c>
      <c r="O606" s="1163" t="str">
        <f t="shared" si="77"/>
        <v xml:space="preserve"> </v>
      </c>
      <c r="Q606">
        <f t="shared" si="78"/>
        <v>0</v>
      </c>
      <c r="R606">
        <f t="shared" si="79"/>
        <v>0</v>
      </c>
    </row>
    <row r="607" spans="2:18" x14ac:dyDescent="0.15">
      <c r="B607" s="1157"/>
      <c r="C607" s="1158"/>
      <c r="D607" s="897"/>
      <c r="E607" s="1159" t="str">
        <f t="shared" si="74"/>
        <v xml:space="preserve"> </v>
      </c>
      <c r="G607" s="1160" t="str">
        <f t="shared" si="75"/>
        <v xml:space="preserve"> </v>
      </c>
      <c r="H607" s="1149"/>
      <c r="I607">
        <f t="shared" si="72"/>
        <v>0</v>
      </c>
      <c r="K607">
        <f t="shared" si="73"/>
        <v>0</v>
      </c>
      <c r="L607" s="1161"/>
      <c r="N607" s="1162" t="str">
        <f t="shared" si="76"/>
        <v xml:space="preserve"> </v>
      </c>
      <c r="O607" s="1163" t="str">
        <f t="shared" si="77"/>
        <v xml:space="preserve"> </v>
      </c>
      <c r="Q607">
        <f t="shared" si="78"/>
        <v>0</v>
      </c>
      <c r="R607">
        <f t="shared" si="79"/>
        <v>0</v>
      </c>
    </row>
    <row r="608" spans="2:18" x14ac:dyDescent="0.15">
      <c r="B608" s="1157"/>
      <c r="C608" s="1158"/>
      <c r="D608" s="897"/>
      <c r="E608" s="1159" t="str">
        <f t="shared" si="74"/>
        <v xml:space="preserve"> </v>
      </c>
      <c r="G608" s="1160" t="str">
        <f t="shared" si="75"/>
        <v xml:space="preserve"> </v>
      </c>
      <c r="H608" s="1149"/>
      <c r="I608">
        <f t="shared" si="72"/>
        <v>0</v>
      </c>
      <c r="K608">
        <f t="shared" si="73"/>
        <v>0</v>
      </c>
      <c r="L608" s="1161"/>
      <c r="N608" s="1162" t="str">
        <f t="shared" si="76"/>
        <v xml:space="preserve"> </v>
      </c>
      <c r="O608" s="1163" t="str">
        <f t="shared" si="77"/>
        <v xml:space="preserve"> </v>
      </c>
      <c r="Q608">
        <f t="shared" si="78"/>
        <v>0</v>
      </c>
      <c r="R608">
        <f t="shared" si="79"/>
        <v>0</v>
      </c>
    </row>
    <row r="609" spans="2:18" x14ac:dyDescent="0.15">
      <c r="B609" s="1157"/>
      <c r="C609" s="1158"/>
      <c r="D609" s="897"/>
      <c r="E609" s="1159" t="str">
        <f t="shared" si="74"/>
        <v xml:space="preserve"> </v>
      </c>
      <c r="G609" s="1160" t="str">
        <f t="shared" si="75"/>
        <v xml:space="preserve"> </v>
      </c>
      <c r="H609" s="1149"/>
      <c r="I609">
        <f t="shared" si="72"/>
        <v>0</v>
      </c>
      <c r="K609">
        <f t="shared" si="73"/>
        <v>0</v>
      </c>
      <c r="L609" s="1161"/>
      <c r="N609" s="1162" t="str">
        <f t="shared" si="76"/>
        <v xml:space="preserve"> </v>
      </c>
      <c r="O609" s="1163" t="str">
        <f t="shared" si="77"/>
        <v xml:space="preserve"> </v>
      </c>
      <c r="Q609">
        <f t="shared" si="78"/>
        <v>0</v>
      </c>
      <c r="R609">
        <f t="shared" si="79"/>
        <v>0</v>
      </c>
    </row>
    <row r="610" spans="2:18" x14ac:dyDescent="0.15">
      <c r="B610" s="1157"/>
      <c r="C610" s="1158"/>
      <c r="D610" s="897"/>
      <c r="E610" s="1159" t="str">
        <f t="shared" si="74"/>
        <v xml:space="preserve"> </v>
      </c>
      <c r="G610" s="1160" t="str">
        <f t="shared" si="75"/>
        <v xml:space="preserve"> </v>
      </c>
      <c r="H610" s="1149"/>
      <c r="I610">
        <f t="shared" si="72"/>
        <v>0</v>
      </c>
      <c r="K610">
        <f t="shared" si="73"/>
        <v>0</v>
      </c>
      <c r="L610" s="1161"/>
      <c r="N610" s="1162" t="str">
        <f t="shared" si="76"/>
        <v xml:space="preserve"> </v>
      </c>
      <c r="O610" s="1163" t="str">
        <f t="shared" si="77"/>
        <v xml:space="preserve"> </v>
      </c>
      <c r="Q610">
        <f t="shared" si="78"/>
        <v>0</v>
      </c>
      <c r="R610">
        <f t="shared" si="79"/>
        <v>0</v>
      </c>
    </row>
    <row r="611" spans="2:18" x14ac:dyDescent="0.15">
      <c r="B611" s="1157"/>
      <c r="C611" s="1158"/>
      <c r="D611" s="897"/>
      <c r="E611" s="1159" t="str">
        <f t="shared" si="74"/>
        <v xml:space="preserve"> </v>
      </c>
      <c r="G611" s="1160" t="str">
        <f t="shared" si="75"/>
        <v xml:space="preserve"> </v>
      </c>
      <c r="H611" s="1149"/>
      <c r="I611">
        <f t="shared" si="72"/>
        <v>0</v>
      </c>
      <c r="K611">
        <f t="shared" si="73"/>
        <v>0</v>
      </c>
      <c r="L611" s="1161"/>
      <c r="N611" s="1162" t="str">
        <f t="shared" si="76"/>
        <v xml:space="preserve"> </v>
      </c>
      <c r="O611" s="1163" t="str">
        <f t="shared" si="77"/>
        <v xml:space="preserve"> </v>
      </c>
      <c r="Q611">
        <f t="shared" si="78"/>
        <v>0</v>
      </c>
      <c r="R611">
        <f t="shared" si="79"/>
        <v>0</v>
      </c>
    </row>
    <row r="612" spans="2:18" x14ac:dyDescent="0.15">
      <c r="B612" s="1157"/>
      <c r="C612" s="1158"/>
      <c r="D612" s="897"/>
      <c r="E612" s="1159" t="str">
        <f t="shared" si="74"/>
        <v xml:space="preserve"> </v>
      </c>
      <c r="G612" s="1160" t="str">
        <f t="shared" si="75"/>
        <v xml:space="preserve"> </v>
      </c>
      <c r="H612" s="1149"/>
      <c r="I612">
        <f t="shared" si="72"/>
        <v>0</v>
      </c>
      <c r="K612">
        <f t="shared" si="73"/>
        <v>0</v>
      </c>
      <c r="L612" s="1161"/>
      <c r="N612" s="1162" t="str">
        <f t="shared" si="76"/>
        <v xml:space="preserve"> </v>
      </c>
      <c r="O612" s="1163" t="str">
        <f t="shared" si="77"/>
        <v xml:space="preserve"> </v>
      </c>
      <c r="Q612">
        <f t="shared" si="78"/>
        <v>0</v>
      </c>
      <c r="R612">
        <f t="shared" si="79"/>
        <v>0</v>
      </c>
    </row>
    <row r="613" spans="2:18" x14ac:dyDescent="0.15">
      <c r="B613" s="1157"/>
      <c r="C613" s="1158"/>
      <c r="D613" s="897"/>
      <c r="E613" s="1159" t="str">
        <f t="shared" si="74"/>
        <v xml:space="preserve"> </v>
      </c>
      <c r="G613" s="1160" t="str">
        <f t="shared" si="75"/>
        <v xml:space="preserve"> </v>
      </c>
      <c r="H613" s="1149"/>
      <c r="I613">
        <f t="shared" si="72"/>
        <v>0</v>
      </c>
      <c r="K613">
        <f t="shared" si="73"/>
        <v>0</v>
      </c>
      <c r="L613" s="1161"/>
      <c r="N613" s="1162" t="str">
        <f t="shared" si="76"/>
        <v xml:space="preserve"> </v>
      </c>
      <c r="O613" s="1163" t="str">
        <f t="shared" si="77"/>
        <v xml:space="preserve"> </v>
      </c>
      <c r="Q613">
        <f t="shared" si="78"/>
        <v>0</v>
      </c>
      <c r="R613">
        <f t="shared" si="79"/>
        <v>0</v>
      </c>
    </row>
    <row r="614" spans="2:18" x14ac:dyDescent="0.15">
      <c r="B614" s="1157"/>
      <c r="C614" s="1158"/>
      <c r="D614" s="897"/>
      <c r="E614" s="1159" t="str">
        <f t="shared" si="74"/>
        <v xml:space="preserve"> </v>
      </c>
      <c r="G614" s="1160" t="str">
        <f t="shared" si="75"/>
        <v xml:space="preserve"> </v>
      </c>
      <c r="H614" s="1149"/>
      <c r="I614">
        <f t="shared" si="72"/>
        <v>0</v>
      </c>
      <c r="K614">
        <f t="shared" si="73"/>
        <v>0</v>
      </c>
      <c r="L614" s="1161"/>
      <c r="N614" s="1162" t="str">
        <f t="shared" si="76"/>
        <v xml:space="preserve"> </v>
      </c>
      <c r="O614" s="1163" t="str">
        <f t="shared" si="77"/>
        <v xml:space="preserve"> </v>
      </c>
      <c r="Q614">
        <f t="shared" si="78"/>
        <v>0</v>
      </c>
      <c r="R614">
        <f t="shared" si="79"/>
        <v>0</v>
      </c>
    </row>
    <row r="615" spans="2:18" x14ac:dyDescent="0.15">
      <c r="B615" s="1157"/>
      <c r="C615" s="1158"/>
      <c r="D615" s="897"/>
      <c r="E615" s="1159" t="str">
        <f t="shared" si="74"/>
        <v xml:space="preserve"> </v>
      </c>
      <c r="G615" s="1160" t="str">
        <f t="shared" si="75"/>
        <v xml:space="preserve"> </v>
      </c>
      <c r="H615" s="1149"/>
      <c r="I615">
        <f t="shared" si="72"/>
        <v>0</v>
      </c>
      <c r="K615">
        <f t="shared" si="73"/>
        <v>0</v>
      </c>
      <c r="L615" s="1161"/>
      <c r="N615" s="1162" t="str">
        <f t="shared" si="76"/>
        <v xml:space="preserve"> </v>
      </c>
      <c r="O615" s="1163" t="str">
        <f t="shared" si="77"/>
        <v xml:space="preserve"> </v>
      </c>
      <c r="Q615">
        <f t="shared" si="78"/>
        <v>0</v>
      </c>
      <c r="R615">
        <f t="shared" si="79"/>
        <v>0</v>
      </c>
    </row>
    <row r="616" spans="2:18" x14ac:dyDescent="0.15">
      <c r="B616" s="1157"/>
      <c r="C616" s="1158"/>
      <c r="D616" s="897"/>
      <c r="E616" s="1159" t="str">
        <f t="shared" si="74"/>
        <v xml:space="preserve"> </v>
      </c>
      <c r="G616" s="1160" t="str">
        <f t="shared" si="75"/>
        <v xml:space="preserve"> </v>
      </c>
      <c r="H616" s="1149"/>
      <c r="I616">
        <f t="shared" si="72"/>
        <v>0</v>
      </c>
      <c r="K616">
        <f t="shared" si="73"/>
        <v>0</v>
      </c>
      <c r="L616" s="1161"/>
      <c r="N616" s="1162" t="str">
        <f t="shared" si="76"/>
        <v xml:space="preserve"> </v>
      </c>
      <c r="O616" s="1163" t="str">
        <f t="shared" si="77"/>
        <v xml:space="preserve"> </v>
      </c>
      <c r="Q616">
        <f t="shared" si="78"/>
        <v>0</v>
      </c>
      <c r="R616">
        <f t="shared" si="79"/>
        <v>0</v>
      </c>
    </row>
    <row r="617" spans="2:18" x14ac:dyDescent="0.15">
      <c r="B617" s="1157"/>
      <c r="C617" s="1158"/>
      <c r="D617" s="897"/>
      <c r="E617" s="1159" t="str">
        <f t="shared" si="74"/>
        <v xml:space="preserve"> </v>
      </c>
      <c r="G617" s="1160" t="str">
        <f t="shared" si="75"/>
        <v xml:space="preserve"> </v>
      </c>
      <c r="H617" s="1149"/>
      <c r="I617">
        <f t="shared" si="72"/>
        <v>0</v>
      </c>
      <c r="K617">
        <f t="shared" si="73"/>
        <v>0</v>
      </c>
      <c r="L617" s="1161"/>
      <c r="N617" s="1162" t="str">
        <f t="shared" si="76"/>
        <v xml:space="preserve"> </v>
      </c>
      <c r="O617" s="1163" t="str">
        <f t="shared" si="77"/>
        <v xml:space="preserve"> </v>
      </c>
      <c r="Q617">
        <f t="shared" si="78"/>
        <v>0</v>
      </c>
      <c r="R617">
        <f t="shared" si="79"/>
        <v>0</v>
      </c>
    </row>
    <row r="618" spans="2:18" x14ac:dyDescent="0.15">
      <c r="B618" s="1157"/>
      <c r="C618" s="1158"/>
      <c r="D618" s="897"/>
      <c r="E618" s="1159" t="str">
        <f t="shared" si="74"/>
        <v xml:space="preserve"> </v>
      </c>
      <c r="G618" s="1160" t="str">
        <f t="shared" si="75"/>
        <v xml:space="preserve"> </v>
      </c>
      <c r="H618" s="1149"/>
      <c r="I618">
        <f t="shared" si="72"/>
        <v>0</v>
      </c>
      <c r="K618">
        <f t="shared" si="73"/>
        <v>0</v>
      </c>
      <c r="L618" s="1161"/>
      <c r="N618" s="1162" t="str">
        <f t="shared" si="76"/>
        <v xml:space="preserve"> </v>
      </c>
      <c r="O618" s="1163" t="str">
        <f t="shared" si="77"/>
        <v xml:space="preserve"> </v>
      </c>
      <c r="Q618">
        <f t="shared" si="78"/>
        <v>0</v>
      </c>
      <c r="R618">
        <f t="shared" si="79"/>
        <v>0</v>
      </c>
    </row>
    <row r="619" spans="2:18" x14ac:dyDescent="0.15">
      <c r="B619" s="1157"/>
      <c r="C619" s="1158"/>
      <c r="D619" s="897"/>
      <c r="E619" s="1159" t="str">
        <f t="shared" si="74"/>
        <v xml:space="preserve"> </v>
      </c>
      <c r="G619" s="1160" t="str">
        <f t="shared" si="75"/>
        <v xml:space="preserve"> </v>
      </c>
      <c r="H619" s="1149"/>
      <c r="I619">
        <f t="shared" si="72"/>
        <v>0</v>
      </c>
      <c r="K619">
        <f t="shared" si="73"/>
        <v>0</v>
      </c>
      <c r="L619" s="1161"/>
      <c r="N619" s="1162" t="str">
        <f t="shared" si="76"/>
        <v xml:space="preserve"> </v>
      </c>
      <c r="O619" s="1163" t="str">
        <f t="shared" si="77"/>
        <v xml:space="preserve"> </v>
      </c>
      <c r="Q619">
        <f t="shared" si="78"/>
        <v>0</v>
      </c>
      <c r="R619">
        <f t="shared" si="79"/>
        <v>0</v>
      </c>
    </row>
    <row r="620" spans="2:18" x14ac:dyDescent="0.15">
      <c r="B620" s="1157"/>
      <c r="C620" s="1158"/>
      <c r="D620" s="897"/>
      <c r="E620" s="1159" t="str">
        <f t="shared" si="74"/>
        <v xml:space="preserve"> </v>
      </c>
      <c r="G620" s="1160" t="str">
        <f t="shared" si="75"/>
        <v xml:space="preserve"> </v>
      </c>
      <c r="H620" s="1149"/>
      <c r="I620">
        <f t="shared" si="72"/>
        <v>0</v>
      </c>
      <c r="K620">
        <f t="shared" si="73"/>
        <v>0</v>
      </c>
      <c r="L620" s="1161"/>
      <c r="N620" s="1162" t="str">
        <f t="shared" si="76"/>
        <v xml:space="preserve"> </v>
      </c>
      <c r="O620" s="1163" t="str">
        <f t="shared" si="77"/>
        <v xml:space="preserve"> </v>
      </c>
      <c r="Q620">
        <f t="shared" si="78"/>
        <v>0</v>
      </c>
      <c r="R620">
        <f t="shared" si="79"/>
        <v>0</v>
      </c>
    </row>
    <row r="621" spans="2:18" x14ac:dyDescent="0.15">
      <c r="B621" s="1157"/>
      <c r="C621" s="1158"/>
      <c r="D621" s="897"/>
      <c r="E621" s="1159" t="str">
        <f t="shared" si="74"/>
        <v xml:space="preserve"> </v>
      </c>
      <c r="G621" s="1160" t="str">
        <f t="shared" si="75"/>
        <v xml:space="preserve"> </v>
      </c>
      <c r="H621" s="1149"/>
      <c r="I621">
        <f t="shared" si="72"/>
        <v>0</v>
      </c>
      <c r="K621">
        <f t="shared" si="73"/>
        <v>0</v>
      </c>
      <c r="L621" s="1161"/>
      <c r="N621" s="1162" t="str">
        <f t="shared" si="76"/>
        <v xml:space="preserve"> </v>
      </c>
      <c r="O621" s="1163" t="str">
        <f t="shared" si="77"/>
        <v xml:space="preserve"> </v>
      </c>
      <c r="Q621">
        <f t="shared" si="78"/>
        <v>0</v>
      </c>
      <c r="R621">
        <f t="shared" si="79"/>
        <v>0</v>
      </c>
    </row>
    <row r="622" spans="2:18" x14ac:dyDescent="0.15">
      <c r="B622" s="1157"/>
      <c r="C622" s="1158"/>
      <c r="D622" s="897"/>
      <c r="E622" s="1159" t="str">
        <f t="shared" si="74"/>
        <v xml:space="preserve"> </v>
      </c>
      <c r="G622" s="1160" t="str">
        <f t="shared" si="75"/>
        <v xml:space="preserve"> </v>
      </c>
      <c r="H622" s="1149"/>
      <c r="I622">
        <f t="shared" si="72"/>
        <v>0</v>
      </c>
      <c r="K622">
        <f t="shared" si="73"/>
        <v>0</v>
      </c>
      <c r="L622" s="1161"/>
      <c r="N622" s="1162" t="str">
        <f t="shared" si="76"/>
        <v xml:space="preserve"> </v>
      </c>
      <c r="O622" s="1163" t="str">
        <f t="shared" si="77"/>
        <v xml:space="preserve"> </v>
      </c>
      <c r="Q622">
        <f t="shared" si="78"/>
        <v>0</v>
      </c>
      <c r="R622">
        <f t="shared" si="79"/>
        <v>0</v>
      </c>
    </row>
    <row r="623" spans="2:18" x14ac:dyDescent="0.15">
      <c r="B623" s="1157"/>
      <c r="C623" s="1158"/>
      <c r="D623" s="897"/>
      <c r="E623" s="1159" t="str">
        <f t="shared" si="74"/>
        <v xml:space="preserve"> </v>
      </c>
      <c r="G623" s="1160" t="str">
        <f t="shared" si="75"/>
        <v xml:space="preserve"> </v>
      </c>
      <c r="H623" s="1149"/>
      <c r="I623">
        <f t="shared" si="72"/>
        <v>0</v>
      </c>
      <c r="K623">
        <f t="shared" si="73"/>
        <v>0</v>
      </c>
      <c r="L623" s="1161"/>
      <c r="N623" s="1162" t="str">
        <f t="shared" si="76"/>
        <v xml:space="preserve"> </v>
      </c>
      <c r="O623" s="1163" t="str">
        <f t="shared" si="77"/>
        <v xml:space="preserve"> </v>
      </c>
      <c r="Q623">
        <f t="shared" si="78"/>
        <v>0</v>
      </c>
      <c r="R623">
        <f t="shared" si="79"/>
        <v>0</v>
      </c>
    </row>
    <row r="624" spans="2:18" x14ac:dyDescent="0.15">
      <c r="B624" s="1157"/>
      <c r="C624" s="1158"/>
      <c r="D624" s="897"/>
      <c r="E624" s="1159" t="str">
        <f t="shared" si="74"/>
        <v xml:space="preserve"> </v>
      </c>
      <c r="G624" s="1160" t="str">
        <f t="shared" si="75"/>
        <v xml:space="preserve"> </v>
      </c>
      <c r="H624" s="1149"/>
      <c r="I624">
        <f t="shared" si="72"/>
        <v>0</v>
      </c>
      <c r="K624">
        <f t="shared" si="73"/>
        <v>0</v>
      </c>
      <c r="L624" s="1161"/>
      <c r="N624" s="1162" t="str">
        <f t="shared" si="76"/>
        <v xml:space="preserve"> </v>
      </c>
      <c r="O624" s="1163" t="str">
        <f t="shared" si="77"/>
        <v xml:space="preserve"> </v>
      </c>
      <c r="Q624">
        <f t="shared" si="78"/>
        <v>0</v>
      </c>
      <c r="R624">
        <f t="shared" si="79"/>
        <v>0</v>
      </c>
    </row>
    <row r="625" spans="2:18" x14ac:dyDescent="0.15">
      <c r="B625" s="1157"/>
      <c r="C625" s="1158"/>
      <c r="D625" s="897"/>
      <c r="E625" s="1159" t="str">
        <f t="shared" si="74"/>
        <v xml:space="preserve"> </v>
      </c>
      <c r="G625" s="1160" t="str">
        <f t="shared" si="75"/>
        <v xml:space="preserve"> </v>
      </c>
      <c r="H625" s="1149"/>
      <c r="I625">
        <f t="shared" si="72"/>
        <v>0</v>
      </c>
      <c r="K625">
        <f t="shared" si="73"/>
        <v>0</v>
      </c>
      <c r="L625" s="1161"/>
      <c r="N625" s="1162" t="str">
        <f t="shared" si="76"/>
        <v xml:space="preserve"> </v>
      </c>
      <c r="O625" s="1163" t="str">
        <f t="shared" si="77"/>
        <v xml:space="preserve"> </v>
      </c>
      <c r="Q625">
        <f t="shared" si="78"/>
        <v>0</v>
      </c>
      <c r="R625">
        <f t="shared" si="79"/>
        <v>0</v>
      </c>
    </row>
    <row r="626" spans="2:18" x14ac:dyDescent="0.15">
      <c r="B626" s="1157"/>
      <c r="C626" s="1158"/>
      <c r="D626" s="897"/>
      <c r="E626" s="1159" t="str">
        <f t="shared" si="74"/>
        <v xml:space="preserve"> </v>
      </c>
      <c r="G626" s="1160" t="str">
        <f t="shared" si="75"/>
        <v xml:space="preserve"> </v>
      </c>
      <c r="H626" s="1149"/>
      <c r="I626">
        <f t="shared" si="72"/>
        <v>0</v>
      </c>
      <c r="K626">
        <f t="shared" si="73"/>
        <v>0</v>
      </c>
      <c r="L626" s="1161"/>
      <c r="N626" s="1162" t="str">
        <f t="shared" si="76"/>
        <v xml:space="preserve"> </v>
      </c>
      <c r="O626" s="1163" t="str">
        <f t="shared" si="77"/>
        <v xml:space="preserve"> </v>
      </c>
      <c r="Q626">
        <f t="shared" si="78"/>
        <v>0</v>
      </c>
      <c r="R626">
        <f t="shared" si="79"/>
        <v>0</v>
      </c>
    </row>
    <row r="627" spans="2:18" x14ac:dyDescent="0.15">
      <c r="B627" s="1157"/>
      <c r="C627" s="1158"/>
      <c r="D627" s="897"/>
      <c r="E627" s="1159" t="str">
        <f t="shared" si="74"/>
        <v xml:space="preserve"> </v>
      </c>
      <c r="G627" s="1160" t="str">
        <f t="shared" si="75"/>
        <v xml:space="preserve"> </v>
      </c>
      <c r="H627" s="1149"/>
      <c r="I627">
        <f t="shared" si="72"/>
        <v>0</v>
      </c>
      <c r="K627">
        <f t="shared" si="73"/>
        <v>0</v>
      </c>
      <c r="L627" s="1161"/>
      <c r="N627" s="1162" t="str">
        <f t="shared" si="76"/>
        <v xml:space="preserve"> </v>
      </c>
      <c r="O627" s="1163" t="str">
        <f t="shared" si="77"/>
        <v xml:space="preserve"> </v>
      </c>
      <c r="Q627">
        <f t="shared" si="78"/>
        <v>0</v>
      </c>
      <c r="R627">
        <f t="shared" si="79"/>
        <v>0</v>
      </c>
    </row>
    <row r="628" spans="2:18" x14ac:dyDescent="0.15">
      <c r="B628" s="1157"/>
      <c r="C628" s="1158"/>
      <c r="D628" s="897"/>
      <c r="E628" s="1159" t="str">
        <f t="shared" si="74"/>
        <v xml:space="preserve"> </v>
      </c>
      <c r="G628" s="1160" t="str">
        <f t="shared" si="75"/>
        <v xml:space="preserve"> </v>
      </c>
      <c r="H628" s="1149"/>
      <c r="I628">
        <f t="shared" si="72"/>
        <v>0</v>
      </c>
      <c r="K628">
        <f t="shared" si="73"/>
        <v>0</v>
      </c>
      <c r="L628" s="1161"/>
      <c r="N628" s="1162" t="str">
        <f t="shared" si="76"/>
        <v xml:space="preserve"> </v>
      </c>
      <c r="O628" s="1163" t="str">
        <f t="shared" si="77"/>
        <v xml:space="preserve"> </v>
      </c>
      <c r="Q628">
        <f t="shared" si="78"/>
        <v>0</v>
      </c>
      <c r="R628">
        <f t="shared" si="79"/>
        <v>0</v>
      </c>
    </row>
    <row r="629" spans="2:18" x14ac:dyDescent="0.15">
      <c r="B629" s="1157"/>
      <c r="C629" s="1158"/>
      <c r="D629" s="897"/>
      <c r="E629" s="1159" t="str">
        <f t="shared" si="74"/>
        <v xml:space="preserve"> </v>
      </c>
      <c r="G629" s="1160" t="str">
        <f t="shared" si="75"/>
        <v xml:space="preserve"> </v>
      </c>
      <c r="H629" s="1149"/>
      <c r="I629">
        <f t="shared" si="72"/>
        <v>0</v>
      </c>
      <c r="K629">
        <f t="shared" si="73"/>
        <v>0</v>
      </c>
      <c r="L629" s="1161"/>
      <c r="N629" s="1162" t="str">
        <f t="shared" si="76"/>
        <v xml:space="preserve"> </v>
      </c>
      <c r="O629" s="1163" t="str">
        <f t="shared" si="77"/>
        <v xml:space="preserve"> </v>
      </c>
      <c r="Q629">
        <f t="shared" si="78"/>
        <v>0</v>
      </c>
      <c r="R629">
        <f t="shared" si="79"/>
        <v>0</v>
      </c>
    </row>
    <row r="630" spans="2:18" x14ac:dyDescent="0.15">
      <c r="B630" s="1157"/>
      <c r="C630" s="1158"/>
      <c r="D630" s="897"/>
      <c r="E630" s="1159" t="str">
        <f t="shared" si="74"/>
        <v xml:space="preserve"> </v>
      </c>
      <c r="G630" s="1160" t="str">
        <f t="shared" si="75"/>
        <v xml:space="preserve"> </v>
      </c>
      <c r="H630" s="1149"/>
      <c r="I630">
        <f t="shared" si="72"/>
        <v>0</v>
      </c>
      <c r="K630">
        <f t="shared" si="73"/>
        <v>0</v>
      </c>
      <c r="L630" s="1161"/>
      <c r="N630" s="1162" t="str">
        <f t="shared" si="76"/>
        <v xml:space="preserve"> </v>
      </c>
      <c r="O630" s="1163" t="str">
        <f t="shared" si="77"/>
        <v xml:space="preserve"> </v>
      </c>
      <c r="Q630">
        <f t="shared" si="78"/>
        <v>0</v>
      </c>
      <c r="R630">
        <f t="shared" si="79"/>
        <v>0</v>
      </c>
    </row>
    <row r="631" spans="2:18" x14ac:dyDescent="0.15">
      <c r="B631" s="1157"/>
      <c r="C631" s="1158"/>
      <c r="D631" s="897"/>
      <c r="E631" s="1159" t="str">
        <f t="shared" si="74"/>
        <v xml:space="preserve"> </v>
      </c>
      <c r="G631" s="1160" t="str">
        <f t="shared" si="75"/>
        <v xml:space="preserve"> </v>
      </c>
      <c r="H631" s="1149"/>
      <c r="I631">
        <f t="shared" si="72"/>
        <v>0</v>
      </c>
      <c r="K631">
        <f t="shared" si="73"/>
        <v>0</v>
      </c>
      <c r="L631" s="1161"/>
      <c r="N631" s="1162" t="str">
        <f t="shared" si="76"/>
        <v xml:space="preserve"> </v>
      </c>
      <c r="O631" s="1163" t="str">
        <f t="shared" si="77"/>
        <v xml:space="preserve"> </v>
      </c>
      <c r="Q631">
        <f t="shared" si="78"/>
        <v>0</v>
      </c>
      <c r="R631">
        <f t="shared" si="79"/>
        <v>0</v>
      </c>
    </row>
    <row r="632" spans="2:18" x14ac:dyDescent="0.15">
      <c r="B632" s="1157"/>
      <c r="C632" s="1158"/>
      <c r="D632" s="897"/>
      <c r="E632" s="1159" t="str">
        <f t="shared" si="74"/>
        <v xml:space="preserve"> </v>
      </c>
      <c r="G632" s="1160" t="str">
        <f t="shared" si="75"/>
        <v xml:space="preserve"> </v>
      </c>
      <c r="H632" s="1149"/>
      <c r="I632">
        <f t="shared" si="72"/>
        <v>0</v>
      </c>
      <c r="K632">
        <f t="shared" si="73"/>
        <v>0</v>
      </c>
      <c r="L632" s="1161"/>
      <c r="N632" s="1162" t="str">
        <f t="shared" si="76"/>
        <v xml:space="preserve"> </v>
      </c>
      <c r="O632" s="1163" t="str">
        <f t="shared" si="77"/>
        <v xml:space="preserve"> </v>
      </c>
      <c r="Q632">
        <f t="shared" si="78"/>
        <v>0</v>
      </c>
      <c r="R632">
        <f t="shared" si="79"/>
        <v>0</v>
      </c>
    </row>
    <row r="633" spans="2:18" x14ac:dyDescent="0.15">
      <c r="B633" s="1157"/>
      <c r="C633" s="1158"/>
      <c r="D633" s="897"/>
      <c r="E633" s="1159" t="str">
        <f t="shared" si="74"/>
        <v xml:space="preserve"> </v>
      </c>
      <c r="G633" s="1160" t="str">
        <f t="shared" si="75"/>
        <v xml:space="preserve"> </v>
      </c>
      <c r="H633" s="1149"/>
      <c r="I633">
        <f t="shared" si="72"/>
        <v>0</v>
      </c>
      <c r="K633">
        <f t="shared" si="73"/>
        <v>0</v>
      </c>
      <c r="L633" s="1161"/>
      <c r="N633" s="1162" t="str">
        <f t="shared" si="76"/>
        <v xml:space="preserve"> </v>
      </c>
      <c r="O633" s="1163" t="str">
        <f t="shared" si="77"/>
        <v xml:space="preserve"> </v>
      </c>
      <c r="Q633">
        <f t="shared" si="78"/>
        <v>0</v>
      </c>
      <c r="R633">
        <f t="shared" si="79"/>
        <v>0</v>
      </c>
    </row>
    <row r="634" spans="2:18" x14ac:dyDescent="0.15">
      <c r="B634" s="1157"/>
      <c r="C634" s="1158"/>
      <c r="D634" s="897"/>
      <c r="E634" s="1159" t="str">
        <f t="shared" si="74"/>
        <v xml:space="preserve"> </v>
      </c>
      <c r="G634" s="1160" t="str">
        <f t="shared" si="75"/>
        <v xml:space="preserve"> </v>
      </c>
      <c r="H634" s="1149"/>
      <c r="I634">
        <f t="shared" si="72"/>
        <v>0</v>
      </c>
      <c r="K634">
        <f t="shared" si="73"/>
        <v>0</v>
      </c>
      <c r="L634" s="1161"/>
      <c r="N634" s="1162" t="str">
        <f t="shared" si="76"/>
        <v xml:space="preserve"> </v>
      </c>
      <c r="O634" s="1163" t="str">
        <f t="shared" si="77"/>
        <v xml:space="preserve"> </v>
      </c>
      <c r="Q634">
        <f t="shared" si="78"/>
        <v>0</v>
      </c>
      <c r="R634">
        <f t="shared" si="79"/>
        <v>0</v>
      </c>
    </row>
    <row r="635" spans="2:18" x14ac:dyDescent="0.15">
      <c r="B635" s="1157"/>
      <c r="C635" s="1158"/>
      <c r="D635" s="897"/>
      <c r="E635" s="1159" t="str">
        <f t="shared" si="74"/>
        <v xml:space="preserve"> </v>
      </c>
      <c r="G635" s="1160" t="str">
        <f t="shared" si="75"/>
        <v xml:space="preserve"> </v>
      </c>
      <c r="H635" s="1149"/>
      <c r="I635">
        <f t="shared" si="72"/>
        <v>0</v>
      </c>
      <c r="K635">
        <f t="shared" si="73"/>
        <v>0</v>
      </c>
      <c r="L635" s="1161"/>
      <c r="N635" s="1162" t="str">
        <f t="shared" si="76"/>
        <v xml:space="preserve"> </v>
      </c>
      <c r="O635" s="1163" t="str">
        <f t="shared" si="77"/>
        <v xml:space="preserve"> </v>
      </c>
      <c r="Q635">
        <f t="shared" si="78"/>
        <v>0</v>
      </c>
      <c r="R635">
        <f t="shared" si="79"/>
        <v>0</v>
      </c>
    </row>
    <row r="636" spans="2:18" x14ac:dyDescent="0.15">
      <c r="B636" s="1157"/>
      <c r="C636" s="1158"/>
      <c r="D636" s="897"/>
      <c r="E636" s="1159" t="str">
        <f t="shared" si="74"/>
        <v xml:space="preserve"> </v>
      </c>
      <c r="G636" s="1160" t="str">
        <f t="shared" si="75"/>
        <v xml:space="preserve"> </v>
      </c>
      <c r="H636" s="1149"/>
      <c r="I636">
        <f t="shared" si="72"/>
        <v>0</v>
      </c>
      <c r="K636">
        <f t="shared" si="73"/>
        <v>0</v>
      </c>
      <c r="L636" s="1161"/>
      <c r="N636" s="1162" t="str">
        <f t="shared" si="76"/>
        <v xml:space="preserve"> </v>
      </c>
      <c r="O636" s="1163" t="str">
        <f t="shared" si="77"/>
        <v xml:space="preserve"> </v>
      </c>
      <c r="Q636">
        <f t="shared" si="78"/>
        <v>0</v>
      </c>
      <c r="R636">
        <f t="shared" si="79"/>
        <v>0</v>
      </c>
    </row>
    <row r="637" spans="2:18" x14ac:dyDescent="0.15">
      <c r="B637" s="1157"/>
      <c r="C637" s="1158"/>
      <c r="D637" s="897"/>
      <c r="E637" s="1159" t="str">
        <f t="shared" si="74"/>
        <v xml:space="preserve"> </v>
      </c>
      <c r="G637" s="1160" t="str">
        <f t="shared" si="75"/>
        <v xml:space="preserve"> </v>
      </c>
      <c r="H637" s="1149"/>
      <c r="I637">
        <f t="shared" si="72"/>
        <v>0</v>
      </c>
      <c r="K637">
        <f t="shared" si="73"/>
        <v>0</v>
      </c>
      <c r="L637" s="1161"/>
      <c r="N637" s="1162" t="str">
        <f t="shared" si="76"/>
        <v xml:space="preserve"> </v>
      </c>
      <c r="O637" s="1163" t="str">
        <f t="shared" si="77"/>
        <v xml:space="preserve"> </v>
      </c>
      <c r="Q637">
        <f t="shared" si="78"/>
        <v>0</v>
      </c>
      <c r="R637">
        <f t="shared" si="79"/>
        <v>0</v>
      </c>
    </row>
    <row r="638" spans="2:18" x14ac:dyDescent="0.15">
      <c r="B638" s="1157"/>
      <c r="C638" s="1158"/>
      <c r="D638" s="897"/>
      <c r="E638" s="1159" t="str">
        <f t="shared" si="74"/>
        <v xml:space="preserve"> </v>
      </c>
      <c r="G638" s="1160" t="str">
        <f t="shared" si="75"/>
        <v xml:space="preserve"> </v>
      </c>
      <c r="H638" s="1149"/>
      <c r="I638">
        <f t="shared" si="72"/>
        <v>0</v>
      </c>
      <c r="K638">
        <f t="shared" si="73"/>
        <v>0</v>
      </c>
      <c r="L638" s="1161"/>
      <c r="N638" s="1162" t="str">
        <f t="shared" si="76"/>
        <v xml:space="preserve"> </v>
      </c>
      <c r="O638" s="1163" t="str">
        <f t="shared" si="77"/>
        <v xml:space="preserve"> </v>
      </c>
      <c r="Q638">
        <f t="shared" si="78"/>
        <v>0</v>
      </c>
      <c r="R638">
        <f t="shared" si="79"/>
        <v>0</v>
      </c>
    </row>
    <row r="639" spans="2:18" x14ac:dyDescent="0.15">
      <c r="B639" s="1157"/>
      <c r="C639" s="1158"/>
      <c r="D639" s="897"/>
      <c r="E639" s="1159" t="str">
        <f t="shared" si="74"/>
        <v xml:space="preserve"> </v>
      </c>
      <c r="G639" s="1160" t="str">
        <f t="shared" si="75"/>
        <v xml:space="preserve"> </v>
      </c>
      <c r="H639" s="1149"/>
      <c r="I639">
        <f t="shared" si="72"/>
        <v>0</v>
      </c>
      <c r="K639">
        <f t="shared" si="73"/>
        <v>0</v>
      </c>
      <c r="L639" s="1161"/>
      <c r="N639" s="1162" t="str">
        <f t="shared" si="76"/>
        <v xml:space="preserve"> </v>
      </c>
      <c r="O639" s="1163" t="str">
        <f t="shared" si="77"/>
        <v xml:space="preserve"> </v>
      </c>
      <c r="Q639">
        <f t="shared" si="78"/>
        <v>0</v>
      </c>
      <c r="R639">
        <f t="shared" si="79"/>
        <v>0</v>
      </c>
    </row>
    <row r="640" spans="2:18" x14ac:dyDescent="0.15">
      <c r="B640" s="1157"/>
      <c r="C640" s="1158"/>
      <c r="D640" s="897"/>
      <c r="E640" s="1159" t="str">
        <f t="shared" si="74"/>
        <v xml:space="preserve"> </v>
      </c>
      <c r="G640" s="1160" t="str">
        <f t="shared" si="75"/>
        <v xml:space="preserve"> </v>
      </c>
      <c r="H640" s="1149"/>
      <c r="I640">
        <f t="shared" si="72"/>
        <v>0</v>
      </c>
      <c r="K640">
        <f t="shared" si="73"/>
        <v>0</v>
      </c>
      <c r="L640" s="1161"/>
      <c r="N640" s="1162" t="str">
        <f t="shared" si="76"/>
        <v xml:space="preserve"> </v>
      </c>
      <c r="O640" s="1163" t="str">
        <f t="shared" si="77"/>
        <v xml:space="preserve"> </v>
      </c>
      <c r="Q640">
        <f t="shared" si="78"/>
        <v>0</v>
      </c>
      <c r="R640">
        <f t="shared" si="79"/>
        <v>0</v>
      </c>
    </row>
    <row r="641" spans="2:18" x14ac:dyDescent="0.15">
      <c r="B641" s="1157"/>
      <c r="C641" s="1158"/>
      <c r="D641" s="897"/>
      <c r="E641" s="1159" t="str">
        <f t="shared" si="74"/>
        <v xml:space="preserve"> </v>
      </c>
      <c r="G641" s="1160" t="str">
        <f t="shared" si="75"/>
        <v xml:space="preserve"> </v>
      </c>
      <c r="H641" s="1149"/>
      <c r="I641">
        <f t="shared" si="72"/>
        <v>0</v>
      </c>
      <c r="K641">
        <f t="shared" si="73"/>
        <v>0</v>
      </c>
      <c r="L641" s="1161"/>
      <c r="N641" s="1162" t="str">
        <f t="shared" si="76"/>
        <v xml:space="preserve"> </v>
      </c>
      <c r="O641" s="1163" t="str">
        <f t="shared" si="77"/>
        <v xml:space="preserve"> </v>
      </c>
      <c r="Q641">
        <f t="shared" si="78"/>
        <v>0</v>
      </c>
      <c r="R641">
        <f t="shared" si="79"/>
        <v>0</v>
      </c>
    </row>
    <row r="642" spans="2:18" x14ac:dyDescent="0.15">
      <c r="B642" s="1157"/>
      <c r="C642" s="1158"/>
      <c r="D642" s="897"/>
      <c r="E642" s="1159" t="str">
        <f t="shared" si="74"/>
        <v xml:space="preserve"> </v>
      </c>
      <c r="G642" s="1160" t="str">
        <f t="shared" si="75"/>
        <v xml:space="preserve"> </v>
      </c>
      <c r="H642" s="1149"/>
      <c r="I642">
        <f t="shared" si="72"/>
        <v>0</v>
      </c>
      <c r="K642">
        <f t="shared" si="73"/>
        <v>0</v>
      </c>
      <c r="L642" s="1161"/>
      <c r="N642" s="1162" t="str">
        <f t="shared" si="76"/>
        <v xml:space="preserve"> </v>
      </c>
      <c r="O642" s="1163" t="str">
        <f t="shared" si="77"/>
        <v xml:space="preserve"> </v>
      </c>
      <c r="Q642">
        <f t="shared" si="78"/>
        <v>0</v>
      </c>
      <c r="R642">
        <f t="shared" si="79"/>
        <v>0</v>
      </c>
    </row>
    <row r="643" spans="2:18" x14ac:dyDescent="0.15">
      <c r="B643" s="1157"/>
      <c r="C643" s="1158"/>
      <c r="D643" s="897"/>
      <c r="E643" s="1159" t="str">
        <f t="shared" si="74"/>
        <v xml:space="preserve"> </v>
      </c>
      <c r="G643" s="1160" t="str">
        <f t="shared" si="75"/>
        <v xml:space="preserve"> </v>
      </c>
      <c r="H643" s="1149"/>
      <c r="I643">
        <f t="shared" si="72"/>
        <v>0</v>
      </c>
      <c r="K643">
        <f t="shared" si="73"/>
        <v>0</v>
      </c>
      <c r="L643" s="1161"/>
      <c r="N643" s="1162" t="str">
        <f t="shared" si="76"/>
        <v xml:space="preserve"> </v>
      </c>
      <c r="O643" s="1163" t="str">
        <f t="shared" si="77"/>
        <v xml:space="preserve"> </v>
      </c>
      <c r="Q643">
        <f t="shared" si="78"/>
        <v>0</v>
      </c>
      <c r="R643">
        <f t="shared" si="79"/>
        <v>0</v>
      </c>
    </row>
    <row r="644" spans="2:18" x14ac:dyDescent="0.15">
      <c r="B644" s="1157"/>
      <c r="C644" s="1158"/>
      <c r="D644" s="897"/>
      <c r="E644" s="1159" t="str">
        <f t="shared" si="74"/>
        <v xml:space="preserve"> </v>
      </c>
      <c r="G644" s="1160" t="str">
        <f t="shared" si="75"/>
        <v xml:space="preserve"> </v>
      </c>
      <c r="H644" s="1149"/>
      <c r="I644">
        <f t="shared" si="72"/>
        <v>0</v>
      </c>
      <c r="K644">
        <f t="shared" si="73"/>
        <v>0</v>
      </c>
      <c r="L644" s="1161"/>
      <c r="N644" s="1162" t="str">
        <f t="shared" si="76"/>
        <v xml:space="preserve"> </v>
      </c>
      <c r="O644" s="1163" t="str">
        <f t="shared" si="77"/>
        <v xml:space="preserve"> </v>
      </c>
      <c r="Q644">
        <f t="shared" si="78"/>
        <v>0</v>
      </c>
      <c r="R644">
        <f t="shared" si="79"/>
        <v>0</v>
      </c>
    </row>
    <row r="645" spans="2:18" x14ac:dyDescent="0.15">
      <c r="B645" s="1157"/>
      <c r="C645" s="1158"/>
      <c r="D645" s="897"/>
      <c r="E645" s="1159" t="str">
        <f t="shared" si="74"/>
        <v xml:space="preserve"> </v>
      </c>
      <c r="G645" s="1160" t="str">
        <f t="shared" si="75"/>
        <v xml:space="preserve"> </v>
      </c>
      <c r="H645" s="1149"/>
      <c r="I645">
        <f t="shared" si="72"/>
        <v>0</v>
      </c>
      <c r="K645">
        <f t="shared" si="73"/>
        <v>0</v>
      </c>
      <c r="L645" s="1161"/>
      <c r="N645" s="1162" t="str">
        <f t="shared" si="76"/>
        <v xml:space="preserve"> </v>
      </c>
      <c r="O645" s="1163" t="str">
        <f t="shared" si="77"/>
        <v xml:space="preserve"> </v>
      </c>
      <c r="Q645">
        <f t="shared" si="78"/>
        <v>0</v>
      </c>
      <c r="R645">
        <f t="shared" si="79"/>
        <v>0</v>
      </c>
    </row>
    <row r="646" spans="2:18" x14ac:dyDescent="0.15">
      <c r="B646" s="1157"/>
      <c r="C646" s="1158"/>
      <c r="D646" s="897"/>
      <c r="E646" s="1159" t="str">
        <f t="shared" si="74"/>
        <v xml:space="preserve"> </v>
      </c>
      <c r="G646" s="1160" t="str">
        <f t="shared" si="75"/>
        <v xml:space="preserve"> </v>
      </c>
      <c r="H646" s="1149"/>
      <c r="I646">
        <f t="shared" si="72"/>
        <v>0</v>
      </c>
      <c r="K646">
        <f t="shared" si="73"/>
        <v>0</v>
      </c>
      <c r="L646" s="1161"/>
      <c r="N646" s="1162" t="str">
        <f t="shared" si="76"/>
        <v xml:space="preserve"> </v>
      </c>
      <c r="O646" s="1163" t="str">
        <f t="shared" si="77"/>
        <v xml:space="preserve"> </v>
      </c>
      <c r="Q646">
        <f t="shared" si="78"/>
        <v>0</v>
      </c>
      <c r="R646">
        <f t="shared" si="79"/>
        <v>0</v>
      </c>
    </row>
    <row r="647" spans="2:18" x14ac:dyDescent="0.15">
      <c r="B647" s="1157"/>
      <c r="C647" s="1158"/>
      <c r="D647" s="897"/>
      <c r="E647" s="1159" t="str">
        <f t="shared" si="74"/>
        <v xml:space="preserve"> </v>
      </c>
      <c r="G647" s="1160" t="str">
        <f t="shared" si="75"/>
        <v xml:space="preserve"> </v>
      </c>
      <c r="H647" s="1149"/>
      <c r="I647">
        <f t="shared" si="72"/>
        <v>0</v>
      </c>
      <c r="K647">
        <f t="shared" si="73"/>
        <v>0</v>
      </c>
      <c r="L647" s="1161"/>
      <c r="N647" s="1162" t="str">
        <f t="shared" si="76"/>
        <v xml:space="preserve"> </v>
      </c>
      <c r="O647" s="1163" t="str">
        <f t="shared" si="77"/>
        <v xml:space="preserve"> </v>
      </c>
      <c r="Q647">
        <f t="shared" si="78"/>
        <v>0</v>
      </c>
      <c r="R647">
        <f t="shared" si="79"/>
        <v>0</v>
      </c>
    </row>
    <row r="648" spans="2:18" x14ac:dyDescent="0.15">
      <c r="B648" s="1157"/>
      <c r="C648" s="1158"/>
      <c r="D648" s="897"/>
      <c r="E648" s="1159" t="str">
        <f t="shared" si="74"/>
        <v xml:space="preserve"> </v>
      </c>
      <c r="G648" s="1160" t="str">
        <f t="shared" si="75"/>
        <v xml:space="preserve"> </v>
      </c>
      <c r="H648" s="1149"/>
      <c r="I648">
        <f t="shared" ref="I648:I711" si="80">(J648+C648)/12</f>
        <v>0</v>
      </c>
      <c r="K648">
        <f t="shared" ref="K648:K711" si="81">I648+B648</f>
        <v>0</v>
      </c>
      <c r="L648" s="1161"/>
      <c r="N648" s="1162" t="str">
        <f t="shared" si="76"/>
        <v xml:space="preserve"> </v>
      </c>
      <c r="O648" s="1163" t="str">
        <f t="shared" si="77"/>
        <v xml:space="preserve"> </v>
      </c>
      <c r="Q648">
        <f t="shared" si="78"/>
        <v>0</v>
      </c>
      <c r="R648">
        <f t="shared" si="79"/>
        <v>0</v>
      </c>
    </row>
    <row r="649" spans="2:18" x14ac:dyDescent="0.15">
      <c r="B649" s="1157"/>
      <c r="C649" s="1158"/>
      <c r="D649" s="897"/>
      <c r="E649" s="1159" t="str">
        <f t="shared" si="74"/>
        <v xml:space="preserve"> </v>
      </c>
      <c r="G649" s="1160" t="str">
        <f t="shared" si="75"/>
        <v xml:space="preserve"> </v>
      </c>
      <c r="H649" s="1149"/>
      <c r="I649">
        <f t="shared" si="80"/>
        <v>0</v>
      </c>
      <c r="K649">
        <f t="shared" si="81"/>
        <v>0</v>
      </c>
      <c r="L649" s="1161"/>
      <c r="N649" s="1162" t="str">
        <f t="shared" si="76"/>
        <v xml:space="preserve"> </v>
      </c>
      <c r="O649" s="1163" t="str">
        <f t="shared" si="77"/>
        <v xml:space="preserve"> </v>
      </c>
      <c r="Q649">
        <f t="shared" si="78"/>
        <v>0</v>
      </c>
      <c r="R649">
        <f t="shared" si="79"/>
        <v>0</v>
      </c>
    </row>
    <row r="650" spans="2:18" x14ac:dyDescent="0.15">
      <c r="B650" s="1157"/>
      <c r="C650" s="1158"/>
      <c r="D650" s="897"/>
      <c r="E650" s="1159" t="str">
        <f t="shared" ref="E650:E713" si="82">IF(K650=0," ",IF(K650&gt;0,K650*12*25.4))</f>
        <v xml:space="preserve"> </v>
      </c>
      <c r="G650" s="1160" t="str">
        <f t="shared" ref="G650:G713" si="83">IF(K650=0," ",IF(K650&gt;0,E650/1000))</f>
        <v xml:space="preserve"> </v>
      </c>
      <c r="H650" s="1149"/>
      <c r="I650">
        <f t="shared" si="80"/>
        <v>0</v>
      </c>
      <c r="K650">
        <f t="shared" si="81"/>
        <v>0</v>
      </c>
      <c r="L650" s="1161"/>
      <c r="N650" s="1162" t="str">
        <f t="shared" ref="N650:N713" si="84">IF(R650=0," ",IF(R650&gt;0,TRUNC(R650)))</f>
        <v xml:space="preserve"> </v>
      </c>
      <c r="O650" s="1163" t="str">
        <f t="shared" ref="O650:O713" si="85">IF(R650=0," ",IF(R650&gt;0,(R650-N650)*12))</f>
        <v xml:space="preserve"> </v>
      </c>
      <c r="Q650">
        <f t="shared" ref="Q650:Q713" si="86">L650/25.4</f>
        <v>0</v>
      </c>
      <c r="R650">
        <f t="shared" ref="R650:R713" si="87">Q650/12</f>
        <v>0</v>
      </c>
    </row>
    <row r="651" spans="2:18" x14ac:dyDescent="0.15">
      <c r="B651" s="1157"/>
      <c r="C651" s="1158"/>
      <c r="D651" s="897"/>
      <c r="E651" s="1159" t="str">
        <f t="shared" si="82"/>
        <v xml:space="preserve"> </v>
      </c>
      <c r="G651" s="1160" t="str">
        <f t="shared" si="83"/>
        <v xml:space="preserve"> </v>
      </c>
      <c r="H651" s="1149"/>
      <c r="I651">
        <f t="shared" si="80"/>
        <v>0</v>
      </c>
      <c r="K651">
        <f t="shared" si="81"/>
        <v>0</v>
      </c>
      <c r="L651" s="1161"/>
      <c r="N651" s="1162" t="str">
        <f t="shared" si="84"/>
        <v xml:space="preserve"> </v>
      </c>
      <c r="O651" s="1163" t="str">
        <f t="shared" si="85"/>
        <v xml:space="preserve"> </v>
      </c>
      <c r="Q651">
        <f t="shared" si="86"/>
        <v>0</v>
      </c>
      <c r="R651">
        <f t="shared" si="87"/>
        <v>0</v>
      </c>
    </row>
    <row r="652" spans="2:18" x14ac:dyDescent="0.15">
      <c r="B652" s="1157"/>
      <c r="C652" s="1158"/>
      <c r="D652" s="897"/>
      <c r="E652" s="1159" t="str">
        <f t="shared" si="82"/>
        <v xml:space="preserve"> </v>
      </c>
      <c r="G652" s="1160" t="str">
        <f t="shared" si="83"/>
        <v xml:space="preserve"> </v>
      </c>
      <c r="H652" s="1149"/>
      <c r="I652">
        <f t="shared" si="80"/>
        <v>0</v>
      </c>
      <c r="K652">
        <f t="shared" si="81"/>
        <v>0</v>
      </c>
      <c r="L652" s="1161"/>
      <c r="N652" s="1162" t="str">
        <f t="shared" si="84"/>
        <v xml:space="preserve"> </v>
      </c>
      <c r="O652" s="1163" t="str">
        <f t="shared" si="85"/>
        <v xml:space="preserve"> </v>
      </c>
      <c r="Q652">
        <f t="shared" si="86"/>
        <v>0</v>
      </c>
      <c r="R652">
        <f t="shared" si="87"/>
        <v>0</v>
      </c>
    </row>
    <row r="653" spans="2:18" x14ac:dyDescent="0.15">
      <c r="B653" s="1157"/>
      <c r="C653" s="1158"/>
      <c r="D653" s="897"/>
      <c r="E653" s="1159" t="str">
        <f t="shared" si="82"/>
        <v xml:space="preserve"> </v>
      </c>
      <c r="G653" s="1160" t="str">
        <f t="shared" si="83"/>
        <v xml:space="preserve"> </v>
      </c>
      <c r="H653" s="1149"/>
      <c r="I653">
        <f t="shared" si="80"/>
        <v>0</v>
      </c>
      <c r="K653">
        <f t="shared" si="81"/>
        <v>0</v>
      </c>
      <c r="L653" s="1161"/>
      <c r="N653" s="1162" t="str">
        <f t="shared" si="84"/>
        <v xml:space="preserve"> </v>
      </c>
      <c r="O653" s="1163" t="str">
        <f t="shared" si="85"/>
        <v xml:space="preserve"> </v>
      </c>
      <c r="Q653">
        <f t="shared" si="86"/>
        <v>0</v>
      </c>
      <c r="R653">
        <f t="shared" si="87"/>
        <v>0</v>
      </c>
    </row>
    <row r="654" spans="2:18" x14ac:dyDescent="0.15">
      <c r="B654" s="1157"/>
      <c r="C654" s="1158"/>
      <c r="D654" s="897"/>
      <c r="E654" s="1159" t="str">
        <f t="shared" si="82"/>
        <v xml:space="preserve"> </v>
      </c>
      <c r="G654" s="1160" t="str">
        <f t="shared" si="83"/>
        <v xml:space="preserve"> </v>
      </c>
      <c r="H654" s="1149"/>
      <c r="I654">
        <f t="shared" si="80"/>
        <v>0</v>
      </c>
      <c r="K654">
        <f t="shared" si="81"/>
        <v>0</v>
      </c>
      <c r="L654" s="1161"/>
      <c r="N654" s="1162" t="str">
        <f t="shared" si="84"/>
        <v xml:space="preserve"> </v>
      </c>
      <c r="O654" s="1163" t="str">
        <f t="shared" si="85"/>
        <v xml:space="preserve"> </v>
      </c>
      <c r="Q654">
        <f t="shared" si="86"/>
        <v>0</v>
      </c>
      <c r="R654">
        <f t="shared" si="87"/>
        <v>0</v>
      </c>
    </row>
    <row r="655" spans="2:18" x14ac:dyDescent="0.15">
      <c r="B655" s="1157"/>
      <c r="C655" s="1158"/>
      <c r="D655" s="897"/>
      <c r="E655" s="1159" t="str">
        <f t="shared" si="82"/>
        <v xml:space="preserve"> </v>
      </c>
      <c r="G655" s="1160" t="str">
        <f t="shared" si="83"/>
        <v xml:space="preserve"> </v>
      </c>
      <c r="H655" s="1149"/>
      <c r="I655">
        <f t="shared" si="80"/>
        <v>0</v>
      </c>
      <c r="K655">
        <f t="shared" si="81"/>
        <v>0</v>
      </c>
      <c r="L655" s="1161"/>
      <c r="N655" s="1162" t="str">
        <f t="shared" si="84"/>
        <v xml:space="preserve"> </v>
      </c>
      <c r="O655" s="1163" t="str">
        <f t="shared" si="85"/>
        <v xml:space="preserve"> </v>
      </c>
      <c r="Q655">
        <f t="shared" si="86"/>
        <v>0</v>
      </c>
      <c r="R655">
        <f t="shared" si="87"/>
        <v>0</v>
      </c>
    </row>
    <row r="656" spans="2:18" x14ac:dyDescent="0.15">
      <c r="B656" s="1157"/>
      <c r="C656" s="1158"/>
      <c r="D656" s="897"/>
      <c r="E656" s="1159" t="str">
        <f t="shared" si="82"/>
        <v xml:space="preserve"> </v>
      </c>
      <c r="G656" s="1160" t="str">
        <f t="shared" si="83"/>
        <v xml:space="preserve"> </v>
      </c>
      <c r="H656" s="1149"/>
      <c r="I656">
        <f t="shared" si="80"/>
        <v>0</v>
      </c>
      <c r="K656">
        <f t="shared" si="81"/>
        <v>0</v>
      </c>
      <c r="L656" s="1161"/>
      <c r="N656" s="1162" t="str">
        <f t="shared" si="84"/>
        <v xml:space="preserve"> </v>
      </c>
      <c r="O656" s="1163" t="str">
        <f t="shared" si="85"/>
        <v xml:space="preserve"> </v>
      </c>
      <c r="Q656">
        <f t="shared" si="86"/>
        <v>0</v>
      </c>
      <c r="R656">
        <f t="shared" si="87"/>
        <v>0</v>
      </c>
    </row>
    <row r="657" spans="2:18" x14ac:dyDescent="0.15">
      <c r="B657" s="1157"/>
      <c r="C657" s="1158"/>
      <c r="D657" s="897"/>
      <c r="E657" s="1159" t="str">
        <f t="shared" si="82"/>
        <v xml:space="preserve"> </v>
      </c>
      <c r="G657" s="1160" t="str">
        <f t="shared" si="83"/>
        <v xml:space="preserve"> </v>
      </c>
      <c r="H657" s="1149"/>
      <c r="I657">
        <f t="shared" si="80"/>
        <v>0</v>
      </c>
      <c r="K657">
        <f t="shared" si="81"/>
        <v>0</v>
      </c>
      <c r="L657" s="1161"/>
      <c r="N657" s="1162" t="str">
        <f t="shared" si="84"/>
        <v xml:space="preserve"> </v>
      </c>
      <c r="O657" s="1163" t="str">
        <f t="shared" si="85"/>
        <v xml:space="preserve"> </v>
      </c>
      <c r="Q657">
        <f t="shared" si="86"/>
        <v>0</v>
      </c>
      <c r="R657">
        <f t="shared" si="87"/>
        <v>0</v>
      </c>
    </row>
    <row r="658" spans="2:18" x14ac:dyDescent="0.15">
      <c r="B658" s="1157"/>
      <c r="C658" s="1158"/>
      <c r="D658" s="897"/>
      <c r="E658" s="1159" t="str">
        <f t="shared" si="82"/>
        <v xml:space="preserve"> </v>
      </c>
      <c r="G658" s="1160" t="str">
        <f t="shared" si="83"/>
        <v xml:space="preserve"> </v>
      </c>
      <c r="H658" s="1149"/>
      <c r="I658">
        <f t="shared" si="80"/>
        <v>0</v>
      </c>
      <c r="K658">
        <f t="shared" si="81"/>
        <v>0</v>
      </c>
      <c r="L658" s="1161"/>
      <c r="N658" s="1162" t="str">
        <f t="shared" si="84"/>
        <v xml:space="preserve"> </v>
      </c>
      <c r="O658" s="1163" t="str">
        <f t="shared" si="85"/>
        <v xml:space="preserve"> </v>
      </c>
      <c r="Q658">
        <f t="shared" si="86"/>
        <v>0</v>
      </c>
      <c r="R658">
        <f t="shared" si="87"/>
        <v>0</v>
      </c>
    </row>
    <row r="659" spans="2:18" x14ac:dyDescent="0.15">
      <c r="B659" s="1157"/>
      <c r="C659" s="1158"/>
      <c r="D659" s="897"/>
      <c r="E659" s="1159" t="str">
        <f t="shared" si="82"/>
        <v xml:space="preserve"> </v>
      </c>
      <c r="G659" s="1160" t="str">
        <f t="shared" si="83"/>
        <v xml:space="preserve"> </v>
      </c>
      <c r="H659" s="1149"/>
      <c r="I659">
        <f t="shared" si="80"/>
        <v>0</v>
      </c>
      <c r="K659">
        <f t="shared" si="81"/>
        <v>0</v>
      </c>
      <c r="L659" s="1161"/>
      <c r="N659" s="1162" t="str">
        <f t="shared" si="84"/>
        <v xml:space="preserve"> </v>
      </c>
      <c r="O659" s="1163" t="str">
        <f t="shared" si="85"/>
        <v xml:space="preserve"> </v>
      </c>
      <c r="Q659">
        <f t="shared" si="86"/>
        <v>0</v>
      </c>
      <c r="R659">
        <f t="shared" si="87"/>
        <v>0</v>
      </c>
    </row>
    <row r="660" spans="2:18" x14ac:dyDescent="0.15">
      <c r="B660" s="1157"/>
      <c r="C660" s="1158"/>
      <c r="D660" s="897"/>
      <c r="E660" s="1159" t="str">
        <f t="shared" si="82"/>
        <v xml:space="preserve"> </v>
      </c>
      <c r="G660" s="1160" t="str">
        <f t="shared" si="83"/>
        <v xml:space="preserve"> </v>
      </c>
      <c r="H660" s="1149"/>
      <c r="I660">
        <f t="shared" si="80"/>
        <v>0</v>
      </c>
      <c r="K660">
        <f t="shared" si="81"/>
        <v>0</v>
      </c>
      <c r="L660" s="1161"/>
      <c r="N660" s="1162" t="str">
        <f t="shared" si="84"/>
        <v xml:space="preserve"> </v>
      </c>
      <c r="O660" s="1163" t="str">
        <f t="shared" si="85"/>
        <v xml:space="preserve"> </v>
      </c>
      <c r="Q660">
        <f t="shared" si="86"/>
        <v>0</v>
      </c>
      <c r="R660">
        <f t="shared" si="87"/>
        <v>0</v>
      </c>
    </row>
    <row r="661" spans="2:18" x14ac:dyDescent="0.15">
      <c r="B661" s="1157"/>
      <c r="C661" s="1158"/>
      <c r="D661" s="897"/>
      <c r="E661" s="1159" t="str">
        <f t="shared" si="82"/>
        <v xml:space="preserve"> </v>
      </c>
      <c r="G661" s="1160" t="str">
        <f t="shared" si="83"/>
        <v xml:space="preserve"> </v>
      </c>
      <c r="H661" s="1149"/>
      <c r="I661">
        <f t="shared" si="80"/>
        <v>0</v>
      </c>
      <c r="K661">
        <f t="shared" si="81"/>
        <v>0</v>
      </c>
      <c r="L661" s="1161"/>
      <c r="N661" s="1162" t="str">
        <f t="shared" si="84"/>
        <v xml:space="preserve"> </v>
      </c>
      <c r="O661" s="1163" t="str">
        <f t="shared" si="85"/>
        <v xml:space="preserve"> </v>
      </c>
      <c r="Q661">
        <f t="shared" si="86"/>
        <v>0</v>
      </c>
      <c r="R661">
        <f t="shared" si="87"/>
        <v>0</v>
      </c>
    </row>
    <row r="662" spans="2:18" x14ac:dyDescent="0.15">
      <c r="B662" s="1157"/>
      <c r="C662" s="1158"/>
      <c r="D662" s="897"/>
      <c r="E662" s="1159" t="str">
        <f t="shared" si="82"/>
        <v xml:space="preserve"> </v>
      </c>
      <c r="G662" s="1160" t="str">
        <f t="shared" si="83"/>
        <v xml:space="preserve"> </v>
      </c>
      <c r="H662" s="1149"/>
      <c r="I662">
        <f t="shared" si="80"/>
        <v>0</v>
      </c>
      <c r="K662">
        <f t="shared" si="81"/>
        <v>0</v>
      </c>
      <c r="L662" s="1161"/>
      <c r="N662" s="1162" t="str">
        <f t="shared" si="84"/>
        <v xml:space="preserve"> </v>
      </c>
      <c r="O662" s="1163" t="str">
        <f t="shared" si="85"/>
        <v xml:space="preserve"> </v>
      </c>
      <c r="Q662">
        <f t="shared" si="86"/>
        <v>0</v>
      </c>
      <c r="R662">
        <f t="shared" si="87"/>
        <v>0</v>
      </c>
    </row>
    <row r="663" spans="2:18" x14ac:dyDescent="0.15">
      <c r="B663" s="1157"/>
      <c r="C663" s="1158"/>
      <c r="D663" s="897"/>
      <c r="E663" s="1159" t="str">
        <f t="shared" si="82"/>
        <v xml:space="preserve"> </v>
      </c>
      <c r="G663" s="1160" t="str">
        <f t="shared" si="83"/>
        <v xml:space="preserve"> </v>
      </c>
      <c r="H663" s="1149"/>
      <c r="I663">
        <f t="shared" si="80"/>
        <v>0</v>
      </c>
      <c r="K663">
        <f t="shared" si="81"/>
        <v>0</v>
      </c>
      <c r="L663" s="1161"/>
      <c r="N663" s="1162" t="str">
        <f t="shared" si="84"/>
        <v xml:space="preserve"> </v>
      </c>
      <c r="O663" s="1163" t="str">
        <f t="shared" si="85"/>
        <v xml:space="preserve"> </v>
      </c>
      <c r="Q663">
        <f t="shared" si="86"/>
        <v>0</v>
      </c>
      <c r="R663">
        <f t="shared" si="87"/>
        <v>0</v>
      </c>
    </row>
    <row r="664" spans="2:18" x14ac:dyDescent="0.15">
      <c r="B664" s="1157"/>
      <c r="C664" s="1158"/>
      <c r="D664" s="897"/>
      <c r="E664" s="1159" t="str">
        <f t="shared" si="82"/>
        <v xml:space="preserve"> </v>
      </c>
      <c r="G664" s="1160" t="str">
        <f t="shared" si="83"/>
        <v xml:space="preserve"> </v>
      </c>
      <c r="H664" s="1149"/>
      <c r="I664">
        <f t="shared" si="80"/>
        <v>0</v>
      </c>
      <c r="K664">
        <f t="shared" si="81"/>
        <v>0</v>
      </c>
      <c r="L664" s="1161"/>
      <c r="N664" s="1162" t="str">
        <f t="shared" si="84"/>
        <v xml:space="preserve"> </v>
      </c>
      <c r="O664" s="1163" t="str">
        <f t="shared" si="85"/>
        <v xml:space="preserve"> </v>
      </c>
      <c r="Q664">
        <f t="shared" si="86"/>
        <v>0</v>
      </c>
      <c r="R664">
        <f t="shared" si="87"/>
        <v>0</v>
      </c>
    </row>
    <row r="665" spans="2:18" x14ac:dyDescent="0.15">
      <c r="B665" s="1157"/>
      <c r="C665" s="1158"/>
      <c r="D665" s="897"/>
      <c r="E665" s="1159" t="str">
        <f t="shared" si="82"/>
        <v xml:space="preserve"> </v>
      </c>
      <c r="G665" s="1160" t="str">
        <f t="shared" si="83"/>
        <v xml:space="preserve"> </v>
      </c>
      <c r="H665" s="1149"/>
      <c r="I665">
        <f t="shared" si="80"/>
        <v>0</v>
      </c>
      <c r="K665">
        <f t="shared" si="81"/>
        <v>0</v>
      </c>
      <c r="L665" s="1161"/>
      <c r="N665" s="1162" t="str">
        <f t="shared" si="84"/>
        <v xml:space="preserve"> </v>
      </c>
      <c r="O665" s="1163" t="str">
        <f t="shared" si="85"/>
        <v xml:space="preserve"> </v>
      </c>
      <c r="Q665">
        <f t="shared" si="86"/>
        <v>0</v>
      </c>
      <c r="R665">
        <f t="shared" si="87"/>
        <v>0</v>
      </c>
    </row>
    <row r="666" spans="2:18" x14ac:dyDescent="0.15">
      <c r="B666" s="1157"/>
      <c r="C666" s="1158"/>
      <c r="D666" s="897"/>
      <c r="E666" s="1159" t="str">
        <f t="shared" si="82"/>
        <v xml:space="preserve"> </v>
      </c>
      <c r="G666" s="1160" t="str">
        <f t="shared" si="83"/>
        <v xml:space="preserve"> </v>
      </c>
      <c r="H666" s="1149"/>
      <c r="I666">
        <f t="shared" si="80"/>
        <v>0</v>
      </c>
      <c r="K666">
        <f t="shared" si="81"/>
        <v>0</v>
      </c>
      <c r="L666" s="1161"/>
      <c r="N666" s="1162" t="str">
        <f t="shared" si="84"/>
        <v xml:space="preserve"> </v>
      </c>
      <c r="O666" s="1163" t="str">
        <f t="shared" si="85"/>
        <v xml:space="preserve"> </v>
      </c>
      <c r="Q666">
        <f t="shared" si="86"/>
        <v>0</v>
      </c>
      <c r="R666">
        <f t="shared" si="87"/>
        <v>0</v>
      </c>
    </row>
    <row r="667" spans="2:18" x14ac:dyDescent="0.15">
      <c r="B667" s="1157"/>
      <c r="C667" s="1158"/>
      <c r="D667" s="897"/>
      <c r="E667" s="1159" t="str">
        <f t="shared" si="82"/>
        <v xml:space="preserve"> </v>
      </c>
      <c r="G667" s="1160" t="str">
        <f t="shared" si="83"/>
        <v xml:space="preserve"> </v>
      </c>
      <c r="H667" s="1149"/>
      <c r="I667">
        <f t="shared" si="80"/>
        <v>0</v>
      </c>
      <c r="K667">
        <f t="shared" si="81"/>
        <v>0</v>
      </c>
      <c r="L667" s="1161"/>
      <c r="N667" s="1162" t="str">
        <f t="shared" si="84"/>
        <v xml:space="preserve"> </v>
      </c>
      <c r="O667" s="1163" t="str">
        <f t="shared" si="85"/>
        <v xml:space="preserve"> </v>
      </c>
      <c r="Q667">
        <f t="shared" si="86"/>
        <v>0</v>
      </c>
      <c r="R667">
        <f t="shared" si="87"/>
        <v>0</v>
      </c>
    </row>
    <row r="668" spans="2:18" x14ac:dyDescent="0.15">
      <c r="B668" s="1157"/>
      <c r="C668" s="1158"/>
      <c r="D668" s="897"/>
      <c r="E668" s="1159" t="str">
        <f t="shared" si="82"/>
        <v xml:space="preserve"> </v>
      </c>
      <c r="G668" s="1160" t="str">
        <f t="shared" si="83"/>
        <v xml:space="preserve"> </v>
      </c>
      <c r="H668" s="1149"/>
      <c r="I668">
        <f t="shared" si="80"/>
        <v>0</v>
      </c>
      <c r="K668">
        <f t="shared" si="81"/>
        <v>0</v>
      </c>
      <c r="L668" s="1161"/>
      <c r="N668" s="1162" t="str">
        <f t="shared" si="84"/>
        <v xml:space="preserve"> </v>
      </c>
      <c r="O668" s="1163" t="str">
        <f t="shared" si="85"/>
        <v xml:space="preserve"> </v>
      </c>
      <c r="Q668">
        <f t="shared" si="86"/>
        <v>0</v>
      </c>
      <c r="R668">
        <f t="shared" si="87"/>
        <v>0</v>
      </c>
    </row>
    <row r="669" spans="2:18" x14ac:dyDescent="0.15">
      <c r="B669" s="1157"/>
      <c r="C669" s="1158"/>
      <c r="D669" s="897"/>
      <c r="E669" s="1159" t="str">
        <f t="shared" si="82"/>
        <v xml:space="preserve"> </v>
      </c>
      <c r="G669" s="1160" t="str">
        <f t="shared" si="83"/>
        <v xml:space="preserve"> </v>
      </c>
      <c r="H669" s="1149"/>
      <c r="I669">
        <f t="shared" si="80"/>
        <v>0</v>
      </c>
      <c r="K669">
        <f t="shared" si="81"/>
        <v>0</v>
      </c>
      <c r="L669" s="1161"/>
      <c r="N669" s="1162" t="str">
        <f t="shared" si="84"/>
        <v xml:space="preserve"> </v>
      </c>
      <c r="O669" s="1163" t="str">
        <f t="shared" si="85"/>
        <v xml:space="preserve"> </v>
      </c>
      <c r="Q669">
        <f t="shared" si="86"/>
        <v>0</v>
      </c>
      <c r="R669">
        <f t="shared" si="87"/>
        <v>0</v>
      </c>
    </row>
    <row r="670" spans="2:18" x14ac:dyDescent="0.15">
      <c r="B670" s="1157"/>
      <c r="C670" s="1158"/>
      <c r="D670" s="897"/>
      <c r="E670" s="1159" t="str">
        <f t="shared" si="82"/>
        <v xml:space="preserve"> </v>
      </c>
      <c r="G670" s="1160" t="str">
        <f t="shared" si="83"/>
        <v xml:space="preserve"> </v>
      </c>
      <c r="H670" s="1149"/>
      <c r="I670">
        <f t="shared" si="80"/>
        <v>0</v>
      </c>
      <c r="K670">
        <f t="shared" si="81"/>
        <v>0</v>
      </c>
      <c r="L670" s="1161"/>
      <c r="N670" s="1162" t="str">
        <f t="shared" si="84"/>
        <v xml:space="preserve"> </v>
      </c>
      <c r="O670" s="1163" t="str">
        <f t="shared" si="85"/>
        <v xml:space="preserve"> </v>
      </c>
      <c r="Q670">
        <f t="shared" si="86"/>
        <v>0</v>
      </c>
      <c r="R670">
        <f t="shared" si="87"/>
        <v>0</v>
      </c>
    </row>
    <row r="671" spans="2:18" x14ac:dyDescent="0.15">
      <c r="B671" s="1157"/>
      <c r="C671" s="1158"/>
      <c r="D671" s="897"/>
      <c r="E671" s="1159" t="str">
        <f t="shared" si="82"/>
        <v xml:space="preserve"> </v>
      </c>
      <c r="G671" s="1160" t="str">
        <f t="shared" si="83"/>
        <v xml:space="preserve"> </v>
      </c>
      <c r="H671" s="1149"/>
      <c r="I671">
        <f t="shared" si="80"/>
        <v>0</v>
      </c>
      <c r="K671">
        <f t="shared" si="81"/>
        <v>0</v>
      </c>
      <c r="L671" s="1161"/>
      <c r="N671" s="1162" t="str">
        <f t="shared" si="84"/>
        <v xml:space="preserve"> </v>
      </c>
      <c r="O671" s="1163" t="str">
        <f t="shared" si="85"/>
        <v xml:space="preserve"> </v>
      </c>
      <c r="Q671">
        <f t="shared" si="86"/>
        <v>0</v>
      </c>
      <c r="R671">
        <f t="shared" si="87"/>
        <v>0</v>
      </c>
    </row>
    <row r="672" spans="2:18" x14ac:dyDescent="0.15">
      <c r="B672" s="1157"/>
      <c r="C672" s="1158"/>
      <c r="D672" s="897"/>
      <c r="E672" s="1159" t="str">
        <f t="shared" si="82"/>
        <v xml:space="preserve"> </v>
      </c>
      <c r="G672" s="1160" t="str">
        <f t="shared" si="83"/>
        <v xml:space="preserve"> </v>
      </c>
      <c r="H672" s="1149"/>
      <c r="I672">
        <f t="shared" si="80"/>
        <v>0</v>
      </c>
      <c r="K672">
        <f t="shared" si="81"/>
        <v>0</v>
      </c>
      <c r="L672" s="1161"/>
      <c r="N672" s="1162" t="str">
        <f t="shared" si="84"/>
        <v xml:space="preserve"> </v>
      </c>
      <c r="O672" s="1163" t="str">
        <f t="shared" si="85"/>
        <v xml:space="preserve"> </v>
      </c>
      <c r="Q672">
        <f t="shared" si="86"/>
        <v>0</v>
      </c>
      <c r="R672">
        <f t="shared" si="87"/>
        <v>0</v>
      </c>
    </row>
    <row r="673" spans="2:18" x14ac:dyDescent="0.15">
      <c r="B673" s="1157"/>
      <c r="C673" s="1158"/>
      <c r="D673" s="897"/>
      <c r="E673" s="1159" t="str">
        <f t="shared" si="82"/>
        <v xml:space="preserve"> </v>
      </c>
      <c r="G673" s="1160" t="str">
        <f t="shared" si="83"/>
        <v xml:space="preserve"> </v>
      </c>
      <c r="H673" s="1149"/>
      <c r="I673">
        <f t="shared" si="80"/>
        <v>0</v>
      </c>
      <c r="K673">
        <f t="shared" si="81"/>
        <v>0</v>
      </c>
      <c r="L673" s="1161"/>
      <c r="N673" s="1162" t="str">
        <f t="shared" si="84"/>
        <v xml:space="preserve"> </v>
      </c>
      <c r="O673" s="1163" t="str">
        <f t="shared" si="85"/>
        <v xml:space="preserve"> </v>
      </c>
      <c r="Q673">
        <f t="shared" si="86"/>
        <v>0</v>
      </c>
      <c r="R673">
        <f t="shared" si="87"/>
        <v>0</v>
      </c>
    </row>
    <row r="674" spans="2:18" x14ac:dyDescent="0.15">
      <c r="B674" s="1157"/>
      <c r="C674" s="1158"/>
      <c r="D674" s="897"/>
      <c r="E674" s="1159" t="str">
        <f t="shared" si="82"/>
        <v xml:space="preserve"> </v>
      </c>
      <c r="G674" s="1160" t="str">
        <f t="shared" si="83"/>
        <v xml:space="preserve"> </v>
      </c>
      <c r="H674" s="1149"/>
      <c r="I674">
        <f t="shared" si="80"/>
        <v>0</v>
      </c>
      <c r="K674">
        <f t="shared" si="81"/>
        <v>0</v>
      </c>
      <c r="L674" s="1161"/>
      <c r="N674" s="1162" t="str">
        <f t="shared" si="84"/>
        <v xml:space="preserve"> </v>
      </c>
      <c r="O674" s="1163" t="str">
        <f t="shared" si="85"/>
        <v xml:space="preserve"> </v>
      </c>
      <c r="Q674">
        <f t="shared" si="86"/>
        <v>0</v>
      </c>
      <c r="R674">
        <f t="shared" si="87"/>
        <v>0</v>
      </c>
    </row>
    <row r="675" spans="2:18" x14ac:dyDescent="0.15">
      <c r="B675" s="1157"/>
      <c r="C675" s="1158"/>
      <c r="D675" s="897"/>
      <c r="E675" s="1159" t="str">
        <f t="shared" si="82"/>
        <v xml:space="preserve"> </v>
      </c>
      <c r="G675" s="1160" t="str">
        <f t="shared" si="83"/>
        <v xml:space="preserve"> </v>
      </c>
      <c r="H675" s="1149"/>
      <c r="I675">
        <f t="shared" si="80"/>
        <v>0</v>
      </c>
      <c r="K675">
        <f t="shared" si="81"/>
        <v>0</v>
      </c>
      <c r="L675" s="1161"/>
      <c r="N675" s="1162" t="str">
        <f t="shared" si="84"/>
        <v xml:space="preserve"> </v>
      </c>
      <c r="O675" s="1163" t="str">
        <f t="shared" si="85"/>
        <v xml:space="preserve"> </v>
      </c>
      <c r="Q675">
        <f t="shared" si="86"/>
        <v>0</v>
      </c>
      <c r="R675">
        <f t="shared" si="87"/>
        <v>0</v>
      </c>
    </row>
    <row r="676" spans="2:18" x14ac:dyDescent="0.15">
      <c r="B676" s="1157"/>
      <c r="C676" s="1158"/>
      <c r="D676" s="897"/>
      <c r="E676" s="1159" t="str">
        <f t="shared" si="82"/>
        <v xml:space="preserve"> </v>
      </c>
      <c r="G676" s="1160" t="str">
        <f t="shared" si="83"/>
        <v xml:space="preserve"> </v>
      </c>
      <c r="H676" s="1149"/>
      <c r="I676">
        <f t="shared" si="80"/>
        <v>0</v>
      </c>
      <c r="K676">
        <f t="shared" si="81"/>
        <v>0</v>
      </c>
      <c r="L676" s="1161"/>
      <c r="N676" s="1162" t="str">
        <f t="shared" si="84"/>
        <v xml:space="preserve"> </v>
      </c>
      <c r="O676" s="1163" t="str">
        <f t="shared" si="85"/>
        <v xml:space="preserve"> </v>
      </c>
      <c r="Q676">
        <f t="shared" si="86"/>
        <v>0</v>
      </c>
      <c r="R676">
        <f t="shared" si="87"/>
        <v>0</v>
      </c>
    </row>
    <row r="677" spans="2:18" x14ac:dyDescent="0.15">
      <c r="B677" s="1157"/>
      <c r="C677" s="1158"/>
      <c r="D677" s="897"/>
      <c r="E677" s="1159" t="str">
        <f t="shared" si="82"/>
        <v xml:space="preserve"> </v>
      </c>
      <c r="G677" s="1160" t="str">
        <f t="shared" si="83"/>
        <v xml:space="preserve"> </v>
      </c>
      <c r="H677" s="1149"/>
      <c r="I677">
        <f t="shared" si="80"/>
        <v>0</v>
      </c>
      <c r="K677">
        <f t="shared" si="81"/>
        <v>0</v>
      </c>
      <c r="L677" s="1161"/>
      <c r="N677" s="1162" t="str">
        <f t="shared" si="84"/>
        <v xml:space="preserve"> </v>
      </c>
      <c r="O677" s="1163" t="str">
        <f t="shared" si="85"/>
        <v xml:space="preserve"> </v>
      </c>
      <c r="Q677">
        <f t="shared" si="86"/>
        <v>0</v>
      </c>
      <c r="R677">
        <f t="shared" si="87"/>
        <v>0</v>
      </c>
    </row>
    <row r="678" spans="2:18" x14ac:dyDescent="0.15">
      <c r="B678" s="1157"/>
      <c r="C678" s="1158"/>
      <c r="D678" s="897"/>
      <c r="E678" s="1159" t="str">
        <f t="shared" si="82"/>
        <v xml:space="preserve"> </v>
      </c>
      <c r="G678" s="1160" t="str">
        <f t="shared" si="83"/>
        <v xml:space="preserve"> </v>
      </c>
      <c r="H678" s="1149"/>
      <c r="I678">
        <f t="shared" si="80"/>
        <v>0</v>
      </c>
      <c r="K678">
        <f t="shared" si="81"/>
        <v>0</v>
      </c>
      <c r="L678" s="1161"/>
      <c r="N678" s="1162" t="str">
        <f t="shared" si="84"/>
        <v xml:space="preserve"> </v>
      </c>
      <c r="O678" s="1163" t="str">
        <f t="shared" si="85"/>
        <v xml:space="preserve"> </v>
      </c>
      <c r="Q678">
        <f t="shared" si="86"/>
        <v>0</v>
      </c>
      <c r="R678">
        <f t="shared" si="87"/>
        <v>0</v>
      </c>
    </row>
    <row r="679" spans="2:18" x14ac:dyDescent="0.15">
      <c r="B679" s="1157"/>
      <c r="C679" s="1158"/>
      <c r="D679" s="897"/>
      <c r="E679" s="1159" t="str">
        <f t="shared" si="82"/>
        <v xml:space="preserve"> </v>
      </c>
      <c r="G679" s="1160" t="str">
        <f t="shared" si="83"/>
        <v xml:space="preserve"> </v>
      </c>
      <c r="H679" s="1149"/>
      <c r="I679">
        <f t="shared" si="80"/>
        <v>0</v>
      </c>
      <c r="K679">
        <f t="shared" si="81"/>
        <v>0</v>
      </c>
      <c r="L679" s="1161"/>
      <c r="N679" s="1162" t="str">
        <f t="shared" si="84"/>
        <v xml:space="preserve"> </v>
      </c>
      <c r="O679" s="1163" t="str">
        <f t="shared" si="85"/>
        <v xml:space="preserve"> </v>
      </c>
      <c r="Q679">
        <f t="shared" si="86"/>
        <v>0</v>
      </c>
      <c r="R679">
        <f t="shared" si="87"/>
        <v>0</v>
      </c>
    </row>
    <row r="680" spans="2:18" x14ac:dyDescent="0.15">
      <c r="B680" s="1157"/>
      <c r="C680" s="1158"/>
      <c r="D680" s="897"/>
      <c r="E680" s="1159" t="str">
        <f t="shared" si="82"/>
        <v xml:space="preserve"> </v>
      </c>
      <c r="G680" s="1160" t="str">
        <f t="shared" si="83"/>
        <v xml:space="preserve"> </v>
      </c>
      <c r="H680" s="1149"/>
      <c r="I680">
        <f t="shared" si="80"/>
        <v>0</v>
      </c>
      <c r="K680">
        <f t="shared" si="81"/>
        <v>0</v>
      </c>
      <c r="L680" s="1161"/>
      <c r="N680" s="1162" t="str">
        <f t="shared" si="84"/>
        <v xml:space="preserve"> </v>
      </c>
      <c r="O680" s="1163" t="str">
        <f t="shared" si="85"/>
        <v xml:space="preserve"> </v>
      </c>
      <c r="Q680">
        <f t="shared" si="86"/>
        <v>0</v>
      </c>
      <c r="R680">
        <f t="shared" si="87"/>
        <v>0</v>
      </c>
    </row>
    <row r="681" spans="2:18" x14ac:dyDescent="0.15">
      <c r="B681" s="1157"/>
      <c r="C681" s="1158"/>
      <c r="D681" s="897"/>
      <c r="E681" s="1159" t="str">
        <f t="shared" si="82"/>
        <v xml:space="preserve"> </v>
      </c>
      <c r="G681" s="1160" t="str">
        <f t="shared" si="83"/>
        <v xml:space="preserve"> </v>
      </c>
      <c r="H681" s="1149"/>
      <c r="I681">
        <f t="shared" si="80"/>
        <v>0</v>
      </c>
      <c r="K681">
        <f t="shared" si="81"/>
        <v>0</v>
      </c>
      <c r="L681" s="1161"/>
      <c r="N681" s="1162" t="str">
        <f t="shared" si="84"/>
        <v xml:space="preserve"> </v>
      </c>
      <c r="O681" s="1163" t="str">
        <f t="shared" si="85"/>
        <v xml:space="preserve"> </v>
      </c>
      <c r="Q681">
        <f t="shared" si="86"/>
        <v>0</v>
      </c>
      <c r="R681">
        <f t="shared" si="87"/>
        <v>0</v>
      </c>
    </row>
    <row r="682" spans="2:18" x14ac:dyDescent="0.15">
      <c r="B682" s="1157"/>
      <c r="C682" s="1158"/>
      <c r="D682" s="897"/>
      <c r="E682" s="1159" t="str">
        <f t="shared" si="82"/>
        <v xml:space="preserve"> </v>
      </c>
      <c r="G682" s="1160" t="str">
        <f t="shared" si="83"/>
        <v xml:space="preserve"> </v>
      </c>
      <c r="H682" s="1149"/>
      <c r="I682">
        <f t="shared" si="80"/>
        <v>0</v>
      </c>
      <c r="K682">
        <f t="shared" si="81"/>
        <v>0</v>
      </c>
      <c r="L682" s="1161"/>
      <c r="N682" s="1162" t="str">
        <f t="shared" si="84"/>
        <v xml:space="preserve"> </v>
      </c>
      <c r="O682" s="1163" t="str">
        <f t="shared" si="85"/>
        <v xml:space="preserve"> </v>
      </c>
      <c r="Q682">
        <f t="shared" si="86"/>
        <v>0</v>
      </c>
      <c r="R682">
        <f t="shared" si="87"/>
        <v>0</v>
      </c>
    </row>
    <row r="683" spans="2:18" x14ac:dyDescent="0.15">
      <c r="B683" s="1157"/>
      <c r="C683" s="1158"/>
      <c r="D683" s="897"/>
      <c r="E683" s="1159" t="str">
        <f t="shared" si="82"/>
        <v xml:space="preserve"> </v>
      </c>
      <c r="G683" s="1160" t="str">
        <f t="shared" si="83"/>
        <v xml:space="preserve"> </v>
      </c>
      <c r="H683" s="1149"/>
      <c r="I683">
        <f t="shared" si="80"/>
        <v>0</v>
      </c>
      <c r="K683">
        <f t="shared" si="81"/>
        <v>0</v>
      </c>
      <c r="L683" s="1161"/>
      <c r="N683" s="1162" t="str">
        <f t="shared" si="84"/>
        <v xml:space="preserve"> </v>
      </c>
      <c r="O683" s="1163" t="str">
        <f t="shared" si="85"/>
        <v xml:space="preserve"> </v>
      </c>
      <c r="Q683">
        <f t="shared" si="86"/>
        <v>0</v>
      </c>
      <c r="R683">
        <f t="shared" si="87"/>
        <v>0</v>
      </c>
    </row>
    <row r="684" spans="2:18" x14ac:dyDescent="0.15">
      <c r="B684" s="1157"/>
      <c r="C684" s="1158"/>
      <c r="D684" s="897"/>
      <c r="E684" s="1159" t="str">
        <f t="shared" si="82"/>
        <v xml:space="preserve"> </v>
      </c>
      <c r="G684" s="1160" t="str">
        <f t="shared" si="83"/>
        <v xml:space="preserve"> </v>
      </c>
      <c r="H684" s="1149"/>
      <c r="I684">
        <f t="shared" si="80"/>
        <v>0</v>
      </c>
      <c r="K684">
        <f t="shared" si="81"/>
        <v>0</v>
      </c>
      <c r="L684" s="1161"/>
      <c r="N684" s="1162" t="str">
        <f t="shared" si="84"/>
        <v xml:space="preserve"> </v>
      </c>
      <c r="O684" s="1163" t="str">
        <f t="shared" si="85"/>
        <v xml:space="preserve"> </v>
      </c>
      <c r="Q684">
        <f t="shared" si="86"/>
        <v>0</v>
      </c>
      <c r="R684">
        <f t="shared" si="87"/>
        <v>0</v>
      </c>
    </row>
    <row r="685" spans="2:18" x14ac:dyDescent="0.15">
      <c r="B685" s="1157"/>
      <c r="C685" s="1158"/>
      <c r="D685" s="897"/>
      <c r="E685" s="1159" t="str">
        <f t="shared" si="82"/>
        <v xml:space="preserve"> </v>
      </c>
      <c r="G685" s="1160" t="str">
        <f t="shared" si="83"/>
        <v xml:space="preserve"> </v>
      </c>
      <c r="H685" s="1149"/>
      <c r="I685">
        <f t="shared" si="80"/>
        <v>0</v>
      </c>
      <c r="K685">
        <f t="shared" si="81"/>
        <v>0</v>
      </c>
      <c r="L685" s="1161"/>
      <c r="N685" s="1162" t="str">
        <f t="shared" si="84"/>
        <v xml:space="preserve"> </v>
      </c>
      <c r="O685" s="1163" t="str">
        <f t="shared" si="85"/>
        <v xml:space="preserve"> </v>
      </c>
      <c r="Q685">
        <f t="shared" si="86"/>
        <v>0</v>
      </c>
      <c r="R685">
        <f t="shared" si="87"/>
        <v>0</v>
      </c>
    </row>
    <row r="686" spans="2:18" x14ac:dyDescent="0.15">
      <c r="B686" s="1157"/>
      <c r="C686" s="1158"/>
      <c r="D686" s="897"/>
      <c r="E686" s="1159" t="str">
        <f t="shared" si="82"/>
        <v xml:space="preserve"> </v>
      </c>
      <c r="G686" s="1160" t="str">
        <f t="shared" si="83"/>
        <v xml:space="preserve"> </v>
      </c>
      <c r="H686" s="1149"/>
      <c r="I686">
        <f t="shared" si="80"/>
        <v>0</v>
      </c>
      <c r="K686">
        <f t="shared" si="81"/>
        <v>0</v>
      </c>
      <c r="L686" s="1161"/>
      <c r="N686" s="1162" t="str">
        <f t="shared" si="84"/>
        <v xml:space="preserve"> </v>
      </c>
      <c r="O686" s="1163" t="str">
        <f t="shared" si="85"/>
        <v xml:space="preserve"> </v>
      </c>
      <c r="Q686">
        <f t="shared" si="86"/>
        <v>0</v>
      </c>
      <c r="R686">
        <f t="shared" si="87"/>
        <v>0</v>
      </c>
    </row>
    <row r="687" spans="2:18" x14ac:dyDescent="0.15">
      <c r="B687" s="1157"/>
      <c r="C687" s="1158"/>
      <c r="D687" s="897"/>
      <c r="E687" s="1159" t="str">
        <f t="shared" si="82"/>
        <v xml:space="preserve"> </v>
      </c>
      <c r="G687" s="1160" t="str">
        <f t="shared" si="83"/>
        <v xml:space="preserve"> </v>
      </c>
      <c r="H687" s="1149"/>
      <c r="I687">
        <f t="shared" si="80"/>
        <v>0</v>
      </c>
      <c r="K687">
        <f t="shared" si="81"/>
        <v>0</v>
      </c>
      <c r="L687" s="1161"/>
      <c r="N687" s="1162" t="str">
        <f t="shared" si="84"/>
        <v xml:space="preserve"> </v>
      </c>
      <c r="O687" s="1163" t="str">
        <f t="shared" si="85"/>
        <v xml:space="preserve"> </v>
      </c>
      <c r="Q687">
        <f t="shared" si="86"/>
        <v>0</v>
      </c>
      <c r="R687">
        <f t="shared" si="87"/>
        <v>0</v>
      </c>
    </row>
    <row r="688" spans="2:18" x14ac:dyDescent="0.15">
      <c r="B688" s="1157"/>
      <c r="C688" s="1158"/>
      <c r="D688" s="897"/>
      <c r="E688" s="1159" t="str">
        <f t="shared" si="82"/>
        <v xml:space="preserve"> </v>
      </c>
      <c r="G688" s="1160" t="str">
        <f t="shared" si="83"/>
        <v xml:space="preserve"> </v>
      </c>
      <c r="H688" s="1149"/>
      <c r="I688">
        <f t="shared" si="80"/>
        <v>0</v>
      </c>
      <c r="K688">
        <f t="shared" si="81"/>
        <v>0</v>
      </c>
      <c r="L688" s="1161"/>
      <c r="N688" s="1162" t="str">
        <f t="shared" si="84"/>
        <v xml:space="preserve"> </v>
      </c>
      <c r="O688" s="1163" t="str">
        <f t="shared" si="85"/>
        <v xml:space="preserve"> </v>
      </c>
      <c r="Q688">
        <f t="shared" si="86"/>
        <v>0</v>
      </c>
      <c r="R688">
        <f t="shared" si="87"/>
        <v>0</v>
      </c>
    </row>
    <row r="689" spans="2:18" x14ac:dyDescent="0.15">
      <c r="B689" s="1157"/>
      <c r="C689" s="1158"/>
      <c r="D689" s="897"/>
      <c r="E689" s="1159" t="str">
        <f t="shared" si="82"/>
        <v xml:space="preserve"> </v>
      </c>
      <c r="G689" s="1160" t="str">
        <f t="shared" si="83"/>
        <v xml:space="preserve"> </v>
      </c>
      <c r="H689" s="1149"/>
      <c r="I689">
        <f t="shared" si="80"/>
        <v>0</v>
      </c>
      <c r="K689">
        <f t="shared" si="81"/>
        <v>0</v>
      </c>
      <c r="L689" s="1161"/>
      <c r="N689" s="1162" t="str">
        <f t="shared" si="84"/>
        <v xml:space="preserve"> </v>
      </c>
      <c r="O689" s="1163" t="str">
        <f t="shared" si="85"/>
        <v xml:space="preserve"> </v>
      </c>
      <c r="Q689">
        <f t="shared" si="86"/>
        <v>0</v>
      </c>
      <c r="R689">
        <f t="shared" si="87"/>
        <v>0</v>
      </c>
    </row>
    <row r="690" spans="2:18" x14ac:dyDescent="0.15">
      <c r="B690" s="1157"/>
      <c r="C690" s="1158"/>
      <c r="D690" s="897"/>
      <c r="E690" s="1159" t="str">
        <f t="shared" si="82"/>
        <v xml:space="preserve"> </v>
      </c>
      <c r="G690" s="1160" t="str">
        <f t="shared" si="83"/>
        <v xml:space="preserve"> </v>
      </c>
      <c r="H690" s="1149"/>
      <c r="I690">
        <f t="shared" si="80"/>
        <v>0</v>
      </c>
      <c r="K690">
        <f t="shared" si="81"/>
        <v>0</v>
      </c>
      <c r="L690" s="1161"/>
      <c r="N690" s="1162" t="str">
        <f t="shared" si="84"/>
        <v xml:space="preserve"> </v>
      </c>
      <c r="O690" s="1163" t="str">
        <f t="shared" si="85"/>
        <v xml:space="preserve"> </v>
      </c>
      <c r="Q690">
        <f t="shared" si="86"/>
        <v>0</v>
      </c>
      <c r="R690">
        <f t="shared" si="87"/>
        <v>0</v>
      </c>
    </row>
    <row r="691" spans="2:18" x14ac:dyDescent="0.15">
      <c r="B691" s="1157"/>
      <c r="C691" s="1158"/>
      <c r="D691" s="897"/>
      <c r="E691" s="1159" t="str">
        <f t="shared" si="82"/>
        <v xml:space="preserve"> </v>
      </c>
      <c r="G691" s="1160" t="str">
        <f t="shared" si="83"/>
        <v xml:space="preserve"> </v>
      </c>
      <c r="H691" s="1149"/>
      <c r="I691">
        <f t="shared" si="80"/>
        <v>0</v>
      </c>
      <c r="K691">
        <f t="shared" si="81"/>
        <v>0</v>
      </c>
      <c r="L691" s="1161"/>
      <c r="N691" s="1162" t="str">
        <f t="shared" si="84"/>
        <v xml:space="preserve"> </v>
      </c>
      <c r="O691" s="1163" t="str">
        <f t="shared" si="85"/>
        <v xml:space="preserve"> </v>
      </c>
      <c r="Q691">
        <f t="shared" si="86"/>
        <v>0</v>
      </c>
      <c r="R691">
        <f t="shared" si="87"/>
        <v>0</v>
      </c>
    </row>
    <row r="692" spans="2:18" x14ac:dyDescent="0.15">
      <c r="B692" s="1157"/>
      <c r="C692" s="1158"/>
      <c r="D692" s="897"/>
      <c r="E692" s="1159" t="str">
        <f t="shared" si="82"/>
        <v xml:space="preserve"> </v>
      </c>
      <c r="G692" s="1160" t="str">
        <f t="shared" si="83"/>
        <v xml:space="preserve"> </v>
      </c>
      <c r="H692" s="1149"/>
      <c r="I692">
        <f t="shared" si="80"/>
        <v>0</v>
      </c>
      <c r="K692">
        <f t="shared" si="81"/>
        <v>0</v>
      </c>
      <c r="L692" s="1161"/>
      <c r="N692" s="1162" t="str">
        <f t="shared" si="84"/>
        <v xml:space="preserve"> </v>
      </c>
      <c r="O692" s="1163" t="str">
        <f t="shared" si="85"/>
        <v xml:space="preserve"> </v>
      </c>
      <c r="Q692">
        <f t="shared" si="86"/>
        <v>0</v>
      </c>
      <c r="R692">
        <f t="shared" si="87"/>
        <v>0</v>
      </c>
    </row>
    <row r="693" spans="2:18" x14ac:dyDescent="0.15">
      <c r="B693" s="1157"/>
      <c r="C693" s="1158"/>
      <c r="D693" s="897"/>
      <c r="E693" s="1159" t="str">
        <f t="shared" si="82"/>
        <v xml:space="preserve"> </v>
      </c>
      <c r="G693" s="1160" t="str">
        <f t="shared" si="83"/>
        <v xml:space="preserve"> </v>
      </c>
      <c r="H693" s="1149"/>
      <c r="I693">
        <f t="shared" si="80"/>
        <v>0</v>
      </c>
      <c r="K693">
        <f t="shared" si="81"/>
        <v>0</v>
      </c>
      <c r="L693" s="1161"/>
      <c r="N693" s="1162" t="str">
        <f t="shared" si="84"/>
        <v xml:space="preserve"> </v>
      </c>
      <c r="O693" s="1163" t="str">
        <f t="shared" si="85"/>
        <v xml:space="preserve"> </v>
      </c>
      <c r="Q693">
        <f t="shared" si="86"/>
        <v>0</v>
      </c>
      <c r="R693">
        <f t="shared" si="87"/>
        <v>0</v>
      </c>
    </row>
    <row r="694" spans="2:18" x14ac:dyDescent="0.15">
      <c r="B694" s="1157"/>
      <c r="C694" s="1158"/>
      <c r="D694" s="897"/>
      <c r="E694" s="1159" t="str">
        <f t="shared" si="82"/>
        <v xml:space="preserve"> </v>
      </c>
      <c r="G694" s="1160" t="str">
        <f t="shared" si="83"/>
        <v xml:space="preserve"> </v>
      </c>
      <c r="H694" s="1149"/>
      <c r="I694">
        <f t="shared" si="80"/>
        <v>0</v>
      </c>
      <c r="K694">
        <f t="shared" si="81"/>
        <v>0</v>
      </c>
      <c r="L694" s="1161"/>
      <c r="N694" s="1162" t="str">
        <f t="shared" si="84"/>
        <v xml:space="preserve"> </v>
      </c>
      <c r="O694" s="1163" t="str">
        <f t="shared" si="85"/>
        <v xml:space="preserve"> </v>
      </c>
      <c r="Q694">
        <f t="shared" si="86"/>
        <v>0</v>
      </c>
      <c r="R694">
        <f t="shared" si="87"/>
        <v>0</v>
      </c>
    </row>
    <row r="695" spans="2:18" x14ac:dyDescent="0.15">
      <c r="B695" s="1157"/>
      <c r="C695" s="1158"/>
      <c r="D695" s="897"/>
      <c r="E695" s="1159" t="str">
        <f t="shared" si="82"/>
        <v xml:space="preserve"> </v>
      </c>
      <c r="G695" s="1160" t="str">
        <f t="shared" si="83"/>
        <v xml:space="preserve"> </v>
      </c>
      <c r="H695" s="1149"/>
      <c r="I695">
        <f t="shared" si="80"/>
        <v>0</v>
      </c>
      <c r="K695">
        <f t="shared" si="81"/>
        <v>0</v>
      </c>
      <c r="L695" s="1161"/>
      <c r="N695" s="1162" t="str">
        <f t="shared" si="84"/>
        <v xml:space="preserve"> </v>
      </c>
      <c r="O695" s="1163" t="str">
        <f t="shared" si="85"/>
        <v xml:space="preserve"> </v>
      </c>
      <c r="Q695">
        <f t="shared" si="86"/>
        <v>0</v>
      </c>
      <c r="R695">
        <f t="shared" si="87"/>
        <v>0</v>
      </c>
    </row>
    <row r="696" spans="2:18" x14ac:dyDescent="0.15">
      <c r="B696" s="1157"/>
      <c r="C696" s="1158"/>
      <c r="D696" s="897"/>
      <c r="E696" s="1159" t="str">
        <f t="shared" si="82"/>
        <v xml:space="preserve"> </v>
      </c>
      <c r="G696" s="1160" t="str">
        <f t="shared" si="83"/>
        <v xml:space="preserve"> </v>
      </c>
      <c r="H696" s="1149"/>
      <c r="I696">
        <f t="shared" si="80"/>
        <v>0</v>
      </c>
      <c r="K696">
        <f t="shared" si="81"/>
        <v>0</v>
      </c>
      <c r="L696" s="1161"/>
      <c r="N696" s="1162" t="str">
        <f t="shared" si="84"/>
        <v xml:space="preserve"> </v>
      </c>
      <c r="O696" s="1163" t="str">
        <f t="shared" si="85"/>
        <v xml:space="preserve"> </v>
      </c>
      <c r="Q696">
        <f t="shared" si="86"/>
        <v>0</v>
      </c>
      <c r="R696">
        <f t="shared" si="87"/>
        <v>0</v>
      </c>
    </row>
    <row r="697" spans="2:18" x14ac:dyDescent="0.15">
      <c r="B697" s="1157"/>
      <c r="C697" s="1158"/>
      <c r="D697" s="897"/>
      <c r="E697" s="1159" t="str">
        <f t="shared" si="82"/>
        <v xml:space="preserve"> </v>
      </c>
      <c r="G697" s="1160" t="str">
        <f t="shared" si="83"/>
        <v xml:space="preserve"> </v>
      </c>
      <c r="H697" s="1149"/>
      <c r="I697">
        <f t="shared" si="80"/>
        <v>0</v>
      </c>
      <c r="K697">
        <f t="shared" si="81"/>
        <v>0</v>
      </c>
      <c r="L697" s="1161"/>
      <c r="N697" s="1162" t="str">
        <f t="shared" si="84"/>
        <v xml:space="preserve"> </v>
      </c>
      <c r="O697" s="1163" t="str">
        <f t="shared" si="85"/>
        <v xml:space="preserve"> </v>
      </c>
      <c r="Q697">
        <f t="shared" si="86"/>
        <v>0</v>
      </c>
      <c r="R697">
        <f t="shared" si="87"/>
        <v>0</v>
      </c>
    </row>
    <row r="698" spans="2:18" x14ac:dyDescent="0.15">
      <c r="B698" s="1157"/>
      <c r="C698" s="1158"/>
      <c r="D698" s="897"/>
      <c r="E698" s="1159" t="str">
        <f t="shared" si="82"/>
        <v xml:space="preserve"> </v>
      </c>
      <c r="G698" s="1160" t="str">
        <f t="shared" si="83"/>
        <v xml:space="preserve"> </v>
      </c>
      <c r="H698" s="1149"/>
      <c r="I698">
        <f t="shared" si="80"/>
        <v>0</v>
      </c>
      <c r="K698">
        <f t="shared" si="81"/>
        <v>0</v>
      </c>
      <c r="L698" s="1161"/>
      <c r="N698" s="1162" t="str">
        <f t="shared" si="84"/>
        <v xml:space="preserve"> </v>
      </c>
      <c r="O698" s="1163" t="str">
        <f t="shared" si="85"/>
        <v xml:space="preserve"> </v>
      </c>
      <c r="Q698">
        <f t="shared" si="86"/>
        <v>0</v>
      </c>
      <c r="R698">
        <f t="shared" si="87"/>
        <v>0</v>
      </c>
    </row>
    <row r="699" spans="2:18" x14ac:dyDescent="0.15">
      <c r="B699" s="1157"/>
      <c r="C699" s="1158"/>
      <c r="D699" s="897"/>
      <c r="E699" s="1159" t="str">
        <f t="shared" si="82"/>
        <v xml:space="preserve"> </v>
      </c>
      <c r="G699" s="1160" t="str">
        <f t="shared" si="83"/>
        <v xml:space="preserve"> </v>
      </c>
      <c r="H699" s="1149"/>
      <c r="I699">
        <f t="shared" si="80"/>
        <v>0</v>
      </c>
      <c r="K699">
        <f t="shared" si="81"/>
        <v>0</v>
      </c>
      <c r="L699" s="1161"/>
      <c r="N699" s="1162" t="str">
        <f t="shared" si="84"/>
        <v xml:space="preserve"> </v>
      </c>
      <c r="O699" s="1163" t="str">
        <f t="shared" si="85"/>
        <v xml:space="preserve"> </v>
      </c>
      <c r="Q699">
        <f t="shared" si="86"/>
        <v>0</v>
      </c>
      <c r="R699">
        <f t="shared" si="87"/>
        <v>0</v>
      </c>
    </row>
    <row r="700" spans="2:18" x14ac:dyDescent="0.15">
      <c r="B700" s="1157"/>
      <c r="C700" s="1158"/>
      <c r="D700" s="897"/>
      <c r="E700" s="1159" t="str">
        <f t="shared" si="82"/>
        <v xml:space="preserve"> </v>
      </c>
      <c r="G700" s="1160" t="str">
        <f t="shared" si="83"/>
        <v xml:space="preserve"> </v>
      </c>
      <c r="H700" s="1149"/>
      <c r="I700">
        <f t="shared" si="80"/>
        <v>0</v>
      </c>
      <c r="K700">
        <f t="shared" si="81"/>
        <v>0</v>
      </c>
      <c r="L700" s="1161"/>
      <c r="N700" s="1162" t="str">
        <f t="shared" si="84"/>
        <v xml:space="preserve"> </v>
      </c>
      <c r="O700" s="1163" t="str">
        <f t="shared" si="85"/>
        <v xml:space="preserve"> </v>
      </c>
      <c r="Q700">
        <f t="shared" si="86"/>
        <v>0</v>
      </c>
      <c r="R700">
        <f t="shared" si="87"/>
        <v>0</v>
      </c>
    </row>
    <row r="701" spans="2:18" x14ac:dyDescent="0.15">
      <c r="B701" s="1157"/>
      <c r="C701" s="1158"/>
      <c r="D701" s="897"/>
      <c r="E701" s="1159" t="str">
        <f t="shared" si="82"/>
        <v xml:space="preserve"> </v>
      </c>
      <c r="G701" s="1160" t="str">
        <f t="shared" si="83"/>
        <v xml:space="preserve"> </v>
      </c>
      <c r="H701" s="1149"/>
      <c r="I701">
        <f t="shared" si="80"/>
        <v>0</v>
      </c>
      <c r="K701">
        <f t="shared" si="81"/>
        <v>0</v>
      </c>
      <c r="L701" s="1161"/>
      <c r="N701" s="1162" t="str">
        <f t="shared" si="84"/>
        <v xml:space="preserve"> </v>
      </c>
      <c r="O701" s="1163" t="str">
        <f t="shared" si="85"/>
        <v xml:space="preserve"> </v>
      </c>
      <c r="Q701">
        <f t="shared" si="86"/>
        <v>0</v>
      </c>
      <c r="R701">
        <f t="shared" si="87"/>
        <v>0</v>
      </c>
    </row>
    <row r="702" spans="2:18" x14ac:dyDescent="0.15">
      <c r="B702" s="1157"/>
      <c r="C702" s="1158"/>
      <c r="D702" s="897"/>
      <c r="E702" s="1159" t="str">
        <f t="shared" si="82"/>
        <v xml:space="preserve"> </v>
      </c>
      <c r="G702" s="1160" t="str">
        <f t="shared" si="83"/>
        <v xml:space="preserve"> </v>
      </c>
      <c r="H702" s="1149"/>
      <c r="I702">
        <f t="shared" si="80"/>
        <v>0</v>
      </c>
      <c r="K702">
        <f t="shared" si="81"/>
        <v>0</v>
      </c>
      <c r="L702" s="1161"/>
      <c r="N702" s="1162" t="str">
        <f t="shared" si="84"/>
        <v xml:space="preserve"> </v>
      </c>
      <c r="O702" s="1163" t="str">
        <f t="shared" si="85"/>
        <v xml:space="preserve"> </v>
      </c>
      <c r="Q702">
        <f t="shared" si="86"/>
        <v>0</v>
      </c>
      <c r="R702">
        <f t="shared" si="87"/>
        <v>0</v>
      </c>
    </row>
    <row r="703" spans="2:18" x14ac:dyDescent="0.15">
      <c r="B703" s="1157"/>
      <c r="C703" s="1158"/>
      <c r="D703" s="897"/>
      <c r="E703" s="1159" t="str">
        <f t="shared" si="82"/>
        <v xml:space="preserve"> </v>
      </c>
      <c r="G703" s="1160" t="str">
        <f t="shared" si="83"/>
        <v xml:space="preserve"> </v>
      </c>
      <c r="H703" s="1149"/>
      <c r="I703">
        <f t="shared" si="80"/>
        <v>0</v>
      </c>
      <c r="K703">
        <f t="shared" si="81"/>
        <v>0</v>
      </c>
      <c r="L703" s="1161"/>
      <c r="N703" s="1162" t="str">
        <f t="shared" si="84"/>
        <v xml:space="preserve"> </v>
      </c>
      <c r="O703" s="1163" t="str">
        <f t="shared" si="85"/>
        <v xml:space="preserve"> </v>
      </c>
      <c r="Q703">
        <f t="shared" si="86"/>
        <v>0</v>
      </c>
      <c r="R703">
        <f t="shared" si="87"/>
        <v>0</v>
      </c>
    </row>
    <row r="704" spans="2:18" x14ac:dyDescent="0.15">
      <c r="B704" s="1157"/>
      <c r="C704" s="1158"/>
      <c r="D704" s="897"/>
      <c r="E704" s="1159" t="str">
        <f t="shared" si="82"/>
        <v xml:space="preserve"> </v>
      </c>
      <c r="G704" s="1160" t="str">
        <f t="shared" si="83"/>
        <v xml:space="preserve"> </v>
      </c>
      <c r="H704" s="1149"/>
      <c r="I704">
        <f t="shared" si="80"/>
        <v>0</v>
      </c>
      <c r="K704">
        <f t="shared" si="81"/>
        <v>0</v>
      </c>
      <c r="L704" s="1161"/>
      <c r="N704" s="1162" t="str">
        <f t="shared" si="84"/>
        <v xml:space="preserve"> </v>
      </c>
      <c r="O704" s="1163" t="str">
        <f t="shared" si="85"/>
        <v xml:space="preserve"> </v>
      </c>
      <c r="Q704">
        <f t="shared" si="86"/>
        <v>0</v>
      </c>
      <c r="R704">
        <f t="shared" si="87"/>
        <v>0</v>
      </c>
    </row>
    <row r="705" spans="2:18" x14ac:dyDescent="0.15">
      <c r="B705" s="1157"/>
      <c r="C705" s="1158"/>
      <c r="D705" s="897"/>
      <c r="E705" s="1159" t="str">
        <f t="shared" si="82"/>
        <v xml:space="preserve"> </v>
      </c>
      <c r="G705" s="1160" t="str">
        <f t="shared" si="83"/>
        <v xml:space="preserve"> </v>
      </c>
      <c r="H705" s="1149"/>
      <c r="I705">
        <f t="shared" si="80"/>
        <v>0</v>
      </c>
      <c r="K705">
        <f t="shared" si="81"/>
        <v>0</v>
      </c>
      <c r="L705" s="1161"/>
      <c r="N705" s="1162" t="str">
        <f t="shared" si="84"/>
        <v xml:space="preserve"> </v>
      </c>
      <c r="O705" s="1163" t="str">
        <f t="shared" si="85"/>
        <v xml:space="preserve"> </v>
      </c>
      <c r="Q705">
        <f t="shared" si="86"/>
        <v>0</v>
      </c>
      <c r="R705">
        <f t="shared" si="87"/>
        <v>0</v>
      </c>
    </row>
    <row r="706" spans="2:18" x14ac:dyDescent="0.15">
      <c r="B706" s="1157"/>
      <c r="C706" s="1158"/>
      <c r="D706" s="897"/>
      <c r="E706" s="1159" t="str">
        <f t="shared" si="82"/>
        <v xml:space="preserve"> </v>
      </c>
      <c r="G706" s="1160" t="str">
        <f t="shared" si="83"/>
        <v xml:space="preserve"> </v>
      </c>
      <c r="H706" s="1149"/>
      <c r="I706">
        <f t="shared" si="80"/>
        <v>0</v>
      </c>
      <c r="K706">
        <f t="shared" si="81"/>
        <v>0</v>
      </c>
      <c r="L706" s="1161"/>
      <c r="N706" s="1162" t="str">
        <f t="shared" si="84"/>
        <v xml:space="preserve"> </v>
      </c>
      <c r="O706" s="1163" t="str">
        <f t="shared" si="85"/>
        <v xml:space="preserve"> </v>
      </c>
      <c r="Q706">
        <f t="shared" si="86"/>
        <v>0</v>
      </c>
      <c r="R706">
        <f t="shared" si="87"/>
        <v>0</v>
      </c>
    </row>
    <row r="707" spans="2:18" x14ac:dyDescent="0.15">
      <c r="B707" s="1157"/>
      <c r="C707" s="1158"/>
      <c r="D707" s="897"/>
      <c r="E707" s="1159" t="str">
        <f t="shared" si="82"/>
        <v xml:space="preserve"> </v>
      </c>
      <c r="G707" s="1160" t="str">
        <f t="shared" si="83"/>
        <v xml:space="preserve"> </v>
      </c>
      <c r="H707" s="1149"/>
      <c r="I707">
        <f t="shared" si="80"/>
        <v>0</v>
      </c>
      <c r="K707">
        <f t="shared" si="81"/>
        <v>0</v>
      </c>
      <c r="L707" s="1161"/>
      <c r="N707" s="1162" t="str">
        <f t="shared" si="84"/>
        <v xml:space="preserve"> </v>
      </c>
      <c r="O707" s="1163" t="str">
        <f t="shared" si="85"/>
        <v xml:space="preserve"> </v>
      </c>
      <c r="Q707">
        <f t="shared" si="86"/>
        <v>0</v>
      </c>
      <c r="R707">
        <f t="shared" si="87"/>
        <v>0</v>
      </c>
    </row>
    <row r="708" spans="2:18" x14ac:dyDescent="0.15">
      <c r="B708" s="1157"/>
      <c r="C708" s="1158"/>
      <c r="D708" s="897"/>
      <c r="E708" s="1159" t="str">
        <f t="shared" si="82"/>
        <v xml:space="preserve"> </v>
      </c>
      <c r="G708" s="1160" t="str">
        <f t="shared" si="83"/>
        <v xml:space="preserve"> </v>
      </c>
      <c r="H708" s="1149"/>
      <c r="I708">
        <f t="shared" si="80"/>
        <v>0</v>
      </c>
      <c r="K708">
        <f t="shared" si="81"/>
        <v>0</v>
      </c>
      <c r="L708" s="1161"/>
      <c r="N708" s="1162" t="str">
        <f t="shared" si="84"/>
        <v xml:space="preserve"> </v>
      </c>
      <c r="O708" s="1163" t="str">
        <f t="shared" si="85"/>
        <v xml:space="preserve"> </v>
      </c>
      <c r="Q708">
        <f t="shared" si="86"/>
        <v>0</v>
      </c>
      <c r="R708">
        <f t="shared" si="87"/>
        <v>0</v>
      </c>
    </row>
    <row r="709" spans="2:18" x14ac:dyDescent="0.15">
      <c r="B709" s="1157"/>
      <c r="C709" s="1158"/>
      <c r="D709" s="897"/>
      <c r="E709" s="1159" t="str">
        <f t="shared" si="82"/>
        <v xml:space="preserve"> </v>
      </c>
      <c r="G709" s="1160" t="str">
        <f t="shared" si="83"/>
        <v xml:space="preserve"> </v>
      </c>
      <c r="H709" s="1149"/>
      <c r="I709">
        <f t="shared" si="80"/>
        <v>0</v>
      </c>
      <c r="K709">
        <f t="shared" si="81"/>
        <v>0</v>
      </c>
      <c r="L709" s="1161"/>
      <c r="N709" s="1162" t="str">
        <f t="shared" si="84"/>
        <v xml:space="preserve"> </v>
      </c>
      <c r="O709" s="1163" t="str">
        <f t="shared" si="85"/>
        <v xml:space="preserve"> </v>
      </c>
      <c r="Q709">
        <f t="shared" si="86"/>
        <v>0</v>
      </c>
      <c r="R709">
        <f t="shared" si="87"/>
        <v>0</v>
      </c>
    </row>
    <row r="710" spans="2:18" x14ac:dyDescent="0.15">
      <c r="B710" s="1157"/>
      <c r="C710" s="1158"/>
      <c r="D710" s="897"/>
      <c r="E710" s="1159" t="str">
        <f t="shared" si="82"/>
        <v xml:space="preserve"> </v>
      </c>
      <c r="G710" s="1160" t="str">
        <f t="shared" si="83"/>
        <v xml:space="preserve"> </v>
      </c>
      <c r="H710" s="1149"/>
      <c r="I710">
        <f t="shared" si="80"/>
        <v>0</v>
      </c>
      <c r="K710">
        <f t="shared" si="81"/>
        <v>0</v>
      </c>
      <c r="L710" s="1161"/>
      <c r="N710" s="1162" t="str">
        <f t="shared" si="84"/>
        <v xml:space="preserve"> </v>
      </c>
      <c r="O710" s="1163" t="str">
        <f t="shared" si="85"/>
        <v xml:space="preserve"> </v>
      </c>
      <c r="Q710">
        <f t="shared" si="86"/>
        <v>0</v>
      </c>
      <c r="R710">
        <f t="shared" si="87"/>
        <v>0</v>
      </c>
    </row>
    <row r="711" spans="2:18" x14ac:dyDescent="0.15">
      <c r="B711" s="1157"/>
      <c r="C711" s="1158"/>
      <c r="D711" s="897"/>
      <c r="E711" s="1159" t="str">
        <f t="shared" si="82"/>
        <v xml:space="preserve"> </v>
      </c>
      <c r="G711" s="1160" t="str">
        <f t="shared" si="83"/>
        <v xml:space="preserve"> </v>
      </c>
      <c r="H711" s="1149"/>
      <c r="I711">
        <f t="shared" si="80"/>
        <v>0</v>
      </c>
      <c r="K711">
        <f t="shared" si="81"/>
        <v>0</v>
      </c>
      <c r="L711" s="1161"/>
      <c r="N711" s="1162" t="str">
        <f t="shared" si="84"/>
        <v xml:space="preserve"> </v>
      </c>
      <c r="O711" s="1163" t="str">
        <f t="shared" si="85"/>
        <v xml:space="preserve"> </v>
      </c>
      <c r="Q711">
        <f t="shared" si="86"/>
        <v>0</v>
      </c>
      <c r="R711">
        <f t="shared" si="87"/>
        <v>0</v>
      </c>
    </row>
    <row r="712" spans="2:18" x14ac:dyDescent="0.15">
      <c r="B712" s="1157"/>
      <c r="C712" s="1158"/>
      <c r="D712" s="897"/>
      <c r="E712" s="1159" t="str">
        <f t="shared" si="82"/>
        <v xml:space="preserve"> </v>
      </c>
      <c r="G712" s="1160" t="str">
        <f t="shared" si="83"/>
        <v xml:space="preserve"> </v>
      </c>
      <c r="H712" s="1149"/>
      <c r="I712">
        <f t="shared" ref="I712:I775" si="88">(J712+C712)/12</f>
        <v>0</v>
      </c>
      <c r="K712">
        <f t="shared" ref="K712:K775" si="89">I712+B712</f>
        <v>0</v>
      </c>
      <c r="L712" s="1161"/>
      <c r="N712" s="1162" t="str">
        <f t="shared" si="84"/>
        <v xml:space="preserve"> </v>
      </c>
      <c r="O712" s="1163" t="str">
        <f t="shared" si="85"/>
        <v xml:space="preserve"> </v>
      </c>
      <c r="Q712">
        <f t="shared" si="86"/>
        <v>0</v>
      </c>
      <c r="R712">
        <f t="shared" si="87"/>
        <v>0</v>
      </c>
    </row>
    <row r="713" spans="2:18" x14ac:dyDescent="0.15">
      <c r="B713" s="1157"/>
      <c r="C713" s="1158"/>
      <c r="D713" s="897"/>
      <c r="E713" s="1159" t="str">
        <f t="shared" si="82"/>
        <v xml:space="preserve"> </v>
      </c>
      <c r="G713" s="1160" t="str">
        <f t="shared" si="83"/>
        <v xml:space="preserve"> </v>
      </c>
      <c r="H713" s="1149"/>
      <c r="I713">
        <f t="shared" si="88"/>
        <v>0</v>
      </c>
      <c r="K713">
        <f t="shared" si="89"/>
        <v>0</v>
      </c>
      <c r="L713" s="1161"/>
      <c r="N713" s="1162" t="str">
        <f t="shared" si="84"/>
        <v xml:space="preserve"> </v>
      </c>
      <c r="O713" s="1163" t="str">
        <f t="shared" si="85"/>
        <v xml:space="preserve"> </v>
      </c>
      <c r="Q713">
        <f t="shared" si="86"/>
        <v>0</v>
      </c>
      <c r="R713">
        <f t="shared" si="87"/>
        <v>0</v>
      </c>
    </row>
    <row r="714" spans="2:18" x14ac:dyDescent="0.15">
      <c r="B714" s="1157"/>
      <c r="C714" s="1158"/>
      <c r="D714" s="897"/>
      <c r="E714" s="1159" t="str">
        <f t="shared" ref="E714:E777" si="90">IF(K714=0," ",IF(K714&gt;0,K714*12*25.4))</f>
        <v xml:space="preserve"> </v>
      </c>
      <c r="G714" s="1160" t="str">
        <f t="shared" ref="G714:G777" si="91">IF(K714=0," ",IF(K714&gt;0,E714/1000))</f>
        <v xml:space="preserve"> </v>
      </c>
      <c r="H714" s="1149"/>
      <c r="I714">
        <f t="shared" si="88"/>
        <v>0</v>
      </c>
      <c r="K714">
        <f t="shared" si="89"/>
        <v>0</v>
      </c>
      <c r="L714" s="1161"/>
      <c r="N714" s="1162" t="str">
        <f t="shared" ref="N714:N777" si="92">IF(R714=0," ",IF(R714&gt;0,TRUNC(R714)))</f>
        <v xml:space="preserve"> </v>
      </c>
      <c r="O714" s="1163" t="str">
        <f t="shared" ref="O714:O777" si="93">IF(R714=0," ",IF(R714&gt;0,(R714-N714)*12))</f>
        <v xml:space="preserve"> </v>
      </c>
      <c r="Q714">
        <f t="shared" ref="Q714:Q777" si="94">L714/25.4</f>
        <v>0</v>
      </c>
      <c r="R714">
        <f t="shared" ref="R714:R777" si="95">Q714/12</f>
        <v>0</v>
      </c>
    </row>
    <row r="715" spans="2:18" x14ac:dyDescent="0.15">
      <c r="B715" s="1157"/>
      <c r="C715" s="1158"/>
      <c r="D715" s="897"/>
      <c r="E715" s="1159" t="str">
        <f t="shared" si="90"/>
        <v xml:space="preserve"> </v>
      </c>
      <c r="G715" s="1160" t="str">
        <f t="shared" si="91"/>
        <v xml:space="preserve"> </v>
      </c>
      <c r="H715" s="1149"/>
      <c r="I715">
        <f t="shared" si="88"/>
        <v>0</v>
      </c>
      <c r="K715">
        <f t="shared" si="89"/>
        <v>0</v>
      </c>
      <c r="L715" s="1161"/>
      <c r="N715" s="1162" t="str">
        <f t="shared" si="92"/>
        <v xml:space="preserve"> </v>
      </c>
      <c r="O715" s="1163" t="str">
        <f t="shared" si="93"/>
        <v xml:space="preserve"> </v>
      </c>
      <c r="Q715">
        <f t="shared" si="94"/>
        <v>0</v>
      </c>
      <c r="R715">
        <f t="shared" si="95"/>
        <v>0</v>
      </c>
    </row>
    <row r="716" spans="2:18" x14ac:dyDescent="0.15">
      <c r="B716" s="1157"/>
      <c r="C716" s="1158"/>
      <c r="D716" s="897"/>
      <c r="E716" s="1159" t="str">
        <f t="shared" si="90"/>
        <v xml:space="preserve"> </v>
      </c>
      <c r="G716" s="1160" t="str">
        <f t="shared" si="91"/>
        <v xml:space="preserve"> </v>
      </c>
      <c r="H716" s="1149"/>
      <c r="I716">
        <f t="shared" si="88"/>
        <v>0</v>
      </c>
      <c r="K716">
        <f t="shared" si="89"/>
        <v>0</v>
      </c>
      <c r="L716" s="1161"/>
      <c r="N716" s="1162" t="str">
        <f t="shared" si="92"/>
        <v xml:space="preserve"> </v>
      </c>
      <c r="O716" s="1163" t="str">
        <f t="shared" si="93"/>
        <v xml:space="preserve"> </v>
      </c>
      <c r="Q716">
        <f t="shared" si="94"/>
        <v>0</v>
      </c>
      <c r="R716">
        <f t="shared" si="95"/>
        <v>0</v>
      </c>
    </row>
    <row r="717" spans="2:18" x14ac:dyDescent="0.15">
      <c r="B717" s="1157"/>
      <c r="C717" s="1158"/>
      <c r="D717" s="897"/>
      <c r="E717" s="1159" t="str">
        <f t="shared" si="90"/>
        <v xml:space="preserve"> </v>
      </c>
      <c r="G717" s="1160" t="str">
        <f t="shared" si="91"/>
        <v xml:space="preserve"> </v>
      </c>
      <c r="H717" s="1149"/>
      <c r="I717">
        <f t="shared" si="88"/>
        <v>0</v>
      </c>
      <c r="K717">
        <f t="shared" si="89"/>
        <v>0</v>
      </c>
      <c r="L717" s="1161"/>
      <c r="N717" s="1162" t="str">
        <f t="shared" si="92"/>
        <v xml:space="preserve"> </v>
      </c>
      <c r="O717" s="1163" t="str">
        <f t="shared" si="93"/>
        <v xml:space="preserve"> </v>
      </c>
      <c r="Q717">
        <f t="shared" si="94"/>
        <v>0</v>
      </c>
      <c r="R717">
        <f t="shared" si="95"/>
        <v>0</v>
      </c>
    </row>
    <row r="718" spans="2:18" x14ac:dyDescent="0.15">
      <c r="B718" s="1157"/>
      <c r="C718" s="1158"/>
      <c r="D718" s="897"/>
      <c r="E718" s="1159" t="str">
        <f t="shared" si="90"/>
        <v xml:space="preserve"> </v>
      </c>
      <c r="G718" s="1160" t="str">
        <f t="shared" si="91"/>
        <v xml:space="preserve"> </v>
      </c>
      <c r="H718" s="1149"/>
      <c r="I718">
        <f t="shared" si="88"/>
        <v>0</v>
      </c>
      <c r="K718">
        <f t="shared" si="89"/>
        <v>0</v>
      </c>
      <c r="L718" s="1161"/>
      <c r="N718" s="1162" t="str">
        <f t="shared" si="92"/>
        <v xml:space="preserve"> </v>
      </c>
      <c r="O718" s="1163" t="str">
        <f t="shared" si="93"/>
        <v xml:space="preserve"> </v>
      </c>
      <c r="Q718">
        <f t="shared" si="94"/>
        <v>0</v>
      </c>
      <c r="R718">
        <f t="shared" si="95"/>
        <v>0</v>
      </c>
    </row>
    <row r="719" spans="2:18" x14ac:dyDescent="0.15">
      <c r="B719" s="1157"/>
      <c r="C719" s="1158"/>
      <c r="D719" s="897"/>
      <c r="E719" s="1159" t="str">
        <f t="shared" si="90"/>
        <v xml:space="preserve"> </v>
      </c>
      <c r="G719" s="1160" t="str">
        <f t="shared" si="91"/>
        <v xml:space="preserve"> </v>
      </c>
      <c r="H719" s="1149"/>
      <c r="I719">
        <f t="shared" si="88"/>
        <v>0</v>
      </c>
      <c r="K719">
        <f t="shared" si="89"/>
        <v>0</v>
      </c>
      <c r="L719" s="1161"/>
      <c r="N719" s="1162" t="str">
        <f t="shared" si="92"/>
        <v xml:space="preserve"> </v>
      </c>
      <c r="O719" s="1163" t="str">
        <f t="shared" si="93"/>
        <v xml:space="preserve"> </v>
      </c>
      <c r="Q719">
        <f t="shared" si="94"/>
        <v>0</v>
      </c>
      <c r="R719">
        <f t="shared" si="95"/>
        <v>0</v>
      </c>
    </row>
    <row r="720" spans="2:18" x14ac:dyDescent="0.15">
      <c r="B720" s="1157"/>
      <c r="C720" s="1158"/>
      <c r="D720" s="897"/>
      <c r="E720" s="1159" t="str">
        <f t="shared" si="90"/>
        <v xml:space="preserve"> </v>
      </c>
      <c r="G720" s="1160" t="str">
        <f t="shared" si="91"/>
        <v xml:space="preserve"> </v>
      </c>
      <c r="H720" s="1149"/>
      <c r="I720">
        <f t="shared" si="88"/>
        <v>0</v>
      </c>
      <c r="K720">
        <f t="shared" si="89"/>
        <v>0</v>
      </c>
      <c r="L720" s="1161"/>
      <c r="N720" s="1162" t="str">
        <f t="shared" si="92"/>
        <v xml:space="preserve"> </v>
      </c>
      <c r="O720" s="1163" t="str">
        <f t="shared" si="93"/>
        <v xml:space="preserve"> </v>
      </c>
      <c r="Q720">
        <f t="shared" si="94"/>
        <v>0</v>
      </c>
      <c r="R720">
        <f t="shared" si="95"/>
        <v>0</v>
      </c>
    </row>
    <row r="721" spans="2:18" x14ac:dyDescent="0.15">
      <c r="B721" s="1157"/>
      <c r="C721" s="1158"/>
      <c r="D721" s="897"/>
      <c r="E721" s="1159" t="str">
        <f t="shared" si="90"/>
        <v xml:space="preserve"> </v>
      </c>
      <c r="G721" s="1160" t="str">
        <f t="shared" si="91"/>
        <v xml:space="preserve"> </v>
      </c>
      <c r="H721" s="1149"/>
      <c r="I721">
        <f t="shared" si="88"/>
        <v>0</v>
      </c>
      <c r="K721">
        <f t="shared" si="89"/>
        <v>0</v>
      </c>
      <c r="L721" s="1161"/>
      <c r="N721" s="1162" t="str">
        <f t="shared" si="92"/>
        <v xml:space="preserve"> </v>
      </c>
      <c r="O721" s="1163" t="str">
        <f t="shared" si="93"/>
        <v xml:space="preserve"> </v>
      </c>
      <c r="Q721">
        <f t="shared" si="94"/>
        <v>0</v>
      </c>
      <c r="R721">
        <f t="shared" si="95"/>
        <v>0</v>
      </c>
    </row>
    <row r="722" spans="2:18" x14ac:dyDescent="0.15">
      <c r="B722" s="1157"/>
      <c r="C722" s="1158"/>
      <c r="D722" s="897"/>
      <c r="E722" s="1159" t="str">
        <f t="shared" si="90"/>
        <v xml:space="preserve"> </v>
      </c>
      <c r="G722" s="1160" t="str">
        <f t="shared" si="91"/>
        <v xml:space="preserve"> </v>
      </c>
      <c r="H722" s="1149"/>
      <c r="I722">
        <f t="shared" si="88"/>
        <v>0</v>
      </c>
      <c r="K722">
        <f t="shared" si="89"/>
        <v>0</v>
      </c>
      <c r="L722" s="1161"/>
      <c r="N722" s="1162" t="str">
        <f t="shared" si="92"/>
        <v xml:space="preserve"> </v>
      </c>
      <c r="O722" s="1163" t="str">
        <f t="shared" si="93"/>
        <v xml:space="preserve"> </v>
      </c>
      <c r="Q722">
        <f t="shared" si="94"/>
        <v>0</v>
      </c>
      <c r="R722">
        <f t="shared" si="95"/>
        <v>0</v>
      </c>
    </row>
    <row r="723" spans="2:18" x14ac:dyDescent="0.15">
      <c r="B723" s="1157"/>
      <c r="C723" s="1158"/>
      <c r="D723" s="897"/>
      <c r="E723" s="1159" t="str">
        <f t="shared" si="90"/>
        <v xml:space="preserve"> </v>
      </c>
      <c r="G723" s="1160" t="str">
        <f t="shared" si="91"/>
        <v xml:space="preserve"> </v>
      </c>
      <c r="H723" s="1149"/>
      <c r="I723">
        <f t="shared" si="88"/>
        <v>0</v>
      </c>
      <c r="K723">
        <f t="shared" si="89"/>
        <v>0</v>
      </c>
      <c r="L723" s="1161"/>
      <c r="N723" s="1162" t="str">
        <f t="shared" si="92"/>
        <v xml:space="preserve"> </v>
      </c>
      <c r="O723" s="1163" t="str">
        <f t="shared" si="93"/>
        <v xml:space="preserve"> </v>
      </c>
      <c r="Q723">
        <f t="shared" si="94"/>
        <v>0</v>
      </c>
      <c r="R723">
        <f t="shared" si="95"/>
        <v>0</v>
      </c>
    </row>
    <row r="724" spans="2:18" x14ac:dyDescent="0.15">
      <c r="B724" s="1157"/>
      <c r="C724" s="1158"/>
      <c r="D724" s="897"/>
      <c r="E724" s="1159" t="str">
        <f t="shared" si="90"/>
        <v xml:space="preserve"> </v>
      </c>
      <c r="G724" s="1160" t="str">
        <f t="shared" si="91"/>
        <v xml:space="preserve"> </v>
      </c>
      <c r="H724" s="1149"/>
      <c r="I724">
        <f t="shared" si="88"/>
        <v>0</v>
      </c>
      <c r="K724">
        <f t="shared" si="89"/>
        <v>0</v>
      </c>
      <c r="L724" s="1161"/>
      <c r="N724" s="1162" t="str">
        <f t="shared" si="92"/>
        <v xml:space="preserve"> </v>
      </c>
      <c r="O724" s="1163" t="str">
        <f t="shared" si="93"/>
        <v xml:space="preserve"> </v>
      </c>
      <c r="Q724">
        <f t="shared" si="94"/>
        <v>0</v>
      </c>
      <c r="R724">
        <f t="shared" si="95"/>
        <v>0</v>
      </c>
    </row>
    <row r="725" spans="2:18" x14ac:dyDescent="0.15">
      <c r="B725" s="1157"/>
      <c r="C725" s="1158"/>
      <c r="D725" s="897"/>
      <c r="E725" s="1159" t="str">
        <f t="shared" si="90"/>
        <v xml:space="preserve"> </v>
      </c>
      <c r="G725" s="1160" t="str">
        <f t="shared" si="91"/>
        <v xml:space="preserve"> </v>
      </c>
      <c r="H725" s="1149"/>
      <c r="I725">
        <f t="shared" si="88"/>
        <v>0</v>
      </c>
      <c r="K725">
        <f t="shared" si="89"/>
        <v>0</v>
      </c>
      <c r="L725" s="1161"/>
      <c r="N725" s="1162" t="str">
        <f t="shared" si="92"/>
        <v xml:space="preserve"> </v>
      </c>
      <c r="O725" s="1163" t="str">
        <f t="shared" si="93"/>
        <v xml:space="preserve"> </v>
      </c>
      <c r="Q725">
        <f t="shared" si="94"/>
        <v>0</v>
      </c>
      <c r="R725">
        <f t="shared" si="95"/>
        <v>0</v>
      </c>
    </row>
    <row r="726" spans="2:18" x14ac:dyDescent="0.15">
      <c r="B726" s="1157"/>
      <c r="C726" s="1158"/>
      <c r="D726" s="897"/>
      <c r="E726" s="1159" t="str">
        <f t="shared" si="90"/>
        <v xml:space="preserve"> </v>
      </c>
      <c r="G726" s="1160" t="str">
        <f t="shared" si="91"/>
        <v xml:space="preserve"> </v>
      </c>
      <c r="H726" s="1149"/>
      <c r="I726">
        <f t="shared" si="88"/>
        <v>0</v>
      </c>
      <c r="K726">
        <f t="shared" si="89"/>
        <v>0</v>
      </c>
      <c r="L726" s="1161"/>
      <c r="N726" s="1162" t="str">
        <f t="shared" si="92"/>
        <v xml:space="preserve"> </v>
      </c>
      <c r="O726" s="1163" t="str">
        <f t="shared" si="93"/>
        <v xml:space="preserve"> </v>
      </c>
      <c r="Q726">
        <f t="shared" si="94"/>
        <v>0</v>
      </c>
      <c r="R726">
        <f t="shared" si="95"/>
        <v>0</v>
      </c>
    </row>
    <row r="727" spans="2:18" x14ac:dyDescent="0.15">
      <c r="B727" s="1157"/>
      <c r="C727" s="1158"/>
      <c r="D727" s="897"/>
      <c r="E727" s="1159" t="str">
        <f t="shared" si="90"/>
        <v xml:space="preserve"> </v>
      </c>
      <c r="G727" s="1160" t="str">
        <f t="shared" si="91"/>
        <v xml:space="preserve"> </v>
      </c>
      <c r="H727" s="1149"/>
      <c r="I727">
        <f t="shared" si="88"/>
        <v>0</v>
      </c>
      <c r="K727">
        <f t="shared" si="89"/>
        <v>0</v>
      </c>
      <c r="L727" s="1161"/>
      <c r="N727" s="1162" t="str">
        <f t="shared" si="92"/>
        <v xml:space="preserve"> </v>
      </c>
      <c r="O727" s="1163" t="str">
        <f t="shared" si="93"/>
        <v xml:space="preserve"> </v>
      </c>
      <c r="Q727">
        <f t="shared" si="94"/>
        <v>0</v>
      </c>
      <c r="R727">
        <f t="shared" si="95"/>
        <v>0</v>
      </c>
    </row>
    <row r="728" spans="2:18" x14ac:dyDescent="0.15">
      <c r="B728" s="1157"/>
      <c r="C728" s="1158"/>
      <c r="D728" s="897"/>
      <c r="E728" s="1159" t="str">
        <f t="shared" si="90"/>
        <v xml:space="preserve"> </v>
      </c>
      <c r="G728" s="1160" t="str">
        <f t="shared" si="91"/>
        <v xml:space="preserve"> </v>
      </c>
      <c r="H728" s="1149"/>
      <c r="I728">
        <f t="shared" si="88"/>
        <v>0</v>
      </c>
      <c r="K728">
        <f t="shared" si="89"/>
        <v>0</v>
      </c>
      <c r="L728" s="1161"/>
      <c r="N728" s="1162" t="str">
        <f t="shared" si="92"/>
        <v xml:space="preserve"> </v>
      </c>
      <c r="O728" s="1163" t="str">
        <f t="shared" si="93"/>
        <v xml:space="preserve"> </v>
      </c>
      <c r="Q728">
        <f t="shared" si="94"/>
        <v>0</v>
      </c>
      <c r="R728">
        <f t="shared" si="95"/>
        <v>0</v>
      </c>
    </row>
    <row r="729" spans="2:18" x14ac:dyDescent="0.15">
      <c r="B729" s="1157"/>
      <c r="C729" s="1158"/>
      <c r="D729" s="897"/>
      <c r="E729" s="1159" t="str">
        <f t="shared" si="90"/>
        <v xml:space="preserve"> </v>
      </c>
      <c r="G729" s="1160" t="str">
        <f t="shared" si="91"/>
        <v xml:space="preserve"> </v>
      </c>
      <c r="H729" s="1149"/>
      <c r="I729">
        <f t="shared" si="88"/>
        <v>0</v>
      </c>
      <c r="K729">
        <f t="shared" si="89"/>
        <v>0</v>
      </c>
      <c r="L729" s="1161"/>
      <c r="N729" s="1162" t="str">
        <f t="shared" si="92"/>
        <v xml:space="preserve"> </v>
      </c>
      <c r="O729" s="1163" t="str">
        <f t="shared" si="93"/>
        <v xml:space="preserve"> </v>
      </c>
      <c r="Q729">
        <f t="shared" si="94"/>
        <v>0</v>
      </c>
      <c r="R729">
        <f t="shared" si="95"/>
        <v>0</v>
      </c>
    </row>
    <row r="730" spans="2:18" x14ac:dyDescent="0.15">
      <c r="B730" s="1157"/>
      <c r="C730" s="1158"/>
      <c r="D730" s="897"/>
      <c r="E730" s="1159" t="str">
        <f t="shared" si="90"/>
        <v xml:space="preserve"> </v>
      </c>
      <c r="G730" s="1160" t="str">
        <f t="shared" si="91"/>
        <v xml:space="preserve"> </v>
      </c>
      <c r="H730" s="1149"/>
      <c r="I730">
        <f t="shared" si="88"/>
        <v>0</v>
      </c>
      <c r="K730">
        <f t="shared" si="89"/>
        <v>0</v>
      </c>
      <c r="L730" s="1161"/>
      <c r="N730" s="1162" t="str">
        <f t="shared" si="92"/>
        <v xml:space="preserve"> </v>
      </c>
      <c r="O730" s="1163" t="str">
        <f t="shared" si="93"/>
        <v xml:space="preserve"> </v>
      </c>
      <c r="Q730">
        <f t="shared" si="94"/>
        <v>0</v>
      </c>
      <c r="R730">
        <f t="shared" si="95"/>
        <v>0</v>
      </c>
    </row>
    <row r="731" spans="2:18" x14ac:dyDescent="0.15">
      <c r="B731" s="1157"/>
      <c r="C731" s="1158"/>
      <c r="D731" s="897"/>
      <c r="E731" s="1159" t="str">
        <f t="shared" si="90"/>
        <v xml:space="preserve"> </v>
      </c>
      <c r="G731" s="1160" t="str">
        <f t="shared" si="91"/>
        <v xml:space="preserve"> </v>
      </c>
      <c r="H731" s="1149"/>
      <c r="I731">
        <f t="shared" si="88"/>
        <v>0</v>
      </c>
      <c r="K731">
        <f t="shared" si="89"/>
        <v>0</v>
      </c>
      <c r="L731" s="1161"/>
      <c r="N731" s="1162" t="str">
        <f t="shared" si="92"/>
        <v xml:space="preserve"> </v>
      </c>
      <c r="O731" s="1163" t="str">
        <f t="shared" si="93"/>
        <v xml:space="preserve"> </v>
      </c>
      <c r="Q731">
        <f t="shared" si="94"/>
        <v>0</v>
      </c>
      <c r="R731">
        <f t="shared" si="95"/>
        <v>0</v>
      </c>
    </row>
    <row r="732" spans="2:18" x14ac:dyDescent="0.15">
      <c r="B732" s="1157"/>
      <c r="C732" s="1158"/>
      <c r="D732" s="897"/>
      <c r="E732" s="1159" t="str">
        <f t="shared" si="90"/>
        <v xml:space="preserve"> </v>
      </c>
      <c r="G732" s="1160" t="str">
        <f t="shared" si="91"/>
        <v xml:space="preserve"> </v>
      </c>
      <c r="H732" s="1149"/>
      <c r="I732">
        <f t="shared" si="88"/>
        <v>0</v>
      </c>
      <c r="K732">
        <f t="shared" si="89"/>
        <v>0</v>
      </c>
      <c r="L732" s="1161"/>
      <c r="N732" s="1162" t="str">
        <f t="shared" si="92"/>
        <v xml:space="preserve"> </v>
      </c>
      <c r="O732" s="1163" t="str">
        <f t="shared" si="93"/>
        <v xml:space="preserve"> </v>
      </c>
      <c r="Q732">
        <f t="shared" si="94"/>
        <v>0</v>
      </c>
      <c r="R732">
        <f t="shared" si="95"/>
        <v>0</v>
      </c>
    </row>
    <row r="733" spans="2:18" x14ac:dyDescent="0.15">
      <c r="B733" s="1157"/>
      <c r="C733" s="1158"/>
      <c r="D733" s="897"/>
      <c r="E733" s="1159" t="str">
        <f t="shared" si="90"/>
        <v xml:space="preserve"> </v>
      </c>
      <c r="G733" s="1160" t="str">
        <f t="shared" si="91"/>
        <v xml:space="preserve"> </v>
      </c>
      <c r="H733" s="1149"/>
      <c r="I733">
        <f t="shared" si="88"/>
        <v>0</v>
      </c>
      <c r="K733">
        <f t="shared" si="89"/>
        <v>0</v>
      </c>
      <c r="L733" s="1161"/>
      <c r="N733" s="1162" t="str">
        <f t="shared" si="92"/>
        <v xml:space="preserve"> </v>
      </c>
      <c r="O733" s="1163" t="str">
        <f t="shared" si="93"/>
        <v xml:space="preserve"> </v>
      </c>
      <c r="Q733">
        <f t="shared" si="94"/>
        <v>0</v>
      </c>
      <c r="R733">
        <f t="shared" si="95"/>
        <v>0</v>
      </c>
    </row>
    <row r="734" spans="2:18" x14ac:dyDescent="0.15">
      <c r="B734" s="1157"/>
      <c r="C734" s="1158"/>
      <c r="D734" s="897"/>
      <c r="E734" s="1159" t="str">
        <f t="shared" si="90"/>
        <v xml:space="preserve"> </v>
      </c>
      <c r="G734" s="1160" t="str">
        <f t="shared" si="91"/>
        <v xml:space="preserve"> </v>
      </c>
      <c r="H734" s="1149"/>
      <c r="I734">
        <f t="shared" si="88"/>
        <v>0</v>
      </c>
      <c r="K734">
        <f t="shared" si="89"/>
        <v>0</v>
      </c>
      <c r="L734" s="1161"/>
      <c r="N734" s="1162" t="str">
        <f t="shared" si="92"/>
        <v xml:space="preserve"> </v>
      </c>
      <c r="O734" s="1163" t="str">
        <f t="shared" si="93"/>
        <v xml:space="preserve"> </v>
      </c>
      <c r="Q734">
        <f t="shared" si="94"/>
        <v>0</v>
      </c>
      <c r="R734">
        <f t="shared" si="95"/>
        <v>0</v>
      </c>
    </row>
    <row r="735" spans="2:18" x14ac:dyDescent="0.15">
      <c r="B735" s="1157"/>
      <c r="C735" s="1158"/>
      <c r="D735" s="897"/>
      <c r="E735" s="1159" t="str">
        <f t="shared" si="90"/>
        <v xml:space="preserve"> </v>
      </c>
      <c r="G735" s="1160" t="str">
        <f t="shared" si="91"/>
        <v xml:space="preserve"> </v>
      </c>
      <c r="H735" s="1149"/>
      <c r="I735">
        <f t="shared" si="88"/>
        <v>0</v>
      </c>
      <c r="K735">
        <f t="shared" si="89"/>
        <v>0</v>
      </c>
      <c r="L735" s="1161"/>
      <c r="N735" s="1162" t="str">
        <f t="shared" si="92"/>
        <v xml:space="preserve"> </v>
      </c>
      <c r="O735" s="1163" t="str">
        <f t="shared" si="93"/>
        <v xml:space="preserve"> </v>
      </c>
      <c r="Q735">
        <f t="shared" si="94"/>
        <v>0</v>
      </c>
      <c r="R735">
        <f t="shared" si="95"/>
        <v>0</v>
      </c>
    </row>
    <row r="736" spans="2:18" x14ac:dyDescent="0.15">
      <c r="B736" s="1157"/>
      <c r="C736" s="1158"/>
      <c r="D736" s="897"/>
      <c r="E736" s="1159" t="str">
        <f t="shared" si="90"/>
        <v xml:space="preserve"> </v>
      </c>
      <c r="G736" s="1160" t="str">
        <f t="shared" si="91"/>
        <v xml:space="preserve"> </v>
      </c>
      <c r="H736" s="1149"/>
      <c r="I736">
        <f t="shared" si="88"/>
        <v>0</v>
      </c>
      <c r="K736">
        <f t="shared" si="89"/>
        <v>0</v>
      </c>
      <c r="L736" s="1161"/>
      <c r="N736" s="1162" t="str">
        <f t="shared" si="92"/>
        <v xml:space="preserve"> </v>
      </c>
      <c r="O736" s="1163" t="str">
        <f t="shared" si="93"/>
        <v xml:space="preserve"> </v>
      </c>
      <c r="Q736">
        <f t="shared" si="94"/>
        <v>0</v>
      </c>
      <c r="R736">
        <f t="shared" si="95"/>
        <v>0</v>
      </c>
    </row>
    <row r="737" spans="2:18" x14ac:dyDescent="0.15">
      <c r="B737" s="1157"/>
      <c r="C737" s="1158"/>
      <c r="D737" s="897"/>
      <c r="E737" s="1159" t="str">
        <f t="shared" si="90"/>
        <v xml:space="preserve"> </v>
      </c>
      <c r="G737" s="1160" t="str">
        <f t="shared" si="91"/>
        <v xml:space="preserve"> </v>
      </c>
      <c r="H737" s="1149"/>
      <c r="I737">
        <f t="shared" si="88"/>
        <v>0</v>
      </c>
      <c r="K737">
        <f t="shared" si="89"/>
        <v>0</v>
      </c>
      <c r="L737" s="1161"/>
      <c r="N737" s="1162" t="str">
        <f t="shared" si="92"/>
        <v xml:space="preserve"> </v>
      </c>
      <c r="O737" s="1163" t="str">
        <f t="shared" si="93"/>
        <v xml:space="preserve"> </v>
      </c>
      <c r="Q737">
        <f t="shared" si="94"/>
        <v>0</v>
      </c>
      <c r="R737">
        <f t="shared" si="95"/>
        <v>0</v>
      </c>
    </row>
    <row r="738" spans="2:18" x14ac:dyDescent="0.15">
      <c r="B738" s="1157"/>
      <c r="C738" s="1158"/>
      <c r="D738" s="897"/>
      <c r="E738" s="1159" t="str">
        <f t="shared" si="90"/>
        <v xml:space="preserve"> </v>
      </c>
      <c r="G738" s="1160" t="str">
        <f t="shared" si="91"/>
        <v xml:space="preserve"> </v>
      </c>
      <c r="H738" s="1149"/>
      <c r="I738">
        <f t="shared" si="88"/>
        <v>0</v>
      </c>
      <c r="K738">
        <f t="shared" si="89"/>
        <v>0</v>
      </c>
      <c r="L738" s="1161"/>
      <c r="N738" s="1162" t="str">
        <f t="shared" si="92"/>
        <v xml:space="preserve"> </v>
      </c>
      <c r="O738" s="1163" t="str">
        <f t="shared" si="93"/>
        <v xml:space="preserve"> </v>
      </c>
      <c r="Q738">
        <f t="shared" si="94"/>
        <v>0</v>
      </c>
      <c r="R738">
        <f t="shared" si="95"/>
        <v>0</v>
      </c>
    </row>
    <row r="739" spans="2:18" x14ac:dyDescent="0.15">
      <c r="B739" s="1157"/>
      <c r="C739" s="1158"/>
      <c r="D739" s="897"/>
      <c r="E739" s="1159" t="str">
        <f t="shared" si="90"/>
        <v xml:space="preserve"> </v>
      </c>
      <c r="G739" s="1160" t="str">
        <f t="shared" si="91"/>
        <v xml:space="preserve"> </v>
      </c>
      <c r="H739" s="1149"/>
      <c r="I739">
        <f t="shared" si="88"/>
        <v>0</v>
      </c>
      <c r="K739">
        <f t="shared" si="89"/>
        <v>0</v>
      </c>
      <c r="L739" s="1161"/>
      <c r="N739" s="1162" t="str">
        <f t="shared" si="92"/>
        <v xml:space="preserve"> </v>
      </c>
      <c r="O739" s="1163" t="str">
        <f t="shared" si="93"/>
        <v xml:space="preserve"> </v>
      </c>
      <c r="Q739">
        <f t="shared" si="94"/>
        <v>0</v>
      </c>
      <c r="R739">
        <f t="shared" si="95"/>
        <v>0</v>
      </c>
    </row>
    <row r="740" spans="2:18" x14ac:dyDescent="0.15">
      <c r="B740" s="1157"/>
      <c r="C740" s="1158"/>
      <c r="D740" s="897"/>
      <c r="E740" s="1159" t="str">
        <f t="shared" si="90"/>
        <v xml:space="preserve"> </v>
      </c>
      <c r="G740" s="1160" t="str">
        <f t="shared" si="91"/>
        <v xml:space="preserve"> </v>
      </c>
      <c r="H740" s="1149"/>
      <c r="I740">
        <f t="shared" si="88"/>
        <v>0</v>
      </c>
      <c r="K740">
        <f t="shared" si="89"/>
        <v>0</v>
      </c>
      <c r="L740" s="1161"/>
      <c r="N740" s="1162" t="str">
        <f t="shared" si="92"/>
        <v xml:space="preserve"> </v>
      </c>
      <c r="O740" s="1163" t="str">
        <f t="shared" si="93"/>
        <v xml:space="preserve"> </v>
      </c>
      <c r="Q740">
        <f t="shared" si="94"/>
        <v>0</v>
      </c>
      <c r="R740">
        <f t="shared" si="95"/>
        <v>0</v>
      </c>
    </row>
    <row r="741" spans="2:18" x14ac:dyDescent="0.15">
      <c r="B741" s="1157"/>
      <c r="C741" s="1158"/>
      <c r="D741" s="897"/>
      <c r="E741" s="1159" t="str">
        <f t="shared" si="90"/>
        <v xml:space="preserve"> </v>
      </c>
      <c r="G741" s="1160" t="str">
        <f t="shared" si="91"/>
        <v xml:space="preserve"> </v>
      </c>
      <c r="H741" s="1149"/>
      <c r="I741">
        <f t="shared" si="88"/>
        <v>0</v>
      </c>
      <c r="K741">
        <f t="shared" si="89"/>
        <v>0</v>
      </c>
      <c r="L741" s="1161"/>
      <c r="N741" s="1162" t="str">
        <f t="shared" si="92"/>
        <v xml:space="preserve"> </v>
      </c>
      <c r="O741" s="1163" t="str">
        <f t="shared" si="93"/>
        <v xml:space="preserve"> </v>
      </c>
      <c r="Q741">
        <f t="shared" si="94"/>
        <v>0</v>
      </c>
      <c r="R741">
        <f t="shared" si="95"/>
        <v>0</v>
      </c>
    </row>
    <row r="742" spans="2:18" x14ac:dyDescent="0.15">
      <c r="B742" s="1157"/>
      <c r="C742" s="1158"/>
      <c r="D742" s="897"/>
      <c r="E742" s="1159" t="str">
        <f t="shared" si="90"/>
        <v xml:space="preserve"> </v>
      </c>
      <c r="G742" s="1160" t="str">
        <f t="shared" si="91"/>
        <v xml:space="preserve"> </v>
      </c>
      <c r="H742" s="1149"/>
      <c r="I742">
        <f t="shared" si="88"/>
        <v>0</v>
      </c>
      <c r="K742">
        <f t="shared" si="89"/>
        <v>0</v>
      </c>
      <c r="L742" s="1161"/>
      <c r="N742" s="1162" t="str">
        <f t="shared" si="92"/>
        <v xml:space="preserve"> </v>
      </c>
      <c r="O742" s="1163" t="str">
        <f t="shared" si="93"/>
        <v xml:space="preserve"> </v>
      </c>
      <c r="Q742">
        <f t="shared" si="94"/>
        <v>0</v>
      </c>
      <c r="R742">
        <f t="shared" si="95"/>
        <v>0</v>
      </c>
    </row>
    <row r="743" spans="2:18" x14ac:dyDescent="0.15">
      <c r="B743" s="1157"/>
      <c r="C743" s="1158"/>
      <c r="D743" s="897"/>
      <c r="E743" s="1159" t="str">
        <f t="shared" si="90"/>
        <v xml:space="preserve"> </v>
      </c>
      <c r="G743" s="1160" t="str">
        <f t="shared" si="91"/>
        <v xml:space="preserve"> </v>
      </c>
      <c r="H743" s="1149"/>
      <c r="I743">
        <f t="shared" si="88"/>
        <v>0</v>
      </c>
      <c r="K743">
        <f t="shared" si="89"/>
        <v>0</v>
      </c>
      <c r="L743" s="1161"/>
      <c r="N743" s="1162" t="str">
        <f t="shared" si="92"/>
        <v xml:space="preserve"> </v>
      </c>
      <c r="O743" s="1163" t="str">
        <f t="shared" si="93"/>
        <v xml:space="preserve"> </v>
      </c>
      <c r="Q743">
        <f t="shared" si="94"/>
        <v>0</v>
      </c>
      <c r="R743">
        <f t="shared" si="95"/>
        <v>0</v>
      </c>
    </row>
    <row r="744" spans="2:18" x14ac:dyDescent="0.15">
      <c r="B744" s="1157"/>
      <c r="C744" s="1158"/>
      <c r="D744" s="897"/>
      <c r="E744" s="1159" t="str">
        <f t="shared" si="90"/>
        <v xml:space="preserve"> </v>
      </c>
      <c r="G744" s="1160" t="str">
        <f t="shared" si="91"/>
        <v xml:space="preserve"> </v>
      </c>
      <c r="H744" s="1149"/>
      <c r="I744">
        <f t="shared" si="88"/>
        <v>0</v>
      </c>
      <c r="K744">
        <f t="shared" si="89"/>
        <v>0</v>
      </c>
      <c r="L744" s="1161"/>
      <c r="N744" s="1162" t="str">
        <f t="shared" si="92"/>
        <v xml:space="preserve"> </v>
      </c>
      <c r="O744" s="1163" t="str">
        <f t="shared" si="93"/>
        <v xml:space="preserve"> </v>
      </c>
      <c r="Q744">
        <f t="shared" si="94"/>
        <v>0</v>
      </c>
      <c r="R744">
        <f t="shared" si="95"/>
        <v>0</v>
      </c>
    </row>
    <row r="745" spans="2:18" x14ac:dyDescent="0.15">
      <c r="B745" s="1157"/>
      <c r="C745" s="1158"/>
      <c r="D745" s="897"/>
      <c r="E745" s="1159" t="str">
        <f t="shared" si="90"/>
        <v xml:space="preserve"> </v>
      </c>
      <c r="G745" s="1160" t="str">
        <f t="shared" si="91"/>
        <v xml:space="preserve"> </v>
      </c>
      <c r="H745" s="1149"/>
      <c r="I745">
        <f t="shared" si="88"/>
        <v>0</v>
      </c>
      <c r="K745">
        <f t="shared" si="89"/>
        <v>0</v>
      </c>
      <c r="L745" s="1161"/>
      <c r="N745" s="1162" t="str">
        <f t="shared" si="92"/>
        <v xml:space="preserve"> </v>
      </c>
      <c r="O745" s="1163" t="str">
        <f t="shared" si="93"/>
        <v xml:space="preserve"> </v>
      </c>
      <c r="Q745">
        <f t="shared" si="94"/>
        <v>0</v>
      </c>
      <c r="R745">
        <f t="shared" si="95"/>
        <v>0</v>
      </c>
    </row>
    <row r="746" spans="2:18" x14ac:dyDescent="0.15">
      <c r="B746" s="1157"/>
      <c r="C746" s="1158"/>
      <c r="D746" s="897"/>
      <c r="E746" s="1159" t="str">
        <f t="shared" si="90"/>
        <v xml:space="preserve"> </v>
      </c>
      <c r="G746" s="1160" t="str">
        <f t="shared" si="91"/>
        <v xml:space="preserve"> </v>
      </c>
      <c r="H746" s="1149"/>
      <c r="I746">
        <f t="shared" si="88"/>
        <v>0</v>
      </c>
      <c r="K746">
        <f t="shared" si="89"/>
        <v>0</v>
      </c>
      <c r="L746" s="1161"/>
      <c r="N746" s="1162" t="str">
        <f t="shared" si="92"/>
        <v xml:space="preserve"> </v>
      </c>
      <c r="O746" s="1163" t="str">
        <f t="shared" si="93"/>
        <v xml:space="preserve"> </v>
      </c>
      <c r="Q746">
        <f t="shared" si="94"/>
        <v>0</v>
      </c>
      <c r="R746">
        <f t="shared" si="95"/>
        <v>0</v>
      </c>
    </row>
    <row r="747" spans="2:18" x14ac:dyDescent="0.15">
      <c r="B747" s="1157"/>
      <c r="C747" s="1158"/>
      <c r="D747" s="897"/>
      <c r="E747" s="1159" t="str">
        <f t="shared" si="90"/>
        <v xml:space="preserve"> </v>
      </c>
      <c r="G747" s="1160" t="str">
        <f t="shared" si="91"/>
        <v xml:space="preserve"> </v>
      </c>
      <c r="H747" s="1149"/>
      <c r="I747">
        <f t="shared" si="88"/>
        <v>0</v>
      </c>
      <c r="K747">
        <f t="shared" si="89"/>
        <v>0</v>
      </c>
      <c r="L747" s="1161"/>
      <c r="N747" s="1162" t="str">
        <f t="shared" si="92"/>
        <v xml:space="preserve"> </v>
      </c>
      <c r="O747" s="1163" t="str">
        <f t="shared" si="93"/>
        <v xml:space="preserve"> </v>
      </c>
      <c r="Q747">
        <f t="shared" si="94"/>
        <v>0</v>
      </c>
      <c r="R747">
        <f t="shared" si="95"/>
        <v>0</v>
      </c>
    </row>
    <row r="748" spans="2:18" x14ac:dyDescent="0.15">
      <c r="B748" s="1157"/>
      <c r="C748" s="1158"/>
      <c r="D748" s="897"/>
      <c r="E748" s="1159" t="str">
        <f t="shared" si="90"/>
        <v xml:space="preserve"> </v>
      </c>
      <c r="G748" s="1160" t="str">
        <f t="shared" si="91"/>
        <v xml:space="preserve"> </v>
      </c>
      <c r="H748" s="1149"/>
      <c r="I748">
        <f t="shared" si="88"/>
        <v>0</v>
      </c>
      <c r="K748">
        <f t="shared" si="89"/>
        <v>0</v>
      </c>
      <c r="L748" s="1161"/>
      <c r="N748" s="1162" t="str">
        <f t="shared" si="92"/>
        <v xml:space="preserve"> </v>
      </c>
      <c r="O748" s="1163" t="str">
        <f t="shared" si="93"/>
        <v xml:space="preserve"> </v>
      </c>
      <c r="Q748">
        <f t="shared" si="94"/>
        <v>0</v>
      </c>
      <c r="R748">
        <f t="shared" si="95"/>
        <v>0</v>
      </c>
    </row>
    <row r="749" spans="2:18" x14ac:dyDescent="0.15">
      <c r="B749" s="1157"/>
      <c r="C749" s="1158"/>
      <c r="D749" s="897"/>
      <c r="E749" s="1159" t="str">
        <f t="shared" si="90"/>
        <v xml:space="preserve"> </v>
      </c>
      <c r="G749" s="1160" t="str">
        <f t="shared" si="91"/>
        <v xml:space="preserve"> </v>
      </c>
      <c r="H749" s="1149"/>
      <c r="I749">
        <f t="shared" si="88"/>
        <v>0</v>
      </c>
      <c r="K749">
        <f t="shared" si="89"/>
        <v>0</v>
      </c>
      <c r="L749" s="1161"/>
      <c r="N749" s="1162" t="str">
        <f t="shared" si="92"/>
        <v xml:space="preserve"> </v>
      </c>
      <c r="O749" s="1163" t="str">
        <f t="shared" si="93"/>
        <v xml:space="preserve"> </v>
      </c>
      <c r="Q749">
        <f t="shared" si="94"/>
        <v>0</v>
      </c>
      <c r="R749">
        <f t="shared" si="95"/>
        <v>0</v>
      </c>
    </row>
    <row r="750" spans="2:18" x14ac:dyDescent="0.15">
      <c r="B750" s="1157"/>
      <c r="C750" s="1158"/>
      <c r="D750" s="897"/>
      <c r="E750" s="1159" t="str">
        <f t="shared" si="90"/>
        <v xml:space="preserve"> </v>
      </c>
      <c r="G750" s="1160" t="str">
        <f t="shared" si="91"/>
        <v xml:space="preserve"> </v>
      </c>
      <c r="H750" s="1149"/>
      <c r="I750">
        <f t="shared" si="88"/>
        <v>0</v>
      </c>
      <c r="K750">
        <f t="shared" si="89"/>
        <v>0</v>
      </c>
      <c r="L750" s="1161"/>
      <c r="N750" s="1162" t="str">
        <f t="shared" si="92"/>
        <v xml:space="preserve"> </v>
      </c>
      <c r="O750" s="1163" t="str">
        <f t="shared" si="93"/>
        <v xml:space="preserve"> </v>
      </c>
      <c r="Q750">
        <f t="shared" si="94"/>
        <v>0</v>
      </c>
      <c r="R750">
        <f t="shared" si="95"/>
        <v>0</v>
      </c>
    </row>
    <row r="751" spans="2:18" x14ac:dyDescent="0.15">
      <c r="B751" s="1157"/>
      <c r="C751" s="1158"/>
      <c r="D751" s="897"/>
      <c r="E751" s="1159" t="str">
        <f t="shared" si="90"/>
        <v xml:space="preserve"> </v>
      </c>
      <c r="G751" s="1160" t="str">
        <f t="shared" si="91"/>
        <v xml:space="preserve"> </v>
      </c>
      <c r="H751" s="1149"/>
      <c r="I751">
        <f t="shared" si="88"/>
        <v>0</v>
      </c>
      <c r="K751">
        <f t="shared" si="89"/>
        <v>0</v>
      </c>
      <c r="L751" s="1161"/>
      <c r="N751" s="1162" t="str">
        <f t="shared" si="92"/>
        <v xml:space="preserve"> </v>
      </c>
      <c r="O751" s="1163" t="str">
        <f t="shared" si="93"/>
        <v xml:space="preserve"> </v>
      </c>
      <c r="Q751">
        <f t="shared" si="94"/>
        <v>0</v>
      </c>
      <c r="R751">
        <f t="shared" si="95"/>
        <v>0</v>
      </c>
    </row>
    <row r="752" spans="2:18" x14ac:dyDescent="0.15">
      <c r="B752" s="1157"/>
      <c r="C752" s="1158"/>
      <c r="D752" s="897"/>
      <c r="E752" s="1159" t="str">
        <f t="shared" si="90"/>
        <v xml:space="preserve"> </v>
      </c>
      <c r="G752" s="1160" t="str">
        <f t="shared" si="91"/>
        <v xml:space="preserve"> </v>
      </c>
      <c r="H752" s="1149"/>
      <c r="I752">
        <f t="shared" si="88"/>
        <v>0</v>
      </c>
      <c r="K752">
        <f t="shared" si="89"/>
        <v>0</v>
      </c>
      <c r="L752" s="1161"/>
      <c r="N752" s="1162" t="str">
        <f t="shared" si="92"/>
        <v xml:space="preserve"> </v>
      </c>
      <c r="O752" s="1163" t="str">
        <f t="shared" si="93"/>
        <v xml:space="preserve"> </v>
      </c>
      <c r="Q752">
        <f t="shared" si="94"/>
        <v>0</v>
      </c>
      <c r="R752">
        <f t="shared" si="95"/>
        <v>0</v>
      </c>
    </row>
    <row r="753" spans="2:18" x14ac:dyDescent="0.15">
      <c r="B753" s="1157"/>
      <c r="C753" s="1158"/>
      <c r="D753" s="897"/>
      <c r="E753" s="1159" t="str">
        <f t="shared" si="90"/>
        <v xml:space="preserve"> </v>
      </c>
      <c r="G753" s="1160" t="str">
        <f t="shared" si="91"/>
        <v xml:space="preserve"> </v>
      </c>
      <c r="H753" s="1149"/>
      <c r="I753">
        <f t="shared" si="88"/>
        <v>0</v>
      </c>
      <c r="K753">
        <f t="shared" si="89"/>
        <v>0</v>
      </c>
      <c r="L753" s="1161"/>
      <c r="N753" s="1162" t="str">
        <f t="shared" si="92"/>
        <v xml:space="preserve"> </v>
      </c>
      <c r="O753" s="1163" t="str">
        <f t="shared" si="93"/>
        <v xml:space="preserve"> </v>
      </c>
      <c r="Q753">
        <f t="shared" si="94"/>
        <v>0</v>
      </c>
      <c r="R753">
        <f t="shared" si="95"/>
        <v>0</v>
      </c>
    </row>
    <row r="754" spans="2:18" x14ac:dyDescent="0.15">
      <c r="B754" s="1157"/>
      <c r="C754" s="1158"/>
      <c r="D754" s="897"/>
      <c r="E754" s="1159" t="str">
        <f t="shared" si="90"/>
        <v xml:space="preserve"> </v>
      </c>
      <c r="G754" s="1160" t="str">
        <f t="shared" si="91"/>
        <v xml:space="preserve"> </v>
      </c>
      <c r="H754" s="1149"/>
      <c r="I754">
        <f t="shared" si="88"/>
        <v>0</v>
      </c>
      <c r="K754">
        <f t="shared" si="89"/>
        <v>0</v>
      </c>
      <c r="L754" s="1161"/>
      <c r="N754" s="1162" t="str">
        <f t="shared" si="92"/>
        <v xml:space="preserve"> </v>
      </c>
      <c r="O754" s="1163" t="str">
        <f t="shared" si="93"/>
        <v xml:space="preserve"> </v>
      </c>
      <c r="Q754">
        <f t="shared" si="94"/>
        <v>0</v>
      </c>
      <c r="R754">
        <f t="shared" si="95"/>
        <v>0</v>
      </c>
    </row>
    <row r="755" spans="2:18" x14ac:dyDescent="0.15">
      <c r="B755" s="1157"/>
      <c r="C755" s="1158"/>
      <c r="D755" s="897"/>
      <c r="E755" s="1159" t="str">
        <f t="shared" si="90"/>
        <v xml:space="preserve"> </v>
      </c>
      <c r="G755" s="1160" t="str">
        <f t="shared" si="91"/>
        <v xml:space="preserve"> </v>
      </c>
      <c r="H755" s="1149"/>
      <c r="I755">
        <f t="shared" si="88"/>
        <v>0</v>
      </c>
      <c r="K755">
        <f t="shared" si="89"/>
        <v>0</v>
      </c>
      <c r="L755" s="1161"/>
      <c r="N755" s="1162" t="str">
        <f t="shared" si="92"/>
        <v xml:space="preserve"> </v>
      </c>
      <c r="O755" s="1163" t="str">
        <f t="shared" si="93"/>
        <v xml:space="preserve"> </v>
      </c>
      <c r="Q755">
        <f t="shared" si="94"/>
        <v>0</v>
      </c>
      <c r="R755">
        <f t="shared" si="95"/>
        <v>0</v>
      </c>
    </row>
    <row r="756" spans="2:18" x14ac:dyDescent="0.15">
      <c r="B756" s="1157"/>
      <c r="C756" s="1158"/>
      <c r="D756" s="897"/>
      <c r="E756" s="1159" t="str">
        <f t="shared" si="90"/>
        <v xml:space="preserve"> </v>
      </c>
      <c r="G756" s="1160" t="str">
        <f t="shared" si="91"/>
        <v xml:space="preserve"> </v>
      </c>
      <c r="H756" s="1149"/>
      <c r="I756">
        <f t="shared" si="88"/>
        <v>0</v>
      </c>
      <c r="K756">
        <f t="shared" si="89"/>
        <v>0</v>
      </c>
      <c r="L756" s="1161"/>
      <c r="N756" s="1162" t="str">
        <f t="shared" si="92"/>
        <v xml:space="preserve"> </v>
      </c>
      <c r="O756" s="1163" t="str">
        <f t="shared" si="93"/>
        <v xml:space="preserve"> </v>
      </c>
      <c r="Q756">
        <f t="shared" si="94"/>
        <v>0</v>
      </c>
      <c r="R756">
        <f t="shared" si="95"/>
        <v>0</v>
      </c>
    </row>
    <row r="757" spans="2:18" x14ac:dyDescent="0.15">
      <c r="B757" s="1157"/>
      <c r="C757" s="1158"/>
      <c r="D757" s="897"/>
      <c r="E757" s="1159" t="str">
        <f t="shared" si="90"/>
        <v xml:space="preserve"> </v>
      </c>
      <c r="G757" s="1160" t="str">
        <f t="shared" si="91"/>
        <v xml:space="preserve"> </v>
      </c>
      <c r="H757" s="1149"/>
      <c r="I757">
        <f t="shared" si="88"/>
        <v>0</v>
      </c>
      <c r="K757">
        <f t="shared" si="89"/>
        <v>0</v>
      </c>
      <c r="L757" s="1161"/>
      <c r="N757" s="1162" t="str">
        <f t="shared" si="92"/>
        <v xml:space="preserve"> </v>
      </c>
      <c r="O757" s="1163" t="str">
        <f t="shared" si="93"/>
        <v xml:space="preserve"> </v>
      </c>
      <c r="Q757">
        <f t="shared" si="94"/>
        <v>0</v>
      </c>
      <c r="R757">
        <f t="shared" si="95"/>
        <v>0</v>
      </c>
    </row>
    <row r="758" spans="2:18" x14ac:dyDescent="0.15">
      <c r="B758" s="1157"/>
      <c r="C758" s="1158"/>
      <c r="D758" s="897"/>
      <c r="E758" s="1159" t="str">
        <f t="shared" si="90"/>
        <v xml:space="preserve"> </v>
      </c>
      <c r="G758" s="1160" t="str">
        <f t="shared" si="91"/>
        <v xml:space="preserve"> </v>
      </c>
      <c r="H758" s="1149"/>
      <c r="I758">
        <f t="shared" si="88"/>
        <v>0</v>
      </c>
      <c r="K758">
        <f t="shared" si="89"/>
        <v>0</v>
      </c>
      <c r="L758" s="1161"/>
      <c r="N758" s="1162" t="str">
        <f t="shared" si="92"/>
        <v xml:space="preserve"> </v>
      </c>
      <c r="O758" s="1163" t="str">
        <f t="shared" si="93"/>
        <v xml:space="preserve"> </v>
      </c>
      <c r="Q758">
        <f t="shared" si="94"/>
        <v>0</v>
      </c>
      <c r="R758">
        <f t="shared" si="95"/>
        <v>0</v>
      </c>
    </row>
    <row r="759" spans="2:18" x14ac:dyDescent="0.15">
      <c r="B759" s="1157"/>
      <c r="C759" s="1158"/>
      <c r="D759" s="897"/>
      <c r="E759" s="1159" t="str">
        <f t="shared" si="90"/>
        <v xml:space="preserve"> </v>
      </c>
      <c r="G759" s="1160" t="str">
        <f t="shared" si="91"/>
        <v xml:space="preserve"> </v>
      </c>
      <c r="H759" s="1149"/>
      <c r="I759">
        <f t="shared" si="88"/>
        <v>0</v>
      </c>
      <c r="K759">
        <f t="shared" si="89"/>
        <v>0</v>
      </c>
      <c r="L759" s="1161"/>
      <c r="N759" s="1162" t="str">
        <f t="shared" si="92"/>
        <v xml:space="preserve"> </v>
      </c>
      <c r="O759" s="1163" t="str">
        <f t="shared" si="93"/>
        <v xml:space="preserve"> </v>
      </c>
      <c r="Q759">
        <f t="shared" si="94"/>
        <v>0</v>
      </c>
      <c r="R759">
        <f t="shared" si="95"/>
        <v>0</v>
      </c>
    </row>
    <row r="760" spans="2:18" x14ac:dyDescent="0.15">
      <c r="B760" s="1157"/>
      <c r="C760" s="1158"/>
      <c r="D760" s="897"/>
      <c r="E760" s="1159" t="str">
        <f t="shared" si="90"/>
        <v xml:space="preserve"> </v>
      </c>
      <c r="G760" s="1160" t="str">
        <f t="shared" si="91"/>
        <v xml:space="preserve"> </v>
      </c>
      <c r="H760" s="1149"/>
      <c r="I760">
        <f t="shared" si="88"/>
        <v>0</v>
      </c>
      <c r="K760">
        <f t="shared" si="89"/>
        <v>0</v>
      </c>
      <c r="L760" s="1161"/>
      <c r="N760" s="1162" t="str">
        <f t="shared" si="92"/>
        <v xml:space="preserve"> </v>
      </c>
      <c r="O760" s="1163" t="str">
        <f t="shared" si="93"/>
        <v xml:space="preserve"> </v>
      </c>
      <c r="Q760">
        <f t="shared" si="94"/>
        <v>0</v>
      </c>
      <c r="R760">
        <f t="shared" si="95"/>
        <v>0</v>
      </c>
    </row>
    <row r="761" spans="2:18" x14ac:dyDescent="0.15">
      <c r="B761" s="1157"/>
      <c r="C761" s="1158"/>
      <c r="D761" s="897"/>
      <c r="E761" s="1159" t="str">
        <f t="shared" si="90"/>
        <v xml:space="preserve"> </v>
      </c>
      <c r="G761" s="1160" t="str">
        <f t="shared" si="91"/>
        <v xml:space="preserve"> </v>
      </c>
      <c r="H761" s="1149"/>
      <c r="I761">
        <f t="shared" si="88"/>
        <v>0</v>
      </c>
      <c r="K761">
        <f t="shared" si="89"/>
        <v>0</v>
      </c>
      <c r="L761" s="1161"/>
      <c r="N761" s="1162" t="str">
        <f t="shared" si="92"/>
        <v xml:space="preserve"> </v>
      </c>
      <c r="O761" s="1163" t="str">
        <f t="shared" si="93"/>
        <v xml:space="preserve"> </v>
      </c>
      <c r="Q761">
        <f t="shared" si="94"/>
        <v>0</v>
      </c>
      <c r="R761">
        <f t="shared" si="95"/>
        <v>0</v>
      </c>
    </row>
    <row r="762" spans="2:18" x14ac:dyDescent="0.15">
      <c r="B762" s="1157"/>
      <c r="C762" s="1158"/>
      <c r="D762" s="897"/>
      <c r="E762" s="1159" t="str">
        <f t="shared" si="90"/>
        <v xml:space="preserve"> </v>
      </c>
      <c r="G762" s="1160" t="str">
        <f t="shared" si="91"/>
        <v xml:space="preserve"> </v>
      </c>
      <c r="H762" s="1149"/>
      <c r="I762">
        <f t="shared" si="88"/>
        <v>0</v>
      </c>
      <c r="K762">
        <f t="shared" si="89"/>
        <v>0</v>
      </c>
      <c r="L762" s="1161"/>
      <c r="N762" s="1162" t="str">
        <f t="shared" si="92"/>
        <v xml:space="preserve"> </v>
      </c>
      <c r="O762" s="1163" t="str">
        <f t="shared" si="93"/>
        <v xml:space="preserve"> </v>
      </c>
      <c r="Q762">
        <f t="shared" si="94"/>
        <v>0</v>
      </c>
      <c r="R762">
        <f t="shared" si="95"/>
        <v>0</v>
      </c>
    </row>
    <row r="763" spans="2:18" x14ac:dyDescent="0.15">
      <c r="B763" s="1157"/>
      <c r="C763" s="1158"/>
      <c r="D763" s="897"/>
      <c r="E763" s="1159" t="str">
        <f t="shared" si="90"/>
        <v xml:space="preserve"> </v>
      </c>
      <c r="G763" s="1160" t="str">
        <f t="shared" si="91"/>
        <v xml:space="preserve"> </v>
      </c>
      <c r="H763" s="1149"/>
      <c r="I763">
        <f t="shared" si="88"/>
        <v>0</v>
      </c>
      <c r="K763">
        <f t="shared" si="89"/>
        <v>0</v>
      </c>
      <c r="L763" s="1161"/>
      <c r="N763" s="1162" t="str">
        <f t="shared" si="92"/>
        <v xml:space="preserve"> </v>
      </c>
      <c r="O763" s="1163" t="str">
        <f t="shared" si="93"/>
        <v xml:space="preserve"> </v>
      </c>
      <c r="Q763">
        <f t="shared" si="94"/>
        <v>0</v>
      </c>
      <c r="R763">
        <f t="shared" si="95"/>
        <v>0</v>
      </c>
    </row>
    <row r="764" spans="2:18" x14ac:dyDescent="0.15">
      <c r="B764" s="1157"/>
      <c r="C764" s="1158"/>
      <c r="D764" s="897"/>
      <c r="E764" s="1159" t="str">
        <f t="shared" si="90"/>
        <v xml:space="preserve"> </v>
      </c>
      <c r="G764" s="1160" t="str">
        <f t="shared" si="91"/>
        <v xml:space="preserve"> </v>
      </c>
      <c r="H764" s="1149"/>
      <c r="I764">
        <f t="shared" si="88"/>
        <v>0</v>
      </c>
      <c r="K764">
        <f t="shared" si="89"/>
        <v>0</v>
      </c>
      <c r="L764" s="1161"/>
      <c r="N764" s="1162" t="str">
        <f t="shared" si="92"/>
        <v xml:space="preserve"> </v>
      </c>
      <c r="O764" s="1163" t="str">
        <f t="shared" si="93"/>
        <v xml:space="preserve"> </v>
      </c>
      <c r="Q764">
        <f t="shared" si="94"/>
        <v>0</v>
      </c>
      <c r="R764">
        <f t="shared" si="95"/>
        <v>0</v>
      </c>
    </row>
    <row r="765" spans="2:18" x14ac:dyDescent="0.15">
      <c r="B765" s="1157"/>
      <c r="C765" s="1158"/>
      <c r="D765" s="897"/>
      <c r="E765" s="1159" t="str">
        <f t="shared" si="90"/>
        <v xml:space="preserve"> </v>
      </c>
      <c r="G765" s="1160" t="str">
        <f t="shared" si="91"/>
        <v xml:space="preserve"> </v>
      </c>
      <c r="H765" s="1149"/>
      <c r="I765">
        <f t="shared" si="88"/>
        <v>0</v>
      </c>
      <c r="K765">
        <f t="shared" si="89"/>
        <v>0</v>
      </c>
      <c r="L765" s="1161"/>
      <c r="N765" s="1162" t="str">
        <f t="shared" si="92"/>
        <v xml:space="preserve"> </v>
      </c>
      <c r="O765" s="1163" t="str">
        <f t="shared" si="93"/>
        <v xml:space="preserve"> </v>
      </c>
      <c r="Q765">
        <f t="shared" si="94"/>
        <v>0</v>
      </c>
      <c r="R765">
        <f t="shared" si="95"/>
        <v>0</v>
      </c>
    </row>
    <row r="766" spans="2:18" x14ac:dyDescent="0.15">
      <c r="B766" s="1157"/>
      <c r="C766" s="1158"/>
      <c r="D766" s="897"/>
      <c r="E766" s="1159" t="str">
        <f t="shared" si="90"/>
        <v xml:space="preserve"> </v>
      </c>
      <c r="G766" s="1160" t="str">
        <f t="shared" si="91"/>
        <v xml:space="preserve"> </v>
      </c>
      <c r="H766" s="1149"/>
      <c r="I766">
        <f t="shared" si="88"/>
        <v>0</v>
      </c>
      <c r="K766">
        <f t="shared" si="89"/>
        <v>0</v>
      </c>
      <c r="L766" s="1161"/>
      <c r="N766" s="1162" t="str">
        <f t="shared" si="92"/>
        <v xml:space="preserve"> </v>
      </c>
      <c r="O766" s="1163" t="str">
        <f t="shared" si="93"/>
        <v xml:space="preserve"> </v>
      </c>
      <c r="Q766">
        <f t="shared" si="94"/>
        <v>0</v>
      </c>
      <c r="R766">
        <f t="shared" si="95"/>
        <v>0</v>
      </c>
    </row>
    <row r="767" spans="2:18" x14ac:dyDescent="0.15">
      <c r="B767" s="1157"/>
      <c r="C767" s="1158"/>
      <c r="D767" s="897"/>
      <c r="E767" s="1159" t="str">
        <f t="shared" si="90"/>
        <v xml:space="preserve"> </v>
      </c>
      <c r="G767" s="1160" t="str">
        <f t="shared" si="91"/>
        <v xml:space="preserve"> </v>
      </c>
      <c r="H767" s="1149"/>
      <c r="I767">
        <f t="shared" si="88"/>
        <v>0</v>
      </c>
      <c r="K767">
        <f t="shared" si="89"/>
        <v>0</v>
      </c>
      <c r="L767" s="1161"/>
      <c r="N767" s="1162" t="str">
        <f t="shared" si="92"/>
        <v xml:space="preserve"> </v>
      </c>
      <c r="O767" s="1163" t="str">
        <f t="shared" si="93"/>
        <v xml:space="preserve"> </v>
      </c>
      <c r="Q767">
        <f t="shared" si="94"/>
        <v>0</v>
      </c>
      <c r="R767">
        <f t="shared" si="95"/>
        <v>0</v>
      </c>
    </row>
    <row r="768" spans="2:18" x14ac:dyDescent="0.15">
      <c r="B768" s="1157"/>
      <c r="C768" s="1158"/>
      <c r="D768" s="897"/>
      <c r="E768" s="1159" t="str">
        <f t="shared" si="90"/>
        <v xml:space="preserve"> </v>
      </c>
      <c r="G768" s="1160" t="str">
        <f t="shared" si="91"/>
        <v xml:space="preserve"> </v>
      </c>
      <c r="H768" s="1149"/>
      <c r="I768">
        <f t="shared" si="88"/>
        <v>0</v>
      </c>
      <c r="K768">
        <f t="shared" si="89"/>
        <v>0</v>
      </c>
      <c r="L768" s="1161"/>
      <c r="N768" s="1162" t="str">
        <f t="shared" si="92"/>
        <v xml:space="preserve"> </v>
      </c>
      <c r="O768" s="1163" t="str">
        <f t="shared" si="93"/>
        <v xml:space="preserve"> </v>
      </c>
      <c r="Q768">
        <f t="shared" si="94"/>
        <v>0</v>
      </c>
      <c r="R768">
        <f t="shared" si="95"/>
        <v>0</v>
      </c>
    </row>
    <row r="769" spans="2:18" x14ac:dyDescent="0.15">
      <c r="B769" s="1157"/>
      <c r="C769" s="1158"/>
      <c r="D769" s="897"/>
      <c r="E769" s="1159" t="str">
        <f t="shared" si="90"/>
        <v xml:space="preserve"> </v>
      </c>
      <c r="G769" s="1160" t="str">
        <f t="shared" si="91"/>
        <v xml:space="preserve"> </v>
      </c>
      <c r="H769" s="1149"/>
      <c r="I769">
        <f t="shared" si="88"/>
        <v>0</v>
      </c>
      <c r="K769">
        <f t="shared" si="89"/>
        <v>0</v>
      </c>
      <c r="L769" s="1161"/>
      <c r="N769" s="1162" t="str">
        <f t="shared" si="92"/>
        <v xml:space="preserve"> </v>
      </c>
      <c r="O769" s="1163" t="str">
        <f t="shared" si="93"/>
        <v xml:space="preserve"> </v>
      </c>
      <c r="Q769">
        <f t="shared" si="94"/>
        <v>0</v>
      </c>
      <c r="R769">
        <f t="shared" si="95"/>
        <v>0</v>
      </c>
    </row>
    <row r="770" spans="2:18" x14ac:dyDescent="0.15">
      <c r="B770" s="1157"/>
      <c r="C770" s="1158"/>
      <c r="D770" s="897"/>
      <c r="E770" s="1159" t="str">
        <f t="shared" si="90"/>
        <v xml:space="preserve"> </v>
      </c>
      <c r="G770" s="1160" t="str">
        <f t="shared" si="91"/>
        <v xml:space="preserve"> </v>
      </c>
      <c r="H770" s="1149"/>
      <c r="I770">
        <f t="shared" si="88"/>
        <v>0</v>
      </c>
      <c r="K770">
        <f t="shared" si="89"/>
        <v>0</v>
      </c>
      <c r="L770" s="1161"/>
      <c r="N770" s="1162" t="str">
        <f t="shared" si="92"/>
        <v xml:space="preserve"> </v>
      </c>
      <c r="O770" s="1163" t="str">
        <f t="shared" si="93"/>
        <v xml:space="preserve"> </v>
      </c>
      <c r="Q770">
        <f t="shared" si="94"/>
        <v>0</v>
      </c>
      <c r="R770">
        <f t="shared" si="95"/>
        <v>0</v>
      </c>
    </row>
    <row r="771" spans="2:18" x14ac:dyDescent="0.15">
      <c r="B771" s="1157"/>
      <c r="C771" s="1158"/>
      <c r="D771" s="897"/>
      <c r="E771" s="1159" t="str">
        <f t="shared" si="90"/>
        <v xml:space="preserve"> </v>
      </c>
      <c r="G771" s="1160" t="str">
        <f t="shared" si="91"/>
        <v xml:space="preserve"> </v>
      </c>
      <c r="H771" s="1149"/>
      <c r="I771">
        <f t="shared" si="88"/>
        <v>0</v>
      </c>
      <c r="K771">
        <f t="shared" si="89"/>
        <v>0</v>
      </c>
      <c r="L771" s="1161"/>
      <c r="N771" s="1162" t="str">
        <f t="shared" si="92"/>
        <v xml:space="preserve"> </v>
      </c>
      <c r="O771" s="1163" t="str">
        <f t="shared" si="93"/>
        <v xml:space="preserve"> </v>
      </c>
      <c r="Q771">
        <f t="shared" si="94"/>
        <v>0</v>
      </c>
      <c r="R771">
        <f t="shared" si="95"/>
        <v>0</v>
      </c>
    </row>
    <row r="772" spans="2:18" x14ac:dyDescent="0.15">
      <c r="B772" s="1157"/>
      <c r="C772" s="1158"/>
      <c r="D772" s="897"/>
      <c r="E772" s="1159" t="str">
        <f t="shared" si="90"/>
        <v xml:space="preserve"> </v>
      </c>
      <c r="G772" s="1160" t="str">
        <f t="shared" si="91"/>
        <v xml:space="preserve"> </v>
      </c>
      <c r="H772" s="1149"/>
      <c r="I772">
        <f t="shared" si="88"/>
        <v>0</v>
      </c>
      <c r="K772">
        <f t="shared" si="89"/>
        <v>0</v>
      </c>
      <c r="L772" s="1161"/>
      <c r="N772" s="1162" t="str">
        <f t="shared" si="92"/>
        <v xml:space="preserve"> </v>
      </c>
      <c r="O772" s="1163" t="str">
        <f t="shared" si="93"/>
        <v xml:space="preserve"> </v>
      </c>
      <c r="Q772">
        <f t="shared" si="94"/>
        <v>0</v>
      </c>
      <c r="R772">
        <f t="shared" si="95"/>
        <v>0</v>
      </c>
    </row>
    <row r="773" spans="2:18" x14ac:dyDescent="0.15">
      <c r="B773" s="1157"/>
      <c r="C773" s="1158"/>
      <c r="D773" s="897"/>
      <c r="E773" s="1159" t="str">
        <f t="shared" si="90"/>
        <v xml:space="preserve"> </v>
      </c>
      <c r="G773" s="1160" t="str">
        <f t="shared" si="91"/>
        <v xml:space="preserve"> </v>
      </c>
      <c r="H773" s="1149"/>
      <c r="I773">
        <f t="shared" si="88"/>
        <v>0</v>
      </c>
      <c r="K773">
        <f t="shared" si="89"/>
        <v>0</v>
      </c>
      <c r="L773" s="1161"/>
      <c r="N773" s="1162" t="str">
        <f t="shared" si="92"/>
        <v xml:space="preserve"> </v>
      </c>
      <c r="O773" s="1163" t="str">
        <f t="shared" si="93"/>
        <v xml:space="preserve"> </v>
      </c>
      <c r="Q773">
        <f t="shared" si="94"/>
        <v>0</v>
      </c>
      <c r="R773">
        <f t="shared" si="95"/>
        <v>0</v>
      </c>
    </row>
    <row r="774" spans="2:18" x14ac:dyDescent="0.15">
      <c r="B774" s="1157"/>
      <c r="C774" s="1158"/>
      <c r="D774" s="897"/>
      <c r="E774" s="1159" t="str">
        <f t="shared" si="90"/>
        <v xml:space="preserve"> </v>
      </c>
      <c r="G774" s="1160" t="str">
        <f t="shared" si="91"/>
        <v xml:space="preserve"> </v>
      </c>
      <c r="H774" s="1149"/>
      <c r="I774">
        <f t="shared" si="88"/>
        <v>0</v>
      </c>
      <c r="K774">
        <f t="shared" si="89"/>
        <v>0</v>
      </c>
      <c r="L774" s="1161"/>
      <c r="N774" s="1162" t="str">
        <f t="shared" si="92"/>
        <v xml:space="preserve"> </v>
      </c>
      <c r="O774" s="1163" t="str">
        <f t="shared" si="93"/>
        <v xml:space="preserve"> </v>
      </c>
      <c r="Q774">
        <f t="shared" si="94"/>
        <v>0</v>
      </c>
      <c r="R774">
        <f t="shared" si="95"/>
        <v>0</v>
      </c>
    </row>
    <row r="775" spans="2:18" x14ac:dyDescent="0.15">
      <c r="B775" s="1157"/>
      <c r="C775" s="1158"/>
      <c r="D775" s="897"/>
      <c r="E775" s="1159" t="str">
        <f t="shared" si="90"/>
        <v xml:space="preserve"> </v>
      </c>
      <c r="G775" s="1160" t="str">
        <f t="shared" si="91"/>
        <v xml:space="preserve"> </v>
      </c>
      <c r="H775" s="1149"/>
      <c r="I775">
        <f t="shared" si="88"/>
        <v>0</v>
      </c>
      <c r="K775">
        <f t="shared" si="89"/>
        <v>0</v>
      </c>
      <c r="L775" s="1161"/>
      <c r="N775" s="1162" t="str">
        <f t="shared" si="92"/>
        <v xml:space="preserve"> </v>
      </c>
      <c r="O775" s="1163" t="str">
        <f t="shared" si="93"/>
        <v xml:space="preserve"> </v>
      </c>
      <c r="Q775">
        <f t="shared" si="94"/>
        <v>0</v>
      </c>
      <c r="R775">
        <f t="shared" si="95"/>
        <v>0</v>
      </c>
    </row>
    <row r="776" spans="2:18" x14ac:dyDescent="0.15">
      <c r="B776" s="1157"/>
      <c r="C776" s="1158"/>
      <c r="D776" s="897"/>
      <c r="E776" s="1159" t="str">
        <f t="shared" si="90"/>
        <v xml:space="preserve"> </v>
      </c>
      <c r="G776" s="1160" t="str">
        <f t="shared" si="91"/>
        <v xml:space="preserve"> </v>
      </c>
      <c r="H776" s="1149"/>
      <c r="I776">
        <f t="shared" ref="I776:I839" si="96">(J776+C776)/12</f>
        <v>0</v>
      </c>
      <c r="K776">
        <f t="shared" ref="K776:K839" si="97">I776+B776</f>
        <v>0</v>
      </c>
      <c r="L776" s="1161"/>
      <c r="N776" s="1162" t="str">
        <f t="shared" si="92"/>
        <v xml:space="preserve"> </v>
      </c>
      <c r="O776" s="1163" t="str">
        <f t="shared" si="93"/>
        <v xml:space="preserve"> </v>
      </c>
      <c r="Q776">
        <f t="shared" si="94"/>
        <v>0</v>
      </c>
      <c r="R776">
        <f t="shared" si="95"/>
        <v>0</v>
      </c>
    </row>
    <row r="777" spans="2:18" x14ac:dyDescent="0.15">
      <c r="B777" s="1157"/>
      <c r="C777" s="1158"/>
      <c r="D777" s="897"/>
      <c r="E777" s="1159" t="str">
        <f t="shared" si="90"/>
        <v xml:space="preserve"> </v>
      </c>
      <c r="G777" s="1160" t="str">
        <f t="shared" si="91"/>
        <v xml:space="preserve"> </v>
      </c>
      <c r="H777" s="1149"/>
      <c r="I777">
        <f t="shared" si="96"/>
        <v>0</v>
      </c>
      <c r="K777">
        <f t="shared" si="97"/>
        <v>0</v>
      </c>
      <c r="L777" s="1161"/>
      <c r="N777" s="1162" t="str">
        <f t="shared" si="92"/>
        <v xml:space="preserve"> </v>
      </c>
      <c r="O777" s="1163" t="str">
        <f t="shared" si="93"/>
        <v xml:space="preserve"> </v>
      </c>
      <c r="Q777">
        <f t="shared" si="94"/>
        <v>0</v>
      </c>
      <c r="R777">
        <f t="shared" si="95"/>
        <v>0</v>
      </c>
    </row>
    <row r="778" spans="2:18" x14ac:dyDescent="0.15">
      <c r="B778" s="1157"/>
      <c r="C778" s="1158"/>
      <c r="D778" s="897"/>
      <c r="E778" s="1159" t="str">
        <f t="shared" ref="E778:E841" si="98">IF(K778=0," ",IF(K778&gt;0,K778*12*25.4))</f>
        <v xml:space="preserve"> </v>
      </c>
      <c r="G778" s="1160" t="str">
        <f t="shared" ref="G778:G841" si="99">IF(K778=0," ",IF(K778&gt;0,E778/1000))</f>
        <v xml:space="preserve"> </v>
      </c>
      <c r="H778" s="1149"/>
      <c r="I778">
        <f t="shared" si="96"/>
        <v>0</v>
      </c>
      <c r="K778">
        <f t="shared" si="97"/>
        <v>0</v>
      </c>
      <c r="L778" s="1161"/>
      <c r="N778" s="1162" t="str">
        <f t="shared" ref="N778:N841" si="100">IF(R778=0," ",IF(R778&gt;0,TRUNC(R778)))</f>
        <v xml:space="preserve"> </v>
      </c>
      <c r="O778" s="1163" t="str">
        <f t="shared" ref="O778:O841" si="101">IF(R778=0," ",IF(R778&gt;0,(R778-N778)*12))</f>
        <v xml:space="preserve"> </v>
      </c>
      <c r="Q778">
        <f t="shared" ref="Q778:Q841" si="102">L778/25.4</f>
        <v>0</v>
      </c>
      <c r="R778">
        <f t="shared" ref="R778:R841" si="103">Q778/12</f>
        <v>0</v>
      </c>
    </row>
    <row r="779" spans="2:18" x14ac:dyDescent="0.15">
      <c r="B779" s="1157"/>
      <c r="C779" s="1158"/>
      <c r="D779" s="897"/>
      <c r="E779" s="1159" t="str">
        <f t="shared" si="98"/>
        <v xml:space="preserve"> </v>
      </c>
      <c r="G779" s="1160" t="str">
        <f t="shared" si="99"/>
        <v xml:space="preserve"> </v>
      </c>
      <c r="H779" s="1149"/>
      <c r="I779">
        <f t="shared" si="96"/>
        <v>0</v>
      </c>
      <c r="K779">
        <f t="shared" si="97"/>
        <v>0</v>
      </c>
      <c r="L779" s="1161"/>
      <c r="N779" s="1162" t="str">
        <f t="shared" si="100"/>
        <v xml:space="preserve"> </v>
      </c>
      <c r="O779" s="1163" t="str">
        <f t="shared" si="101"/>
        <v xml:space="preserve"> </v>
      </c>
      <c r="Q779">
        <f t="shared" si="102"/>
        <v>0</v>
      </c>
      <c r="R779">
        <f t="shared" si="103"/>
        <v>0</v>
      </c>
    </row>
    <row r="780" spans="2:18" x14ac:dyDescent="0.15">
      <c r="B780" s="1157"/>
      <c r="C780" s="1158"/>
      <c r="D780" s="897"/>
      <c r="E780" s="1159" t="str">
        <f t="shared" si="98"/>
        <v xml:space="preserve"> </v>
      </c>
      <c r="G780" s="1160" t="str">
        <f t="shared" si="99"/>
        <v xml:space="preserve"> </v>
      </c>
      <c r="H780" s="1149"/>
      <c r="I780">
        <f t="shared" si="96"/>
        <v>0</v>
      </c>
      <c r="K780">
        <f t="shared" si="97"/>
        <v>0</v>
      </c>
      <c r="L780" s="1161"/>
      <c r="N780" s="1162" t="str">
        <f t="shared" si="100"/>
        <v xml:space="preserve"> </v>
      </c>
      <c r="O780" s="1163" t="str">
        <f t="shared" si="101"/>
        <v xml:space="preserve"> </v>
      </c>
      <c r="Q780">
        <f t="shared" si="102"/>
        <v>0</v>
      </c>
      <c r="R780">
        <f t="shared" si="103"/>
        <v>0</v>
      </c>
    </row>
    <row r="781" spans="2:18" x14ac:dyDescent="0.15">
      <c r="B781" s="1157"/>
      <c r="C781" s="1158"/>
      <c r="D781" s="897"/>
      <c r="E781" s="1159" t="str">
        <f t="shared" si="98"/>
        <v xml:space="preserve"> </v>
      </c>
      <c r="G781" s="1160" t="str">
        <f t="shared" si="99"/>
        <v xml:space="preserve"> </v>
      </c>
      <c r="H781" s="1149"/>
      <c r="I781">
        <f t="shared" si="96"/>
        <v>0</v>
      </c>
      <c r="K781">
        <f t="shared" si="97"/>
        <v>0</v>
      </c>
      <c r="L781" s="1161"/>
      <c r="N781" s="1162" t="str">
        <f t="shared" si="100"/>
        <v xml:space="preserve"> </v>
      </c>
      <c r="O781" s="1163" t="str">
        <f t="shared" si="101"/>
        <v xml:space="preserve"> </v>
      </c>
      <c r="Q781">
        <f t="shared" si="102"/>
        <v>0</v>
      </c>
      <c r="R781">
        <f t="shared" si="103"/>
        <v>0</v>
      </c>
    </row>
    <row r="782" spans="2:18" x14ac:dyDescent="0.15">
      <c r="B782" s="1157"/>
      <c r="C782" s="1158"/>
      <c r="D782" s="897"/>
      <c r="E782" s="1159" t="str">
        <f t="shared" si="98"/>
        <v xml:space="preserve"> </v>
      </c>
      <c r="G782" s="1160" t="str">
        <f t="shared" si="99"/>
        <v xml:space="preserve"> </v>
      </c>
      <c r="H782" s="1149"/>
      <c r="I782">
        <f t="shared" si="96"/>
        <v>0</v>
      </c>
      <c r="K782">
        <f t="shared" si="97"/>
        <v>0</v>
      </c>
      <c r="L782" s="1161"/>
      <c r="N782" s="1162" t="str">
        <f t="shared" si="100"/>
        <v xml:space="preserve"> </v>
      </c>
      <c r="O782" s="1163" t="str">
        <f t="shared" si="101"/>
        <v xml:space="preserve"> </v>
      </c>
      <c r="Q782">
        <f t="shared" si="102"/>
        <v>0</v>
      </c>
      <c r="R782">
        <f t="shared" si="103"/>
        <v>0</v>
      </c>
    </row>
    <row r="783" spans="2:18" x14ac:dyDescent="0.15">
      <c r="B783" s="1157"/>
      <c r="C783" s="1158"/>
      <c r="D783" s="897"/>
      <c r="E783" s="1159" t="str">
        <f t="shared" si="98"/>
        <v xml:space="preserve"> </v>
      </c>
      <c r="G783" s="1160" t="str">
        <f t="shared" si="99"/>
        <v xml:space="preserve"> </v>
      </c>
      <c r="H783" s="1149"/>
      <c r="I783">
        <f t="shared" si="96"/>
        <v>0</v>
      </c>
      <c r="K783">
        <f t="shared" si="97"/>
        <v>0</v>
      </c>
      <c r="L783" s="1161"/>
      <c r="N783" s="1162" t="str">
        <f t="shared" si="100"/>
        <v xml:space="preserve"> </v>
      </c>
      <c r="O783" s="1163" t="str">
        <f t="shared" si="101"/>
        <v xml:space="preserve"> </v>
      </c>
      <c r="Q783">
        <f t="shared" si="102"/>
        <v>0</v>
      </c>
      <c r="R783">
        <f t="shared" si="103"/>
        <v>0</v>
      </c>
    </row>
    <row r="784" spans="2:18" x14ac:dyDescent="0.15">
      <c r="B784" s="1157"/>
      <c r="C784" s="1158"/>
      <c r="D784" s="897"/>
      <c r="E784" s="1159" t="str">
        <f t="shared" si="98"/>
        <v xml:space="preserve"> </v>
      </c>
      <c r="G784" s="1160" t="str">
        <f t="shared" si="99"/>
        <v xml:space="preserve"> </v>
      </c>
      <c r="H784" s="1149"/>
      <c r="I784">
        <f t="shared" si="96"/>
        <v>0</v>
      </c>
      <c r="K784">
        <f t="shared" si="97"/>
        <v>0</v>
      </c>
      <c r="L784" s="1161"/>
      <c r="N784" s="1162" t="str">
        <f t="shared" si="100"/>
        <v xml:space="preserve"> </v>
      </c>
      <c r="O784" s="1163" t="str">
        <f t="shared" si="101"/>
        <v xml:space="preserve"> </v>
      </c>
      <c r="Q784">
        <f t="shared" si="102"/>
        <v>0</v>
      </c>
      <c r="R784">
        <f t="shared" si="103"/>
        <v>0</v>
      </c>
    </row>
    <row r="785" spans="2:18" x14ac:dyDescent="0.15">
      <c r="B785" s="1157"/>
      <c r="C785" s="1158"/>
      <c r="D785" s="897"/>
      <c r="E785" s="1159" t="str">
        <f t="shared" si="98"/>
        <v xml:space="preserve"> </v>
      </c>
      <c r="G785" s="1160" t="str">
        <f t="shared" si="99"/>
        <v xml:space="preserve"> </v>
      </c>
      <c r="H785" s="1149"/>
      <c r="I785">
        <f t="shared" si="96"/>
        <v>0</v>
      </c>
      <c r="K785">
        <f t="shared" si="97"/>
        <v>0</v>
      </c>
      <c r="L785" s="1161"/>
      <c r="N785" s="1162" t="str">
        <f t="shared" si="100"/>
        <v xml:space="preserve"> </v>
      </c>
      <c r="O785" s="1163" t="str">
        <f t="shared" si="101"/>
        <v xml:space="preserve"> </v>
      </c>
      <c r="Q785">
        <f t="shared" si="102"/>
        <v>0</v>
      </c>
      <c r="R785">
        <f t="shared" si="103"/>
        <v>0</v>
      </c>
    </row>
    <row r="786" spans="2:18" x14ac:dyDescent="0.15">
      <c r="B786" s="1157"/>
      <c r="C786" s="1158"/>
      <c r="D786" s="897"/>
      <c r="E786" s="1159" t="str">
        <f t="shared" si="98"/>
        <v xml:space="preserve"> </v>
      </c>
      <c r="G786" s="1160" t="str">
        <f t="shared" si="99"/>
        <v xml:space="preserve"> </v>
      </c>
      <c r="H786" s="1149"/>
      <c r="I786">
        <f t="shared" si="96"/>
        <v>0</v>
      </c>
      <c r="K786">
        <f t="shared" si="97"/>
        <v>0</v>
      </c>
      <c r="L786" s="1161"/>
      <c r="N786" s="1162" t="str">
        <f t="shared" si="100"/>
        <v xml:space="preserve"> </v>
      </c>
      <c r="O786" s="1163" t="str">
        <f t="shared" si="101"/>
        <v xml:space="preserve"> </v>
      </c>
      <c r="Q786">
        <f t="shared" si="102"/>
        <v>0</v>
      </c>
      <c r="R786">
        <f t="shared" si="103"/>
        <v>0</v>
      </c>
    </row>
    <row r="787" spans="2:18" x14ac:dyDescent="0.15">
      <c r="B787" s="1157"/>
      <c r="C787" s="1158"/>
      <c r="D787" s="897"/>
      <c r="E787" s="1159" t="str">
        <f t="shared" si="98"/>
        <v xml:space="preserve"> </v>
      </c>
      <c r="G787" s="1160" t="str">
        <f t="shared" si="99"/>
        <v xml:space="preserve"> </v>
      </c>
      <c r="H787" s="1149"/>
      <c r="I787">
        <f t="shared" si="96"/>
        <v>0</v>
      </c>
      <c r="K787">
        <f t="shared" si="97"/>
        <v>0</v>
      </c>
      <c r="L787" s="1161"/>
      <c r="N787" s="1162" t="str">
        <f t="shared" si="100"/>
        <v xml:space="preserve"> </v>
      </c>
      <c r="O787" s="1163" t="str">
        <f t="shared" si="101"/>
        <v xml:space="preserve"> </v>
      </c>
      <c r="Q787">
        <f t="shared" si="102"/>
        <v>0</v>
      </c>
      <c r="R787">
        <f t="shared" si="103"/>
        <v>0</v>
      </c>
    </row>
    <row r="788" spans="2:18" x14ac:dyDescent="0.15">
      <c r="B788" s="1157"/>
      <c r="C788" s="1158"/>
      <c r="D788" s="897"/>
      <c r="E788" s="1159" t="str">
        <f t="shared" si="98"/>
        <v xml:space="preserve"> </v>
      </c>
      <c r="G788" s="1160" t="str">
        <f t="shared" si="99"/>
        <v xml:space="preserve"> </v>
      </c>
      <c r="H788" s="1149"/>
      <c r="I788">
        <f t="shared" si="96"/>
        <v>0</v>
      </c>
      <c r="K788">
        <f t="shared" si="97"/>
        <v>0</v>
      </c>
      <c r="L788" s="1161"/>
      <c r="N788" s="1162" t="str">
        <f t="shared" si="100"/>
        <v xml:space="preserve"> </v>
      </c>
      <c r="O788" s="1163" t="str">
        <f t="shared" si="101"/>
        <v xml:space="preserve"> </v>
      </c>
      <c r="Q788">
        <f t="shared" si="102"/>
        <v>0</v>
      </c>
      <c r="R788">
        <f t="shared" si="103"/>
        <v>0</v>
      </c>
    </row>
    <row r="789" spans="2:18" x14ac:dyDescent="0.15">
      <c r="B789" s="1157"/>
      <c r="C789" s="1158"/>
      <c r="D789" s="897"/>
      <c r="E789" s="1159" t="str">
        <f t="shared" si="98"/>
        <v xml:space="preserve"> </v>
      </c>
      <c r="G789" s="1160" t="str">
        <f t="shared" si="99"/>
        <v xml:space="preserve"> </v>
      </c>
      <c r="H789" s="1149"/>
      <c r="I789">
        <f t="shared" si="96"/>
        <v>0</v>
      </c>
      <c r="K789">
        <f t="shared" si="97"/>
        <v>0</v>
      </c>
      <c r="L789" s="1161"/>
      <c r="N789" s="1162" t="str">
        <f t="shared" si="100"/>
        <v xml:space="preserve"> </v>
      </c>
      <c r="O789" s="1163" t="str">
        <f t="shared" si="101"/>
        <v xml:space="preserve"> </v>
      </c>
      <c r="Q789">
        <f t="shared" si="102"/>
        <v>0</v>
      </c>
      <c r="R789">
        <f t="shared" si="103"/>
        <v>0</v>
      </c>
    </row>
    <row r="790" spans="2:18" x14ac:dyDescent="0.15">
      <c r="B790" s="1157"/>
      <c r="C790" s="1158"/>
      <c r="D790" s="897"/>
      <c r="E790" s="1159" t="str">
        <f t="shared" si="98"/>
        <v xml:space="preserve"> </v>
      </c>
      <c r="G790" s="1160" t="str">
        <f t="shared" si="99"/>
        <v xml:space="preserve"> </v>
      </c>
      <c r="H790" s="1149"/>
      <c r="I790">
        <f t="shared" si="96"/>
        <v>0</v>
      </c>
      <c r="K790">
        <f t="shared" si="97"/>
        <v>0</v>
      </c>
      <c r="L790" s="1161"/>
      <c r="N790" s="1162" t="str">
        <f t="shared" si="100"/>
        <v xml:space="preserve"> </v>
      </c>
      <c r="O790" s="1163" t="str">
        <f t="shared" si="101"/>
        <v xml:space="preserve"> </v>
      </c>
      <c r="Q790">
        <f t="shared" si="102"/>
        <v>0</v>
      </c>
      <c r="R790">
        <f t="shared" si="103"/>
        <v>0</v>
      </c>
    </row>
    <row r="791" spans="2:18" x14ac:dyDescent="0.15">
      <c r="B791" s="1157"/>
      <c r="C791" s="1158"/>
      <c r="D791" s="897"/>
      <c r="E791" s="1159" t="str">
        <f t="shared" si="98"/>
        <v xml:space="preserve"> </v>
      </c>
      <c r="G791" s="1160" t="str">
        <f t="shared" si="99"/>
        <v xml:space="preserve"> </v>
      </c>
      <c r="H791" s="1149"/>
      <c r="I791">
        <f t="shared" si="96"/>
        <v>0</v>
      </c>
      <c r="K791">
        <f t="shared" si="97"/>
        <v>0</v>
      </c>
      <c r="L791" s="1161"/>
      <c r="N791" s="1162" t="str">
        <f t="shared" si="100"/>
        <v xml:space="preserve"> </v>
      </c>
      <c r="O791" s="1163" t="str">
        <f t="shared" si="101"/>
        <v xml:space="preserve"> </v>
      </c>
      <c r="Q791">
        <f t="shared" si="102"/>
        <v>0</v>
      </c>
      <c r="R791">
        <f t="shared" si="103"/>
        <v>0</v>
      </c>
    </row>
    <row r="792" spans="2:18" x14ac:dyDescent="0.15">
      <c r="B792" s="1157"/>
      <c r="C792" s="1158"/>
      <c r="D792" s="897"/>
      <c r="E792" s="1159" t="str">
        <f t="shared" si="98"/>
        <v xml:space="preserve"> </v>
      </c>
      <c r="G792" s="1160" t="str">
        <f t="shared" si="99"/>
        <v xml:space="preserve"> </v>
      </c>
      <c r="H792" s="1149"/>
      <c r="I792">
        <f t="shared" si="96"/>
        <v>0</v>
      </c>
      <c r="K792">
        <f t="shared" si="97"/>
        <v>0</v>
      </c>
      <c r="L792" s="1161"/>
      <c r="N792" s="1162" t="str">
        <f t="shared" si="100"/>
        <v xml:space="preserve"> </v>
      </c>
      <c r="O792" s="1163" t="str">
        <f t="shared" si="101"/>
        <v xml:space="preserve"> </v>
      </c>
      <c r="Q792">
        <f t="shared" si="102"/>
        <v>0</v>
      </c>
      <c r="R792">
        <f t="shared" si="103"/>
        <v>0</v>
      </c>
    </row>
    <row r="793" spans="2:18" x14ac:dyDescent="0.15">
      <c r="B793" s="1157"/>
      <c r="C793" s="1158"/>
      <c r="D793" s="897"/>
      <c r="E793" s="1159" t="str">
        <f t="shared" si="98"/>
        <v xml:space="preserve"> </v>
      </c>
      <c r="G793" s="1160" t="str">
        <f t="shared" si="99"/>
        <v xml:space="preserve"> </v>
      </c>
      <c r="H793" s="1149"/>
      <c r="I793">
        <f t="shared" si="96"/>
        <v>0</v>
      </c>
      <c r="K793">
        <f t="shared" si="97"/>
        <v>0</v>
      </c>
      <c r="L793" s="1161"/>
      <c r="N793" s="1162" t="str">
        <f t="shared" si="100"/>
        <v xml:space="preserve"> </v>
      </c>
      <c r="O793" s="1163" t="str">
        <f t="shared" si="101"/>
        <v xml:space="preserve"> </v>
      </c>
      <c r="Q793">
        <f t="shared" si="102"/>
        <v>0</v>
      </c>
      <c r="R793">
        <f t="shared" si="103"/>
        <v>0</v>
      </c>
    </row>
    <row r="794" spans="2:18" x14ac:dyDescent="0.15">
      <c r="B794" s="1157"/>
      <c r="C794" s="1158"/>
      <c r="D794" s="897"/>
      <c r="E794" s="1159" t="str">
        <f t="shared" si="98"/>
        <v xml:space="preserve"> </v>
      </c>
      <c r="G794" s="1160" t="str">
        <f t="shared" si="99"/>
        <v xml:space="preserve"> </v>
      </c>
      <c r="H794" s="1149"/>
      <c r="I794">
        <f t="shared" si="96"/>
        <v>0</v>
      </c>
      <c r="K794">
        <f t="shared" si="97"/>
        <v>0</v>
      </c>
      <c r="L794" s="1161"/>
      <c r="N794" s="1162" t="str">
        <f t="shared" si="100"/>
        <v xml:space="preserve"> </v>
      </c>
      <c r="O794" s="1163" t="str">
        <f t="shared" si="101"/>
        <v xml:space="preserve"> </v>
      </c>
      <c r="Q794">
        <f t="shared" si="102"/>
        <v>0</v>
      </c>
      <c r="R794">
        <f t="shared" si="103"/>
        <v>0</v>
      </c>
    </row>
    <row r="795" spans="2:18" x14ac:dyDescent="0.15">
      <c r="B795" s="1157"/>
      <c r="C795" s="1158"/>
      <c r="D795" s="897"/>
      <c r="E795" s="1159" t="str">
        <f t="shared" si="98"/>
        <v xml:space="preserve"> </v>
      </c>
      <c r="G795" s="1160" t="str">
        <f t="shared" si="99"/>
        <v xml:space="preserve"> </v>
      </c>
      <c r="H795" s="1149"/>
      <c r="I795">
        <f t="shared" si="96"/>
        <v>0</v>
      </c>
      <c r="K795">
        <f t="shared" si="97"/>
        <v>0</v>
      </c>
      <c r="L795" s="1161"/>
      <c r="N795" s="1162" t="str">
        <f t="shared" si="100"/>
        <v xml:space="preserve"> </v>
      </c>
      <c r="O795" s="1163" t="str">
        <f t="shared" si="101"/>
        <v xml:space="preserve"> </v>
      </c>
      <c r="Q795">
        <f t="shared" si="102"/>
        <v>0</v>
      </c>
      <c r="R795">
        <f t="shared" si="103"/>
        <v>0</v>
      </c>
    </row>
    <row r="796" spans="2:18" x14ac:dyDescent="0.15">
      <c r="B796" s="1157"/>
      <c r="C796" s="1158"/>
      <c r="D796" s="897"/>
      <c r="E796" s="1159" t="str">
        <f t="shared" si="98"/>
        <v xml:space="preserve"> </v>
      </c>
      <c r="G796" s="1160" t="str">
        <f t="shared" si="99"/>
        <v xml:space="preserve"> </v>
      </c>
      <c r="H796" s="1149"/>
      <c r="I796">
        <f t="shared" si="96"/>
        <v>0</v>
      </c>
      <c r="K796">
        <f t="shared" si="97"/>
        <v>0</v>
      </c>
      <c r="L796" s="1161"/>
      <c r="N796" s="1162" t="str">
        <f t="shared" si="100"/>
        <v xml:space="preserve"> </v>
      </c>
      <c r="O796" s="1163" t="str">
        <f t="shared" si="101"/>
        <v xml:space="preserve"> </v>
      </c>
      <c r="Q796">
        <f t="shared" si="102"/>
        <v>0</v>
      </c>
      <c r="R796">
        <f t="shared" si="103"/>
        <v>0</v>
      </c>
    </row>
    <row r="797" spans="2:18" x14ac:dyDescent="0.15">
      <c r="B797" s="1157"/>
      <c r="C797" s="1158"/>
      <c r="D797" s="897"/>
      <c r="E797" s="1159" t="str">
        <f t="shared" si="98"/>
        <v xml:space="preserve"> </v>
      </c>
      <c r="G797" s="1160" t="str">
        <f t="shared" si="99"/>
        <v xml:space="preserve"> </v>
      </c>
      <c r="H797" s="1149"/>
      <c r="I797">
        <f t="shared" si="96"/>
        <v>0</v>
      </c>
      <c r="K797">
        <f t="shared" si="97"/>
        <v>0</v>
      </c>
      <c r="L797" s="1161"/>
      <c r="N797" s="1162" t="str">
        <f t="shared" si="100"/>
        <v xml:space="preserve"> </v>
      </c>
      <c r="O797" s="1163" t="str">
        <f t="shared" si="101"/>
        <v xml:space="preserve"> </v>
      </c>
      <c r="Q797">
        <f t="shared" si="102"/>
        <v>0</v>
      </c>
      <c r="R797">
        <f t="shared" si="103"/>
        <v>0</v>
      </c>
    </row>
    <row r="798" spans="2:18" x14ac:dyDescent="0.15">
      <c r="B798" s="1157"/>
      <c r="C798" s="1158"/>
      <c r="D798" s="897"/>
      <c r="E798" s="1159" t="str">
        <f t="shared" si="98"/>
        <v xml:space="preserve"> </v>
      </c>
      <c r="G798" s="1160" t="str">
        <f t="shared" si="99"/>
        <v xml:space="preserve"> </v>
      </c>
      <c r="H798" s="1149"/>
      <c r="I798">
        <f t="shared" si="96"/>
        <v>0</v>
      </c>
      <c r="K798">
        <f t="shared" si="97"/>
        <v>0</v>
      </c>
      <c r="L798" s="1161"/>
      <c r="N798" s="1162" t="str">
        <f t="shared" si="100"/>
        <v xml:space="preserve"> </v>
      </c>
      <c r="O798" s="1163" t="str">
        <f t="shared" si="101"/>
        <v xml:space="preserve"> </v>
      </c>
      <c r="Q798">
        <f t="shared" si="102"/>
        <v>0</v>
      </c>
      <c r="R798">
        <f t="shared" si="103"/>
        <v>0</v>
      </c>
    </row>
    <row r="799" spans="2:18" x14ac:dyDescent="0.15">
      <c r="B799" s="1157"/>
      <c r="C799" s="1158"/>
      <c r="D799" s="897"/>
      <c r="E799" s="1159" t="str">
        <f t="shared" si="98"/>
        <v xml:space="preserve"> </v>
      </c>
      <c r="G799" s="1160" t="str">
        <f t="shared" si="99"/>
        <v xml:space="preserve"> </v>
      </c>
      <c r="H799" s="1149"/>
      <c r="I799">
        <f t="shared" si="96"/>
        <v>0</v>
      </c>
      <c r="K799">
        <f t="shared" si="97"/>
        <v>0</v>
      </c>
      <c r="L799" s="1161"/>
      <c r="N799" s="1162" t="str">
        <f t="shared" si="100"/>
        <v xml:space="preserve"> </v>
      </c>
      <c r="O799" s="1163" t="str">
        <f t="shared" si="101"/>
        <v xml:space="preserve"> </v>
      </c>
      <c r="Q799">
        <f t="shared" si="102"/>
        <v>0</v>
      </c>
      <c r="R799">
        <f t="shared" si="103"/>
        <v>0</v>
      </c>
    </row>
    <row r="800" spans="2:18" x14ac:dyDescent="0.15">
      <c r="B800" s="1157"/>
      <c r="C800" s="1158"/>
      <c r="D800" s="897"/>
      <c r="E800" s="1159" t="str">
        <f t="shared" si="98"/>
        <v xml:space="preserve"> </v>
      </c>
      <c r="G800" s="1160" t="str">
        <f t="shared" si="99"/>
        <v xml:space="preserve"> </v>
      </c>
      <c r="H800" s="1149"/>
      <c r="I800">
        <f t="shared" si="96"/>
        <v>0</v>
      </c>
      <c r="K800">
        <f t="shared" si="97"/>
        <v>0</v>
      </c>
      <c r="L800" s="1161"/>
      <c r="N800" s="1162" t="str">
        <f t="shared" si="100"/>
        <v xml:space="preserve"> </v>
      </c>
      <c r="O800" s="1163" t="str">
        <f t="shared" si="101"/>
        <v xml:space="preserve"> </v>
      </c>
      <c r="Q800">
        <f t="shared" si="102"/>
        <v>0</v>
      </c>
      <c r="R800">
        <f t="shared" si="103"/>
        <v>0</v>
      </c>
    </row>
    <row r="801" spans="2:18" x14ac:dyDescent="0.15">
      <c r="B801" s="1157"/>
      <c r="C801" s="1158"/>
      <c r="D801" s="897"/>
      <c r="E801" s="1159" t="str">
        <f t="shared" si="98"/>
        <v xml:space="preserve"> </v>
      </c>
      <c r="G801" s="1160" t="str">
        <f t="shared" si="99"/>
        <v xml:space="preserve"> </v>
      </c>
      <c r="H801" s="1149"/>
      <c r="I801">
        <f t="shared" si="96"/>
        <v>0</v>
      </c>
      <c r="K801">
        <f t="shared" si="97"/>
        <v>0</v>
      </c>
      <c r="L801" s="1161"/>
      <c r="N801" s="1162" t="str">
        <f t="shared" si="100"/>
        <v xml:space="preserve"> </v>
      </c>
      <c r="O801" s="1163" t="str">
        <f t="shared" si="101"/>
        <v xml:space="preserve"> </v>
      </c>
      <c r="Q801">
        <f t="shared" si="102"/>
        <v>0</v>
      </c>
      <c r="R801">
        <f t="shared" si="103"/>
        <v>0</v>
      </c>
    </row>
    <row r="802" spans="2:18" x14ac:dyDescent="0.15">
      <c r="B802" s="1157"/>
      <c r="C802" s="1158"/>
      <c r="D802" s="897"/>
      <c r="E802" s="1159" t="str">
        <f t="shared" si="98"/>
        <v xml:space="preserve"> </v>
      </c>
      <c r="G802" s="1160" t="str">
        <f t="shared" si="99"/>
        <v xml:space="preserve"> </v>
      </c>
      <c r="H802" s="1149"/>
      <c r="I802">
        <f t="shared" si="96"/>
        <v>0</v>
      </c>
      <c r="K802">
        <f t="shared" si="97"/>
        <v>0</v>
      </c>
      <c r="L802" s="1161"/>
      <c r="N802" s="1162" t="str">
        <f t="shared" si="100"/>
        <v xml:space="preserve"> </v>
      </c>
      <c r="O802" s="1163" t="str">
        <f t="shared" si="101"/>
        <v xml:space="preserve"> </v>
      </c>
      <c r="Q802">
        <f t="shared" si="102"/>
        <v>0</v>
      </c>
      <c r="R802">
        <f t="shared" si="103"/>
        <v>0</v>
      </c>
    </row>
    <row r="803" spans="2:18" x14ac:dyDescent="0.15">
      <c r="B803" s="1157"/>
      <c r="C803" s="1158"/>
      <c r="D803" s="897"/>
      <c r="E803" s="1159" t="str">
        <f t="shared" si="98"/>
        <v xml:space="preserve"> </v>
      </c>
      <c r="G803" s="1160" t="str">
        <f t="shared" si="99"/>
        <v xml:space="preserve"> </v>
      </c>
      <c r="H803" s="1149"/>
      <c r="I803">
        <f t="shared" si="96"/>
        <v>0</v>
      </c>
      <c r="K803">
        <f t="shared" si="97"/>
        <v>0</v>
      </c>
      <c r="L803" s="1161"/>
      <c r="N803" s="1162" t="str">
        <f t="shared" si="100"/>
        <v xml:space="preserve"> </v>
      </c>
      <c r="O803" s="1163" t="str">
        <f t="shared" si="101"/>
        <v xml:space="preserve"> </v>
      </c>
      <c r="Q803">
        <f t="shared" si="102"/>
        <v>0</v>
      </c>
      <c r="R803">
        <f t="shared" si="103"/>
        <v>0</v>
      </c>
    </row>
    <row r="804" spans="2:18" x14ac:dyDescent="0.15">
      <c r="B804" s="1157"/>
      <c r="C804" s="1158"/>
      <c r="D804" s="897"/>
      <c r="E804" s="1159" t="str">
        <f t="shared" si="98"/>
        <v xml:space="preserve"> </v>
      </c>
      <c r="G804" s="1160" t="str">
        <f t="shared" si="99"/>
        <v xml:space="preserve"> </v>
      </c>
      <c r="H804" s="1149"/>
      <c r="I804">
        <f t="shared" si="96"/>
        <v>0</v>
      </c>
      <c r="K804">
        <f t="shared" si="97"/>
        <v>0</v>
      </c>
      <c r="L804" s="1161"/>
      <c r="N804" s="1162" t="str">
        <f t="shared" si="100"/>
        <v xml:space="preserve"> </v>
      </c>
      <c r="O804" s="1163" t="str">
        <f t="shared" si="101"/>
        <v xml:space="preserve"> </v>
      </c>
      <c r="Q804">
        <f t="shared" si="102"/>
        <v>0</v>
      </c>
      <c r="R804">
        <f t="shared" si="103"/>
        <v>0</v>
      </c>
    </row>
    <row r="805" spans="2:18" x14ac:dyDescent="0.15">
      <c r="B805" s="1157"/>
      <c r="C805" s="1158"/>
      <c r="D805" s="897"/>
      <c r="E805" s="1159" t="str">
        <f t="shared" si="98"/>
        <v xml:space="preserve"> </v>
      </c>
      <c r="G805" s="1160" t="str">
        <f t="shared" si="99"/>
        <v xml:space="preserve"> </v>
      </c>
      <c r="H805" s="1149"/>
      <c r="I805">
        <f t="shared" si="96"/>
        <v>0</v>
      </c>
      <c r="K805">
        <f t="shared" si="97"/>
        <v>0</v>
      </c>
      <c r="L805" s="1161"/>
      <c r="N805" s="1162" t="str">
        <f t="shared" si="100"/>
        <v xml:space="preserve"> </v>
      </c>
      <c r="O805" s="1163" t="str">
        <f t="shared" si="101"/>
        <v xml:space="preserve"> </v>
      </c>
      <c r="Q805">
        <f t="shared" si="102"/>
        <v>0</v>
      </c>
      <c r="R805">
        <f t="shared" si="103"/>
        <v>0</v>
      </c>
    </row>
    <row r="806" spans="2:18" x14ac:dyDescent="0.15">
      <c r="B806" s="1157"/>
      <c r="C806" s="1158"/>
      <c r="D806" s="897"/>
      <c r="E806" s="1159" t="str">
        <f t="shared" si="98"/>
        <v xml:space="preserve"> </v>
      </c>
      <c r="G806" s="1160" t="str">
        <f t="shared" si="99"/>
        <v xml:space="preserve"> </v>
      </c>
      <c r="H806" s="1149"/>
      <c r="I806">
        <f t="shared" si="96"/>
        <v>0</v>
      </c>
      <c r="K806">
        <f t="shared" si="97"/>
        <v>0</v>
      </c>
      <c r="L806" s="1161"/>
      <c r="N806" s="1162" t="str">
        <f t="shared" si="100"/>
        <v xml:space="preserve"> </v>
      </c>
      <c r="O806" s="1163" t="str">
        <f t="shared" si="101"/>
        <v xml:space="preserve"> </v>
      </c>
      <c r="Q806">
        <f t="shared" si="102"/>
        <v>0</v>
      </c>
      <c r="R806">
        <f t="shared" si="103"/>
        <v>0</v>
      </c>
    </row>
    <row r="807" spans="2:18" x14ac:dyDescent="0.15">
      <c r="B807" s="1157"/>
      <c r="C807" s="1158"/>
      <c r="D807" s="897"/>
      <c r="E807" s="1159" t="str">
        <f t="shared" si="98"/>
        <v xml:space="preserve"> </v>
      </c>
      <c r="G807" s="1160" t="str">
        <f t="shared" si="99"/>
        <v xml:space="preserve"> </v>
      </c>
      <c r="H807" s="1149"/>
      <c r="I807">
        <f t="shared" si="96"/>
        <v>0</v>
      </c>
      <c r="K807">
        <f t="shared" si="97"/>
        <v>0</v>
      </c>
      <c r="L807" s="1161"/>
      <c r="N807" s="1162" t="str">
        <f t="shared" si="100"/>
        <v xml:space="preserve"> </v>
      </c>
      <c r="O807" s="1163" t="str">
        <f t="shared" si="101"/>
        <v xml:space="preserve"> </v>
      </c>
      <c r="Q807">
        <f t="shared" si="102"/>
        <v>0</v>
      </c>
      <c r="R807">
        <f t="shared" si="103"/>
        <v>0</v>
      </c>
    </row>
    <row r="808" spans="2:18" x14ac:dyDescent="0.15">
      <c r="B808" s="1157"/>
      <c r="C808" s="1158"/>
      <c r="D808" s="897"/>
      <c r="E808" s="1159" t="str">
        <f t="shared" si="98"/>
        <v xml:space="preserve"> </v>
      </c>
      <c r="G808" s="1160" t="str">
        <f t="shared" si="99"/>
        <v xml:space="preserve"> </v>
      </c>
      <c r="H808" s="1149"/>
      <c r="I808">
        <f t="shared" si="96"/>
        <v>0</v>
      </c>
      <c r="K808">
        <f t="shared" si="97"/>
        <v>0</v>
      </c>
      <c r="L808" s="1161"/>
      <c r="N808" s="1162" t="str">
        <f t="shared" si="100"/>
        <v xml:space="preserve"> </v>
      </c>
      <c r="O808" s="1163" t="str">
        <f t="shared" si="101"/>
        <v xml:space="preserve"> </v>
      </c>
      <c r="Q808">
        <f t="shared" si="102"/>
        <v>0</v>
      </c>
      <c r="R808">
        <f t="shared" si="103"/>
        <v>0</v>
      </c>
    </row>
    <row r="809" spans="2:18" x14ac:dyDescent="0.15">
      <c r="B809" s="1157"/>
      <c r="C809" s="1158"/>
      <c r="D809" s="897"/>
      <c r="E809" s="1159" t="str">
        <f t="shared" si="98"/>
        <v xml:space="preserve"> </v>
      </c>
      <c r="G809" s="1160" t="str">
        <f t="shared" si="99"/>
        <v xml:space="preserve"> </v>
      </c>
      <c r="H809" s="1149"/>
      <c r="I809">
        <f t="shared" si="96"/>
        <v>0</v>
      </c>
      <c r="K809">
        <f t="shared" si="97"/>
        <v>0</v>
      </c>
      <c r="L809" s="1161"/>
      <c r="N809" s="1162" t="str">
        <f t="shared" si="100"/>
        <v xml:space="preserve"> </v>
      </c>
      <c r="O809" s="1163" t="str">
        <f t="shared" si="101"/>
        <v xml:space="preserve"> </v>
      </c>
      <c r="Q809">
        <f t="shared" si="102"/>
        <v>0</v>
      </c>
      <c r="R809">
        <f t="shared" si="103"/>
        <v>0</v>
      </c>
    </row>
    <row r="810" spans="2:18" x14ac:dyDescent="0.15">
      <c r="B810" s="1157"/>
      <c r="C810" s="1158"/>
      <c r="D810" s="897"/>
      <c r="E810" s="1159" t="str">
        <f t="shared" si="98"/>
        <v xml:space="preserve"> </v>
      </c>
      <c r="G810" s="1160" t="str">
        <f t="shared" si="99"/>
        <v xml:space="preserve"> </v>
      </c>
      <c r="H810" s="1149"/>
      <c r="I810">
        <f t="shared" si="96"/>
        <v>0</v>
      </c>
      <c r="K810">
        <f t="shared" si="97"/>
        <v>0</v>
      </c>
      <c r="L810" s="1161"/>
      <c r="N810" s="1162" t="str">
        <f t="shared" si="100"/>
        <v xml:space="preserve"> </v>
      </c>
      <c r="O810" s="1163" t="str">
        <f t="shared" si="101"/>
        <v xml:space="preserve"> </v>
      </c>
      <c r="Q810">
        <f t="shared" si="102"/>
        <v>0</v>
      </c>
      <c r="R810">
        <f t="shared" si="103"/>
        <v>0</v>
      </c>
    </row>
    <row r="811" spans="2:18" x14ac:dyDescent="0.15">
      <c r="B811" s="1157"/>
      <c r="C811" s="1158"/>
      <c r="D811" s="897"/>
      <c r="E811" s="1159" t="str">
        <f t="shared" si="98"/>
        <v xml:space="preserve"> </v>
      </c>
      <c r="G811" s="1160" t="str">
        <f t="shared" si="99"/>
        <v xml:space="preserve"> </v>
      </c>
      <c r="H811" s="1149"/>
      <c r="I811">
        <f t="shared" si="96"/>
        <v>0</v>
      </c>
      <c r="K811">
        <f t="shared" si="97"/>
        <v>0</v>
      </c>
      <c r="L811" s="1161"/>
      <c r="N811" s="1162" t="str">
        <f t="shared" si="100"/>
        <v xml:space="preserve"> </v>
      </c>
      <c r="O811" s="1163" t="str">
        <f t="shared" si="101"/>
        <v xml:space="preserve"> </v>
      </c>
      <c r="Q811">
        <f t="shared" si="102"/>
        <v>0</v>
      </c>
      <c r="R811">
        <f t="shared" si="103"/>
        <v>0</v>
      </c>
    </row>
    <row r="812" spans="2:18" x14ac:dyDescent="0.15">
      <c r="B812" s="1157"/>
      <c r="C812" s="1158"/>
      <c r="D812" s="897"/>
      <c r="E812" s="1159" t="str">
        <f t="shared" si="98"/>
        <v xml:space="preserve"> </v>
      </c>
      <c r="G812" s="1160" t="str">
        <f t="shared" si="99"/>
        <v xml:space="preserve"> </v>
      </c>
      <c r="H812" s="1149"/>
      <c r="I812">
        <f t="shared" si="96"/>
        <v>0</v>
      </c>
      <c r="K812">
        <f t="shared" si="97"/>
        <v>0</v>
      </c>
      <c r="L812" s="1161"/>
      <c r="N812" s="1162" t="str">
        <f t="shared" si="100"/>
        <v xml:space="preserve"> </v>
      </c>
      <c r="O812" s="1163" t="str">
        <f t="shared" si="101"/>
        <v xml:space="preserve"> </v>
      </c>
      <c r="Q812">
        <f t="shared" si="102"/>
        <v>0</v>
      </c>
      <c r="R812">
        <f t="shared" si="103"/>
        <v>0</v>
      </c>
    </row>
    <row r="813" spans="2:18" x14ac:dyDescent="0.15">
      <c r="B813" s="1157"/>
      <c r="C813" s="1158"/>
      <c r="D813" s="897"/>
      <c r="E813" s="1159" t="str">
        <f t="shared" si="98"/>
        <v xml:space="preserve"> </v>
      </c>
      <c r="G813" s="1160" t="str">
        <f t="shared" si="99"/>
        <v xml:space="preserve"> </v>
      </c>
      <c r="H813" s="1149"/>
      <c r="I813">
        <f t="shared" si="96"/>
        <v>0</v>
      </c>
      <c r="K813">
        <f t="shared" si="97"/>
        <v>0</v>
      </c>
      <c r="L813" s="1161"/>
      <c r="N813" s="1162" t="str">
        <f t="shared" si="100"/>
        <v xml:space="preserve"> </v>
      </c>
      <c r="O813" s="1163" t="str">
        <f t="shared" si="101"/>
        <v xml:space="preserve"> </v>
      </c>
      <c r="Q813">
        <f t="shared" si="102"/>
        <v>0</v>
      </c>
      <c r="R813">
        <f t="shared" si="103"/>
        <v>0</v>
      </c>
    </row>
    <row r="814" spans="2:18" x14ac:dyDescent="0.15">
      <c r="B814" s="1157"/>
      <c r="C814" s="1158"/>
      <c r="D814" s="897"/>
      <c r="E814" s="1159" t="str">
        <f t="shared" si="98"/>
        <v xml:space="preserve"> </v>
      </c>
      <c r="G814" s="1160" t="str">
        <f t="shared" si="99"/>
        <v xml:space="preserve"> </v>
      </c>
      <c r="H814" s="1149"/>
      <c r="I814">
        <f t="shared" si="96"/>
        <v>0</v>
      </c>
      <c r="K814">
        <f t="shared" si="97"/>
        <v>0</v>
      </c>
      <c r="L814" s="1161"/>
      <c r="N814" s="1162" t="str">
        <f t="shared" si="100"/>
        <v xml:space="preserve"> </v>
      </c>
      <c r="O814" s="1163" t="str">
        <f t="shared" si="101"/>
        <v xml:space="preserve"> </v>
      </c>
      <c r="Q814">
        <f t="shared" si="102"/>
        <v>0</v>
      </c>
      <c r="R814">
        <f t="shared" si="103"/>
        <v>0</v>
      </c>
    </row>
    <row r="815" spans="2:18" x14ac:dyDescent="0.15">
      <c r="B815" s="1157"/>
      <c r="C815" s="1158"/>
      <c r="D815" s="897"/>
      <c r="E815" s="1159" t="str">
        <f t="shared" si="98"/>
        <v xml:space="preserve"> </v>
      </c>
      <c r="G815" s="1160" t="str">
        <f t="shared" si="99"/>
        <v xml:space="preserve"> </v>
      </c>
      <c r="H815" s="1149"/>
      <c r="I815">
        <f t="shared" si="96"/>
        <v>0</v>
      </c>
      <c r="K815">
        <f t="shared" si="97"/>
        <v>0</v>
      </c>
      <c r="L815" s="1161"/>
      <c r="N815" s="1162" t="str">
        <f t="shared" si="100"/>
        <v xml:space="preserve"> </v>
      </c>
      <c r="O815" s="1163" t="str">
        <f t="shared" si="101"/>
        <v xml:space="preserve"> </v>
      </c>
      <c r="Q815">
        <f t="shared" si="102"/>
        <v>0</v>
      </c>
      <c r="R815">
        <f t="shared" si="103"/>
        <v>0</v>
      </c>
    </row>
    <row r="816" spans="2:18" x14ac:dyDescent="0.15">
      <c r="B816" s="1157"/>
      <c r="C816" s="1158"/>
      <c r="D816" s="897"/>
      <c r="E816" s="1159" t="str">
        <f t="shared" si="98"/>
        <v xml:space="preserve"> </v>
      </c>
      <c r="G816" s="1160" t="str">
        <f t="shared" si="99"/>
        <v xml:space="preserve"> </v>
      </c>
      <c r="H816" s="1149"/>
      <c r="I816">
        <f t="shared" si="96"/>
        <v>0</v>
      </c>
      <c r="K816">
        <f t="shared" si="97"/>
        <v>0</v>
      </c>
      <c r="L816" s="1161"/>
      <c r="N816" s="1162" t="str">
        <f t="shared" si="100"/>
        <v xml:space="preserve"> </v>
      </c>
      <c r="O816" s="1163" t="str">
        <f t="shared" si="101"/>
        <v xml:space="preserve"> </v>
      </c>
      <c r="Q816">
        <f t="shared" si="102"/>
        <v>0</v>
      </c>
      <c r="R816">
        <f t="shared" si="103"/>
        <v>0</v>
      </c>
    </row>
    <row r="817" spans="2:18" x14ac:dyDescent="0.15">
      <c r="B817" s="1157"/>
      <c r="C817" s="1158"/>
      <c r="D817" s="897"/>
      <c r="E817" s="1159" t="str">
        <f t="shared" si="98"/>
        <v xml:space="preserve"> </v>
      </c>
      <c r="G817" s="1160" t="str">
        <f t="shared" si="99"/>
        <v xml:space="preserve"> </v>
      </c>
      <c r="H817" s="1149"/>
      <c r="I817">
        <f t="shared" si="96"/>
        <v>0</v>
      </c>
      <c r="K817">
        <f t="shared" si="97"/>
        <v>0</v>
      </c>
      <c r="L817" s="1161"/>
      <c r="N817" s="1162" t="str">
        <f t="shared" si="100"/>
        <v xml:space="preserve"> </v>
      </c>
      <c r="O817" s="1163" t="str">
        <f t="shared" si="101"/>
        <v xml:space="preserve"> </v>
      </c>
      <c r="Q817">
        <f t="shared" si="102"/>
        <v>0</v>
      </c>
      <c r="R817">
        <f t="shared" si="103"/>
        <v>0</v>
      </c>
    </row>
    <row r="818" spans="2:18" x14ac:dyDescent="0.15">
      <c r="B818" s="1157"/>
      <c r="C818" s="1158"/>
      <c r="D818" s="897"/>
      <c r="E818" s="1159" t="str">
        <f t="shared" si="98"/>
        <v xml:space="preserve"> </v>
      </c>
      <c r="G818" s="1160" t="str">
        <f t="shared" si="99"/>
        <v xml:space="preserve"> </v>
      </c>
      <c r="H818" s="1149"/>
      <c r="I818">
        <f t="shared" si="96"/>
        <v>0</v>
      </c>
      <c r="K818">
        <f t="shared" si="97"/>
        <v>0</v>
      </c>
      <c r="L818" s="1161"/>
      <c r="N818" s="1162" t="str">
        <f t="shared" si="100"/>
        <v xml:space="preserve"> </v>
      </c>
      <c r="O818" s="1163" t="str">
        <f t="shared" si="101"/>
        <v xml:space="preserve"> </v>
      </c>
      <c r="Q818">
        <f t="shared" si="102"/>
        <v>0</v>
      </c>
      <c r="R818">
        <f t="shared" si="103"/>
        <v>0</v>
      </c>
    </row>
    <row r="819" spans="2:18" x14ac:dyDescent="0.15">
      <c r="B819" s="1157"/>
      <c r="C819" s="1158"/>
      <c r="D819" s="897"/>
      <c r="E819" s="1159" t="str">
        <f t="shared" si="98"/>
        <v xml:space="preserve"> </v>
      </c>
      <c r="G819" s="1160" t="str">
        <f t="shared" si="99"/>
        <v xml:space="preserve"> </v>
      </c>
      <c r="H819" s="1149"/>
      <c r="I819">
        <f t="shared" si="96"/>
        <v>0</v>
      </c>
      <c r="K819">
        <f t="shared" si="97"/>
        <v>0</v>
      </c>
      <c r="L819" s="1161"/>
      <c r="N819" s="1162" t="str">
        <f t="shared" si="100"/>
        <v xml:space="preserve"> </v>
      </c>
      <c r="O819" s="1163" t="str">
        <f t="shared" si="101"/>
        <v xml:space="preserve"> </v>
      </c>
      <c r="Q819">
        <f t="shared" si="102"/>
        <v>0</v>
      </c>
      <c r="R819">
        <f t="shared" si="103"/>
        <v>0</v>
      </c>
    </row>
    <row r="820" spans="2:18" x14ac:dyDescent="0.15">
      <c r="B820" s="1157"/>
      <c r="C820" s="1158"/>
      <c r="D820" s="897"/>
      <c r="E820" s="1159" t="str">
        <f t="shared" si="98"/>
        <v xml:space="preserve"> </v>
      </c>
      <c r="G820" s="1160" t="str">
        <f t="shared" si="99"/>
        <v xml:space="preserve"> </v>
      </c>
      <c r="H820" s="1149"/>
      <c r="I820">
        <f t="shared" si="96"/>
        <v>0</v>
      </c>
      <c r="K820">
        <f t="shared" si="97"/>
        <v>0</v>
      </c>
      <c r="L820" s="1161"/>
      <c r="N820" s="1162" t="str">
        <f t="shared" si="100"/>
        <v xml:space="preserve"> </v>
      </c>
      <c r="O820" s="1163" t="str">
        <f t="shared" si="101"/>
        <v xml:space="preserve"> </v>
      </c>
      <c r="Q820">
        <f t="shared" si="102"/>
        <v>0</v>
      </c>
      <c r="R820">
        <f t="shared" si="103"/>
        <v>0</v>
      </c>
    </row>
    <row r="821" spans="2:18" x14ac:dyDescent="0.15">
      <c r="B821" s="1157"/>
      <c r="C821" s="1158"/>
      <c r="D821" s="897"/>
      <c r="E821" s="1159" t="str">
        <f t="shared" si="98"/>
        <v xml:space="preserve"> </v>
      </c>
      <c r="G821" s="1160" t="str">
        <f t="shared" si="99"/>
        <v xml:space="preserve"> </v>
      </c>
      <c r="H821" s="1149"/>
      <c r="I821">
        <f t="shared" si="96"/>
        <v>0</v>
      </c>
      <c r="K821">
        <f t="shared" si="97"/>
        <v>0</v>
      </c>
      <c r="L821" s="1161"/>
      <c r="N821" s="1162" t="str">
        <f t="shared" si="100"/>
        <v xml:space="preserve"> </v>
      </c>
      <c r="O821" s="1163" t="str">
        <f t="shared" si="101"/>
        <v xml:space="preserve"> </v>
      </c>
      <c r="Q821">
        <f t="shared" si="102"/>
        <v>0</v>
      </c>
      <c r="R821">
        <f t="shared" si="103"/>
        <v>0</v>
      </c>
    </row>
    <row r="822" spans="2:18" x14ac:dyDescent="0.15">
      <c r="B822" s="1157"/>
      <c r="C822" s="1158"/>
      <c r="D822" s="897"/>
      <c r="E822" s="1159" t="str">
        <f t="shared" si="98"/>
        <v xml:space="preserve"> </v>
      </c>
      <c r="G822" s="1160" t="str">
        <f t="shared" si="99"/>
        <v xml:space="preserve"> </v>
      </c>
      <c r="H822" s="1149"/>
      <c r="I822">
        <f t="shared" si="96"/>
        <v>0</v>
      </c>
      <c r="K822">
        <f t="shared" si="97"/>
        <v>0</v>
      </c>
      <c r="L822" s="1161"/>
      <c r="N822" s="1162" t="str">
        <f t="shared" si="100"/>
        <v xml:space="preserve"> </v>
      </c>
      <c r="O822" s="1163" t="str">
        <f t="shared" si="101"/>
        <v xml:space="preserve"> </v>
      </c>
      <c r="Q822">
        <f t="shared" si="102"/>
        <v>0</v>
      </c>
      <c r="R822">
        <f t="shared" si="103"/>
        <v>0</v>
      </c>
    </row>
    <row r="823" spans="2:18" x14ac:dyDescent="0.15">
      <c r="B823" s="1157"/>
      <c r="C823" s="1158"/>
      <c r="D823" s="897"/>
      <c r="E823" s="1159" t="str">
        <f t="shared" si="98"/>
        <v xml:space="preserve"> </v>
      </c>
      <c r="G823" s="1160" t="str">
        <f t="shared" si="99"/>
        <v xml:space="preserve"> </v>
      </c>
      <c r="H823" s="1149"/>
      <c r="I823">
        <f t="shared" si="96"/>
        <v>0</v>
      </c>
      <c r="K823">
        <f t="shared" si="97"/>
        <v>0</v>
      </c>
      <c r="L823" s="1161"/>
      <c r="N823" s="1162" t="str">
        <f t="shared" si="100"/>
        <v xml:space="preserve"> </v>
      </c>
      <c r="O823" s="1163" t="str">
        <f t="shared" si="101"/>
        <v xml:space="preserve"> </v>
      </c>
      <c r="Q823">
        <f t="shared" si="102"/>
        <v>0</v>
      </c>
      <c r="R823">
        <f t="shared" si="103"/>
        <v>0</v>
      </c>
    </row>
    <row r="824" spans="2:18" x14ac:dyDescent="0.15">
      <c r="B824" s="1157"/>
      <c r="C824" s="1158"/>
      <c r="D824" s="897"/>
      <c r="E824" s="1159" t="str">
        <f t="shared" si="98"/>
        <v xml:space="preserve"> </v>
      </c>
      <c r="G824" s="1160" t="str">
        <f t="shared" si="99"/>
        <v xml:space="preserve"> </v>
      </c>
      <c r="H824" s="1149"/>
      <c r="I824">
        <f t="shared" si="96"/>
        <v>0</v>
      </c>
      <c r="K824">
        <f t="shared" si="97"/>
        <v>0</v>
      </c>
      <c r="L824" s="1161"/>
      <c r="N824" s="1162" t="str">
        <f t="shared" si="100"/>
        <v xml:space="preserve"> </v>
      </c>
      <c r="O824" s="1163" t="str">
        <f t="shared" si="101"/>
        <v xml:space="preserve"> </v>
      </c>
      <c r="Q824">
        <f t="shared" si="102"/>
        <v>0</v>
      </c>
      <c r="R824">
        <f t="shared" si="103"/>
        <v>0</v>
      </c>
    </row>
    <row r="825" spans="2:18" x14ac:dyDescent="0.15">
      <c r="B825" s="1157"/>
      <c r="C825" s="1158"/>
      <c r="D825" s="897"/>
      <c r="E825" s="1159" t="str">
        <f t="shared" si="98"/>
        <v xml:space="preserve"> </v>
      </c>
      <c r="G825" s="1160" t="str">
        <f t="shared" si="99"/>
        <v xml:space="preserve"> </v>
      </c>
      <c r="H825" s="1149"/>
      <c r="I825">
        <f t="shared" si="96"/>
        <v>0</v>
      </c>
      <c r="K825">
        <f t="shared" si="97"/>
        <v>0</v>
      </c>
      <c r="L825" s="1161"/>
      <c r="N825" s="1162" t="str">
        <f t="shared" si="100"/>
        <v xml:space="preserve"> </v>
      </c>
      <c r="O825" s="1163" t="str">
        <f t="shared" si="101"/>
        <v xml:space="preserve"> </v>
      </c>
      <c r="Q825">
        <f t="shared" si="102"/>
        <v>0</v>
      </c>
      <c r="R825">
        <f t="shared" si="103"/>
        <v>0</v>
      </c>
    </row>
    <row r="826" spans="2:18" x14ac:dyDescent="0.15">
      <c r="B826" s="1157"/>
      <c r="C826" s="1158"/>
      <c r="D826" s="897"/>
      <c r="E826" s="1159" t="str">
        <f t="shared" si="98"/>
        <v xml:space="preserve"> </v>
      </c>
      <c r="G826" s="1160" t="str">
        <f t="shared" si="99"/>
        <v xml:space="preserve"> </v>
      </c>
      <c r="H826" s="1149"/>
      <c r="I826">
        <f t="shared" si="96"/>
        <v>0</v>
      </c>
      <c r="K826">
        <f t="shared" si="97"/>
        <v>0</v>
      </c>
      <c r="L826" s="1161"/>
      <c r="N826" s="1162" t="str">
        <f t="shared" si="100"/>
        <v xml:space="preserve"> </v>
      </c>
      <c r="O826" s="1163" t="str">
        <f t="shared" si="101"/>
        <v xml:space="preserve"> </v>
      </c>
      <c r="Q826">
        <f t="shared" si="102"/>
        <v>0</v>
      </c>
      <c r="R826">
        <f t="shared" si="103"/>
        <v>0</v>
      </c>
    </row>
    <row r="827" spans="2:18" x14ac:dyDescent="0.15">
      <c r="B827" s="1157"/>
      <c r="C827" s="1158"/>
      <c r="D827" s="897"/>
      <c r="E827" s="1159" t="str">
        <f t="shared" si="98"/>
        <v xml:space="preserve"> </v>
      </c>
      <c r="G827" s="1160" t="str">
        <f t="shared" si="99"/>
        <v xml:space="preserve"> </v>
      </c>
      <c r="H827" s="1149"/>
      <c r="I827">
        <f t="shared" si="96"/>
        <v>0</v>
      </c>
      <c r="K827">
        <f t="shared" si="97"/>
        <v>0</v>
      </c>
      <c r="L827" s="1161"/>
      <c r="N827" s="1162" t="str">
        <f t="shared" si="100"/>
        <v xml:space="preserve"> </v>
      </c>
      <c r="O827" s="1163" t="str">
        <f t="shared" si="101"/>
        <v xml:space="preserve"> </v>
      </c>
      <c r="Q827">
        <f t="shared" si="102"/>
        <v>0</v>
      </c>
      <c r="R827">
        <f t="shared" si="103"/>
        <v>0</v>
      </c>
    </row>
    <row r="828" spans="2:18" x14ac:dyDescent="0.15">
      <c r="B828" s="1157"/>
      <c r="C828" s="1158"/>
      <c r="D828" s="897"/>
      <c r="E828" s="1159" t="str">
        <f t="shared" si="98"/>
        <v xml:space="preserve"> </v>
      </c>
      <c r="G828" s="1160" t="str">
        <f t="shared" si="99"/>
        <v xml:space="preserve"> </v>
      </c>
      <c r="H828" s="1149"/>
      <c r="I828">
        <f t="shared" si="96"/>
        <v>0</v>
      </c>
      <c r="K828">
        <f t="shared" si="97"/>
        <v>0</v>
      </c>
      <c r="L828" s="1161"/>
      <c r="N828" s="1162" t="str">
        <f t="shared" si="100"/>
        <v xml:space="preserve"> </v>
      </c>
      <c r="O828" s="1163" t="str">
        <f t="shared" si="101"/>
        <v xml:space="preserve"> </v>
      </c>
      <c r="Q828">
        <f t="shared" si="102"/>
        <v>0</v>
      </c>
      <c r="R828">
        <f t="shared" si="103"/>
        <v>0</v>
      </c>
    </row>
    <row r="829" spans="2:18" x14ac:dyDescent="0.15">
      <c r="B829" s="1157"/>
      <c r="C829" s="1158"/>
      <c r="D829" s="897"/>
      <c r="E829" s="1159" t="str">
        <f t="shared" si="98"/>
        <v xml:space="preserve"> </v>
      </c>
      <c r="G829" s="1160" t="str">
        <f t="shared" si="99"/>
        <v xml:space="preserve"> </v>
      </c>
      <c r="H829" s="1149"/>
      <c r="I829">
        <f t="shared" si="96"/>
        <v>0</v>
      </c>
      <c r="K829">
        <f t="shared" si="97"/>
        <v>0</v>
      </c>
      <c r="L829" s="1161"/>
      <c r="N829" s="1162" t="str">
        <f t="shared" si="100"/>
        <v xml:space="preserve"> </v>
      </c>
      <c r="O829" s="1163" t="str">
        <f t="shared" si="101"/>
        <v xml:space="preserve"> </v>
      </c>
      <c r="Q829">
        <f t="shared" si="102"/>
        <v>0</v>
      </c>
      <c r="R829">
        <f t="shared" si="103"/>
        <v>0</v>
      </c>
    </row>
    <row r="830" spans="2:18" x14ac:dyDescent="0.15">
      <c r="B830" s="1157"/>
      <c r="C830" s="1158"/>
      <c r="D830" s="897"/>
      <c r="E830" s="1159" t="str">
        <f t="shared" si="98"/>
        <v xml:space="preserve"> </v>
      </c>
      <c r="G830" s="1160" t="str">
        <f t="shared" si="99"/>
        <v xml:space="preserve"> </v>
      </c>
      <c r="H830" s="1149"/>
      <c r="I830">
        <f t="shared" si="96"/>
        <v>0</v>
      </c>
      <c r="K830">
        <f t="shared" si="97"/>
        <v>0</v>
      </c>
      <c r="L830" s="1161"/>
      <c r="N830" s="1162" t="str">
        <f t="shared" si="100"/>
        <v xml:space="preserve"> </v>
      </c>
      <c r="O830" s="1163" t="str">
        <f t="shared" si="101"/>
        <v xml:space="preserve"> </v>
      </c>
      <c r="Q830">
        <f t="shared" si="102"/>
        <v>0</v>
      </c>
      <c r="R830">
        <f t="shared" si="103"/>
        <v>0</v>
      </c>
    </row>
    <row r="831" spans="2:18" x14ac:dyDescent="0.15">
      <c r="B831" s="1157"/>
      <c r="C831" s="1158"/>
      <c r="D831" s="897"/>
      <c r="E831" s="1159" t="str">
        <f t="shared" si="98"/>
        <v xml:space="preserve"> </v>
      </c>
      <c r="G831" s="1160" t="str">
        <f t="shared" si="99"/>
        <v xml:space="preserve"> </v>
      </c>
      <c r="H831" s="1149"/>
      <c r="I831">
        <f t="shared" si="96"/>
        <v>0</v>
      </c>
      <c r="K831">
        <f t="shared" si="97"/>
        <v>0</v>
      </c>
      <c r="L831" s="1161"/>
      <c r="N831" s="1162" t="str">
        <f t="shared" si="100"/>
        <v xml:space="preserve"> </v>
      </c>
      <c r="O831" s="1163" t="str">
        <f t="shared" si="101"/>
        <v xml:space="preserve"> </v>
      </c>
      <c r="Q831">
        <f t="shared" si="102"/>
        <v>0</v>
      </c>
      <c r="R831">
        <f t="shared" si="103"/>
        <v>0</v>
      </c>
    </row>
    <row r="832" spans="2:18" x14ac:dyDescent="0.15">
      <c r="B832" s="1157"/>
      <c r="C832" s="1158"/>
      <c r="D832" s="897"/>
      <c r="E832" s="1159" t="str">
        <f t="shared" si="98"/>
        <v xml:space="preserve"> </v>
      </c>
      <c r="G832" s="1160" t="str">
        <f t="shared" si="99"/>
        <v xml:space="preserve"> </v>
      </c>
      <c r="H832" s="1149"/>
      <c r="I832">
        <f t="shared" si="96"/>
        <v>0</v>
      </c>
      <c r="K832">
        <f t="shared" si="97"/>
        <v>0</v>
      </c>
      <c r="L832" s="1161"/>
      <c r="N832" s="1162" t="str">
        <f t="shared" si="100"/>
        <v xml:space="preserve"> </v>
      </c>
      <c r="O832" s="1163" t="str">
        <f t="shared" si="101"/>
        <v xml:space="preserve"> </v>
      </c>
      <c r="Q832">
        <f t="shared" si="102"/>
        <v>0</v>
      </c>
      <c r="R832">
        <f t="shared" si="103"/>
        <v>0</v>
      </c>
    </row>
    <row r="833" spans="2:18" x14ac:dyDescent="0.15">
      <c r="B833" s="1157"/>
      <c r="C833" s="1158"/>
      <c r="D833" s="897"/>
      <c r="E833" s="1159" t="str">
        <f t="shared" si="98"/>
        <v xml:space="preserve"> </v>
      </c>
      <c r="G833" s="1160" t="str">
        <f t="shared" si="99"/>
        <v xml:space="preserve"> </v>
      </c>
      <c r="H833" s="1149"/>
      <c r="I833">
        <f t="shared" si="96"/>
        <v>0</v>
      </c>
      <c r="K833">
        <f t="shared" si="97"/>
        <v>0</v>
      </c>
      <c r="L833" s="1161"/>
      <c r="N833" s="1162" t="str">
        <f t="shared" si="100"/>
        <v xml:space="preserve"> </v>
      </c>
      <c r="O833" s="1163" t="str">
        <f t="shared" si="101"/>
        <v xml:space="preserve"> </v>
      </c>
      <c r="Q833">
        <f t="shared" si="102"/>
        <v>0</v>
      </c>
      <c r="R833">
        <f t="shared" si="103"/>
        <v>0</v>
      </c>
    </row>
    <row r="834" spans="2:18" x14ac:dyDescent="0.15">
      <c r="B834" s="1157"/>
      <c r="C834" s="1158"/>
      <c r="D834" s="897"/>
      <c r="E834" s="1159" t="str">
        <f t="shared" si="98"/>
        <v xml:space="preserve"> </v>
      </c>
      <c r="G834" s="1160" t="str">
        <f t="shared" si="99"/>
        <v xml:space="preserve"> </v>
      </c>
      <c r="H834" s="1149"/>
      <c r="I834">
        <f t="shared" si="96"/>
        <v>0</v>
      </c>
      <c r="K834">
        <f t="shared" si="97"/>
        <v>0</v>
      </c>
      <c r="L834" s="1161"/>
      <c r="N834" s="1162" t="str">
        <f t="shared" si="100"/>
        <v xml:space="preserve"> </v>
      </c>
      <c r="O834" s="1163" t="str">
        <f t="shared" si="101"/>
        <v xml:space="preserve"> </v>
      </c>
      <c r="Q834">
        <f t="shared" si="102"/>
        <v>0</v>
      </c>
      <c r="R834">
        <f t="shared" si="103"/>
        <v>0</v>
      </c>
    </row>
    <row r="835" spans="2:18" x14ac:dyDescent="0.15">
      <c r="B835" s="1157"/>
      <c r="C835" s="1158"/>
      <c r="D835" s="897"/>
      <c r="E835" s="1159" t="str">
        <f t="shared" si="98"/>
        <v xml:space="preserve"> </v>
      </c>
      <c r="G835" s="1160" t="str">
        <f t="shared" si="99"/>
        <v xml:space="preserve"> </v>
      </c>
      <c r="H835" s="1149"/>
      <c r="I835">
        <f t="shared" si="96"/>
        <v>0</v>
      </c>
      <c r="K835">
        <f t="shared" si="97"/>
        <v>0</v>
      </c>
      <c r="L835" s="1161"/>
      <c r="N835" s="1162" t="str">
        <f t="shared" si="100"/>
        <v xml:space="preserve"> </v>
      </c>
      <c r="O835" s="1163" t="str">
        <f t="shared" si="101"/>
        <v xml:space="preserve"> </v>
      </c>
      <c r="Q835">
        <f t="shared" si="102"/>
        <v>0</v>
      </c>
      <c r="R835">
        <f t="shared" si="103"/>
        <v>0</v>
      </c>
    </row>
    <row r="836" spans="2:18" x14ac:dyDescent="0.15">
      <c r="B836" s="1157"/>
      <c r="C836" s="1158"/>
      <c r="D836" s="897"/>
      <c r="E836" s="1159" t="str">
        <f t="shared" si="98"/>
        <v xml:space="preserve"> </v>
      </c>
      <c r="G836" s="1160" t="str">
        <f t="shared" si="99"/>
        <v xml:space="preserve"> </v>
      </c>
      <c r="H836" s="1149"/>
      <c r="I836">
        <f t="shared" si="96"/>
        <v>0</v>
      </c>
      <c r="K836">
        <f t="shared" si="97"/>
        <v>0</v>
      </c>
      <c r="L836" s="1161"/>
      <c r="N836" s="1162" t="str">
        <f t="shared" si="100"/>
        <v xml:space="preserve"> </v>
      </c>
      <c r="O836" s="1163" t="str">
        <f t="shared" si="101"/>
        <v xml:space="preserve"> </v>
      </c>
      <c r="Q836">
        <f t="shared" si="102"/>
        <v>0</v>
      </c>
      <c r="R836">
        <f t="shared" si="103"/>
        <v>0</v>
      </c>
    </row>
    <row r="837" spans="2:18" x14ac:dyDescent="0.15">
      <c r="B837" s="1157"/>
      <c r="C837" s="1158"/>
      <c r="D837" s="897"/>
      <c r="E837" s="1159" t="str">
        <f t="shared" si="98"/>
        <v xml:space="preserve"> </v>
      </c>
      <c r="G837" s="1160" t="str">
        <f t="shared" si="99"/>
        <v xml:space="preserve"> </v>
      </c>
      <c r="H837" s="1149"/>
      <c r="I837">
        <f t="shared" si="96"/>
        <v>0</v>
      </c>
      <c r="K837">
        <f t="shared" si="97"/>
        <v>0</v>
      </c>
      <c r="L837" s="1161"/>
      <c r="N837" s="1162" t="str">
        <f t="shared" si="100"/>
        <v xml:space="preserve"> </v>
      </c>
      <c r="O837" s="1163" t="str">
        <f t="shared" si="101"/>
        <v xml:space="preserve"> </v>
      </c>
      <c r="Q837">
        <f t="shared" si="102"/>
        <v>0</v>
      </c>
      <c r="R837">
        <f t="shared" si="103"/>
        <v>0</v>
      </c>
    </row>
    <row r="838" spans="2:18" x14ac:dyDescent="0.15">
      <c r="B838" s="1157"/>
      <c r="C838" s="1158"/>
      <c r="D838" s="897"/>
      <c r="E838" s="1159" t="str">
        <f t="shared" si="98"/>
        <v xml:space="preserve"> </v>
      </c>
      <c r="G838" s="1160" t="str">
        <f t="shared" si="99"/>
        <v xml:space="preserve"> </v>
      </c>
      <c r="H838" s="1149"/>
      <c r="I838">
        <f t="shared" si="96"/>
        <v>0</v>
      </c>
      <c r="K838">
        <f t="shared" si="97"/>
        <v>0</v>
      </c>
      <c r="L838" s="1161"/>
      <c r="N838" s="1162" t="str">
        <f t="shared" si="100"/>
        <v xml:space="preserve"> </v>
      </c>
      <c r="O838" s="1163" t="str">
        <f t="shared" si="101"/>
        <v xml:space="preserve"> </v>
      </c>
      <c r="Q838">
        <f t="shared" si="102"/>
        <v>0</v>
      </c>
      <c r="R838">
        <f t="shared" si="103"/>
        <v>0</v>
      </c>
    </row>
    <row r="839" spans="2:18" x14ac:dyDescent="0.15">
      <c r="B839" s="1157"/>
      <c r="C839" s="1158"/>
      <c r="D839" s="897"/>
      <c r="E839" s="1159" t="str">
        <f t="shared" si="98"/>
        <v xml:space="preserve"> </v>
      </c>
      <c r="G839" s="1160" t="str">
        <f t="shared" si="99"/>
        <v xml:space="preserve"> </v>
      </c>
      <c r="H839" s="1149"/>
      <c r="I839">
        <f t="shared" si="96"/>
        <v>0</v>
      </c>
      <c r="K839">
        <f t="shared" si="97"/>
        <v>0</v>
      </c>
      <c r="L839" s="1161"/>
      <c r="N839" s="1162" t="str">
        <f t="shared" si="100"/>
        <v xml:space="preserve"> </v>
      </c>
      <c r="O839" s="1163" t="str">
        <f t="shared" si="101"/>
        <v xml:space="preserve"> </v>
      </c>
      <c r="Q839">
        <f t="shared" si="102"/>
        <v>0</v>
      </c>
      <c r="R839">
        <f t="shared" si="103"/>
        <v>0</v>
      </c>
    </row>
    <row r="840" spans="2:18" x14ac:dyDescent="0.15">
      <c r="B840" s="1157"/>
      <c r="C840" s="1158"/>
      <c r="D840" s="897"/>
      <c r="E840" s="1159" t="str">
        <f t="shared" si="98"/>
        <v xml:space="preserve"> </v>
      </c>
      <c r="G840" s="1160" t="str">
        <f t="shared" si="99"/>
        <v xml:space="preserve"> </v>
      </c>
      <c r="H840" s="1149"/>
      <c r="I840">
        <f t="shared" ref="I840:I903" si="104">(J840+C840)/12</f>
        <v>0</v>
      </c>
      <c r="K840">
        <f t="shared" ref="K840:K903" si="105">I840+B840</f>
        <v>0</v>
      </c>
      <c r="L840" s="1161"/>
      <c r="N840" s="1162" t="str">
        <f t="shared" si="100"/>
        <v xml:space="preserve"> </v>
      </c>
      <c r="O840" s="1163" t="str">
        <f t="shared" si="101"/>
        <v xml:space="preserve"> </v>
      </c>
      <c r="Q840">
        <f t="shared" si="102"/>
        <v>0</v>
      </c>
      <c r="R840">
        <f t="shared" si="103"/>
        <v>0</v>
      </c>
    </row>
    <row r="841" spans="2:18" x14ac:dyDescent="0.15">
      <c r="B841" s="1157"/>
      <c r="C841" s="1158"/>
      <c r="D841" s="897"/>
      <c r="E841" s="1159" t="str">
        <f t="shared" si="98"/>
        <v xml:space="preserve"> </v>
      </c>
      <c r="G841" s="1160" t="str">
        <f t="shared" si="99"/>
        <v xml:space="preserve"> </v>
      </c>
      <c r="H841" s="1149"/>
      <c r="I841">
        <f t="shared" si="104"/>
        <v>0</v>
      </c>
      <c r="K841">
        <f t="shared" si="105"/>
        <v>0</v>
      </c>
      <c r="L841" s="1161"/>
      <c r="N841" s="1162" t="str">
        <f t="shared" si="100"/>
        <v xml:space="preserve"> </v>
      </c>
      <c r="O841" s="1163" t="str">
        <f t="shared" si="101"/>
        <v xml:space="preserve"> </v>
      </c>
      <c r="Q841">
        <f t="shared" si="102"/>
        <v>0</v>
      </c>
      <c r="R841">
        <f t="shared" si="103"/>
        <v>0</v>
      </c>
    </row>
    <row r="842" spans="2:18" x14ac:dyDescent="0.15">
      <c r="B842" s="1157"/>
      <c r="C842" s="1158"/>
      <c r="D842" s="897"/>
      <c r="E842" s="1159" t="str">
        <f t="shared" ref="E842:E905" si="106">IF(K842=0," ",IF(K842&gt;0,K842*12*25.4))</f>
        <v xml:space="preserve"> </v>
      </c>
      <c r="G842" s="1160" t="str">
        <f t="shared" ref="G842:G905" si="107">IF(K842=0," ",IF(K842&gt;0,E842/1000))</f>
        <v xml:space="preserve"> </v>
      </c>
      <c r="H842" s="1149"/>
      <c r="I842">
        <f t="shared" si="104"/>
        <v>0</v>
      </c>
      <c r="K842">
        <f t="shared" si="105"/>
        <v>0</v>
      </c>
      <c r="L842" s="1161"/>
      <c r="N842" s="1162" t="str">
        <f t="shared" ref="N842:N905" si="108">IF(R842=0," ",IF(R842&gt;0,TRUNC(R842)))</f>
        <v xml:space="preserve"> </v>
      </c>
      <c r="O842" s="1163" t="str">
        <f t="shared" ref="O842:O905" si="109">IF(R842=0," ",IF(R842&gt;0,(R842-N842)*12))</f>
        <v xml:space="preserve"> </v>
      </c>
      <c r="Q842">
        <f t="shared" ref="Q842:Q905" si="110">L842/25.4</f>
        <v>0</v>
      </c>
      <c r="R842">
        <f t="shared" ref="R842:R905" si="111">Q842/12</f>
        <v>0</v>
      </c>
    </row>
    <row r="843" spans="2:18" x14ac:dyDescent="0.15">
      <c r="B843" s="1157"/>
      <c r="C843" s="1158"/>
      <c r="D843" s="897"/>
      <c r="E843" s="1159" t="str">
        <f t="shared" si="106"/>
        <v xml:space="preserve"> </v>
      </c>
      <c r="G843" s="1160" t="str">
        <f t="shared" si="107"/>
        <v xml:space="preserve"> </v>
      </c>
      <c r="H843" s="1149"/>
      <c r="I843">
        <f t="shared" si="104"/>
        <v>0</v>
      </c>
      <c r="K843">
        <f t="shared" si="105"/>
        <v>0</v>
      </c>
      <c r="L843" s="1161"/>
      <c r="N843" s="1162" t="str">
        <f t="shared" si="108"/>
        <v xml:space="preserve"> </v>
      </c>
      <c r="O843" s="1163" t="str">
        <f t="shared" si="109"/>
        <v xml:space="preserve"> </v>
      </c>
      <c r="Q843">
        <f t="shared" si="110"/>
        <v>0</v>
      </c>
      <c r="R843">
        <f t="shared" si="111"/>
        <v>0</v>
      </c>
    </row>
    <row r="844" spans="2:18" x14ac:dyDescent="0.15">
      <c r="B844" s="1157"/>
      <c r="C844" s="1158"/>
      <c r="D844" s="897"/>
      <c r="E844" s="1159" t="str">
        <f t="shared" si="106"/>
        <v xml:space="preserve"> </v>
      </c>
      <c r="G844" s="1160" t="str">
        <f t="shared" si="107"/>
        <v xml:space="preserve"> </v>
      </c>
      <c r="H844" s="1149"/>
      <c r="I844">
        <f t="shared" si="104"/>
        <v>0</v>
      </c>
      <c r="K844">
        <f t="shared" si="105"/>
        <v>0</v>
      </c>
      <c r="L844" s="1161"/>
      <c r="N844" s="1162" t="str">
        <f t="shared" si="108"/>
        <v xml:space="preserve"> </v>
      </c>
      <c r="O844" s="1163" t="str">
        <f t="shared" si="109"/>
        <v xml:space="preserve"> </v>
      </c>
      <c r="Q844">
        <f t="shared" si="110"/>
        <v>0</v>
      </c>
      <c r="R844">
        <f t="shared" si="111"/>
        <v>0</v>
      </c>
    </row>
    <row r="845" spans="2:18" x14ac:dyDescent="0.15">
      <c r="B845" s="1157"/>
      <c r="C845" s="1158"/>
      <c r="D845" s="897"/>
      <c r="E845" s="1159" t="str">
        <f t="shared" si="106"/>
        <v xml:space="preserve"> </v>
      </c>
      <c r="G845" s="1160" t="str">
        <f t="shared" si="107"/>
        <v xml:space="preserve"> </v>
      </c>
      <c r="H845" s="1149"/>
      <c r="I845">
        <f t="shared" si="104"/>
        <v>0</v>
      </c>
      <c r="K845">
        <f t="shared" si="105"/>
        <v>0</v>
      </c>
      <c r="L845" s="1161"/>
      <c r="N845" s="1162" t="str">
        <f t="shared" si="108"/>
        <v xml:space="preserve"> </v>
      </c>
      <c r="O845" s="1163" t="str">
        <f t="shared" si="109"/>
        <v xml:space="preserve"> </v>
      </c>
      <c r="Q845">
        <f t="shared" si="110"/>
        <v>0</v>
      </c>
      <c r="R845">
        <f t="shared" si="111"/>
        <v>0</v>
      </c>
    </row>
    <row r="846" spans="2:18" x14ac:dyDescent="0.15">
      <c r="B846" s="1157"/>
      <c r="C846" s="1158"/>
      <c r="D846" s="897"/>
      <c r="E846" s="1159" t="str">
        <f t="shared" si="106"/>
        <v xml:space="preserve"> </v>
      </c>
      <c r="G846" s="1160" t="str">
        <f t="shared" si="107"/>
        <v xml:space="preserve"> </v>
      </c>
      <c r="H846" s="1149"/>
      <c r="I846">
        <f t="shared" si="104"/>
        <v>0</v>
      </c>
      <c r="K846">
        <f t="shared" si="105"/>
        <v>0</v>
      </c>
      <c r="L846" s="1161"/>
      <c r="N846" s="1162" t="str">
        <f t="shared" si="108"/>
        <v xml:space="preserve"> </v>
      </c>
      <c r="O846" s="1163" t="str">
        <f t="shared" si="109"/>
        <v xml:space="preserve"> </v>
      </c>
      <c r="Q846">
        <f t="shared" si="110"/>
        <v>0</v>
      </c>
      <c r="R846">
        <f t="shared" si="111"/>
        <v>0</v>
      </c>
    </row>
    <row r="847" spans="2:18" x14ac:dyDescent="0.15">
      <c r="B847" s="1157"/>
      <c r="C847" s="1158"/>
      <c r="D847" s="897"/>
      <c r="E847" s="1159" t="str">
        <f t="shared" si="106"/>
        <v xml:space="preserve"> </v>
      </c>
      <c r="G847" s="1160" t="str">
        <f t="shared" si="107"/>
        <v xml:space="preserve"> </v>
      </c>
      <c r="H847" s="1149"/>
      <c r="I847">
        <f t="shared" si="104"/>
        <v>0</v>
      </c>
      <c r="K847">
        <f t="shared" si="105"/>
        <v>0</v>
      </c>
      <c r="L847" s="1161"/>
      <c r="N847" s="1162" t="str">
        <f t="shared" si="108"/>
        <v xml:space="preserve"> </v>
      </c>
      <c r="O847" s="1163" t="str">
        <f t="shared" si="109"/>
        <v xml:space="preserve"> </v>
      </c>
      <c r="Q847">
        <f t="shared" si="110"/>
        <v>0</v>
      </c>
      <c r="R847">
        <f t="shared" si="111"/>
        <v>0</v>
      </c>
    </row>
    <row r="848" spans="2:18" x14ac:dyDescent="0.15">
      <c r="B848" s="1157"/>
      <c r="C848" s="1158"/>
      <c r="D848" s="897"/>
      <c r="E848" s="1159" t="str">
        <f t="shared" si="106"/>
        <v xml:space="preserve"> </v>
      </c>
      <c r="G848" s="1160" t="str">
        <f t="shared" si="107"/>
        <v xml:space="preserve"> </v>
      </c>
      <c r="H848" s="1149"/>
      <c r="I848">
        <f t="shared" si="104"/>
        <v>0</v>
      </c>
      <c r="K848">
        <f t="shared" si="105"/>
        <v>0</v>
      </c>
      <c r="L848" s="1161"/>
      <c r="N848" s="1162" t="str">
        <f t="shared" si="108"/>
        <v xml:space="preserve"> </v>
      </c>
      <c r="O848" s="1163" t="str">
        <f t="shared" si="109"/>
        <v xml:space="preserve"> </v>
      </c>
      <c r="Q848">
        <f t="shared" si="110"/>
        <v>0</v>
      </c>
      <c r="R848">
        <f t="shared" si="111"/>
        <v>0</v>
      </c>
    </row>
    <row r="849" spans="2:18" x14ac:dyDescent="0.15">
      <c r="B849" s="1157"/>
      <c r="C849" s="1158"/>
      <c r="D849" s="897"/>
      <c r="E849" s="1159" t="str">
        <f t="shared" si="106"/>
        <v xml:space="preserve"> </v>
      </c>
      <c r="G849" s="1160" t="str">
        <f t="shared" si="107"/>
        <v xml:space="preserve"> </v>
      </c>
      <c r="H849" s="1149"/>
      <c r="I849">
        <f t="shared" si="104"/>
        <v>0</v>
      </c>
      <c r="K849">
        <f t="shared" si="105"/>
        <v>0</v>
      </c>
      <c r="L849" s="1161"/>
      <c r="N849" s="1162" t="str">
        <f t="shared" si="108"/>
        <v xml:space="preserve"> </v>
      </c>
      <c r="O849" s="1163" t="str">
        <f t="shared" si="109"/>
        <v xml:space="preserve"> </v>
      </c>
      <c r="Q849">
        <f t="shared" si="110"/>
        <v>0</v>
      </c>
      <c r="R849">
        <f t="shared" si="111"/>
        <v>0</v>
      </c>
    </row>
    <row r="850" spans="2:18" x14ac:dyDescent="0.15">
      <c r="B850" s="1157"/>
      <c r="C850" s="1158"/>
      <c r="D850" s="897"/>
      <c r="E850" s="1159" t="str">
        <f t="shared" si="106"/>
        <v xml:space="preserve"> </v>
      </c>
      <c r="G850" s="1160" t="str">
        <f t="shared" si="107"/>
        <v xml:space="preserve"> </v>
      </c>
      <c r="H850" s="1149"/>
      <c r="I850">
        <f t="shared" si="104"/>
        <v>0</v>
      </c>
      <c r="K850">
        <f t="shared" si="105"/>
        <v>0</v>
      </c>
      <c r="L850" s="1161"/>
      <c r="N850" s="1162" t="str">
        <f t="shared" si="108"/>
        <v xml:space="preserve"> </v>
      </c>
      <c r="O850" s="1163" t="str">
        <f t="shared" si="109"/>
        <v xml:space="preserve"> </v>
      </c>
      <c r="Q850">
        <f t="shared" si="110"/>
        <v>0</v>
      </c>
      <c r="R850">
        <f t="shared" si="111"/>
        <v>0</v>
      </c>
    </row>
    <row r="851" spans="2:18" x14ac:dyDescent="0.15">
      <c r="B851" s="1157"/>
      <c r="C851" s="1158"/>
      <c r="D851" s="897"/>
      <c r="E851" s="1159" t="str">
        <f t="shared" si="106"/>
        <v xml:space="preserve"> </v>
      </c>
      <c r="G851" s="1160" t="str">
        <f t="shared" si="107"/>
        <v xml:space="preserve"> </v>
      </c>
      <c r="H851" s="1149"/>
      <c r="I851">
        <f t="shared" si="104"/>
        <v>0</v>
      </c>
      <c r="K851">
        <f t="shared" si="105"/>
        <v>0</v>
      </c>
      <c r="L851" s="1161"/>
      <c r="N851" s="1162" t="str">
        <f t="shared" si="108"/>
        <v xml:space="preserve"> </v>
      </c>
      <c r="O851" s="1163" t="str">
        <f t="shared" si="109"/>
        <v xml:space="preserve"> </v>
      </c>
      <c r="Q851">
        <f t="shared" si="110"/>
        <v>0</v>
      </c>
      <c r="R851">
        <f t="shared" si="111"/>
        <v>0</v>
      </c>
    </row>
    <row r="852" spans="2:18" x14ac:dyDescent="0.15">
      <c r="B852" s="1157"/>
      <c r="C852" s="1158"/>
      <c r="D852" s="897"/>
      <c r="E852" s="1159" t="str">
        <f t="shared" si="106"/>
        <v xml:space="preserve"> </v>
      </c>
      <c r="G852" s="1160" t="str">
        <f t="shared" si="107"/>
        <v xml:space="preserve"> </v>
      </c>
      <c r="H852" s="1149"/>
      <c r="I852">
        <f t="shared" si="104"/>
        <v>0</v>
      </c>
      <c r="K852">
        <f t="shared" si="105"/>
        <v>0</v>
      </c>
      <c r="L852" s="1161"/>
      <c r="N852" s="1162" t="str">
        <f t="shared" si="108"/>
        <v xml:space="preserve"> </v>
      </c>
      <c r="O852" s="1163" t="str">
        <f t="shared" si="109"/>
        <v xml:space="preserve"> </v>
      </c>
      <c r="Q852">
        <f t="shared" si="110"/>
        <v>0</v>
      </c>
      <c r="R852">
        <f t="shared" si="111"/>
        <v>0</v>
      </c>
    </row>
    <row r="853" spans="2:18" x14ac:dyDescent="0.15">
      <c r="B853" s="1157"/>
      <c r="C853" s="1158"/>
      <c r="D853" s="897"/>
      <c r="E853" s="1159" t="str">
        <f t="shared" si="106"/>
        <v xml:space="preserve"> </v>
      </c>
      <c r="G853" s="1160" t="str">
        <f t="shared" si="107"/>
        <v xml:space="preserve"> </v>
      </c>
      <c r="H853" s="1149"/>
      <c r="I853">
        <f t="shared" si="104"/>
        <v>0</v>
      </c>
      <c r="K853">
        <f t="shared" si="105"/>
        <v>0</v>
      </c>
      <c r="L853" s="1161"/>
      <c r="N853" s="1162" t="str">
        <f t="shared" si="108"/>
        <v xml:space="preserve"> </v>
      </c>
      <c r="O853" s="1163" t="str">
        <f t="shared" si="109"/>
        <v xml:space="preserve"> </v>
      </c>
      <c r="Q853">
        <f t="shared" si="110"/>
        <v>0</v>
      </c>
      <c r="R853">
        <f t="shared" si="111"/>
        <v>0</v>
      </c>
    </row>
    <row r="854" spans="2:18" x14ac:dyDescent="0.15">
      <c r="B854" s="1157"/>
      <c r="C854" s="1158"/>
      <c r="D854" s="897"/>
      <c r="E854" s="1159" t="str">
        <f t="shared" si="106"/>
        <v xml:space="preserve"> </v>
      </c>
      <c r="G854" s="1160" t="str">
        <f t="shared" si="107"/>
        <v xml:space="preserve"> </v>
      </c>
      <c r="H854" s="1149"/>
      <c r="I854">
        <f t="shared" si="104"/>
        <v>0</v>
      </c>
      <c r="K854">
        <f t="shared" si="105"/>
        <v>0</v>
      </c>
      <c r="L854" s="1161"/>
      <c r="N854" s="1162" t="str">
        <f t="shared" si="108"/>
        <v xml:space="preserve"> </v>
      </c>
      <c r="O854" s="1163" t="str">
        <f t="shared" si="109"/>
        <v xml:space="preserve"> </v>
      </c>
      <c r="Q854">
        <f t="shared" si="110"/>
        <v>0</v>
      </c>
      <c r="R854">
        <f t="shared" si="111"/>
        <v>0</v>
      </c>
    </row>
    <row r="855" spans="2:18" x14ac:dyDescent="0.15">
      <c r="B855" s="1157"/>
      <c r="C855" s="1158"/>
      <c r="D855" s="897"/>
      <c r="E855" s="1159" t="str">
        <f t="shared" si="106"/>
        <v xml:space="preserve"> </v>
      </c>
      <c r="G855" s="1160" t="str">
        <f t="shared" si="107"/>
        <v xml:space="preserve"> </v>
      </c>
      <c r="H855" s="1149"/>
      <c r="I855">
        <f t="shared" si="104"/>
        <v>0</v>
      </c>
      <c r="K855">
        <f t="shared" si="105"/>
        <v>0</v>
      </c>
      <c r="L855" s="1161"/>
      <c r="N855" s="1162" t="str">
        <f t="shared" si="108"/>
        <v xml:space="preserve"> </v>
      </c>
      <c r="O855" s="1163" t="str">
        <f t="shared" si="109"/>
        <v xml:space="preserve"> </v>
      </c>
      <c r="Q855">
        <f t="shared" si="110"/>
        <v>0</v>
      </c>
      <c r="R855">
        <f t="shared" si="111"/>
        <v>0</v>
      </c>
    </row>
    <row r="856" spans="2:18" x14ac:dyDescent="0.15">
      <c r="B856" s="1157"/>
      <c r="C856" s="1158"/>
      <c r="D856" s="897"/>
      <c r="E856" s="1159" t="str">
        <f t="shared" si="106"/>
        <v xml:space="preserve"> </v>
      </c>
      <c r="G856" s="1160" t="str">
        <f t="shared" si="107"/>
        <v xml:space="preserve"> </v>
      </c>
      <c r="H856" s="1149"/>
      <c r="I856">
        <f t="shared" si="104"/>
        <v>0</v>
      </c>
      <c r="K856">
        <f t="shared" si="105"/>
        <v>0</v>
      </c>
      <c r="L856" s="1161"/>
      <c r="N856" s="1162" t="str">
        <f t="shared" si="108"/>
        <v xml:space="preserve"> </v>
      </c>
      <c r="O856" s="1163" t="str">
        <f t="shared" si="109"/>
        <v xml:space="preserve"> </v>
      </c>
      <c r="Q856">
        <f t="shared" si="110"/>
        <v>0</v>
      </c>
      <c r="R856">
        <f t="shared" si="111"/>
        <v>0</v>
      </c>
    </row>
    <row r="857" spans="2:18" x14ac:dyDescent="0.15">
      <c r="B857" s="1157"/>
      <c r="C857" s="1158"/>
      <c r="D857" s="897"/>
      <c r="E857" s="1159" t="str">
        <f t="shared" si="106"/>
        <v xml:space="preserve"> </v>
      </c>
      <c r="G857" s="1160" t="str">
        <f t="shared" si="107"/>
        <v xml:space="preserve"> </v>
      </c>
      <c r="H857" s="1149"/>
      <c r="I857">
        <f t="shared" si="104"/>
        <v>0</v>
      </c>
      <c r="K857">
        <f t="shared" si="105"/>
        <v>0</v>
      </c>
      <c r="L857" s="1161"/>
      <c r="N857" s="1162" t="str">
        <f t="shared" si="108"/>
        <v xml:space="preserve"> </v>
      </c>
      <c r="O857" s="1163" t="str">
        <f t="shared" si="109"/>
        <v xml:space="preserve"> </v>
      </c>
      <c r="Q857">
        <f t="shared" si="110"/>
        <v>0</v>
      </c>
      <c r="R857">
        <f t="shared" si="111"/>
        <v>0</v>
      </c>
    </row>
    <row r="858" spans="2:18" x14ac:dyDescent="0.15">
      <c r="B858" s="1157"/>
      <c r="C858" s="1158"/>
      <c r="D858" s="897"/>
      <c r="E858" s="1159" t="str">
        <f t="shared" si="106"/>
        <v xml:space="preserve"> </v>
      </c>
      <c r="G858" s="1160" t="str">
        <f t="shared" si="107"/>
        <v xml:space="preserve"> </v>
      </c>
      <c r="H858" s="1149"/>
      <c r="I858">
        <f t="shared" si="104"/>
        <v>0</v>
      </c>
      <c r="K858">
        <f t="shared" si="105"/>
        <v>0</v>
      </c>
      <c r="L858" s="1161"/>
      <c r="N858" s="1162" t="str">
        <f t="shared" si="108"/>
        <v xml:space="preserve"> </v>
      </c>
      <c r="O858" s="1163" t="str">
        <f t="shared" si="109"/>
        <v xml:space="preserve"> </v>
      </c>
      <c r="Q858">
        <f t="shared" si="110"/>
        <v>0</v>
      </c>
      <c r="R858">
        <f t="shared" si="111"/>
        <v>0</v>
      </c>
    </row>
    <row r="859" spans="2:18" x14ac:dyDescent="0.15">
      <c r="B859" s="1157"/>
      <c r="C859" s="1158"/>
      <c r="D859" s="897"/>
      <c r="E859" s="1159" t="str">
        <f t="shared" si="106"/>
        <v xml:space="preserve"> </v>
      </c>
      <c r="G859" s="1160" t="str">
        <f t="shared" si="107"/>
        <v xml:space="preserve"> </v>
      </c>
      <c r="H859" s="1149"/>
      <c r="I859">
        <f t="shared" si="104"/>
        <v>0</v>
      </c>
      <c r="K859">
        <f t="shared" si="105"/>
        <v>0</v>
      </c>
      <c r="L859" s="1161"/>
      <c r="N859" s="1162" t="str">
        <f t="shared" si="108"/>
        <v xml:space="preserve"> </v>
      </c>
      <c r="O859" s="1163" t="str">
        <f t="shared" si="109"/>
        <v xml:space="preserve"> </v>
      </c>
      <c r="Q859">
        <f t="shared" si="110"/>
        <v>0</v>
      </c>
      <c r="R859">
        <f t="shared" si="111"/>
        <v>0</v>
      </c>
    </row>
    <row r="860" spans="2:18" x14ac:dyDescent="0.15">
      <c r="B860" s="1157"/>
      <c r="C860" s="1158"/>
      <c r="D860" s="897"/>
      <c r="E860" s="1159" t="str">
        <f t="shared" si="106"/>
        <v xml:space="preserve"> </v>
      </c>
      <c r="G860" s="1160" t="str">
        <f t="shared" si="107"/>
        <v xml:space="preserve"> </v>
      </c>
      <c r="H860" s="1149"/>
      <c r="I860">
        <f t="shared" si="104"/>
        <v>0</v>
      </c>
      <c r="K860">
        <f t="shared" si="105"/>
        <v>0</v>
      </c>
      <c r="L860" s="1161"/>
      <c r="N860" s="1162" t="str">
        <f t="shared" si="108"/>
        <v xml:space="preserve"> </v>
      </c>
      <c r="O860" s="1163" t="str">
        <f t="shared" si="109"/>
        <v xml:space="preserve"> </v>
      </c>
      <c r="Q860">
        <f t="shared" si="110"/>
        <v>0</v>
      </c>
      <c r="R860">
        <f t="shared" si="111"/>
        <v>0</v>
      </c>
    </row>
    <row r="861" spans="2:18" x14ac:dyDescent="0.15">
      <c r="B861" s="1157"/>
      <c r="C861" s="1158"/>
      <c r="D861" s="897"/>
      <c r="E861" s="1159" t="str">
        <f t="shared" si="106"/>
        <v xml:space="preserve"> </v>
      </c>
      <c r="G861" s="1160" t="str">
        <f t="shared" si="107"/>
        <v xml:space="preserve"> </v>
      </c>
      <c r="H861" s="1149"/>
      <c r="I861">
        <f t="shared" si="104"/>
        <v>0</v>
      </c>
      <c r="K861">
        <f t="shared" si="105"/>
        <v>0</v>
      </c>
      <c r="L861" s="1161"/>
      <c r="N861" s="1162" t="str">
        <f t="shared" si="108"/>
        <v xml:space="preserve"> </v>
      </c>
      <c r="O861" s="1163" t="str">
        <f t="shared" si="109"/>
        <v xml:space="preserve"> </v>
      </c>
      <c r="Q861">
        <f t="shared" si="110"/>
        <v>0</v>
      </c>
      <c r="R861">
        <f t="shared" si="111"/>
        <v>0</v>
      </c>
    </row>
    <row r="862" spans="2:18" x14ac:dyDescent="0.15">
      <c r="B862" s="1157"/>
      <c r="C862" s="1158"/>
      <c r="D862" s="897"/>
      <c r="E862" s="1159" t="str">
        <f t="shared" si="106"/>
        <v xml:space="preserve"> </v>
      </c>
      <c r="G862" s="1160" t="str">
        <f t="shared" si="107"/>
        <v xml:space="preserve"> </v>
      </c>
      <c r="H862" s="1149"/>
      <c r="I862">
        <f t="shared" si="104"/>
        <v>0</v>
      </c>
      <c r="K862">
        <f t="shared" si="105"/>
        <v>0</v>
      </c>
      <c r="L862" s="1161"/>
      <c r="N862" s="1162" t="str">
        <f t="shared" si="108"/>
        <v xml:space="preserve"> </v>
      </c>
      <c r="O862" s="1163" t="str">
        <f t="shared" si="109"/>
        <v xml:space="preserve"> </v>
      </c>
      <c r="Q862">
        <f t="shared" si="110"/>
        <v>0</v>
      </c>
      <c r="R862">
        <f t="shared" si="111"/>
        <v>0</v>
      </c>
    </row>
    <row r="863" spans="2:18" x14ac:dyDescent="0.15">
      <c r="B863" s="1157"/>
      <c r="C863" s="1158"/>
      <c r="D863" s="897"/>
      <c r="E863" s="1159" t="str">
        <f t="shared" si="106"/>
        <v xml:space="preserve"> </v>
      </c>
      <c r="G863" s="1160" t="str">
        <f t="shared" si="107"/>
        <v xml:space="preserve"> </v>
      </c>
      <c r="H863" s="1149"/>
      <c r="I863">
        <f t="shared" si="104"/>
        <v>0</v>
      </c>
      <c r="K863">
        <f t="shared" si="105"/>
        <v>0</v>
      </c>
      <c r="L863" s="1161"/>
      <c r="N863" s="1162" t="str">
        <f t="shared" si="108"/>
        <v xml:space="preserve"> </v>
      </c>
      <c r="O863" s="1163" t="str">
        <f t="shared" si="109"/>
        <v xml:space="preserve"> </v>
      </c>
      <c r="Q863">
        <f t="shared" si="110"/>
        <v>0</v>
      </c>
      <c r="R863">
        <f t="shared" si="111"/>
        <v>0</v>
      </c>
    </row>
    <row r="864" spans="2:18" x14ac:dyDescent="0.15">
      <c r="B864" s="1157"/>
      <c r="C864" s="1158"/>
      <c r="D864" s="897"/>
      <c r="E864" s="1159" t="str">
        <f t="shared" si="106"/>
        <v xml:space="preserve"> </v>
      </c>
      <c r="G864" s="1160" t="str">
        <f t="shared" si="107"/>
        <v xml:space="preserve"> </v>
      </c>
      <c r="H864" s="1149"/>
      <c r="I864">
        <f t="shared" si="104"/>
        <v>0</v>
      </c>
      <c r="K864">
        <f t="shared" si="105"/>
        <v>0</v>
      </c>
      <c r="L864" s="1161"/>
      <c r="N864" s="1162" t="str">
        <f t="shared" si="108"/>
        <v xml:space="preserve"> </v>
      </c>
      <c r="O864" s="1163" t="str">
        <f t="shared" si="109"/>
        <v xml:space="preserve"> </v>
      </c>
      <c r="Q864">
        <f t="shared" si="110"/>
        <v>0</v>
      </c>
      <c r="R864">
        <f t="shared" si="111"/>
        <v>0</v>
      </c>
    </row>
    <row r="865" spans="2:18" x14ac:dyDescent="0.15">
      <c r="B865" s="1157"/>
      <c r="C865" s="1158"/>
      <c r="D865" s="897"/>
      <c r="E865" s="1159" t="str">
        <f t="shared" si="106"/>
        <v xml:space="preserve"> </v>
      </c>
      <c r="G865" s="1160" t="str">
        <f t="shared" si="107"/>
        <v xml:space="preserve"> </v>
      </c>
      <c r="H865" s="1149"/>
      <c r="I865">
        <f t="shared" si="104"/>
        <v>0</v>
      </c>
      <c r="K865">
        <f t="shared" si="105"/>
        <v>0</v>
      </c>
      <c r="L865" s="1161"/>
      <c r="N865" s="1162" t="str">
        <f t="shared" si="108"/>
        <v xml:space="preserve"> </v>
      </c>
      <c r="O865" s="1163" t="str">
        <f t="shared" si="109"/>
        <v xml:space="preserve"> </v>
      </c>
      <c r="Q865">
        <f t="shared" si="110"/>
        <v>0</v>
      </c>
      <c r="R865">
        <f t="shared" si="111"/>
        <v>0</v>
      </c>
    </row>
    <row r="866" spans="2:18" x14ac:dyDescent="0.15">
      <c r="B866" s="1157"/>
      <c r="C866" s="1158"/>
      <c r="D866" s="897"/>
      <c r="E866" s="1159" t="str">
        <f t="shared" si="106"/>
        <v xml:space="preserve"> </v>
      </c>
      <c r="G866" s="1160" t="str">
        <f t="shared" si="107"/>
        <v xml:space="preserve"> </v>
      </c>
      <c r="H866" s="1149"/>
      <c r="I866">
        <f t="shared" si="104"/>
        <v>0</v>
      </c>
      <c r="K866">
        <f t="shared" si="105"/>
        <v>0</v>
      </c>
      <c r="L866" s="1161"/>
      <c r="N866" s="1162" t="str">
        <f t="shared" si="108"/>
        <v xml:space="preserve"> </v>
      </c>
      <c r="O866" s="1163" t="str">
        <f t="shared" si="109"/>
        <v xml:space="preserve"> </v>
      </c>
      <c r="Q866">
        <f t="shared" si="110"/>
        <v>0</v>
      </c>
      <c r="R866">
        <f t="shared" si="111"/>
        <v>0</v>
      </c>
    </row>
    <row r="867" spans="2:18" x14ac:dyDescent="0.15">
      <c r="B867" s="1157"/>
      <c r="C867" s="1158"/>
      <c r="D867" s="897"/>
      <c r="E867" s="1159" t="str">
        <f t="shared" si="106"/>
        <v xml:space="preserve"> </v>
      </c>
      <c r="G867" s="1160" t="str">
        <f t="shared" si="107"/>
        <v xml:space="preserve"> </v>
      </c>
      <c r="H867" s="1149"/>
      <c r="I867">
        <f t="shared" si="104"/>
        <v>0</v>
      </c>
      <c r="K867">
        <f t="shared" si="105"/>
        <v>0</v>
      </c>
      <c r="L867" s="1161"/>
      <c r="N867" s="1162" t="str">
        <f t="shared" si="108"/>
        <v xml:space="preserve"> </v>
      </c>
      <c r="O867" s="1163" t="str">
        <f t="shared" si="109"/>
        <v xml:space="preserve"> </v>
      </c>
      <c r="Q867">
        <f t="shared" si="110"/>
        <v>0</v>
      </c>
      <c r="R867">
        <f t="shared" si="111"/>
        <v>0</v>
      </c>
    </row>
    <row r="868" spans="2:18" x14ac:dyDescent="0.15">
      <c r="B868" s="1157"/>
      <c r="C868" s="1158"/>
      <c r="D868" s="897"/>
      <c r="E868" s="1159" t="str">
        <f t="shared" si="106"/>
        <v xml:space="preserve"> </v>
      </c>
      <c r="G868" s="1160" t="str">
        <f t="shared" si="107"/>
        <v xml:space="preserve"> </v>
      </c>
      <c r="H868" s="1149"/>
      <c r="I868">
        <f t="shared" si="104"/>
        <v>0</v>
      </c>
      <c r="K868">
        <f t="shared" si="105"/>
        <v>0</v>
      </c>
      <c r="L868" s="1161"/>
      <c r="N868" s="1162" t="str">
        <f t="shared" si="108"/>
        <v xml:space="preserve"> </v>
      </c>
      <c r="O868" s="1163" t="str">
        <f t="shared" si="109"/>
        <v xml:space="preserve"> </v>
      </c>
      <c r="Q868">
        <f t="shared" si="110"/>
        <v>0</v>
      </c>
      <c r="R868">
        <f t="shared" si="111"/>
        <v>0</v>
      </c>
    </row>
    <row r="869" spans="2:18" x14ac:dyDescent="0.15">
      <c r="B869" s="1157"/>
      <c r="C869" s="1158"/>
      <c r="D869" s="897"/>
      <c r="E869" s="1159" t="str">
        <f t="shared" si="106"/>
        <v xml:space="preserve"> </v>
      </c>
      <c r="G869" s="1160" t="str">
        <f t="shared" si="107"/>
        <v xml:space="preserve"> </v>
      </c>
      <c r="H869" s="1149"/>
      <c r="I869">
        <f t="shared" si="104"/>
        <v>0</v>
      </c>
      <c r="K869">
        <f t="shared" si="105"/>
        <v>0</v>
      </c>
      <c r="L869" s="1161"/>
      <c r="N869" s="1162" t="str">
        <f t="shared" si="108"/>
        <v xml:space="preserve"> </v>
      </c>
      <c r="O869" s="1163" t="str">
        <f t="shared" si="109"/>
        <v xml:space="preserve"> </v>
      </c>
      <c r="Q869">
        <f t="shared" si="110"/>
        <v>0</v>
      </c>
      <c r="R869">
        <f t="shared" si="111"/>
        <v>0</v>
      </c>
    </row>
    <row r="870" spans="2:18" x14ac:dyDescent="0.15">
      <c r="B870" s="1157"/>
      <c r="C870" s="1158"/>
      <c r="D870" s="897"/>
      <c r="E870" s="1159" t="str">
        <f t="shared" si="106"/>
        <v xml:space="preserve"> </v>
      </c>
      <c r="G870" s="1160" t="str">
        <f t="shared" si="107"/>
        <v xml:space="preserve"> </v>
      </c>
      <c r="H870" s="1149"/>
      <c r="I870">
        <f t="shared" si="104"/>
        <v>0</v>
      </c>
      <c r="K870">
        <f t="shared" si="105"/>
        <v>0</v>
      </c>
      <c r="L870" s="1161"/>
      <c r="N870" s="1162" t="str">
        <f t="shared" si="108"/>
        <v xml:space="preserve"> </v>
      </c>
      <c r="O870" s="1163" t="str">
        <f t="shared" si="109"/>
        <v xml:space="preserve"> </v>
      </c>
      <c r="Q870">
        <f t="shared" si="110"/>
        <v>0</v>
      </c>
      <c r="R870">
        <f t="shared" si="111"/>
        <v>0</v>
      </c>
    </row>
    <row r="871" spans="2:18" x14ac:dyDescent="0.15">
      <c r="B871" s="1157"/>
      <c r="C871" s="1158"/>
      <c r="D871" s="897"/>
      <c r="E871" s="1159" t="str">
        <f t="shared" si="106"/>
        <v xml:space="preserve"> </v>
      </c>
      <c r="G871" s="1160" t="str">
        <f t="shared" si="107"/>
        <v xml:space="preserve"> </v>
      </c>
      <c r="H871" s="1149"/>
      <c r="I871">
        <f t="shared" si="104"/>
        <v>0</v>
      </c>
      <c r="K871">
        <f t="shared" si="105"/>
        <v>0</v>
      </c>
      <c r="L871" s="1161"/>
      <c r="N871" s="1162" t="str">
        <f t="shared" si="108"/>
        <v xml:space="preserve"> </v>
      </c>
      <c r="O871" s="1163" t="str">
        <f t="shared" si="109"/>
        <v xml:space="preserve"> </v>
      </c>
      <c r="Q871">
        <f t="shared" si="110"/>
        <v>0</v>
      </c>
      <c r="R871">
        <f t="shared" si="111"/>
        <v>0</v>
      </c>
    </row>
    <row r="872" spans="2:18" x14ac:dyDescent="0.15">
      <c r="B872" s="1157"/>
      <c r="C872" s="1158"/>
      <c r="D872" s="897"/>
      <c r="E872" s="1159" t="str">
        <f t="shared" si="106"/>
        <v xml:space="preserve"> </v>
      </c>
      <c r="G872" s="1160" t="str">
        <f t="shared" si="107"/>
        <v xml:space="preserve"> </v>
      </c>
      <c r="H872" s="1149"/>
      <c r="I872">
        <f t="shared" si="104"/>
        <v>0</v>
      </c>
      <c r="K872">
        <f t="shared" si="105"/>
        <v>0</v>
      </c>
      <c r="L872" s="1161"/>
      <c r="N872" s="1162" t="str">
        <f t="shared" si="108"/>
        <v xml:space="preserve"> </v>
      </c>
      <c r="O872" s="1163" t="str">
        <f t="shared" si="109"/>
        <v xml:space="preserve"> </v>
      </c>
      <c r="Q872">
        <f t="shared" si="110"/>
        <v>0</v>
      </c>
      <c r="R872">
        <f t="shared" si="111"/>
        <v>0</v>
      </c>
    </row>
    <row r="873" spans="2:18" x14ac:dyDescent="0.15">
      <c r="B873" s="1157"/>
      <c r="C873" s="1158"/>
      <c r="D873" s="897"/>
      <c r="E873" s="1159" t="str">
        <f t="shared" si="106"/>
        <v xml:space="preserve"> </v>
      </c>
      <c r="G873" s="1160" t="str">
        <f t="shared" si="107"/>
        <v xml:space="preserve"> </v>
      </c>
      <c r="H873" s="1149"/>
      <c r="I873">
        <f t="shared" si="104"/>
        <v>0</v>
      </c>
      <c r="K873">
        <f t="shared" si="105"/>
        <v>0</v>
      </c>
      <c r="L873" s="1161"/>
      <c r="N873" s="1162" t="str">
        <f t="shared" si="108"/>
        <v xml:space="preserve"> </v>
      </c>
      <c r="O873" s="1163" t="str">
        <f t="shared" si="109"/>
        <v xml:space="preserve"> </v>
      </c>
      <c r="Q873">
        <f t="shared" si="110"/>
        <v>0</v>
      </c>
      <c r="R873">
        <f t="shared" si="111"/>
        <v>0</v>
      </c>
    </row>
    <row r="874" spans="2:18" x14ac:dyDescent="0.15">
      <c r="B874" s="1157"/>
      <c r="C874" s="1158"/>
      <c r="D874" s="897"/>
      <c r="E874" s="1159" t="str">
        <f t="shared" si="106"/>
        <v xml:space="preserve"> </v>
      </c>
      <c r="G874" s="1160" t="str">
        <f t="shared" si="107"/>
        <v xml:space="preserve"> </v>
      </c>
      <c r="H874" s="1149"/>
      <c r="I874">
        <f t="shared" si="104"/>
        <v>0</v>
      </c>
      <c r="K874">
        <f t="shared" si="105"/>
        <v>0</v>
      </c>
      <c r="L874" s="1161"/>
      <c r="N874" s="1162" t="str">
        <f t="shared" si="108"/>
        <v xml:space="preserve"> </v>
      </c>
      <c r="O874" s="1163" t="str">
        <f t="shared" si="109"/>
        <v xml:space="preserve"> </v>
      </c>
      <c r="Q874">
        <f t="shared" si="110"/>
        <v>0</v>
      </c>
      <c r="R874">
        <f t="shared" si="111"/>
        <v>0</v>
      </c>
    </row>
    <row r="875" spans="2:18" x14ac:dyDescent="0.15">
      <c r="B875" s="1157"/>
      <c r="C875" s="1158"/>
      <c r="D875" s="897"/>
      <c r="E875" s="1159" t="str">
        <f t="shared" si="106"/>
        <v xml:space="preserve"> </v>
      </c>
      <c r="G875" s="1160" t="str">
        <f t="shared" si="107"/>
        <v xml:space="preserve"> </v>
      </c>
      <c r="H875" s="1149"/>
      <c r="I875">
        <f t="shared" si="104"/>
        <v>0</v>
      </c>
      <c r="K875">
        <f t="shared" si="105"/>
        <v>0</v>
      </c>
      <c r="L875" s="1161"/>
      <c r="N875" s="1162" t="str">
        <f t="shared" si="108"/>
        <v xml:space="preserve"> </v>
      </c>
      <c r="O875" s="1163" t="str">
        <f t="shared" si="109"/>
        <v xml:space="preserve"> </v>
      </c>
      <c r="Q875">
        <f t="shared" si="110"/>
        <v>0</v>
      </c>
      <c r="R875">
        <f t="shared" si="111"/>
        <v>0</v>
      </c>
    </row>
    <row r="876" spans="2:18" x14ac:dyDescent="0.15">
      <c r="B876" s="1157"/>
      <c r="C876" s="1158"/>
      <c r="D876" s="897"/>
      <c r="E876" s="1159" t="str">
        <f t="shared" si="106"/>
        <v xml:space="preserve"> </v>
      </c>
      <c r="G876" s="1160" t="str">
        <f t="shared" si="107"/>
        <v xml:space="preserve"> </v>
      </c>
      <c r="H876" s="1149"/>
      <c r="I876">
        <f t="shared" si="104"/>
        <v>0</v>
      </c>
      <c r="K876">
        <f t="shared" si="105"/>
        <v>0</v>
      </c>
      <c r="L876" s="1161"/>
      <c r="N876" s="1162" t="str">
        <f t="shared" si="108"/>
        <v xml:space="preserve"> </v>
      </c>
      <c r="O876" s="1163" t="str">
        <f t="shared" si="109"/>
        <v xml:space="preserve"> </v>
      </c>
      <c r="Q876">
        <f t="shared" si="110"/>
        <v>0</v>
      </c>
      <c r="R876">
        <f t="shared" si="111"/>
        <v>0</v>
      </c>
    </row>
    <row r="877" spans="2:18" x14ac:dyDescent="0.15">
      <c r="B877" s="1157"/>
      <c r="C877" s="1158"/>
      <c r="D877" s="897"/>
      <c r="E877" s="1159" t="str">
        <f t="shared" si="106"/>
        <v xml:space="preserve"> </v>
      </c>
      <c r="G877" s="1160" t="str">
        <f t="shared" si="107"/>
        <v xml:space="preserve"> </v>
      </c>
      <c r="H877" s="1149"/>
      <c r="I877">
        <f t="shared" si="104"/>
        <v>0</v>
      </c>
      <c r="K877">
        <f t="shared" si="105"/>
        <v>0</v>
      </c>
      <c r="L877" s="1161"/>
      <c r="N877" s="1162" t="str">
        <f t="shared" si="108"/>
        <v xml:space="preserve"> </v>
      </c>
      <c r="O877" s="1163" t="str">
        <f t="shared" si="109"/>
        <v xml:space="preserve"> </v>
      </c>
      <c r="Q877">
        <f t="shared" si="110"/>
        <v>0</v>
      </c>
      <c r="R877">
        <f t="shared" si="111"/>
        <v>0</v>
      </c>
    </row>
    <row r="878" spans="2:18" x14ac:dyDescent="0.15">
      <c r="B878" s="1157"/>
      <c r="C878" s="1158"/>
      <c r="D878" s="897"/>
      <c r="E878" s="1159" t="str">
        <f t="shared" si="106"/>
        <v xml:space="preserve"> </v>
      </c>
      <c r="G878" s="1160" t="str">
        <f t="shared" si="107"/>
        <v xml:space="preserve"> </v>
      </c>
      <c r="H878" s="1149"/>
      <c r="I878">
        <f t="shared" si="104"/>
        <v>0</v>
      </c>
      <c r="K878">
        <f t="shared" si="105"/>
        <v>0</v>
      </c>
      <c r="L878" s="1161"/>
      <c r="N878" s="1162" t="str">
        <f t="shared" si="108"/>
        <v xml:space="preserve"> </v>
      </c>
      <c r="O878" s="1163" t="str">
        <f t="shared" si="109"/>
        <v xml:space="preserve"> </v>
      </c>
      <c r="Q878">
        <f t="shared" si="110"/>
        <v>0</v>
      </c>
      <c r="R878">
        <f t="shared" si="111"/>
        <v>0</v>
      </c>
    </row>
    <row r="879" spans="2:18" x14ac:dyDescent="0.15">
      <c r="B879" s="1157"/>
      <c r="C879" s="1158"/>
      <c r="D879" s="897"/>
      <c r="E879" s="1159" t="str">
        <f t="shared" si="106"/>
        <v xml:space="preserve"> </v>
      </c>
      <c r="G879" s="1160" t="str">
        <f t="shared" si="107"/>
        <v xml:space="preserve"> </v>
      </c>
      <c r="H879" s="1149"/>
      <c r="I879">
        <f t="shared" si="104"/>
        <v>0</v>
      </c>
      <c r="K879">
        <f t="shared" si="105"/>
        <v>0</v>
      </c>
      <c r="L879" s="1161"/>
      <c r="N879" s="1162" t="str">
        <f t="shared" si="108"/>
        <v xml:space="preserve"> </v>
      </c>
      <c r="O879" s="1163" t="str">
        <f t="shared" si="109"/>
        <v xml:space="preserve"> </v>
      </c>
      <c r="Q879">
        <f t="shared" si="110"/>
        <v>0</v>
      </c>
      <c r="R879">
        <f t="shared" si="111"/>
        <v>0</v>
      </c>
    </row>
    <row r="880" spans="2:18" x14ac:dyDescent="0.15">
      <c r="B880" s="1157"/>
      <c r="C880" s="1158"/>
      <c r="D880" s="897"/>
      <c r="E880" s="1159" t="str">
        <f t="shared" si="106"/>
        <v xml:space="preserve"> </v>
      </c>
      <c r="G880" s="1160" t="str">
        <f t="shared" si="107"/>
        <v xml:space="preserve"> </v>
      </c>
      <c r="H880" s="1149"/>
      <c r="I880">
        <f t="shared" si="104"/>
        <v>0</v>
      </c>
      <c r="K880">
        <f t="shared" si="105"/>
        <v>0</v>
      </c>
      <c r="L880" s="1161"/>
      <c r="N880" s="1162" t="str">
        <f t="shared" si="108"/>
        <v xml:space="preserve"> </v>
      </c>
      <c r="O880" s="1163" t="str">
        <f t="shared" si="109"/>
        <v xml:space="preserve"> </v>
      </c>
      <c r="Q880">
        <f t="shared" si="110"/>
        <v>0</v>
      </c>
      <c r="R880">
        <f t="shared" si="111"/>
        <v>0</v>
      </c>
    </row>
    <row r="881" spans="2:18" x14ac:dyDescent="0.15">
      <c r="B881" s="1157"/>
      <c r="C881" s="1158"/>
      <c r="D881" s="897"/>
      <c r="E881" s="1159" t="str">
        <f t="shared" si="106"/>
        <v xml:space="preserve"> </v>
      </c>
      <c r="G881" s="1160" t="str">
        <f t="shared" si="107"/>
        <v xml:space="preserve"> </v>
      </c>
      <c r="H881" s="1149"/>
      <c r="I881">
        <f t="shared" si="104"/>
        <v>0</v>
      </c>
      <c r="K881">
        <f t="shared" si="105"/>
        <v>0</v>
      </c>
      <c r="L881" s="1161"/>
      <c r="N881" s="1162" t="str">
        <f t="shared" si="108"/>
        <v xml:space="preserve"> </v>
      </c>
      <c r="O881" s="1163" t="str">
        <f t="shared" si="109"/>
        <v xml:space="preserve"> </v>
      </c>
      <c r="Q881">
        <f t="shared" si="110"/>
        <v>0</v>
      </c>
      <c r="R881">
        <f t="shared" si="111"/>
        <v>0</v>
      </c>
    </row>
    <row r="882" spans="2:18" x14ac:dyDescent="0.15">
      <c r="B882" s="1157"/>
      <c r="C882" s="1158"/>
      <c r="D882" s="897"/>
      <c r="E882" s="1159" t="str">
        <f t="shared" si="106"/>
        <v xml:space="preserve"> </v>
      </c>
      <c r="G882" s="1160" t="str">
        <f t="shared" si="107"/>
        <v xml:space="preserve"> </v>
      </c>
      <c r="H882" s="1149"/>
      <c r="I882">
        <f t="shared" si="104"/>
        <v>0</v>
      </c>
      <c r="K882">
        <f t="shared" si="105"/>
        <v>0</v>
      </c>
      <c r="L882" s="1161"/>
      <c r="N882" s="1162" t="str">
        <f t="shared" si="108"/>
        <v xml:space="preserve"> </v>
      </c>
      <c r="O882" s="1163" t="str">
        <f t="shared" si="109"/>
        <v xml:space="preserve"> </v>
      </c>
      <c r="Q882">
        <f t="shared" si="110"/>
        <v>0</v>
      </c>
      <c r="R882">
        <f t="shared" si="111"/>
        <v>0</v>
      </c>
    </row>
    <row r="883" spans="2:18" x14ac:dyDescent="0.15">
      <c r="B883" s="1157"/>
      <c r="C883" s="1158"/>
      <c r="D883" s="897"/>
      <c r="E883" s="1159" t="str">
        <f t="shared" si="106"/>
        <v xml:space="preserve"> </v>
      </c>
      <c r="G883" s="1160" t="str">
        <f t="shared" si="107"/>
        <v xml:space="preserve"> </v>
      </c>
      <c r="H883" s="1149"/>
      <c r="I883">
        <f t="shared" si="104"/>
        <v>0</v>
      </c>
      <c r="K883">
        <f t="shared" si="105"/>
        <v>0</v>
      </c>
      <c r="L883" s="1161"/>
      <c r="N883" s="1162" t="str">
        <f t="shared" si="108"/>
        <v xml:space="preserve"> </v>
      </c>
      <c r="O883" s="1163" t="str">
        <f t="shared" si="109"/>
        <v xml:space="preserve"> </v>
      </c>
      <c r="Q883">
        <f t="shared" si="110"/>
        <v>0</v>
      </c>
      <c r="R883">
        <f t="shared" si="111"/>
        <v>0</v>
      </c>
    </row>
    <row r="884" spans="2:18" x14ac:dyDescent="0.15">
      <c r="B884" s="1157"/>
      <c r="C884" s="1158"/>
      <c r="D884" s="897"/>
      <c r="E884" s="1159" t="str">
        <f t="shared" si="106"/>
        <v xml:space="preserve"> </v>
      </c>
      <c r="G884" s="1160" t="str">
        <f t="shared" si="107"/>
        <v xml:space="preserve"> </v>
      </c>
      <c r="H884" s="1149"/>
      <c r="I884">
        <f t="shared" si="104"/>
        <v>0</v>
      </c>
      <c r="K884">
        <f t="shared" si="105"/>
        <v>0</v>
      </c>
      <c r="L884" s="1161"/>
      <c r="N884" s="1162" t="str">
        <f t="shared" si="108"/>
        <v xml:space="preserve"> </v>
      </c>
      <c r="O884" s="1163" t="str">
        <f t="shared" si="109"/>
        <v xml:space="preserve"> </v>
      </c>
      <c r="Q884">
        <f t="shared" si="110"/>
        <v>0</v>
      </c>
      <c r="R884">
        <f t="shared" si="111"/>
        <v>0</v>
      </c>
    </row>
    <row r="885" spans="2:18" x14ac:dyDescent="0.15">
      <c r="B885" s="1157"/>
      <c r="C885" s="1158"/>
      <c r="D885" s="897"/>
      <c r="E885" s="1159" t="str">
        <f t="shared" si="106"/>
        <v xml:space="preserve"> </v>
      </c>
      <c r="G885" s="1160" t="str">
        <f t="shared" si="107"/>
        <v xml:space="preserve"> </v>
      </c>
      <c r="H885" s="1149"/>
      <c r="I885">
        <f t="shared" si="104"/>
        <v>0</v>
      </c>
      <c r="K885">
        <f t="shared" si="105"/>
        <v>0</v>
      </c>
      <c r="L885" s="1161"/>
      <c r="N885" s="1162" t="str">
        <f t="shared" si="108"/>
        <v xml:space="preserve"> </v>
      </c>
      <c r="O885" s="1163" t="str">
        <f t="shared" si="109"/>
        <v xml:space="preserve"> </v>
      </c>
      <c r="Q885">
        <f t="shared" si="110"/>
        <v>0</v>
      </c>
      <c r="R885">
        <f t="shared" si="111"/>
        <v>0</v>
      </c>
    </row>
    <row r="886" spans="2:18" x14ac:dyDescent="0.15">
      <c r="B886" s="1157"/>
      <c r="C886" s="1158"/>
      <c r="D886" s="897"/>
      <c r="E886" s="1159" t="str">
        <f t="shared" si="106"/>
        <v xml:space="preserve"> </v>
      </c>
      <c r="G886" s="1160" t="str">
        <f t="shared" si="107"/>
        <v xml:space="preserve"> </v>
      </c>
      <c r="H886" s="1149"/>
      <c r="I886">
        <f t="shared" si="104"/>
        <v>0</v>
      </c>
      <c r="K886">
        <f t="shared" si="105"/>
        <v>0</v>
      </c>
      <c r="L886" s="1161"/>
      <c r="N886" s="1162" t="str">
        <f t="shared" si="108"/>
        <v xml:space="preserve"> </v>
      </c>
      <c r="O886" s="1163" t="str">
        <f t="shared" si="109"/>
        <v xml:space="preserve"> </v>
      </c>
      <c r="Q886">
        <f t="shared" si="110"/>
        <v>0</v>
      </c>
      <c r="R886">
        <f t="shared" si="111"/>
        <v>0</v>
      </c>
    </row>
    <row r="887" spans="2:18" x14ac:dyDescent="0.15">
      <c r="B887" s="1157"/>
      <c r="C887" s="1158"/>
      <c r="D887" s="897"/>
      <c r="E887" s="1159" t="str">
        <f t="shared" si="106"/>
        <v xml:space="preserve"> </v>
      </c>
      <c r="G887" s="1160" t="str">
        <f t="shared" si="107"/>
        <v xml:space="preserve"> </v>
      </c>
      <c r="H887" s="1149"/>
      <c r="I887">
        <f t="shared" si="104"/>
        <v>0</v>
      </c>
      <c r="K887">
        <f t="shared" si="105"/>
        <v>0</v>
      </c>
      <c r="L887" s="1161"/>
      <c r="N887" s="1162" t="str">
        <f t="shared" si="108"/>
        <v xml:space="preserve"> </v>
      </c>
      <c r="O887" s="1163" t="str">
        <f t="shared" si="109"/>
        <v xml:space="preserve"> </v>
      </c>
      <c r="Q887">
        <f t="shared" si="110"/>
        <v>0</v>
      </c>
      <c r="R887">
        <f t="shared" si="111"/>
        <v>0</v>
      </c>
    </row>
    <row r="888" spans="2:18" x14ac:dyDescent="0.15">
      <c r="B888" s="1157"/>
      <c r="C888" s="1158"/>
      <c r="D888" s="897"/>
      <c r="E888" s="1159" t="str">
        <f t="shared" si="106"/>
        <v xml:space="preserve"> </v>
      </c>
      <c r="G888" s="1160" t="str">
        <f t="shared" si="107"/>
        <v xml:space="preserve"> </v>
      </c>
      <c r="H888" s="1149"/>
      <c r="I888">
        <f t="shared" si="104"/>
        <v>0</v>
      </c>
      <c r="K888">
        <f t="shared" si="105"/>
        <v>0</v>
      </c>
      <c r="L888" s="1161"/>
      <c r="N888" s="1162" t="str">
        <f t="shared" si="108"/>
        <v xml:space="preserve"> </v>
      </c>
      <c r="O888" s="1163" t="str">
        <f t="shared" si="109"/>
        <v xml:space="preserve"> </v>
      </c>
      <c r="Q888">
        <f t="shared" si="110"/>
        <v>0</v>
      </c>
      <c r="R888">
        <f t="shared" si="111"/>
        <v>0</v>
      </c>
    </row>
    <row r="889" spans="2:18" x14ac:dyDescent="0.15">
      <c r="B889" s="1157"/>
      <c r="C889" s="1158"/>
      <c r="D889" s="897"/>
      <c r="E889" s="1159" t="str">
        <f t="shared" si="106"/>
        <v xml:space="preserve"> </v>
      </c>
      <c r="G889" s="1160" t="str">
        <f t="shared" si="107"/>
        <v xml:space="preserve"> </v>
      </c>
      <c r="H889" s="1149"/>
      <c r="I889">
        <f t="shared" si="104"/>
        <v>0</v>
      </c>
      <c r="K889">
        <f t="shared" si="105"/>
        <v>0</v>
      </c>
      <c r="L889" s="1161"/>
      <c r="N889" s="1162" t="str">
        <f t="shared" si="108"/>
        <v xml:space="preserve"> </v>
      </c>
      <c r="O889" s="1163" t="str">
        <f t="shared" si="109"/>
        <v xml:space="preserve"> </v>
      </c>
      <c r="Q889">
        <f t="shared" si="110"/>
        <v>0</v>
      </c>
      <c r="R889">
        <f t="shared" si="111"/>
        <v>0</v>
      </c>
    </row>
    <row r="890" spans="2:18" x14ac:dyDescent="0.15">
      <c r="B890" s="1157"/>
      <c r="C890" s="1158"/>
      <c r="D890" s="897"/>
      <c r="E890" s="1159" t="str">
        <f t="shared" si="106"/>
        <v xml:space="preserve"> </v>
      </c>
      <c r="G890" s="1160" t="str">
        <f t="shared" si="107"/>
        <v xml:space="preserve"> </v>
      </c>
      <c r="H890" s="1149"/>
      <c r="I890">
        <f t="shared" si="104"/>
        <v>0</v>
      </c>
      <c r="K890">
        <f t="shared" si="105"/>
        <v>0</v>
      </c>
      <c r="L890" s="1161"/>
      <c r="N890" s="1162" t="str">
        <f t="shared" si="108"/>
        <v xml:space="preserve"> </v>
      </c>
      <c r="O890" s="1163" t="str">
        <f t="shared" si="109"/>
        <v xml:space="preserve"> </v>
      </c>
      <c r="Q890">
        <f t="shared" si="110"/>
        <v>0</v>
      </c>
      <c r="R890">
        <f t="shared" si="111"/>
        <v>0</v>
      </c>
    </row>
    <row r="891" spans="2:18" x14ac:dyDescent="0.15">
      <c r="B891" s="1157"/>
      <c r="C891" s="1158"/>
      <c r="D891" s="897"/>
      <c r="E891" s="1159" t="str">
        <f t="shared" si="106"/>
        <v xml:space="preserve"> </v>
      </c>
      <c r="G891" s="1160" t="str">
        <f t="shared" si="107"/>
        <v xml:space="preserve"> </v>
      </c>
      <c r="H891" s="1149"/>
      <c r="I891">
        <f t="shared" si="104"/>
        <v>0</v>
      </c>
      <c r="K891">
        <f t="shared" si="105"/>
        <v>0</v>
      </c>
      <c r="L891" s="1161"/>
      <c r="N891" s="1162" t="str">
        <f t="shared" si="108"/>
        <v xml:space="preserve"> </v>
      </c>
      <c r="O891" s="1163" t="str">
        <f t="shared" si="109"/>
        <v xml:space="preserve"> </v>
      </c>
      <c r="Q891">
        <f t="shared" si="110"/>
        <v>0</v>
      </c>
      <c r="R891">
        <f t="shared" si="111"/>
        <v>0</v>
      </c>
    </row>
    <row r="892" spans="2:18" x14ac:dyDescent="0.15">
      <c r="B892" s="1157"/>
      <c r="C892" s="1158"/>
      <c r="D892" s="897"/>
      <c r="E892" s="1159" t="str">
        <f t="shared" si="106"/>
        <v xml:space="preserve"> </v>
      </c>
      <c r="G892" s="1160" t="str">
        <f t="shared" si="107"/>
        <v xml:space="preserve"> </v>
      </c>
      <c r="H892" s="1149"/>
      <c r="I892">
        <f t="shared" si="104"/>
        <v>0</v>
      </c>
      <c r="K892">
        <f t="shared" si="105"/>
        <v>0</v>
      </c>
      <c r="L892" s="1161"/>
      <c r="N892" s="1162" t="str">
        <f t="shared" si="108"/>
        <v xml:space="preserve"> </v>
      </c>
      <c r="O892" s="1163" t="str">
        <f t="shared" si="109"/>
        <v xml:space="preserve"> </v>
      </c>
      <c r="Q892">
        <f t="shared" si="110"/>
        <v>0</v>
      </c>
      <c r="R892">
        <f t="shared" si="111"/>
        <v>0</v>
      </c>
    </row>
    <row r="893" spans="2:18" x14ac:dyDescent="0.15">
      <c r="B893" s="1157"/>
      <c r="C893" s="1158"/>
      <c r="D893" s="897"/>
      <c r="E893" s="1159" t="str">
        <f t="shared" si="106"/>
        <v xml:space="preserve"> </v>
      </c>
      <c r="G893" s="1160" t="str">
        <f t="shared" si="107"/>
        <v xml:space="preserve"> </v>
      </c>
      <c r="H893" s="1149"/>
      <c r="I893">
        <f t="shared" si="104"/>
        <v>0</v>
      </c>
      <c r="K893">
        <f t="shared" si="105"/>
        <v>0</v>
      </c>
      <c r="L893" s="1161"/>
      <c r="N893" s="1162" t="str">
        <f t="shared" si="108"/>
        <v xml:space="preserve"> </v>
      </c>
      <c r="O893" s="1163" t="str">
        <f t="shared" si="109"/>
        <v xml:space="preserve"> </v>
      </c>
      <c r="Q893">
        <f t="shared" si="110"/>
        <v>0</v>
      </c>
      <c r="R893">
        <f t="shared" si="111"/>
        <v>0</v>
      </c>
    </row>
    <row r="894" spans="2:18" x14ac:dyDescent="0.15">
      <c r="B894" s="1157"/>
      <c r="C894" s="1158"/>
      <c r="D894" s="897"/>
      <c r="E894" s="1159" t="str">
        <f t="shared" si="106"/>
        <v xml:space="preserve"> </v>
      </c>
      <c r="G894" s="1160" t="str">
        <f t="shared" si="107"/>
        <v xml:space="preserve"> </v>
      </c>
      <c r="H894" s="1149"/>
      <c r="I894">
        <f t="shared" si="104"/>
        <v>0</v>
      </c>
      <c r="K894">
        <f t="shared" si="105"/>
        <v>0</v>
      </c>
      <c r="L894" s="1161"/>
      <c r="N894" s="1162" t="str">
        <f t="shared" si="108"/>
        <v xml:space="preserve"> </v>
      </c>
      <c r="O894" s="1163" t="str">
        <f t="shared" si="109"/>
        <v xml:space="preserve"> </v>
      </c>
      <c r="Q894">
        <f t="shared" si="110"/>
        <v>0</v>
      </c>
      <c r="R894">
        <f t="shared" si="111"/>
        <v>0</v>
      </c>
    </row>
    <row r="895" spans="2:18" x14ac:dyDescent="0.15">
      <c r="B895" s="1157"/>
      <c r="C895" s="1158"/>
      <c r="D895" s="897"/>
      <c r="E895" s="1159" t="str">
        <f t="shared" si="106"/>
        <v xml:space="preserve"> </v>
      </c>
      <c r="G895" s="1160" t="str">
        <f t="shared" si="107"/>
        <v xml:space="preserve"> </v>
      </c>
      <c r="H895" s="1149"/>
      <c r="I895">
        <f t="shared" si="104"/>
        <v>0</v>
      </c>
      <c r="K895">
        <f t="shared" si="105"/>
        <v>0</v>
      </c>
      <c r="L895" s="1161"/>
      <c r="N895" s="1162" t="str">
        <f t="shared" si="108"/>
        <v xml:space="preserve"> </v>
      </c>
      <c r="O895" s="1163" t="str">
        <f t="shared" si="109"/>
        <v xml:space="preserve"> </v>
      </c>
      <c r="Q895">
        <f t="shared" si="110"/>
        <v>0</v>
      </c>
      <c r="R895">
        <f t="shared" si="111"/>
        <v>0</v>
      </c>
    </row>
    <row r="896" spans="2:18" x14ac:dyDescent="0.15">
      <c r="B896" s="1157"/>
      <c r="C896" s="1158"/>
      <c r="D896" s="897"/>
      <c r="E896" s="1159" t="str">
        <f t="shared" si="106"/>
        <v xml:space="preserve"> </v>
      </c>
      <c r="G896" s="1160" t="str">
        <f t="shared" si="107"/>
        <v xml:space="preserve"> </v>
      </c>
      <c r="H896" s="1149"/>
      <c r="I896">
        <f t="shared" si="104"/>
        <v>0</v>
      </c>
      <c r="K896">
        <f t="shared" si="105"/>
        <v>0</v>
      </c>
      <c r="L896" s="1161"/>
      <c r="N896" s="1162" t="str">
        <f t="shared" si="108"/>
        <v xml:space="preserve"> </v>
      </c>
      <c r="O896" s="1163" t="str">
        <f t="shared" si="109"/>
        <v xml:space="preserve"> </v>
      </c>
      <c r="Q896">
        <f t="shared" si="110"/>
        <v>0</v>
      </c>
      <c r="R896">
        <f t="shared" si="111"/>
        <v>0</v>
      </c>
    </row>
    <row r="897" spans="2:18" x14ac:dyDescent="0.15">
      <c r="B897" s="1157"/>
      <c r="C897" s="1158"/>
      <c r="D897" s="897"/>
      <c r="E897" s="1159" t="str">
        <f t="shared" si="106"/>
        <v xml:space="preserve"> </v>
      </c>
      <c r="G897" s="1160" t="str">
        <f t="shared" si="107"/>
        <v xml:space="preserve"> </v>
      </c>
      <c r="H897" s="1149"/>
      <c r="I897">
        <f t="shared" si="104"/>
        <v>0</v>
      </c>
      <c r="K897">
        <f t="shared" si="105"/>
        <v>0</v>
      </c>
      <c r="L897" s="1161"/>
      <c r="N897" s="1162" t="str">
        <f t="shared" si="108"/>
        <v xml:space="preserve"> </v>
      </c>
      <c r="O897" s="1163" t="str">
        <f t="shared" si="109"/>
        <v xml:space="preserve"> </v>
      </c>
      <c r="Q897">
        <f t="shared" si="110"/>
        <v>0</v>
      </c>
      <c r="R897">
        <f t="shared" si="111"/>
        <v>0</v>
      </c>
    </row>
    <row r="898" spans="2:18" x14ac:dyDescent="0.15">
      <c r="B898" s="1157"/>
      <c r="C898" s="1158"/>
      <c r="D898" s="897"/>
      <c r="E898" s="1159" t="str">
        <f t="shared" si="106"/>
        <v xml:space="preserve"> </v>
      </c>
      <c r="G898" s="1160" t="str">
        <f t="shared" si="107"/>
        <v xml:space="preserve"> </v>
      </c>
      <c r="H898" s="1149"/>
      <c r="I898">
        <f t="shared" si="104"/>
        <v>0</v>
      </c>
      <c r="K898">
        <f t="shared" si="105"/>
        <v>0</v>
      </c>
      <c r="L898" s="1161"/>
      <c r="N898" s="1162" t="str">
        <f t="shared" si="108"/>
        <v xml:space="preserve"> </v>
      </c>
      <c r="O898" s="1163" t="str">
        <f t="shared" si="109"/>
        <v xml:space="preserve"> </v>
      </c>
      <c r="Q898">
        <f t="shared" si="110"/>
        <v>0</v>
      </c>
      <c r="R898">
        <f t="shared" si="111"/>
        <v>0</v>
      </c>
    </row>
    <row r="899" spans="2:18" x14ac:dyDescent="0.15">
      <c r="B899" s="1157"/>
      <c r="C899" s="1158"/>
      <c r="D899" s="897"/>
      <c r="E899" s="1159" t="str">
        <f t="shared" si="106"/>
        <v xml:space="preserve"> </v>
      </c>
      <c r="G899" s="1160" t="str">
        <f t="shared" si="107"/>
        <v xml:space="preserve"> </v>
      </c>
      <c r="H899" s="1149"/>
      <c r="I899">
        <f t="shared" si="104"/>
        <v>0</v>
      </c>
      <c r="K899">
        <f t="shared" si="105"/>
        <v>0</v>
      </c>
      <c r="L899" s="1161"/>
      <c r="N899" s="1162" t="str">
        <f t="shared" si="108"/>
        <v xml:space="preserve"> </v>
      </c>
      <c r="O899" s="1163" t="str">
        <f t="shared" si="109"/>
        <v xml:space="preserve"> </v>
      </c>
      <c r="Q899">
        <f t="shared" si="110"/>
        <v>0</v>
      </c>
      <c r="R899">
        <f t="shared" si="111"/>
        <v>0</v>
      </c>
    </row>
    <row r="900" spans="2:18" x14ac:dyDescent="0.15">
      <c r="B900" s="1157"/>
      <c r="C900" s="1158"/>
      <c r="D900" s="897"/>
      <c r="E900" s="1159" t="str">
        <f t="shared" si="106"/>
        <v xml:space="preserve"> </v>
      </c>
      <c r="G900" s="1160" t="str">
        <f t="shared" si="107"/>
        <v xml:space="preserve"> </v>
      </c>
      <c r="H900" s="1149"/>
      <c r="I900">
        <f t="shared" si="104"/>
        <v>0</v>
      </c>
      <c r="K900">
        <f t="shared" si="105"/>
        <v>0</v>
      </c>
      <c r="L900" s="1161"/>
      <c r="N900" s="1162" t="str">
        <f t="shared" si="108"/>
        <v xml:space="preserve"> </v>
      </c>
      <c r="O900" s="1163" t="str">
        <f t="shared" si="109"/>
        <v xml:space="preserve"> </v>
      </c>
      <c r="Q900">
        <f t="shared" si="110"/>
        <v>0</v>
      </c>
      <c r="R900">
        <f t="shared" si="111"/>
        <v>0</v>
      </c>
    </row>
    <row r="901" spans="2:18" x14ac:dyDescent="0.15">
      <c r="B901" s="1157"/>
      <c r="C901" s="1158"/>
      <c r="D901" s="897"/>
      <c r="E901" s="1159" t="str">
        <f t="shared" si="106"/>
        <v xml:space="preserve"> </v>
      </c>
      <c r="G901" s="1160" t="str">
        <f t="shared" si="107"/>
        <v xml:space="preserve"> </v>
      </c>
      <c r="H901" s="1149"/>
      <c r="I901">
        <f t="shared" si="104"/>
        <v>0</v>
      </c>
      <c r="K901">
        <f t="shared" si="105"/>
        <v>0</v>
      </c>
      <c r="L901" s="1161"/>
      <c r="N901" s="1162" t="str">
        <f t="shared" si="108"/>
        <v xml:space="preserve"> </v>
      </c>
      <c r="O901" s="1163" t="str">
        <f t="shared" si="109"/>
        <v xml:space="preserve"> </v>
      </c>
      <c r="Q901">
        <f t="shared" si="110"/>
        <v>0</v>
      </c>
      <c r="R901">
        <f t="shared" si="111"/>
        <v>0</v>
      </c>
    </row>
    <row r="902" spans="2:18" x14ac:dyDescent="0.15">
      <c r="B902" s="1157"/>
      <c r="C902" s="1158"/>
      <c r="D902" s="897"/>
      <c r="E902" s="1159" t="str">
        <f t="shared" si="106"/>
        <v xml:space="preserve"> </v>
      </c>
      <c r="G902" s="1160" t="str">
        <f t="shared" si="107"/>
        <v xml:space="preserve"> </v>
      </c>
      <c r="H902" s="1149"/>
      <c r="I902">
        <f t="shared" si="104"/>
        <v>0</v>
      </c>
      <c r="K902">
        <f t="shared" si="105"/>
        <v>0</v>
      </c>
      <c r="L902" s="1161"/>
      <c r="N902" s="1162" t="str">
        <f t="shared" si="108"/>
        <v xml:space="preserve"> </v>
      </c>
      <c r="O902" s="1163" t="str">
        <f t="shared" si="109"/>
        <v xml:space="preserve"> </v>
      </c>
      <c r="Q902">
        <f t="shared" si="110"/>
        <v>0</v>
      </c>
      <c r="R902">
        <f t="shared" si="111"/>
        <v>0</v>
      </c>
    </row>
    <row r="903" spans="2:18" x14ac:dyDescent="0.15">
      <c r="B903" s="1157"/>
      <c r="C903" s="1158"/>
      <c r="D903" s="897"/>
      <c r="E903" s="1159" t="str">
        <f t="shared" si="106"/>
        <v xml:space="preserve"> </v>
      </c>
      <c r="G903" s="1160" t="str">
        <f t="shared" si="107"/>
        <v xml:space="preserve"> </v>
      </c>
      <c r="H903" s="1149"/>
      <c r="I903">
        <f t="shared" si="104"/>
        <v>0</v>
      </c>
      <c r="K903">
        <f t="shared" si="105"/>
        <v>0</v>
      </c>
      <c r="L903" s="1161"/>
      <c r="N903" s="1162" t="str">
        <f t="shared" si="108"/>
        <v xml:space="preserve"> </v>
      </c>
      <c r="O903" s="1163" t="str">
        <f t="shared" si="109"/>
        <v xml:space="preserve"> </v>
      </c>
      <c r="Q903">
        <f t="shared" si="110"/>
        <v>0</v>
      </c>
      <c r="R903">
        <f t="shared" si="111"/>
        <v>0</v>
      </c>
    </row>
    <row r="904" spans="2:18" x14ac:dyDescent="0.15">
      <c r="B904" s="1157"/>
      <c r="C904" s="1158"/>
      <c r="D904" s="897"/>
      <c r="E904" s="1159" t="str">
        <f t="shared" si="106"/>
        <v xml:space="preserve"> </v>
      </c>
      <c r="G904" s="1160" t="str">
        <f t="shared" si="107"/>
        <v xml:space="preserve"> </v>
      </c>
      <c r="H904" s="1149"/>
      <c r="I904">
        <f t="shared" ref="I904:I967" si="112">(J904+C904)/12</f>
        <v>0</v>
      </c>
      <c r="K904">
        <f t="shared" ref="K904:K967" si="113">I904+B904</f>
        <v>0</v>
      </c>
      <c r="L904" s="1161"/>
      <c r="N904" s="1162" t="str">
        <f t="shared" si="108"/>
        <v xml:space="preserve"> </v>
      </c>
      <c r="O904" s="1163" t="str">
        <f t="shared" si="109"/>
        <v xml:space="preserve"> </v>
      </c>
      <c r="Q904">
        <f t="shared" si="110"/>
        <v>0</v>
      </c>
      <c r="R904">
        <f t="shared" si="111"/>
        <v>0</v>
      </c>
    </row>
    <row r="905" spans="2:18" x14ac:dyDescent="0.15">
      <c r="B905" s="1157"/>
      <c r="C905" s="1158"/>
      <c r="D905" s="897"/>
      <c r="E905" s="1159" t="str">
        <f t="shared" si="106"/>
        <v xml:space="preserve"> </v>
      </c>
      <c r="G905" s="1160" t="str">
        <f t="shared" si="107"/>
        <v xml:space="preserve"> </v>
      </c>
      <c r="H905" s="1149"/>
      <c r="I905">
        <f t="shared" si="112"/>
        <v>0</v>
      </c>
      <c r="K905">
        <f t="shared" si="113"/>
        <v>0</v>
      </c>
      <c r="L905" s="1161"/>
      <c r="N905" s="1162" t="str">
        <f t="shared" si="108"/>
        <v xml:space="preserve"> </v>
      </c>
      <c r="O905" s="1163" t="str">
        <f t="shared" si="109"/>
        <v xml:space="preserve"> </v>
      </c>
      <c r="Q905">
        <f t="shared" si="110"/>
        <v>0</v>
      </c>
      <c r="R905">
        <f t="shared" si="111"/>
        <v>0</v>
      </c>
    </row>
    <row r="906" spans="2:18" x14ac:dyDescent="0.15">
      <c r="B906" s="1157"/>
      <c r="C906" s="1158"/>
      <c r="D906" s="897"/>
      <c r="E906" s="1159" t="str">
        <f t="shared" ref="E906:E969" si="114">IF(K906=0," ",IF(K906&gt;0,K906*12*25.4))</f>
        <v xml:space="preserve"> </v>
      </c>
      <c r="G906" s="1160" t="str">
        <f t="shared" ref="G906:G969" si="115">IF(K906=0," ",IF(K906&gt;0,E906/1000))</f>
        <v xml:space="preserve"> </v>
      </c>
      <c r="H906" s="1149"/>
      <c r="I906">
        <f t="shared" si="112"/>
        <v>0</v>
      </c>
      <c r="K906">
        <f t="shared" si="113"/>
        <v>0</v>
      </c>
      <c r="L906" s="1161"/>
      <c r="N906" s="1162" t="str">
        <f t="shared" ref="N906:N969" si="116">IF(R906=0," ",IF(R906&gt;0,TRUNC(R906)))</f>
        <v xml:space="preserve"> </v>
      </c>
      <c r="O906" s="1163" t="str">
        <f t="shared" ref="O906:O969" si="117">IF(R906=0," ",IF(R906&gt;0,(R906-N906)*12))</f>
        <v xml:space="preserve"> </v>
      </c>
      <c r="Q906">
        <f t="shared" ref="Q906:Q969" si="118">L906/25.4</f>
        <v>0</v>
      </c>
      <c r="R906">
        <f t="shared" ref="R906:R969" si="119">Q906/12</f>
        <v>0</v>
      </c>
    </row>
    <row r="907" spans="2:18" x14ac:dyDescent="0.15">
      <c r="B907" s="1157"/>
      <c r="C907" s="1158"/>
      <c r="D907" s="897"/>
      <c r="E907" s="1159" t="str">
        <f t="shared" si="114"/>
        <v xml:space="preserve"> </v>
      </c>
      <c r="G907" s="1160" t="str">
        <f t="shared" si="115"/>
        <v xml:space="preserve"> </v>
      </c>
      <c r="H907" s="1149"/>
      <c r="I907">
        <f t="shared" si="112"/>
        <v>0</v>
      </c>
      <c r="K907">
        <f t="shared" si="113"/>
        <v>0</v>
      </c>
      <c r="L907" s="1161"/>
      <c r="N907" s="1162" t="str">
        <f t="shared" si="116"/>
        <v xml:space="preserve"> </v>
      </c>
      <c r="O907" s="1163" t="str">
        <f t="shared" si="117"/>
        <v xml:space="preserve"> </v>
      </c>
      <c r="Q907">
        <f t="shared" si="118"/>
        <v>0</v>
      </c>
      <c r="R907">
        <f t="shared" si="119"/>
        <v>0</v>
      </c>
    </row>
    <row r="908" spans="2:18" x14ac:dyDescent="0.15">
      <c r="B908" s="1157"/>
      <c r="C908" s="1158"/>
      <c r="D908" s="897"/>
      <c r="E908" s="1159" t="str">
        <f t="shared" si="114"/>
        <v xml:space="preserve"> </v>
      </c>
      <c r="G908" s="1160" t="str">
        <f t="shared" si="115"/>
        <v xml:space="preserve"> </v>
      </c>
      <c r="H908" s="1149"/>
      <c r="I908">
        <f t="shared" si="112"/>
        <v>0</v>
      </c>
      <c r="K908">
        <f t="shared" si="113"/>
        <v>0</v>
      </c>
      <c r="L908" s="1161"/>
      <c r="N908" s="1162" t="str">
        <f t="shared" si="116"/>
        <v xml:space="preserve"> </v>
      </c>
      <c r="O908" s="1163" t="str">
        <f t="shared" si="117"/>
        <v xml:space="preserve"> </v>
      </c>
      <c r="Q908">
        <f t="shared" si="118"/>
        <v>0</v>
      </c>
      <c r="R908">
        <f t="shared" si="119"/>
        <v>0</v>
      </c>
    </row>
    <row r="909" spans="2:18" x14ac:dyDescent="0.15">
      <c r="B909" s="1157"/>
      <c r="C909" s="1158"/>
      <c r="D909" s="897"/>
      <c r="E909" s="1159" t="str">
        <f t="shared" si="114"/>
        <v xml:space="preserve"> </v>
      </c>
      <c r="G909" s="1160" t="str">
        <f t="shared" si="115"/>
        <v xml:space="preserve"> </v>
      </c>
      <c r="H909" s="1149"/>
      <c r="I909">
        <f t="shared" si="112"/>
        <v>0</v>
      </c>
      <c r="K909">
        <f t="shared" si="113"/>
        <v>0</v>
      </c>
      <c r="L909" s="1161"/>
      <c r="N909" s="1162" t="str">
        <f t="shared" si="116"/>
        <v xml:space="preserve"> </v>
      </c>
      <c r="O909" s="1163" t="str">
        <f t="shared" si="117"/>
        <v xml:space="preserve"> </v>
      </c>
      <c r="Q909">
        <f t="shared" si="118"/>
        <v>0</v>
      </c>
      <c r="R909">
        <f t="shared" si="119"/>
        <v>0</v>
      </c>
    </row>
    <row r="910" spans="2:18" x14ac:dyDescent="0.15">
      <c r="B910" s="1157"/>
      <c r="C910" s="1158"/>
      <c r="D910" s="897"/>
      <c r="E910" s="1159" t="str">
        <f t="shared" si="114"/>
        <v xml:space="preserve"> </v>
      </c>
      <c r="G910" s="1160" t="str">
        <f t="shared" si="115"/>
        <v xml:space="preserve"> </v>
      </c>
      <c r="H910" s="1149"/>
      <c r="I910">
        <f t="shared" si="112"/>
        <v>0</v>
      </c>
      <c r="K910">
        <f t="shared" si="113"/>
        <v>0</v>
      </c>
      <c r="L910" s="1161"/>
      <c r="N910" s="1162" t="str">
        <f t="shared" si="116"/>
        <v xml:space="preserve"> </v>
      </c>
      <c r="O910" s="1163" t="str">
        <f t="shared" si="117"/>
        <v xml:space="preserve"> </v>
      </c>
      <c r="Q910">
        <f t="shared" si="118"/>
        <v>0</v>
      </c>
      <c r="R910">
        <f t="shared" si="119"/>
        <v>0</v>
      </c>
    </row>
    <row r="911" spans="2:18" x14ac:dyDescent="0.15">
      <c r="B911" s="1157"/>
      <c r="C911" s="1158"/>
      <c r="D911" s="897"/>
      <c r="E911" s="1159" t="str">
        <f t="shared" si="114"/>
        <v xml:space="preserve"> </v>
      </c>
      <c r="G911" s="1160" t="str">
        <f t="shared" si="115"/>
        <v xml:space="preserve"> </v>
      </c>
      <c r="H911" s="1149"/>
      <c r="I911">
        <f t="shared" si="112"/>
        <v>0</v>
      </c>
      <c r="K911">
        <f t="shared" si="113"/>
        <v>0</v>
      </c>
      <c r="L911" s="1161"/>
      <c r="N911" s="1162" t="str">
        <f t="shared" si="116"/>
        <v xml:space="preserve"> </v>
      </c>
      <c r="O911" s="1163" t="str">
        <f t="shared" si="117"/>
        <v xml:space="preserve"> </v>
      </c>
      <c r="Q911">
        <f t="shared" si="118"/>
        <v>0</v>
      </c>
      <c r="R911">
        <f t="shared" si="119"/>
        <v>0</v>
      </c>
    </row>
    <row r="912" spans="2:18" x14ac:dyDescent="0.15">
      <c r="B912" s="1157"/>
      <c r="C912" s="1158"/>
      <c r="D912" s="897"/>
      <c r="E912" s="1159" t="str">
        <f t="shared" si="114"/>
        <v xml:space="preserve"> </v>
      </c>
      <c r="G912" s="1160" t="str">
        <f t="shared" si="115"/>
        <v xml:space="preserve"> </v>
      </c>
      <c r="H912" s="1149"/>
      <c r="I912">
        <f t="shared" si="112"/>
        <v>0</v>
      </c>
      <c r="K912">
        <f t="shared" si="113"/>
        <v>0</v>
      </c>
      <c r="L912" s="1161"/>
      <c r="N912" s="1162" t="str">
        <f t="shared" si="116"/>
        <v xml:space="preserve"> </v>
      </c>
      <c r="O912" s="1163" t="str">
        <f t="shared" si="117"/>
        <v xml:space="preserve"> </v>
      </c>
      <c r="Q912">
        <f t="shared" si="118"/>
        <v>0</v>
      </c>
      <c r="R912">
        <f t="shared" si="119"/>
        <v>0</v>
      </c>
    </row>
    <row r="913" spans="2:18" x14ac:dyDescent="0.15">
      <c r="B913" s="1157"/>
      <c r="C913" s="1158"/>
      <c r="D913" s="897"/>
      <c r="E913" s="1159" t="str">
        <f t="shared" si="114"/>
        <v xml:space="preserve"> </v>
      </c>
      <c r="G913" s="1160" t="str">
        <f t="shared" si="115"/>
        <v xml:space="preserve"> </v>
      </c>
      <c r="H913" s="1149"/>
      <c r="I913">
        <f t="shared" si="112"/>
        <v>0</v>
      </c>
      <c r="K913">
        <f t="shared" si="113"/>
        <v>0</v>
      </c>
      <c r="L913" s="1161"/>
      <c r="N913" s="1162" t="str">
        <f t="shared" si="116"/>
        <v xml:space="preserve"> </v>
      </c>
      <c r="O913" s="1163" t="str">
        <f t="shared" si="117"/>
        <v xml:space="preserve"> </v>
      </c>
      <c r="Q913">
        <f t="shared" si="118"/>
        <v>0</v>
      </c>
      <c r="R913">
        <f t="shared" si="119"/>
        <v>0</v>
      </c>
    </row>
    <row r="914" spans="2:18" x14ac:dyDescent="0.15">
      <c r="B914" s="1157"/>
      <c r="C914" s="1158"/>
      <c r="D914" s="897"/>
      <c r="E914" s="1159" t="str">
        <f t="shared" si="114"/>
        <v xml:space="preserve"> </v>
      </c>
      <c r="G914" s="1160" t="str">
        <f t="shared" si="115"/>
        <v xml:space="preserve"> </v>
      </c>
      <c r="H914" s="1149"/>
      <c r="I914">
        <f t="shared" si="112"/>
        <v>0</v>
      </c>
      <c r="K914">
        <f t="shared" si="113"/>
        <v>0</v>
      </c>
      <c r="L914" s="1161"/>
      <c r="N914" s="1162" t="str">
        <f t="shared" si="116"/>
        <v xml:space="preserve"> </v>
      </c>
      <c r="O914" s="1163" t="str">
        <f t="shared" si="117"/>
        <v xml:space="preserve"> </v>
      </c>
      <c r="Q914">
        <f t="shared" si="118"/>
        <v>0</v>
      </c>
      <c r="R914">
        <f t="shared" si="119"/>
        <v>0</v>
      </c>
    </row>
    <row r="915" spans="2:18" x14ac:dyDescent="0.15">
      <c r="B915" s="1157"/>
      <c r="C915" s="1158"/>
      <c r="D915" s="897"/>
      <c r="E915" s="1159" t="str">
        <f t="shared" si="114"/>
        <v xml:space="preserve"> </v>
      </c>
      <c r="G915" s="1160" t="str">
        <f t="shared" si="115"/>
        <v xml:space="preserve"> </v>
      </c>
      <c r="H915" s="1149"/>
      <c r="I915">
        <f t="shared" si="112"/>
        <v>0</v>
      </c>
      <c r="K915">
        <f t="shared" si="113"/>
        <v>0</v>
      </c>
      <c r="L915" s="1161"/>
      <c r="N915" s="1162" t="str">
        <f t="shared" si="116"/>
        <v xml:space="preserve"> </v>
      </c>
      <c r="O915" s="1163" t="str">
        <f t="shared" si="117"/>
        <v xml:space="preserve"> </v>
      </c>
      <c r="Q915">
        <f t="shared" si="118"/>
        <v>0</v>
      </c>
      <c r="R915">
        <f t="shared" si="119"/>
        <v>0</v>
      </c>
    </row>
    <row r="916" spans="2:18" x14ac:dyDescent="0.15">
      <c r="B916" s="1157"/>
      <c r="C916" s="1158"/>
      <c r="D916" s="897"/>
      <c r="E916" s="1159" t="str">
        <f t="shared" si="114"/>
        <v xml:space="preserve"> </v>
      </c>
      <c r="G916" s="1160" t="str">
        <f t="shared" si="115"/>
        <v xml:space="preserve"> </v>
      </c>
      <c r="H916" s="1149"/>
      <c r="I916">
        <f t="shared" si="112"/>
        <v>0</v>
      </c>
      <c r="K916">
        <f t="shared" si="113"/>
        <v>0</v>
      </c>
      <c r="L916" s="1161"/>
      <c r="N916" s="1162" t="str">
        <f t="shared" si="116"/>
        <v xml:space="preserve"> </v>
      </c>
      <c r="O916" s="1163" t="str">
        <f t="shared" si="117"/>
        <v xml:space="preserve"> </v>
      </c>
      <c r="Q916">
        <f t="shared" si="118"/>
        <v>0</v>
      </c>
      <c r="R916">
        <f t="shared" si="119"/>
        <v>0</v>
      </c>
    </row>
    <row r="917" spans="2:18" x14ac:dyDescent="0.15">
      <c r="B917" s="1157"/>
      <c r="C917" s="1158"/>
      <c r="D917" s="897"/>
      <c r="E917" s="1159" t="str">
        <f t="shared" si="114"/>
        <v xml:space="preserve"> </v>
      </c>
      <c r="G917" s="1160" t="str">
        <f t="shared" si="115"/>
        <v xml:space="preserve"> </v>
      </c>
      <c r="H917" s="1149"/>
      <c r="I917">
        <f t="shared" si="112"/>
        <v>0</v>
      </c>
      <c r="K917">
        <f t="shared" si="113"/>
        <v>0</v>
      </c>
      <c r="L917" s="1161"/>
      <c r="N917" s="1162" t="str">
        <f t="shared" si="116"/>
        <v xml:space="preserve"> </v>
      </c>
      <c r="O917" s="1163" t="str">
        <f t="shared" si="117"/>
        <v xml:space="preserve"> </v>
      </c>
      <c r="Q917">
        <f t="shared" si="118"/>
        <v>0</v>
      </c>
      <c r="R917">
        <f t="shared" si="119"/>
        <v>0</v>
      </c>
    </row>
    <row r="918" spans="2:18" x14ac:dyDescent="0.15">
      <c r="B918" s="1157"/>
      <c r="C918" s="1158"/>
      <c r="D918" s="897"/>
      <c r="E918" s="1159" t="str">
        <f t="shared" si="114"/>
        <v xml:space="preserve"> </v>
      </c>
      <c r="G918" s="1160" t="str">
        <f t="shared" si="115"/>
        <v xml:space="preserve"> </v>
      </c>
      <c r="H918" s="1149"/>
      <c r="I918">
        <f t="shared" si="112"/>
        <v>0</v>
      </c>
      <c r="K918">
        <f t="shared" si="113"/>
        <v>0</v>
      </c>
      <c r="L918" s="1161"/>
      <c r="N918" s="1162" t="str">
        <f t="shared" si="116"/>
        <v xml:space="preserve"> </v>
      </c>
      <c r="O918" s="1163" t="str">
        <f t="shared" si="117"/>
        <v xml:space="preserve"> </v>
      </c>
      <c r="Q918">
        <f t="shared" si="118"/>
        <v>0</v>
      </c>
      <c r="R918">
        <f t="shared" si="119"/>
        <v>0</v>
      </c>
    </row>
    <row r="919" spans="2:18" x14ac:dyDescent="0.15">
      <c r="B919" s="1157"/>
      <c r="C919" s="1158"/>
      <c r="D919" s="897"/>
      <c r="E919" s="1159" t="str">
        <f t="shared" si="114"/>
        <v xml:space="preserve"> </v>
      </c>
      <c r="G919" s="1160" t="str">
        <f t="shared" si="115"/>
        <v xml:space="preserve"> </v>
      </c>
      <c r="H919" s="1149"/>
      <c r="I919">
        <f t="shared" si="112"/>
        <v>0</v>
      </c>
      <c r="K919">
        <f t="shared" si="113"/>
        <v>0</v>
      </c>
      <c r="L919" s="1161"/>
      <c r="N919" s="1162" t="str">
        <f t="shared" si="116"/>
        <v xml:space="preserve"> </v>
      </c>
      <c r="O919" s="1163" t="str">
        <f t="shared" si="117"/>
        <v xml:space="preserve"> </v>
      </c>
      <c r="Q919">
        <f t="shared" si="118"/>
        <v>0</v>
      </c>
      <c r="R919">
        <f t="shared" si="119"/>
        <v>0</v>
      </c>
    </row>
    <row r="920" spans="2:18" x14ac:dyDescent="0.15">
      <c r="B920" s="1157"/>
      <c r="C920" s="1158"/>
      <c r="D920" s="897"/>
      <c r="E920" s="1159" t="str">
        <f t="shared" si="114"/>
        <v xml:space="preserve"> </v>
      </c>
      <c r="G920" s="1160" t="str">
        <f t="shared" si="115"/>
        <v xml:space="preserve"> </v>
      </c>
      <c r="H920" s="1149"/>
      <c r="I920">
        <f t="shared" si="112"/>
        <v>0</v>
      </c>
      <c r="K920">
        <f t="shared" si="113"/>
        <v>0</v>
      </c>
      <c r="L920" s="1161"/>
      <c r="N920" s="1162" t="str">
        <f t="shared" si="116"/>
        <v xml:space="preserve"> </v>
      </c>
      <c r="O920" s="1163" t="str">
        <f t="shared" si="117"/>
        <v xml:space="preserve"> </v>
      </c>
      <c r="Q920">
        <f t="shared" si="118"/>
        <v>0</v>
      </c>
      <c r="R920">
        <f t="shared" si="119"/>
        <v>0</v>
      </c>
    </row>
    <row r="921" spans="2:18" x14ac:dyDescent="0.15">
      <c r="B921" s="1157"/>
      <c r="C921" s="1158"/>
      <c r="D921" s="897"/>
      <c r="E921" s="1159" t="str">
        <f t="shared" si="114"/>
        <v xml:space="preserve"> </v>
      </c>
      <c r="G921" s="1160" t="str">
        <f t="shared" si="115"/>
        <v xml:space="preserve"> </v>
      </c>
      <c r="H921" s="1149"/>
      <c r="I921">
        <f t="shared" si="112"/>
        <v>0</v>
      </c>
      <c r="K921">
        <f t="shared" si="113"/>
        <v>0</v>
      </c>
      <c r="L921" s="1161"/>
      <c r="N921" s="1162" t="str">
        <f t="shared" si="116"/>
        <v xml:space="preserve"> </v>
      </c>
      <c r="O921" s="1163" t="str">
        <f t="shared" si="117"/>
        <v xml:space="preserve"> </v>
      </c>
      <c r="Q921">
        <f t="shared" si="118"/>
        <v>0</v>
      </c>
      <c r="R921">
        <f t="shared" si="119"/>
        <v>0</v>
      </c>
    </row>
    <row r="922" spans="2:18" x14ac:dyDescent="0.15">
      <c r="B922" s="1157"/>
      <c r="C922" s="1158"/>
      <c r="D922" s="897"/>
      <c r="E922" s="1159" t="str">
        <f t="shared" si="114"/>
        <v xml:space="preserve"> </v>
      </c>
      <c r="G922" s="1160" t="str">
        <f t="shared" si="115"/>
        <v xml:space="preserve"> </v>
      </c>
      <c r="H922" s="1149"/>
      <c r="I922">
        <f t="shared" si="112"/>
        <v>0</v>
      </c>
      <c r="K922">
        <f t="shared" si="113"/>
        <v>0</v>
      </c>
      <c r="L922" s="1161"/>
      <c r="N922" s="1162" t="str">
        <f t="shared" si="116"/>
        <v xml:space="preserve"> </v>
      </c>
      <c r="O922" s="1163" t="str">
        <f t="shared" si="117"/>
        <v xml:space="preserve"> </v>
      </c>
      <c r="Q922">
        <f t="shared" si="118"/>
        <v>0</v>
      </c>
      <c r="R922">
        <f t="shared" si="119"/>
        <v>0</v>
      </c>
    </row>
    <row r="923" spans="2:18" x14ac:dyDescent="0.15">
      <c r="B923" s="1157"/>
      <c r="C923" s="1158"/>
      <c r="D923" s="897"/>
      <c r="E923" s="1159" t="str">
        <f t="shared" si="114"/>
        <v xml:space="preserve"> </v>
      </c>
      <c r="G923" s="1160" t="str">
        <f t="shared" si="115"/>
        <v xml:space="preserve"> </v>
      </c>
      <c r="H923" s="1149"/>
      <c r="I923">
        <f t="shared" si="112"/>
        <v>0</v>
      </c>
      <c r="K923">
        <f t="shared" si="113"/>
        <v>0</v>
      </c>
      <c r="L923" s="1161"/>
      <c r="N923" s="1162" t="str">
        <f t="shared" si="116"/>
        <v xml:space="preserve"> </v>
      </c>
      <c r="O923" s="1163" t="str">
        <f t="shared" si="117"/>
        <v xml:space="preserve"> </v>
      </c>
      <c r="Q923">
        <f t="shared" si="118"/>
        <v>0</v>
      </c>
      <c r="R923">
        <f t="shared" si="119"/>
        <v>0</v>
      </c>
    </row>
    <row r="924" spans="2:18" x14ac:dyDescent="0.15">
      <c r="B924" s="1157"/>
      <c r="C924" s="1158"/>
      <c r="D924" s="897"/>
      <c r="E924" s="1159" t="str">
        <f t="shared" si="114"/>
        <v xml:space="preserve"> </v>
      </c>
      <c r="G924" s="1160" t="str">
        <f t="shared" si="115"/>
        <v xml:space="preserve"> </v>
      </c>
      <c r="H924" s="1149"/>
      <c r="I924">
        <f t="shared" si="112"/>
        <v>0</v>
      </c>
      <c r="K924">
        <f t="shared" si="113"/>
        <v>0</v>
      </c>
      <c r="L924" s="1161"/>
      <c r="N924" s="1162" t="str">
        <f t="shared" si="116"/>
        <v xml:space="preserve"> </v>
      </c>
      <c r="O924" s="1163" t="str">
        <f t="shared" si="117"/>
        <v xml:space="preserve"> </v>
      </c>
      <c r="Q924">
        <f t="shared" si="118"/>
        <v>0</v>
      </c>
      <c r="R924">
        <f t="shared" si="119"/>
        <v>0</v>
      </c>
    </row>
    <row r="925" spans="2:18" x14ac:dyDescent="0.15">
      <c r="B925" s="1157"/>
      <c r="C925" s="1158"/>
      <c r="D925" s="897"/>
      <c r="E925" s="1159" t="str">
        <f t="shared" si="114"/>
        <v xml:space="preserve"> </v>
      </c>
      <c r="G925" s="1160" t="str">
        <f t="shared" si="115"/>
        <v xml:space="preserve"> </v>
      </c>
      <c r="H925" s="1149"/>
      <c r="I925">
        <f t="shared" si="112"/>
        <v>0</v>
      </c>
      <c r="K925">
        <f t="shared" si="113"/>
        <v>0</v>
      </c>
      <c r="L925" s="1161"/>
      <c r="N925" s="1162" t="str">
        <f t="shared" si="116"/>
        <v xml:space="preserve"> </v>
      </c>
      <c r="O925" s="1163" t="str">
        <f t="shared" si="117"/>
        <v xml:space="preserve"> </v>
      </c>
      <c r="Q925">
        <f t="shared" si="118"/>
        <v>0</v>
      </c>
      <c r="R925">
        <f t="shared" si="119"/>
        <v>0</v>
      </c>
    </row>
    <row r="926" spans="2:18" x14ac:dyDescent="0.15">
      <c r="B926" s="1157"/>
      <c r="C926" s="1158"/>
      <c r="D926" s="897"/>
      <c r="E926" s="1159" t="str">
        <f t="shared" si="114"/>
        <v xml:space="preserve"> </v>
      </c>
      <c r="G926" s="1160" t="str">
        <f t="shared" si="115"/>
        <v xml:space="preserve"> </v>
      </c>
      <c r="H926" s="1149"/>
      <c r="I926">
        <f t="shared" si="112"/>
        <v>0</v>
      </c>
      <c r="K926">
        <f t="shared" si="113"/>
        <v>0</v>
      </c>
      <c r="L926" s="1161"/>
      <c r="N926" s="1162" t="str">
        <f t="shared" si="116"/>
        <v xml:space="preserve"> </v>
      </c>
      <c r="O926" s="1163" t="str">
        <f t="shared" si="117"/>
        <v xml:space="preserve"> </v>
      </c>
      <c r="Q926">
        <f t="shared" si="118"/>
        <v>0</v>
      </c>
      <c r="R926">
        <f t="shared" si="119"/>
        <v>0</v>
      </c>
    </row>
    <row r="927" spans="2:18" x14ac:dyDescent="0.15">
      <c r="B927" s="1157"/>
      <c r="C927" s="1158"/>
      <c r="D927" s="897"/>
      <c r="E927" s="1159" t="str">
        <f t="shared" si="114"/>
        <v xml:space="preserve"> </v>
      </c>
      <c r="G927" s="1160" t="str">
        <f t="shared" si="115"/>
        <v xml:space="preserve"> </v>
      </c>
      <c r="H927" s="1149"/>
      <c r="I927">
        <f t="shared" si="112"/>
        <v>0</v>
      </c>
      <c r="K927">
        <f t="shared" si="113"/>
        <v>0</v>
      </c>
      <c r="L927" s="1161"/>
      <c r="N927" s="1162" t="str">
        <f t="shared" si="116"/>
        <v xml:space="preserve"> </v>
      </c>
      <c r="O927" s="1163" t="str">
        <f t="shared" si="117"/>
        <v xml:space="preserve"> </v>
      </c>
      <c r="Q927">
        <f t="shared" si="118"/>
        <v>0</v>
      </c>
      <c r="R927">
        <f t="shared" si="119"/>
        <v>0</v>
      </c>
    </row>
    <row r="928" spans="2:18" x14ac:dyDescent="0.15">
      <c r="B928" s="1157"/>
      <c r="C928" s="1158"/>
      <c r="D928" s="897"/>
      <c r="E928" s="1159" t="str">
        <f t="shared" si="114"/>
        <v xml:space="preserve"> </v>
      </c>
      <c r="G928" s="1160" t="str">
        <f t="shared" si="115"/>
        <v xml:space="preserve"> </v>
      </c>
      <c r="H928" s="1149"/>
      <c r="I928">
        <f t="shared" si="112"/>
        <v>0</v>
      </c>
      <c r="K928">
        <f t="shared" si="113"/>
        <v>0</v>
      </c>
      <c r="L928" s="1161"/>
      <c r="N928" s="1162" t="str">
        <f t="shared" si="116"/>
        <v xml:space="preserve"> </v>
      </c>
      <c r="O928" s="1163" t="str">
        <f t="shared" si="117"/>
        <v xml:space="preserve"> </v>
      </c>
      <c r="Q928">
        <f t="shared" si="118"/>
        <v>0</v>
      </c>
      <c r="R928">
        <f t="shared" si="119"/>
        <v>0</v>
      </c>
    </row>
    <row r="929" spans="2:18" x14ac:dyDescent="0.15">
      <c r="B929" s="1157"/>
      <c r="C929" s="1158"/>
      <c r="D929" s="897"/>
      <c r="E929" s="1159" t="str">
        <f t="shared" si="114"/>
        <v xml:space="preserve"> </v>
      </c>
      <c r="G929" s="1160" t="str">
        <f t="shared" si="115"/>
        <v xml:space="preserve"> </v>
      </c>
      <c r="H929" s="1149"/>
      <c r="I929">
        <f t="shared" si="112"/>
        <v>0</v>
      </c>
      <c r="K929">
        <f t="shared" si="113"/>
        <v>0</v>
      </c>
      <c r="L929" s="1161"/>
      <c r="N929" s="1162" t="str">
        <f t="shared" si="116"/>
        <v xml:space="preserve"> </v>
      </c>
      <c r="O929" s="1163" t="str">
        <f t="shared" si="117"/>
        <v xml:space="preserve"> </v>
      </c>
      <c r="Q929">
        <f t="shared" si="118"/>
        <v>0</v>
      </c>
      <c r="R929">
        <f t="shared" si="119"/>
        <v>0</v>
      </c>
    </row>
    <row r="930" spans="2:18" x14ac:dyDescent="0.15">
      <c r="B930" s="1157"/>
      <c r="C930" s="1158"/>
      <c r="D930" s="897"/>
      <c r="E930" s="1159" t="str">
        <f t="shared" si="114"/>
        <v xml:space="preserve"> </v>
      </c>
      <c r="G930" s="1160" t="str">
        <f t="shared" si="115"/>
        <v xml:space="preserve"> </v>
      </c>
      <c r="H930" s="1149"/>
      <c r="I930">
        <f t="shared" si="112"/>
        <v>0</v>
      </c>
      <c r="K930">
        <f t="shared" si="113"/>
        <v>0</v>
      </c>
      <c r="L930" s="1161"/>
      <c r="N930" s="1162" t="str">
        <f t="shared" si="116"/>
        <v xml:space="preserve"> </v>
      </c>
      <c r="O930" s="1163" t="str">
        <f t="shared" si="117"/>
        <v xml:space="preserve"> </v>
      </c>
      <c r="Q930">
        <f t="shared" si="118"/>
        <v>0</v>
      </c>
      <c r="R930">
        <f t="shared" si="119"/>
        <v>0</v>
      </c>
    </row>
    <row r="931" spans="2:18" x14ac:dyDescent="0.15">
      <c r="B931" s="1157"/>
      <c r="C931" s="1158"/>
      <c r="D931" s="897"/>
      <c r="E931" s="1159" t="str">
        <f t="shared" si="114"/>
        <v xml:space="preserve"> </v>
      </c>
      <c r="G931" s="1160" t="str">
        <f t="shared" si="115"/>
        <v xml:space="preserve"> </v>
      </c>
      <c r="H931" s="1149"/>
      <c r="I931">
        <f t="shared" si="112"/>
        <v>0</v>
      </c>
      <c r="K931">
        <f t="shared" si="113"/>
        <v>0</v>
      </c>
      <c r="L931" s="1161"/>
      <c r="N931" s="1162" t="str">
        <f t="shared" si="116"/>
        <v xml:space="preserve"> </v>
      </c>
      <c r="O931" s="1163" t="str">
        <f t="shared" si="117"/>
        <v xml:space="preserve"> </v>
      </c>
      <c r="Q931">
        <f t="shared" si="118"/>
        <v>0</v>
      </c>
      <c r="R931">
        <f t="shared" si="119"/>
        <v>0</v>
      </c>
    </row>
    <row r="932" spans="2:18" x14ac:dyDescent="0.15">
      <c r="B932" s="1157"/>
      <c r="C932" s="1158"/>
      <c r="D932" s="897"/>
      <c r="E932" s="1159" t="str">
        <f t="shared" si="114"/>
        <v xml:space="preserve"> </v>
      </c>
      <c r="G932" s="1160" t="str">
        <f t="shared" si="115"/>
        <v xml:space="preserve"> </v>
      </c>
      <c r="H932" s="1149"/>
      <c r="I932">
        <f t="shared" si="112"/>
        <v>0</v>
      </c>
      <c r="K932">
        <f t="shared" si="113"/>
        <v>0</v>
      </c>
      <c r="L932" s="1161"/>
      <c r="N932" s="1162" t="str">
        <f t="shared" si="116"/>
        <v xml:space="preserve"> </v>
      </c>
      <c r="O932" s="1163" t="str">
        <f t="shared" si="117"/>
        <v xml:space="preserve"> </v>
      </c>
      <c r="Q932">
        <f t="shared" si="118"/>
        <v>0</v>
      </c>
      <c r="R932">
        <f t="shared" si="119"/>
        <v>0</v>
      </c>
    </row>
    <row r="933" spans="2:18" x14ac:dyDescent="0.15">
      <c r="B933" s="1157"/>
      <c r="C933" s="1158"/>
      <c r="D933" s="897"/>
      <c r="E933" s="1159" t="str">
        <f t="shared" si="114"/>
        <v xml:space="preserve"> </v>
      </c>
      <c r="G933" s="1160" t="str">
        <f t="shared" si="115"/>
        <v xml:space="preserve"> </v>
      </c>
      <c r="H933" s="1149"/>
      <c r="I933">
        <f t="shared" si="112"/>
        <v>0</v>
      </c>
      <c r="K933">
        <f t="shared" si="113"/>
        <v>0</v>
      </c>
      <c r="L933" s="1161"/>
      <c r="N933" s="1162" t="str">
        <f t="shared" si="116"/>
        <v xml:space="preserve"> </v>
      </c>
      <c r="O933" s="1163" t="str">
        <f t="shared" si="117"/>
        <v xml:space="preserve"> </v>
      </c>
      <c r="Q933">
        <f t="shared" si="118"/>
        <v>0</v>
      </c>
      <c r="R933">
        <f t="shared" si="119"/>
        <v>0</v>
      </c>
    </row>
    <row r="934" spans="2:18" x14ac:dyDescent="0.15">
      <c r="B934" s="1157"/>
      <c r="C934" s="1158"/>
      <c r="D934" s="897"/>
      <c r="E934" s="1159" t="str">
        <f t="shared" si="114"/>
        <v xml:space="preserve"> </v>
      </c>
      <c r="G934" s="1160" t="str">
        <f t="shared" si="115"/>
        <v xml:space="preserve"> </v>
      </c>
      <c r="H934" s="1149"/>
      <c r="I934">
        <f t="shared" si="112"/>
        <v>0</v>
      </c>
      <c r="K934">
        <f t="shared" si="113"/>
        <v>0</v>
      </c>
      <c r="L934" s="1161"/>
      <c r="N934" s="1162" t="str">
        <f t="shared" si="116"/>
        <v xml:space="preserve"> </v>
      </c>
      <c r="O934" s="1163" t="str">
        <f t="shared" si="117"/>
        <v xml:space="preserve"> </v>
      </c>
      <c r="Q934">
        <f t="shared" si="118"/>
        <v>0</v>
      </c>
      <c r="R934">
        <f t="shared" si="119"/>
        <v>0</v>
      </c>
    </row>
    <row r="935" spans="2:18" x14ac:dyDescent="0.15">
      <c r="B935" s="1157"/>
      <c r="C935" s="1158"/>
      <c r="D935" s="897"/>
      <c r="E935" s="1159" t="str">
        <f t="shared" si="114"/>
        <v xml:space="preserve"> </v>
      </c>
      <c r="G935" s="1160" t="str">
        <f t="shared" si="115"/>
        <v xml:space="preserve"> </v>
      </c>
      <c r="H935" s="1149"/>
      <c r="I935">
        <f t="shared" si="112"/>
        <v>0</v>
      </c>
      <c r="K935">
        <f t="shared" si="113"/>
        <v>0</v>
      </c>
      <c r="L935" s="1161"/>
      <c r="N935" s="1162" t="str">
        <f t="shared" si="116"/>
        <v xml:space="preserve"> </v>
      </c>
      <c r="O935" s="1163" t="str">
        <f t="shared" si="117"/>
        <v xml:space="preserve"> </v>
      </c>
      <c r="Q935">
        <f t="shared" si="118"/>
        <v>0</v>
      </c>
      <c r="R935">
        <f t="shared" si="119"/>
        <v>0</v>
      </c>
    </row>
    <row r="936" spans="2:18" x14ac:dyDescent="0.15">
      <c r="B936" s="1157"/>
      <c r="C936" s="1158"/>
      <c r="D936" s="897"/>
      <c r="E936" s="1159" t="str">
        <f t="shared" si="114"/>
        <v xml:space="preserve"> </v>
      </c>
      <c r="G936" s="1160" t="str">
        <f t="shared" si="115"/>
        <v xml:space="preserve"> </v>
      </c>
      <c r="H936" s="1149"/>
      <c r="I936">
        <f t="shared" si="112"/>
        <v>0</v>
      </c>
      <c r="K936">
        <f t="shared" si="113"/>
        <v>0</v>
      </c>
      <c r="L936" s="1161"/>
      <c r="N936" s="1162" t="str">
        <f t="shared" si="116"/>
        <v xml:space="preserve"> </v>
      </c>
      <c r="O936" s="1163" t="str">
        <f t="shared" si="117"/>
        <v xml:space="preserve"> </v>
      </c>
      <c r="Q936">
        <f t="shared" si="118"/>
        <v>0</v>
      </c>
      <c r="R936">
        <f t="shared" si="119"/>
        <v>0</v>
      </c>
    </row>
    <row r="937" spans="2:18" x14ac:dyDescent="0.15">
      <c r="B937" s="1157"/>
      <c r="C937" s="1158"/>
      <c r="D937" s="897"/>
      <c r="E937" s="1159" t="str">
        <f t="shared" si="114"/>
        <v xml:space="preserve"> </v>
      </c>
      <c r="G937" s="1160" t="str">
        <f t="shared" si="115"/>
        <v xml:space="preserve"> </v>
      </c>
      <c r="H937" s="1149"/>
      <c r="I937">
        <f t="shared" si="112"/>
        <v>0</v>
      </c>
      <c r="K937">
        <f t="shared" si="113"/>
        <v>0</v>
      </c>
      <c r="L937" s="1161"/>
      <c r="N937" s="1162" t="str">
        <f t="shared" si="116"/>
        <v xml:space="preserve"> </v>
      </c>
      <c r="O937" s="1163" t="str">
        <f t="shared" si="117"/>
        <v xml:space="preserve"> </v>
      </c>
      <c r="Q937">
        <f t="shared" si="118"/>
        <v>0</v>
      </c>
      <c r="R937">
        <f t="shared" si="119"/>
        <v>0</v>
      </c>
    </row>
    <row r="938" spans="2:18" x14ac:dyDescent="0.15">
      <c r="B938" s="1157"/>
      <c r="C938" s="1158"/>
      <c r="D938" s="897"/>
      <c r="E938" s="1159" t="str">
        <f t="shared" si="114"/>
        <v xml:space="preserve"> </v>
      </c>
      <c r="G938" s="1160" t="str">
        <f t="shared" si="115"/>
        <v xml:space="preserve"> </v>
      </c>
      <c r="H938" s="1149"/>
      <c r="I938">
        <f t="shared" si="112"/>
        <v>0</v>
      </c>
      <c r="K938">
        <f t="shared" si="113"/>
        <v>0</v>
      </c>
      <c r="L938" s="1161"/>
      <c r="N938" s="1162" t="str">
        <f t="shared" si="116"/>
        <v xml:space="preserve"> </v>
      </c>
      <c r="O938" s="1163" t="str">
        <f t="shared" si="117"/>
        <v xml:space="preserve"> </v>
      </c>
      <c r="Q938">
        <f t="shared" si="118"/>
        <v>0</v>
      </c>
      <c r="R938">
        <f t="shared" si="119"/>
        <v>0</v>
      </c>
    </row>
    <row r="939" spans="2:18" x14ac:dyDescent="0.15">
      <c r="B939" s="1157"/>
      <c r="C939" s="1158"/>
      <c r="D939" s="897"/>
      <c r="E939" s="1159" t="str">
        <f t="shared" si="114"/>
        <v xml:space="preserve"> </v>
      </c>
      <c r="G939" s="1160" t="str">
        <f t="shared" si="115"/>
        <v xml:space="preserve"> </v>
      </c>
      <c r="H939" s="1149"/>
      <c r="I939">
        <f t="shared" si="112"/>
        <v>0</v>
      </c>
      <c r="K939">
        <f t="shared" si="113"/>
        <v>0</v>
      </c>
      <c r="L939" s="1161"/>
      <c r="N939" s="1162" t="str">
        <f t="shared" si="116"/>
        <v xml:space="preserve"> </v>
      </c>
      <c r="O939" s="1163" t="str">
        <f t="shared" si="117"/>
        <v xml:space="preserve"> </v>
      </c>
      <c r="Q939">
        <f t="shared" si="118"/>
        <v>0</v>
      </c>
      <c r="R939">
        <f t="shared" si="119"/>
        <v>0</v>
      </c>
    </row>
    <row r="940" spans="2:18" x14ac:dyDescent="0.15">
      <c r="B940" s="1157"/>
      <c r="C940" s="1158"/>
      <c r="D940" s="897"/>
      <c r="E940" s="1159" t="str">
        <f t="shared" si="114"/>
        <v xml:space="preserve"> </v>
      </c>
      <c r="G940" s="1160" t="str">
        <f t="shared" si="115"/>
        <v xml:space="preserve"> </v>
      </c>
      <c r="H940" s="1149"/>
      <c r="I940">
        <f t="shared" si="112"/>
        <v>0</v>
      </c>
      <c r="K940">
        <f t="shared" si="113"/>
        <v>0</v>
      </c>
      <c r="L940" s="1161"/>
      <c r="N940" s="1162" t="str">
        <f t="shared" si="116"/>
        <v xml:space="preserve"> </v>
      </c>
      <c r="O940" s="1163" t="str">
        <f t="shared" si="117"/>
        <v xml:space="preserve"> </v>
      </c>
      <c r="Q940">
        <f t="shared" si="118"/>
        <v>0</v>
      </c>
      <c r="R940">
        <f t="shared" si="119"/>
        <v>0</v>
      </c>
    </row>
    <row r="941" spans="2:18" x14ac:dyDescent="0.15">
      <c r="B941" s="1157"/>
      <c r="C941" s="1158"/>
      <c r="D941" s="897"/>
      <c r="E941" s="1159" t="str">
        <f t="shared" si="114"/>
        <v xml:space="preserve"> </v>
      </c>
      <c r="G941" s="1160" t="str">
        <f t="shared" si="115"/>
        <v xml:space="preserve"> </v>
      </c>
      <c r="H941" s="1149"/>
      <c r="I941">
        <f t="shared" si="112"/>
        <v>0</v>
      </c>
      <c r="K941">
        <f t="shared" si="113"/>
        <v>0</v>
      </c>
      <c r="L941" s="1161"/>
      <c r="N941" s="1162" t="str">
        <f t="shared" si="116"/>
        <v xml:space="preserve"> </v>
      </c>
      <c r="O941" s="1163" t="str">
        <f t="shared" si="117"/>
        <v xml:space="preserve"> </v>
      </c>
      <c r="Q941">
        <f t="shared" si="118"/>
        <v>0</v>
      </c>
      <c r="R941">
        <f t="shared" si="119"/>
        <v>0</v>
      </c>
    </row>
    <row r="942" spans="2:18" x14ac:dyDescent="0.15">
      <c r="B942" s="1157"/>
      <c r="C942" s="1158"/>
      <c r="D942" s="897"/>
      <c r="E942" s="1159" t="str">
        <f t="shared" si="114"/>
        <v xml:space="preserve"> </v>
      </c>
      <c r="G942" s="1160" t="str">
        <f t="shared" si="115"/>
        <v xml:space="preserve"> </v>
      </c>
      <c r="H942" s="1149"/>
      <c r="I942">
        <f t="shared" si="112"/>
        <v>0</v>
      </c>
      <c r="K942">
        <f t="shared" si="113"/>
        <v>0</v>
      </c>
      <c r="L942" s="1161"/>
      <c r="N942" s="1162" t="str">
        <f t="shared" si="116"/>
        <v xml:space="preserve"> </v>
      </c>
      <c r="O942" s="1163" t="str">
        <f t="shared" si="117"/>
        <v xml:space="preserve"> </v>
      </c>
      <c r="Q942">
        <f t="shared" si="118"/>
        <v>0</v>
      </c>
      <c r="R942">
        <f t="shared" si="119"/>
        <v>0</v>
      </c>
    </row>
    <row r="943" spans="2:18" x14ac:dyDescent="0.15">
      <c r="B943" s="1157"/>
      <c r="C943" s="1158"/>
      <c r="D943" s="897"/>
      <c r="E943" s="1159" t="str">
        <f t="shared" si="114"/>
        <v xml:space="preserve"> </v>
      </c>
      <c r="G943" s="1160" t="str">
        <f t="shared" si="115"/>
        <v xml:space="preserve"> </v>
      </c>
      <c r="H943" s="1149"/>
      <c r="I943">
        <f t="shared" si="112"/>
        <v>0</v>
      </c>
      <c r="K943">
        <f t="shared" si="113"/>
        <v>0</v>
      </c>
      <c r="L943" s="1161"/>
      <c r="N943" s="1162" t="str">
        <f t="shared" si="116"/>
        <v xml:space="preserve"> </v>
      </c>
      <c r="O943" s="1163" t="str">
        <f t="shared" si="117"/>
        <v xml:space="preserve"> </v>
      </c>
      <c r="Q943">
        <f t="shared" si="118"/>
        <v>0</v>
      </c>
      <c r="R943">
        <f t="shared" si="119"/>
        <v>0</v>
      </c>
    </row>
    <row r="944" spans="2:18" x14ac:dyDescent="0.15">
      <c r="B944" s="1157"/>
      <c r="C944" s="1158"/>
      <c r="D944" s="897"/>
      <c r="E944" s="1159" t="str">
        <f t="shared" si="114"/>
        <v xml:space="preserve"> </v>
      </c>
      <c r="G944" s="1160" t="str">
        <f t="shared" si="115"/>
        <v xml:space="preserve"> </v>
      </c>
      <c r="H944" s="1149"/>
      <c r="I944">
        <f t="shared" si="112"/>
        <v>0</v>
      </c>
      <c r="K944">
        <f t="shared" si="113"/>
        <v>0</v>
      </c>
      <c r="L944" s="1161"/>
      <c r="N944" s="1162" t="str">
        <f t="shared" si="116"/>
        <v xml:space="preserve"> </v>
      </c>
      <c r="O944" s="1163" t="str">
        <f t="shared" si="117"/>
        <v xml:space="preserve"> </v>
      </c>
      <c r="Q944">
        <f t="shared" si="118"/>
        <v>0</v>
      </c>
      <c r="R944">
        <f t="shared" si="119"/>
        <v>0</v>
      </c>
    </row>
    <row r="945" spans="2:18" x14ac:dyDescent="0.15">
      <c r="B945" s="1157"/>
      <c r="C945" s="1158"/>
      <c r="D945" s="897"/>
      <c r="E945" s="1159" t="str">
        <f t="shared" si="114"/>
        <v xml:space="preserve"> </v>
      </c>
      <c r="G945" s="1160" t="str">
        <f t="shared" si="115"/>
        <v xml:space="preserve"> </v>
      </c>
      <c r="H945" s="1149"/>
      <c r="I945">
        <f t="shared" si="112"/>
        <v>0</v>
      </c>
      <c r="K945">
        <f t="shared" si="113"/>
        <v>0</v>
      </c>
      <c r="L945" s="1161"/>
      <c r="N945" s="1162" t="str">
        <f t="shared" si="116"/>
        <v xml:space="preserve"> </v>
      </c>
      <c r="O945" s="1163" t="str">
        <f t="shared" si="117"/>
        <v xml:space="preserve"> </v>
      </c>
      <c r="Q945">
        <f t="shared" si="118"/>
        <v>0</v>
      </c>
      <c r="R945">
        <f t="shared" si="119"/>
        <v>0</v>
      </c>
    </row>
    <row r="946" spans="2:18" x14ac:dyDescent="0.15">
      <c r="B946" s="1157"/>
      <c r="C946" s="1158"/>
      <c r="D946" s="897"/>
      <c r="E946" s="1159" t="str">
        <f t="shared" si="114"/>
        <v xml:space="preserve"> </v>
      </c>
      <c r="G946" s="1160" t="str">
        <f t="shared" si="115"/>
        <v xml:space="preserve"> </v>
      </c>
      <c r="H946" s="1149"/>
      <c r="I946">
        <f t="shared" si="112"/>
        <v>0</v>
      </c>
      <c r="K946">
        <f t="shared" si="113"/>
        <v>0</v>
      </c>
      <c r="L946" s="1161"/>
      <c r="N946" s="1162" t="str">
        <f t="shared" si="116"/>
        <v xml:space="preserve"> </v>
      </c>
      <c r="O946" s="1163" t="str">
        <f t="shared" si="117"/>
        <v xml:space="preserve"> </v>
      </c>
      <c r="Q946">
        <f t="shared" si="118"/>
        <v>0</v>
      </c>
      <c r="R946">
        <f t="shared" si="119"/>
        <v>0</v>
      </c>
    </row>
    <row r="947" spans="2:18" x14ac:dyDescent="0.15">
      <c r="B947" s="1157"/>
      <c r="C947" s="1158"/>
      <c r="D947" s="897"/>
      <c r="E947" s="1159" t="str">
        <f t="shared" si="114"/>
        <v xml:space="preserve"> </v>
      </c>
      <c r="G947" s="1160" t="str">
        <f t="shared" si="115"/>
        <v xml:space="preserve"> </v>
      </c>
      <c r="H947" s="1149"/>
      <c r="I947">
        <f t="shared" si="112"/>
        <v>0</v>
      </c>
      <c r="K947">
        <f t="shared" si="113"/>
        <v>0</v>
      </c>
      <c r="L947" s="1161"/>
      <c r="N947" s="1162" t="str">
        <f t="shared" si="116"/>
        <v xml:space="preserve"> </v>
      </c>
      <c r="O947" s="1163" t="str">
        <f t="shared" si="117"/>
        <v xml:space="preserve"> </v>
      </c>
      <c r="Q947">
        <f t="shared" si="118"/>
        <v>0</v>
      </c>
      <c r="R947">
        <f t="shared" si="119"/>
        <v>0</v>
      </c>
    </row>
    <row r="948" spans="2:18" x14ac:dyDescent="0.15">
      <c r="B948" s="1157"/>
      <c r="C948" s="1158"/>
      <c r="D948" s="897"/>
      <c r="E948" s="1159" t="str">
        <f t="shared" si="114"/>
        <v xml:space="preserve"> </v>
      </c>
      <c r="G948" s="1160" t="str">
        <f t="shared" si="115"/>
        <v xml:space="preserve"> </v>
      </c>
      <c r="H948" s="1149"/>
      <c r="I948">
        <f t="shared" si="112"/>
        <v>0</v>
      </c>
      <c r="K948">
        <f t="shared" si="113"/>
        <v>0</v>
      </c>
      <c r="L948" s="1161"/>
      <c r="N948" s="1162" t="str">
        <f t="shared" si="116"/>
        <v xml:space="preserve"> </v>
      </c>
      <c r="O948" s="1163" t="str">
        <f t="shared" si="117"/>
        <v xml:space="preserve"> </v>
      </c>
      <c r="Q948">
        <f t="shared" si="118"/>
        <v>0</v>
      </c>
      <c r="R948">
        <f t="shared" si="119"/>
        <v>0</v>
      </c>
    </row>
    <row r="949" spans="2:18" x14ac:dyDescent="0.15">
      <c r="B949" s="1157"/>
      <c r="C949" s="1158"/>
      <c r="D949" s="897"/>
      <c r="E949" s="1159" t="str">
        <f t="shared" si="114"/>
        <v xml:space="preserve"> </v>
      </c>
      <c r="G949" s="1160" t="str">
        <f t="shared" si="115"/>
        <v xml:space="preserve"> </v>
      </c>
      <c r="H949" s="1149"/>
      <c r="I949">
        <f t="shared" si="112"/>
        <v>0</v>
      </c>
      <c r="K949">
        <f t="shared" si="113"/>
        <v>0</v>
      </c>
      <c r="L949" s="1161"/>
      <c r="N949" s="1162" t="str">
        <f t="shared" si="116"/>
        <v xml:space="preserve"> </v>
      </c>
      <c r="O949" s="1163" t="str">
        <f t="shared" si="117"/>
        <v xml:space="preserve"> </v>
      </c>
      <c r="Q949">
        <f t="shared" si="118"/>
        <v>0</v>
      </c>
      <c r="R949">
        <f t="shared" si="119"/>
        <v>0</v>
      </c>
    </row>
    <row r="950" spans="2:18" x14ac:dyDescent="0.15">
      <c r="B950" s="1157"/>
      <c r="C950" s="1158"/>
      <c r="D950" s="897"/>
      <c r="E950" s="1159" t="str">
        <f t="shared" si="114"/>
        <v xml:space="preserve"> </v>
      </c>
      <c r="G950" s="1160" t="str">
        <f t="shared" si="115"/>
        <v xml:space="preserve"> </v>
      </c>
      <c r="H950" s="1149"/>
      <c r="I950">
        <f t="shared" si="112"/>
        <v>0</v>
      </c>
      <c r="K950">
        <f t="shared" si="113"/>
        <v>0</v>
      </c>
      <c r="L950" s="1161"/>
      <c r="N950" s="1162" t="str">
        <f t="shared" si="116"/>
        <v xml:space="preserve"> </v>
      </c>
      <c r="O950" s="1163" t="str">
        <f t="shared" si="117"/>
        <v xml:space="preserve"> </v>
      </c>
      <c r="Q950">
        <f t="shared" si="118"/>
        <v>0</v>
      </c>
      <c r="R950">
        <f t="shared" si="119"/>
        <v>0</v>
      </c>
    </row>
    <row r="951" spans="2:18" x14ac:dyDescent="0.15">
      <c r="B951" s="1157"/>
      <c r="C951" s="1158"/>
      <c r="D951" s="897"/>
      <c r="E951" s="1159" t="str">
        <f t="shared" si="114"/>
        <v xml:space="preserve"> </v>
      </c>
      <c r="G951" s="1160" t="str">
        <f t="shared" si="115"/>
        <v xml:space="preserve"> </v>
      </c>
      <c r="H951" s="1149"/>
      <c r="I951">
        <f t="shared" si="112"/>
        <v>0</v>
      </c>
      <c r="K951">
        <f t="shared" si="113"/>
        <v>0</v>
      </c>
      <c r="L951" s="1161"/>
      <c r="N951" s="1162" t="str">
        <f t="shared" si="116"/>
        <v xml:space="preserve"> </v>
      </c>
      <c r="O951" s="1163" t="str">
        <f t="shared" si="117"/>
        <v xml:space="preserve"> </v>
      </c>
      <c r="Q951">
        <f t="shared" si="118"/>
        <v>0</v>
      </c>
      <c r="R951">
        <f t="shared" si="119"/>
        <v>0</v>
      </c>
    </row>
    <row r="952" spans="2:18" x14ac:dyDescent="0.15">
      <c r="B952" s="1157"/>
      <c r="C952" s="1158"/>
      <c r="D952" s="897"/>
      <c r="E952" s="1159" t="str">
        <f t="shared" si="114"/>
        <v xml:space="preserve"> </v>
      </c>
      <c r="G952" s="1160" t="str">
        <f t="shared" si="115"/>
        <v xml:space="preserve"> </v>
      </c>
      <c r="H952" s="1149"/>
      <c r="I952">
        <f t="shared" si="112"/>
        <v>0</v>
      </c>
      <c r="K952">
        <f t="shared" si="113"/>
        <v>0</v>
      </c>
      <c r="L952" s="1161"/>
      <c r="N952" s="1162" t="str">
        <f t="shared" si="116"/>
        <v xml:space="preserve"> </v>
      </c>
      <c r="O952" s="1163" t="str">
        <f t="shared" si="117"/>
        <v xml:space="preserve"> </v>
      </c>
      <c r="Q952">
        <f t="shared" si="118"/>
        <v>0</v>
      </c>
      <c r="R952">
        <f t="shared" si="119"/>
        <v>0</v>
      </c>
    </row>
    <row r="953" spans="2:18" x14ac:dyDescent="0.15">
      <c r="B953" s="1157"/>
      <c r="C953" s="1158"/>
      <c r="D953" s="897"/>
      <c r="E953" s="1159" t="str">
        <f t="shared" si="114"/>
        <v xml:space="preserve"> </v>
      </c>
      <c r="G953" s="1160" t="str">
        <f t="shared" si="115"/>
        <v xml:space="preserve"> </v>
      </c>
      <c r="H953" s="1149"/>
      <c r="I953">
        <f t="shared" si="112"/>
        <v>0</v>
      </c>
      <c r="K953">
        <f t="shared" si="113"/>
        <v>0</v>
      </c>
      <c r="L953" s="1161"/>
      <c r="N953" s="1162" t="str">
        <f t="shared" si="116"/>
        <v xml:space="preserve"> </v>
      </c>
      <c r="O953" s="1163" t="str">
        <f t="shared" si="117"/>
        <v xml:space="preserve"> </v>
      </c>
      <c r="Q953">
        <f t="shared" si="118"/>
        <v>0</v>
      </c>
      <c r="R953">
        <f t="shared" si="119"/>
        <v>0</v>
      </c>
    </row>
    <row r="954" spans="2:18" x14ac:dyDescent="0.15">
      <c r="B954" s="1157"/>
      <c r="C954" s="1158"/>
      <c r="D954" s="897"/>
      <c r="E954" s="1159" t="str">
        <f t="shared" si="114"/>
        <v xml:space="preserve"> </v>
      </c>
      <c r="G954" s="1160" t="str">
        <f t="shared" si="115"/>
        <v xml:space="preserve"> </v>
      </c>
      <c r="H954" s="1149"/>
      <c r="I954">
        <f t="shared" si="112"/>
        <v>0</v>
      </c>
      <c r="K954">
        <f t="shared" si="113"/>
        <v>0</v>
      </c>
      <c r="L954" s="1161"/>
      <c r="N954" s="1162" t="str">
        <f t="shared" si="116"/>
        <v xml:space="preserve"> </v>
      </c>
      <c r="O954" s="1163" t="str">
        <f t="shared" si="117"/>
        <v xml:space="preserve"> </v>
      </c>
      <c r="Q954">
        <f t="shared" si="118"/>
        <v>0</v>
      </c>
      <c r="R954">
        <f t="shared" si="119"/>
        <v>0</v>
      </c>
    </row>
    <row r="955" spans="2:18" x14ac:dyDescent="0.15">
      <c r="B955" s="1157"/>
      <c r="C955" s="1158"/>
      <c r="D955" s="897"/>
      <c r="E955" s="1159" t="str">
        <f t="shared" si="114"/>
        <v xml:space="preserve"> </v>
      </c>
      <c r="G955" s="1160" t="str">
        <f t="shared" si="115"/>
        <v xml:space="preserve"> </v>
      </c>
      <c r="H955" s="1149"/>
      <c r="I955">
        <f t="shared" si="112"/>
        <v>0</v>
      </c>
      <c r="K955">
        <f t="shared" si="113"/>
        <v>0</v>
      </c>
      <c r="L955" s="1161"/>
      <c r="N955" s="1162" t="str">
        <f t="shared" si="116"/>
        <v xml:space="preserve"> </v>
      </c>
      <c r="O955" s="1163" t="str">
        <f t="shared" si="117"/>
        <v xml:space="preserve"> </v>
      </c>
      <c r="Q955">
        <f t="shared" si="118"/>
        <v>0</v>
      </c>
      <c r="R955">
        <f t="shared" si="119"/>
        <v>0</v>
      </c>
    </row>
    <row r="956" spans="2:18" x14ac:dyDescent="0.15">
      <c r="B956" s="1157"/>
      <c r="C956" s="1158"/>
      <c r="D956" s="897"/>
      <c r="E956" s="1159" t="str">
        <f t="shared" si="114"/>
        <v xml:space="preserve"> </v>
      </c>
      <c r="G956" s="1160" t="str">
        <f t="shared" si="115"/>
        <v xml:space="preserve"> </v>
      </c>
      <c r="H956" s="1149"/>
      <c r="I956">
        <f t="shared" si="112"/>
        <v>0</v>
      </c>
      <c r="K956">
        <f t="shared" si="113"/>
        <v>0</v>
      </c>
      <c r="L956" s="1161"/>
      <c r="N956" s="1162" t="str">
        <f t="shared" si="116"/>
        <v xml:space="preserve"> </v>
      </c>
      <c r="O956" s="1163" t="str">
        <f t="shared" si="117"/>
        <v xml:space="preserve"> </v>
      </c>
      <c r="Q956">
        <f t="shared" si="118"/>
        <v>0</v>
      </c>
      <c r="R956">
        <f t="shared" si="119"/>
        <v>0</v>
      </c>
    </row>
    <row r="957" spans="2:18" x14ac:dyDescent="0.15">
      <c r="B957" s="1157"/>
      <c r="C957" s="1158"/>
      <c r="D957" s="897"/>
      <c r="E957" s="1159" t="str">
        <f t="shared" si="114"/>
        <v xml:space="preserve"> </v>
      </c>
      <c r="G957" s="1160" t="str">
        <f t="shared" si="115"/>
        <v xml:space="preserve"> </v>
      </c>
      <c r="H957" s="1149"/>
      <c r="I957">
        <f t="shared" si="112"/>
        <v>0</v>
      </c>
      <c r="K957">
        <f t="shared" si="113"/>
        <v>0</v>
      </c>
      <c r="L957" s="1161"/>
      <c r="N957" s="1162" t="str">
        <f t="shared" si="116"/>
        <v xml:space="preserve"> </v>
      </c>
      <c r="O957" s="1163" t="str">
        <f t="shared" si="117"/>
        <v xml:space="preserve"> </v>
      </c>
      <c r="Q957">
        <f t="shared" si="118"/>
        <v>0</v>
      </c>
      <c r="R957">
        <f t="shared" si="119"/>
        <v>0</v>
      </c>
    </row>
    <row r="958" spans="2:18" x14ac:dyDescent="0.15">
      <c r="B958" s="1157"/>
      <c r="C958" s="1158"/>
      <c r="D958" s="897"/>
      <c r="E958" s="1159" t="str">
        <f t="shared" si="114"/>
        <v xml:space="preserve"> </v>
      </c>
      <c r="G958" s="1160" t="str">
        <f t="shared" si="115"/>
        <v xml:space="preserve"> </v>
      </c>
      <c r="H958" s="1149"/>
      <c r="I958">
        <f t="shared" si="112"/>
        <v>0</v>
      </c>
      <c r="K958">
        <f t="shared" si="113"/>
        <v>0</v>
      </c>
      <c r="L958" s="1161"/>
      <c r="N958" s="1162" t="str">
        <f t="shared" si="116"/>
        <v xml:space="preserve"> </v>
      </c>
      <c r="O958" s="1163" t="str">
        <f t="shared" si="117"/>
        <v xml:space="preserve"> </v>
      </c>
      <c r="Q958">
        <f t="shared" si="118"/>
        <v>0</v>
      </c>
      <c r="R958">
        <f t="shared" si="119"/>
        <v>0</v>
      </c>
    </row>
    <row r="959" spans="2:18" x14ac:dyDescent="0.15">
      <c r="B959" s="1157"/>
      <c r="C959" s="1158"/>
      <c r="D959" s="897"/>
      <c r="E959" s="1159" t="str">
        <f t="shared" si="114"/>
        <v xml:space="preserve"> </v>
      </c>
      <c r="G959" s="1160" t="str">
        <f t="shared" si="115"/>
        <v xml:space="preserve"> </v>
      </c>
      <c r="H959" s="1149"/>
      <c r="I959">
        <f t="shared" si="112"/>
        <v>0</v>
      </c>
      <c r="K959">
        <f t="shared" si="113"/>
        <v>0</v>
      </c>
      <c r="L959" s="1161"/>
      <c r="N959" s="1162" t="str">
        <f t="shared" si="116"/>
        <v xml:space="preserve"> </v>
      </c>
      <c r="O959" s="1163" t="str">
        <f t="shared" si="117"/>
        <v xml:space="preserve"> </v>
      </c>
      <c r="Q959">
        <f t="shared" si="118"/>
        <v>0</v>
      </c>
      <c r="R959">
        <f t="shared" si="119"/>
        <v>0</v>
      </c>
    </row>
    <row r="960" spans="2:18" x14ac:dyDescent="0.15">
      <c r="B960" s="1157"/>
      <c r="C960" s="1158"/>
      <c r="D960" s="897"/>
      <c r="E960" s="1159" t="str">
        <f t="shared" si="114"/>
        <v xml:space="preserve"> </v>
      </c>
      <c r="G960" s="1160" t="str">
        <f t="shared" si="115"/>
        <v xml:space="preserve"> </v>
      </c>
      <c r="H960" s="1149"/>
      <c r="I960">
        <f t="shared" si="112"/>
        <v>0</v>
      </c>
      <c r="K960">
        <f t="shared" si="113"/>
        <v>0</v>
      </c>
      <c r="L960" s="1161"/>
      <c r="N960" s="1162" t="str">
        <f t="shared" si="116"/>
        <v xml:space="preserve"> </v>
      </c>
      <c r="O960" s="1163" t="str">
        <f t="shared" si="117"/>
        <v xml:space="preserve"> </v>
      </c>
      <c r="Q960">
        <f t="shared" si="118"/>
        <v>0</v>
      </c>
      <c r="R960">
        <f t="shared" si="119"/>
        <v>0</v>
      </c>
    </row>
    <row r="961" spans="2:18" x14ac:dyDescent="0.15">
      <c r="B961" s="1157"/>
      <c r="C961" s="1158"/>
      <c r="D961" s="897"/>
      <c r="E961" s="1159" t="str">
        <f t="shared" si="114"/>
        <v xml:space="preserve"> </v>
      </c>
      <c r="G961" s="1160" t="str">
        <f t="shared" si="115"/>
        <v xml:space="preserve"> </v>
      </c>
      <c r="H961" s="1149"/>
      <c r="I961">
        <f t="shared" si="112"/>
        <v>0</v>
      </c>
      <c r="K961">
        <f t="shared" si="113"/>
        <v>0</v>
      </c>
      <c r="L961" s="1161"/>
      <c r="N961" s="1162" t="str">
        <f t="shared" si="116"/>
        <v xml:space="preserve"> </v>
      </c>
      <c r="O961" s="1163" t="str">
        <f t="shared" si="117"/>
        <v xml:space="preserve"> </v>
      </c>
      <c r="Q961">
        <f t="shared" si="118"/>
        <v>0</v>
      </c>
      <c r="R961">
        <f t="shared" si="119"/>
        <v>0</v>
      </c>
    </row>
    <row r="962" spans="2:18" x14ac:dyDescent="0.15">
      <c r="B962" s="1157"/>
      <c r="C962" s="1158"/>
      <c r="D962" s="897"/>
      <c r="E962" s="1159" t="str">
        <f t="shared" si="114"/>
        <v xml:space="preserve"> </v>
      </c>
      <c r="G962" s="1160" t="str">
        <f t="shared" si="115"/>
        <v xml:space="preserve"> </v>
      </c>
      <c r="H962" s="1149"/>
      <c r="I962">
        <f t="shared" si="112"/>
        <v>0</v>
      </c>
      <c r="K962">
        <f t="shared" si="113"/>
        <v>0</v>
      </c>
      <c r="L962" s="1161"/>
      <c r="N962" s="1162" t="str">
        <f t="shared" si="116"/>
        <v xml:space="preserve"> </v>
      </c>
      <c r="O962" s="1163" t="str">
        <f t="shared" si="117"/>
        <v xml:space="preserve"> </v>
      </c>
      <c r="Q962">
        <f t="shared" si="118"/>
        <v>0</v>
      </c>
      <c r="R962">
        <f t="shared" si="119"/>
        <v>0</v>
      </c>
    </row>
    <row r="963" spans="2:18" x14ac:dyDescent="0.15">
      <c r="B963" s="1157"/>
      <c r="C963" s="1158"/>
      <c r="D963" s="897"/>
      <c r="E963" s="1159" t="str">
        <f t="shared" si="114"/>
        <v xml:space="preserve"> </v>
      </c>
      <c r="G963" s="1160" t="str">
        <f t="shared" si="115"/>
        <v xml:space="preserve"> </v>
      </c>
      <c r="H963" s="1149"/>
      <c r="I963">
        <f t="shared" si="112"/>
        <v>0</v>
      </c>
      <c r="K963">
        <f t="shared" si="113"/>
        <v>0</v>
      </c>
      <c r="L963" s="1161"/>
      <c r="N963" s="1162" t="str">
        <f t="shared" si="116"/>
        <v xml:space="preserve"> </v>
      </c>
      <c r="O963" s="1163" t="str">
        <f t="shared" si="117"/>
        <v xml:space="preserve"> </v>
      </c>
      <c r="Q963">
        <f t="shared" si="118"/>
        <v>0</v>
      </c>
      <c r="R963">
        <f t="shared" si="119"/>
        <v>0</v>
      </c>
    </row>
    <row r="964" spans="2:18" x14ac:dyDescent="0.15">
      <c r="B964" s="1157"/>
      <c r="C964" s="1158"/>
      <c r="D964" s="897"/>
      <c r="E964" s="1159" t="str">
        <f t="shared" si="114"/>
        <v xml:space="preserve"> </v>
      </c>
      <c r="G964" s="1160" t="str">
        <f t="shared" si="115"/>
        <v xml:space="preserve"> </v>
      </c>
      <c r="H964" s="1149"/>
      <c r="I964">
        <f t="shared" si="112"/>
        <v>0</v>
      </c>
      <c r="K964">
        <f t="shared" si="113"/>
        <v>0</v>
      </c>
      <c r="L964" s="1161"/>
      <c r="N964" s="1162" t="str">
        <f t="shared" si="116"/>
        <v xml:space="preserve"> </v>
      </c>
      <c r="O964" s="1163" t="str">
        <f t="shared" si="117"/>
        <v xml:space="preserve"> </v>
      </c>
      <c r="Q964">
        <f t="shared" si="118"/>
        <v>0</v>
      </c>
      <c r="R964">
        <f t="shared" si="119"/>
        <v>0</v>
      </c>
    </row>
    <row r="965" spans="2:18" x14ac:dyDescent="0.15">
      <c r="B965" s="1157"/>
      <c r="C965" s="1158"/>
      <c r="D965" s="897"/>
      <c r="E965" s="1159" t="str">
        <f t="shared" si="114"/>
        <v xml:space="preserve"> </v>
      </c>
      <c r="G965" s="1160" t="str">
        <f t="shared" si="115"/>
        <v xml:space="preserve"> </v>
      </c>
      <c r="H965" s="1149"/>
      <c r="I965">
        <f t="shared" si="112"/>
        <v>0</v>
      </c>
      <c r="K965">
        <f t="shared" si="113"/>
        <v>0</v>
      </c>
      <c r="L965" s="1161"/>
      <c r="N965" s="1162" t="str">
        <f t="shared" si="116"/>
        <v xml:space="preserve"> </v>
      </c>
      <c r="O965" s="1163" t="str">
        <f t="shared" si="117"/>
        <v xml:space="preserve"> </v>
      </c>
      <c r="Q965">
        <f t="shared" si="118"/>
        <v>0</v>
      </c>
      <c r="R965">
        <f t="shared" si="119"/>
        <v>0</v>
      </c>
    </row>
    <row r="966" spans="2:18" x14ac:dyDescent="0.15">
      <c r="B966" s="1157"/>
      <c r="C966" s="1158"/>
      <c r="D966" s="897"/>
      <c r="E966" s="1159" t="str">
        <f t="shared" si="114"/>
        <v xml:space="preserve"> </v>
      </c>
      <c r="G966" s="1160" t="str">
        <f t="shared" si="115"/>
        <v xml:space="preserve"> </v>
      </c>
      <c r="H966" s="1149"/>
      <c r="I966">
        <f t="shared" si="112"/>
        <v>0</v>
      </c>
      <c r="K966">
        <f t="shared" si="113"/>
        <v>0</v>
      </c>
      <c r="L966" s="1161"/>
      <c r="N966" s="1162" t="str">
        <f t="shared" si="116"/>
        <v xml:space="preserve"> </v>
      </c>
      <c r="O966" s="1163" t="str">
        <f t="shared" si="117"/>
        <v xml:space="preserve"> </v>
      </c>
      <c r="Q966">
        <f t="shared" si="118"/>
        <v>0</v>
      </c>
      <c r="R966">
        <f t="shared" si="119"/>
        <v>0</v>
      </c>
    </row>
    <row r="967" spans="2:18" x14ac:dyDescent="0.15">
      <c r="B967" s="1157"/>
      <c r="C967" s="1158"/>
      <c r="D967" s="897"/>
      <c r="E967" s="1159" t="str">
        <f t="shared" si="114"/>
        <v xml:space="preserve"> </v>
      </c>
      <c r="G967" s="1160" t="str">
        <f t="shared" si="115"/>
        <v xml:space="preserve"> </v>
      </c>
      <c r="H967" s="1149"/>
      <c r="I967">
        <f t="shared" si="112"/>
        <v>0</v>
      </c>
      <c r="K967">
        <f t="shared" si="113"/>
        <v>0</v>
      </c>
      <c r="L967" s="1161"/>
      <c r="N967" s="1162" t="str">
        <f t="shared" si="116"/>
        <v xml:space="preserve"> </v>
      </c>
      <c r="O967" s="1163" t="str">
        <f t="shared" si="117"/>
        <v xml:space="preserve"> </v>
      </c>
      <c r="Q967">
        <f t="shared" si="118"/>
        <v>0</v>
      </c>
      <c r="R967">
        <f t="shared" si="119"/>
        <v>0</v>
      </c>
    </row>
    <row r="968" spans="2:18" x14ac:dyDescent="0.15">
      <c r="B968" s="1157"/>
      <c r="C968" s="1158"/>
      <c r="D968" s="897"/>
      <c r="E968" s="1159" t="str">
        <f t="shared" si="114"/>
        <v xml:space="preserve"> </v>
      </c>
      <c r="G968" s="1160" t="str">
        <f t="shared" si="115"/>
        <v xml:space="preserve"> </v>
      </c>
      <c r="H968" s="1149"/>
      <c r="I968">
        <f t="shared" ref="I968:I1031" si="120">(J968+C968)/12</f>
        <v>0</v>
      </c>
      <c r="K968">
        <f t="shared" ref="K968:K1031" si="121">I968+B968</f>
        <v>0</v>
      </c>
      <c r="L968" s="1161"/>
      <c r="N968" s="1162" t="str">
        <f t="shared" si="116"/>
        <v xml:space="preserve"> </v>
      </c>
      <c r="O968" s="1163" t="str">
        <f t="shared" si="117"/>
        <v xml:space="preserve"> </v>
      </c>
      <c r="Q968">
        <f t="shared" si="118"/>
        <v>0</v>
      </c>
      <c r="R968">
        <f t="shared" si="119"/>
        <v>0</v>
      </c>
    </row>
    <row r="969" spans="2:18" x14ac:dyDescent="0.15">
      <c r="B969" s="1157"/>
      <c r="C969" s="1158"/>
      <c r="D969" s="897"/>
      <c r="E969" s="1159" t="str">
        <f t="shared" si="114"/>
        <v xml:space="preserve"> </v>
      </c>
      <c r="G969" s="1160" t="str">
        <f t="shared" si="115"/>
        <v xml:space="preserve"> </v>
      </c>
      <c r="H969" s="1149"/>
      <c r="I969">
        <f t="shared" si="120"/>
        <v>0</v>
      </c>
      <c r="K969">
        <f t="shared" si="121"/>
        <v>0</v>
      </c>
      <c r="L969" s="1161"/>
      <c r="N969" s="1162" t="str">
        <f t="shared" si="116"/>
        <v xml:space="preserve"> </v>
      </c>
      <c r="O969" s="1163" t="str">
        <f t="shared" si="117"/>
        <v xml:space="preserve"> </v>
      </c>
      <c r="Q969">
        <f t="shared" si="118"/>
        <v>0</v>
      </c>
      <c r="R969">
        <f t="shared" si="119"/>
        <v>0</v>
      </c>
    </row>
    <row r="970" spans="2:18" x14ac:dyDescent="0.15">
      <c r="B970" s="1157"/>
      <c r="C970" s="1158"/>
      <c r="D970" s="897"/>
      <c r="E970" s="1159" t="str">
        <f t="shared" ref="E970:E1033" si="122">IF(K970=0," ",IF(K970&gt;0,K970*12*25.4))</f>
        <v xml:space="preserve"> </v>
      </c>
      <c r="G970" s="1160" t="str">
        <f t="shared" ref="G970:G1033" si="123">IF(K970=0," ",IF(K970&gt;0,E970/1000))</f>
        <v xml:space="preserve"> </v>
      </c>
      <c r="H970" s="1149"/>
      <c r="I970">
        <f t="shared" si="120"/>
        <v>0</v>
      </c>
      <c r="K970">
        <f t="shared" si="121"/>
        <v>0</v>
      </c>
      <c r="L970" s="1161"/>
      <c r="N970" s="1162" t="str">
        <f t="shared" ref="N970:N1033" si="124">IF(R970=0," ",IF(R970&gt;0,TRUNC(R970)))</f>
        <v xml:space="preserve"> </v>
      </c>
      <c r="O970" s="1163" t="str">
        <f t="shared" ref="O970:O1033" si="125">IF(R970=0," ",IF(R970&gt;0,(R970-N970)*12))</f>
        <v xml:space="preserve"> </v>
      </c>
      <c r="Q970">
        <f t="shared" ref="Q970:Q1033" si="126">L970/25.4</f>
        <v>0</v>
      </c>
      <c r="R970">
        <f t="shared" ref="R970:R1033" si="127">Q970/12</f>
        <v>0</v>
      </c>
    </row>
    <row r="971" spans="2:18" x14ac:dyDescent="0.15">
      <c r="B971" s="1157"/>
      <c r="C971" s="1158"/>
      <c r="D971" s="897"/>
      <c r="E971" s="1159" t="str">
        <f t="shared" si="122"/>
        <v xml:space="preserve"> </v>
      </c>
      <c r="G971" s="1160" t="str">
        <f t="shared" si="123"/>
        <v xml:space="preserve"> </v>
      </c>
      <c r="H971" s="1149"/>
      <c r="I971">
        <f t="shared" si="120"/>
        <v>0</v>
      </c>
      <c r="K971">
        <f t="shared" si="121"/>
        <v>0</v>
      </c>
      <c r="L971" s="1161"/>
      <c r="N971" s="1162" t="str">
        <f t="shared" si="124"/>
        <v xml:space="preserve"> </v>
      </c>
      <c r="O971" s="1163" t="str">
        <f t="shared" si="125"/>
        <v xml:space="preserve"> </v>
      </c>
      <c r="Q971">
        <f t="shared" si="126"/>
        <v>0</v>
      </c>
      <c r="R971">
        <f t="shared" si="127"/>
        <v>0</v>
      </c>
    </row>
    <row r="972" spans="2:18" x14ac:dyDescent="0.15">
      <c r="B972" s="1157"/>
      <c r="C972" s="1158"/>
      <c r="D972" s="897"/>
      <c r="E972" s="1159" t="str">
        <f t="shared" si="122"/>
        <v xml:space="preserve"> </v>
      </c>
      <c r="G972" s="1160" t="str">
        <f t="shared" si="123"/>
        <v xml:space="preserve"> </v>
      </c>
      <c r="H972" s="1149"/>
      <c r="I972">
        <f t="shared" si="120"/>
        <v>0</v>
      </c>
      <c r="K972">
        <f t="shared" si="121"/>
        <v>0</v>
      </c>
      <c r="L972" s="1161"/>
      <c r="N972" s="1162" t="str">
        <f t="shared" si="124"/>
        <v xml:space="preserve"> </v>
      </c>
      <c r="O972" s="1163" t="str">
        <f t="shared" si="125"/>
        <v xml:space="preserve"> </v>
      </c>
      <c r="Q972">
        <f t="shared" si="126"/>
        <v>0</v>
      </c>
      <c r="R972">
        <f t="shared" si="127"/>
        <v>0</v>
      </c>
    </row>
    <row r="973" spans="2:18" x14ac:dyDescent="0.15">
      <c r="B973" s="1157"/>
      <c r="C973" s="1158"/>
      <c r="D973" s="897"/>
      <c r="E973" s="1159" t="str">
        <f t="shared" si="122"/>
        <v xml:space="preserve"> </v>
      </c>
      <c r="G973" s="1160" t="str">
        <f t="shared" si="123"/>
        <v xml:space="preserve"> </v>
      </c>
      <c r="H973" s="1149"/>
      <c r="I973">
        <f t="shared" si="120"/>
        <v>0</v>
      </c>
      <c r="K973">
        <f t="shared" si="121"/>
        <v>0</v>
      </c>
      <c r="L973" s="1161"/>
      <c r="N973" s="1162" t="str">
        <f t="shared" si="124"/>
        <v xml:space="preserve"> </v>
      </c>
      <c r="O973" s="1163" t="str">
        <f t="shared" si="125"/>
        <v xml:space="preserve"> </v>
      </c>
      <c r="Q973">
        <f t="shared" si="126"/>
        <v>0</v>
      </c>
      <c r="R973">
        <f t="shared" si="127"/>
        <v>0</v>
      </c>
    </row>
    <row r="974" spans="2:18" x14ac:dyDescent="0.15">
      <c r="B974" s="1157"/>
      <c r="C974" s="1158"/>
      <c r="D974" s="897"/>
      <c r="E974" s="1159" t="str">
        <f t="shared" si="122"/>
        <v xml:space="preserve"> </v>
      </c>
      <c r="G974" s="1160" t="str">
        <f t="shared" si="123"/>
        <v xml:space="preserve"> </v>
      </c>
      <c r="H974" s="1149"/>
      <c r="I974">
        <f t="shared" si="120"/>
        <v>0</v>
      </c>
      <c r="K974">
        <f t="shared" si="121"/>
        <v>0</v>
      </c>
      <c r="L974" s="1161"/>
      <c r="N974" s="1162" t="str">
        <f t="shared" si="124"/>
        <v xml:space="preserve"> </v>
      </c>
      <c r="O974" s="1163" t="str">
        <f t="shared" si="125"/>
        <v xml:space="preserve"> </v>
      </c>
      <c r="Q974">
        <f t="shared" si="126"/>
        <v>0</v>
      </c>
      <c r="R974">
        <f t="shared" si="127"/>
        <v>0</v>
      </c>
    </row>
    <row r="975" spans="2:18" x14ac:dyDescent="0.15">
      <c r="B975" s="1157"/>
      <c r="C975" s="1158"/>
      <c r="D975" s="897"/>
      <c r="E975" s="1159" t="str">
        <f t="shared" si="122"/>
        <v xml:space="preserve"> </v>
      </c>
      <c r="G975" s="1160" t="str">
        <f t="shared" si="123"/>
        <v xml:space="preserve"> </v>
      </c>
      <c r="H975" s="1149"/>
      <c r="I975">
        <f t="shared" si="120"/>
        <v>0</v>
      </c>
      <c r="K975">
        <f t="shared" si="121"/>
        <v>0</v>
      </c>
      <c r="L975" s="1161"/>
      <c r="N975" s="1162" t="str">
        <f t="shared" si="124"/>
        <v xml:space="preserve"> </v>
      </c>
      <c r="O975" s="1163" t="str">
        <f t="shared" si="125"/>
        <v xml:space="preserve"> </v>
      </c>
      <c r="Q975">
        <f t="shared" si="126"/>
        <v>0</v>
      </c>
      <c r="R975">
        <f t="shared" si="127"/>
        <v>0</v>
      </c>
    </row>
    <row r="976" spans="2:18" x14ac:dyDescent="0.15">
      <c r="B976" s="1157"/>
      <c r="C976" s="1158"/>
      <c r="D976" s="897"/>
      <c r="E976" s="1159" t="str">
        <f t="shared" si="122"/>
        <v xml:space="preserve"> </v>
      </c>
      <c r="G976" s="1160" t="str">
        <f t="shared" si="123"/>
        <v xml:space="preserve"> </v>
      </c>
      <c r="H976" s="1149"/>
      <c r="I976">
        <f t="shared" si="120"/>
        <v>0</v>
      </c>
      <c r="K976">
        <f t="shared" si="121"/>
        <v>0</v>
      </c>
      <c r="L976" s="1161"/>
      <c r="N976" s="1162" t="str">
        <f t="shared" si="124"/>
        <v xml:space="preserve"> </v>
      </c>
      <c r="O976" s="1163" t="str">
        <f t="shared" si="125"/>
        <v xml:space="preserve"> </v>
      </c>
      <c r="Q976">
        <f t="shared" si="126"/>
        <v>0</v>
      </c>
      <c r="R976">
        <f t="shared" si="127"/>
        <v>0</v>
      </c>
    </row>
    <row r="977" spans="2:18" x14ac:dyDescent="0.15">
      <c r="B977" s="1157"/>
      <c r="C977" s="1158"/>
      <c r="D977" s="897"/>
      <c r="E977" s="1159" t="str">
        <f t="shared" si="122"/>
        <v xml:space="preserve"> </v>
      </c>
      <c r="G977" s="1160" t="str">
        <f t="shared" si="123"/>
        <v xml:space="preserve"> </v>
      </c>
      <c r="H977" s="1149"/>
      <c r="I977">
        <f t="shared" si="120"/>
        <v>0</v>
      </c>
      <c r="K977">
        <f t="shared" si="121"/>
        <v>0</v>
      </c>
      <c r="L977" s="1161"/>
      <c r="N977" s="1162" t="str">
        <f t="shared" si="124"/>
        <v xml:space="preserve"> </v>
      </c>
      <c r="O977" s="1163" t="str">
        <f t="shared" si="125"/>
        <v xml:space="preserve"> </v>
      </c>
      <c r="Q977">
        <f t="shared" si="126"/>
        <v>0</v>
      </c>
      <c r="R977">
        <f t="shared" si="127"/>
        <v>0</v>
      </c>
    </row>
    <row r="978" spans="2:18" x14ac:dyDescent="0.15">
      <c r="B978" s="1157"/>
      <c r="C978" s="1158"/>
      <c r="D978" s="897"/>
      <c r="E978" s="1159" t="str">
        <f t="shared" si="122"/>
        <v xml:space="preserve"> </v>
      </c>
      <c r="G978" s="1160" t="str">
        <f t="shared" si="123"/>
        <v xml:space="preserve"> </v>
      </c>
      <c r="H978" s="1149"/>
      <c r="I978">
        <f t="shared" si="120"/>
        <v>0</v>
      </c>
      <c r="K978">
        <f t="shared" si="121"/>
        <v>0</v>
      </c>
      <c r="L978" s="1161"/>
      <c r="N978" s="1162" t="str">
        <f t="shared" si="124"/>
        <v xml:space="preserve"> </v>
      </c>
      <c r="O978" s="1163" t="str">
        <f t="shared" si="125"/>
        <v xml:space="preserve"> </v>
      </c>
      <c r="Q978">
        <f t="shared" si="126"/>
        <v>0</v>
      </c>
      <c r="R978">
        <f t="shared" si="127"/>
        <v>0</v>
      </c>
    </row>
    <row r="979" spans="2:18" x14ac:dyDescent="0.15">
      <c r="B979" s="1157"/>
      <c r="C979" s="1158"/>
      <c r="D979" s="897"/>
      <c r="E979" s="1159" t="str">
        <f t="shared" si="122"/>
        <v xml:space="preserve"> </v>
      </c>
      <c r="G979" s="1160" t="str">
        <f t="shared" si="123"/>
        <v xml:space="preserve"> </v>
      </c>
      <c r="H979" s="1149"/>
      <c r="I979">
        <f t="shared" si="120"/>
        <v>0</v>
      </c>
      <c r="K979">
        <f t="shared" si="121"/>
        <v>0</v>
      </c>
      <c r="L979" s="1161"/>
      <c r="N979" s="1162" t="str">
        <f t="shared" si="124"/>
        <v xml:space="preserve"> </v>
      </c>
      <c r="O979" s="1163" t="str">
        <f t="shared" si="125"/>
        <v xml:space="preserve"> </v>
      </c>
      <c r="Q979">
        <f t="shared" si="126"/>
        <v>0</v>
      </c>
      <c r="R979">
        <f t="shared" si="127"/>
        <v>0</v>
      </c>
    </row>
    <row r="980" spans="2:18" x14ac:dyDescent="0.15">
      <c r="B980" s="1157"/>
      <c r="C980" s="1158"/>
      <c r="D980" s="897"/>
      <c r="E980" s="1159" t="str">
        <f t="shared" si="122"/>
        <v xml:space="preserve"> </v>
      </c>
      <c r="G980" s="1160" t="str">
        <f t="shared" si="123"/>
        <v xml:space="preserve"> </v>
      </c>
      <c r="H980" s="1149"/>
      <c r="I980">
        <f t="shared" si="120"/>
        <v>0</v>
      </c>
      <c r="K980">
        <f t="shared" si="121"/>
        <v>0</v>
      </c>
      <c r="L980" s="1161"/>
      <c r="N980" s="1162" t="str">
        <f t="shared" si="124"/>
        <v xml:space="preserve"> </v>
      </c>
      <c r="O980" s="1163" t="str">
        <f t="shared" si="125"/>
        <v xml:space="preserve"> </v>
      </c>
      <c r="Q980">
        <f t="shared" si="126"/>
        <v>0</v>
      </c>
      <c r="R980">
        <f t="shared" si="127"/>
        <v>0</v>
      </c>
    </row>
    <row r="981" spans="2:18" x14ac:dyDescent="0.15">
      <c r="B981" s="1157"/>
      <c r="C981" s="1158"/>
      <c r="D981" s="897"/>
      <c r="E981" s="1159" t="str">
        <f t="shared" si="122"/>
        <v xml:space="preserve"> </v>
      </c>
      <c r="G981" s="1160" t="str">
        <f t="shared" si="123"/>
        <v xml:space="preserve"> </v>
      </c>
      <c r="H981" s="1149"/>
      <c r="I981">
        <f t="shared" si="120"/>
        <v>0</v>
      </c>
      <c r="K981">
        <f t="shared" si="121"/>
        <v>0</v>
      </c>
      <c r="L981" s="1161"/>
      <c r="N981" s="1162" t="str">
        <f t="shared" si="124"/>
        <v xml:space="preserve"> </v>
      </c>
      <c r="O981" s="1163" t="str">
        <f t="shared" si="125"/>
        <v xml:space="preserve"> </v>
      </c>
      <c r="Q981">
        <f t="shared" si="126"/>
        <v>0</v>
      </c>
      <c r="R981">
        <f t="shared" si="127"/>
        <v>0</v>
      </c>
    </row>
    <row r="982" spans="2:18" x14ac:dyDescent="0.15">
      <c r="B982" s="1157"/>
      <c r="C982" s="1158"/>
      <c r="D982" s="897"/>
      <c r="E982" s="1159" t="str">
        <f t="shared" si="122"/>
        <v xml:space="preserve"> </v>
      </c>
      <c r="G982" s="1160" t="str">
        <f t="shared" si="123"/>
        <v xml:space="preserve"> </v>
      </c>
      <c r="H982" s="1149"/>
      <c r="I982">
        <f t="shared" si="120"/>
        <v>0</v>
      </c>
      <c r="K982">
        <f t="shared" si="121"/>
        <v>0</v>
      </c>
      <c r="L982" s="1161"/>
      <c r="N982" s="1162" t="str">
        <f t="shared" si="124"/>
        <v xml:space="preserve"> </v>
      </c>
      <c r="O982" s="1163" t="str">
        <f t="shared" si="125"/>
        <v xml:space="preserve"> </v>
      </c>
      <c r="Q982">
        <f t="shared" si="126"/>
        <v>0</v>
      </c>
      <c r="R982">
        <f t="shared" si="127"/>
        <v>0</v>
      </c>
    </row>
    <row r="983" spans="2:18" x14ac:dyDescent="0.15">
      <c r="B983" s="1157"/>
      <c r="C983" s="1158"/>
      <c r="D983" s="897"/>
      <c r="E983" s="1159" t="str">
        <f t="shared" si="122"/>
        <v xml:space="preserve"> </v>
      </c>
      <c r="G983" s="1160" t="str">
        <f t="shared" si="123"/>
        <v xml:space="preserve"> </v>
      </c>
      <c r="H983" s="1149"/>
      <c r="I983">
        <f t="shared" si="120"/>
        <v>0</v>
      </c>
      <c r="K983">
        <f t="shared" si="121"/>
        <v>0</v>
      </c>
      <c r="L983" s="1161"/>
      <c r="N983" s="1162" t="str">
        <f t="shared" si="124"/>
        <v xml:space="preserve"> </v>
      </c>
      <c r="O983" s="1163" t="str">
        <f t="shared" si="125"/>
        <v xml:space="preserve"> </v>
      </c>
      <c r="Q983">
        <f t="shared" si="126"/>
        <v>0</v>
      </c>
      <c r="R983">
        <f t="shared" si="127"/>
        <v>0</v>
      </c>
    </row>
    <row r="984" spans="2:18" x14ac:dyDescent="0.15">
      <c r="B984" s="1157"/>
      <c r="C984" s="1158"/>
      <c r="D984" s="897"/>
      <c r="E984" s="1159" t="str">
        <f t="shared" si="122"/>
        <v xml:space="preserve"> </v>
      </c>
      <c r="G984" s="1160" t="str">
        <f t="shared" si="123"/>
        <v xml:space="preserve"> </v>
      </c>
      <c r="H984" s="1149"/>
      <c r="I984">
        <f t="shared" si="120"/>
        <v>0</v>
      </c>
      <c r="K984">
        <f t="shared" si="121"/>
        <v>0</v>
      </c>
      <c r="L984" s="1161"/>
      <c r="N984" s="1162" t="str">
        <f t="shared" si="124"/>
        <v xml:space="preserve"> </v>
      </c>
      <c r="O984" s="1163" t="str">
        <f t="shared" si="125"/>
        <v xml:space="preserve"> </v>
      </c>
      <c r="Q984">
        <f t="shared" si="126"/>
        <v>0</v>
      </c>
      <c r="R984">
        <f t="shared" si="127"/>
        <v>0</v>
      </c>
    </row>
    <row r="985" spans="2:18" x14ac:dyDescent="0.15">
      <c r="B985" s="1157"/>
      <c r="C985" s="1158"/>
      <c r="D985" s="897"/>
      <c r="E985" s="1159" t="str">
        <f t="shared" si="122"/>
        <v xml:space="preserve"> </v>
      </c>
      <c r="G985" s="1160" t="str">
        <f t="shared" si="123"/>
        <v xml:space="preserve"> </v>
      </c>
      <c r="H985" s="1149"/>
      <c r="I985">
        <f t="shared" si="120"/>
        <v>0</v>
      </c>
      <c r="K985">
        <f t="shared" si="121"/>
        <v>0</v>
      </c>
      <c r="L985" s="1161"/>
      <c r="N985" s="1162" t="str">
        <f t="shared" si="124"/>
        <v xml:space="preserve"> </v>
      </c>
      <c r="O985" s="1163" t="str">
        <f t="shared" si="125"/>
        <v xml:space="preserve"> </v>
      </c>
      <c r="Q985">
        <f t="shared" si="126"/>
        <v>0</v>
      </c>
      <c r="R985">
        <f t="shared" si="127"/>
        <v>0</v>
      </c>
    </row>
    <row r="986" spans="2:18" x14ac:dyDescent="0.15">
      <c r="B986" s="1157"/>
      <c r="C986" s="1158"/>
      <c r="D986" s="897"/>
      <c r="E986" s="1159" t="str">
        <f t="shared" si="122"/>
        <v xml:space="preserve"> </v>
      </c>
      <c r="G986" s="1160" t="str">
        <f t="shared" si="123"/>
        <v xml:space="preserve"> </v>
      </c>
      <c r="H986" s="1149"/>
      <c r="I986">
        <f t="shared" si="120"/>
        <v>0</v>
      </c>
      <c r="K986">
        <f t="shared" si="121"/>
        <v>0</v>
      </c>
      <c r="L986" s="1161"/>
      <c r="N986" s="1162" t="str">
        <f t="shared" si="124"/>
        <v xml:space="preserve"> </v>
      </c>
      <c r="O986" s="1163" t="str">
        <f t="shared" si="125"/>
        <v xml:space="preserve"> </v>
      </c>
      <c r="Q986">
        <f t="shared" si="126"/>
        <v>0</v>
      </c>
      <c r="R986">
        <f t="shared" si="127"/>
        <v>0</v>
      </c>
    </row>
    <row r="987" spans="2:18" x14ac:dyDescent="0.15">
      <c r="B987" s="1157"/>
      <c r="C987" s="1158"/>
      <c r="D987" s="897"/>
      <c r="E987" s="1159" t="str">
        <f t="shared" si="122"/>
        <v xml:space="preserve"> </v>
      </c>
      <c r="G987" s="1160" t="str">
        <f t="shared" si="123"/>
        <v xml:space="preserve"> </v>
      </c>
      <c r="H987" s="1149"/>
      <c r="I987">
        <f t="shared" si="120"/>
        <v>0</v>
      </c>
      <c r="K987">
        <f t="shared" si="121"/>
        <v>0</v>
      </c>
      <c r="L987" s="1161"/>
      <c r="N987" s="1162" t="str">
        <f t="shared" si="124"/>
        <v xml:space="preserve"> </v>
      </c>
      <c r="O987" s="1163" t="str">
        <f t="shared" si="125"/>
        <v xml:space="preserve"> </v>
      </c>
      <c r="Q987">
        <f t="shared" si="126"/>
        <v>0</v>
      </c>
      <c r="R987">
        <f t="shared" si="127"/>
        <v>0</v>
      </c>
    </row>
    <row r="988" spans="2:18" x14ac:dyDescent="0.15">
      <c r="B988" s="1157"/>
      <c r="C988" s="1158"/>
      <c r="D988" s="897"/>
      <c r="E988" s="1159" t="str">
        <f t="shared" si="122"/>
        <v xml:space="preserve"> </v>
      </c>
      <c r="G988" s="1160" t="str">
        <f t="shared" si="123"/>
        <v xml:space="preserve"> </v>
      </c>
      <c r="H988" s="1149"/>
      <c r="I988">
        <f t="shared" si="120"/>
        <v>0</v>
      </c>
      <c r="K988">
        <f t="shared" si="121"/>
        <v>0</v>
      </c>
      <c r="L988" s="1161"/>
      <c r="N988" s="1162" t="str">
        <f t="shared" si="124"/>
        <v xml:space="preserve"> </v>
      </c>
      <c r="O988" s="1163" t="str">
        <f t="shared" si="125"/>
        <v xml:space="preserve"> </v>
      </c>
      <c r="Q988">
        <f t="shared" si="126"/>
        <v>0</v>
      </c>
      <c r="R988">
        <f t="shared" si="127"/>
        <v>0</v>
      </c>
    </row>
    <row r="989" spans="2:18" x14ac:dyDescent="0.15">
      <c r="B989" s="1157"/>
      <c r="C989" s="1158"/>
      <c r="D989" s="897"/>
      <c r="E989" s="1159" t="str">
        <f t="shared" si="122"/>
        <v xml:space="preserve"> </v>
      </c>
      <c r="G989" s="1160" t="str">
        <f t="shared" si="123"/>
        <v xml:space="preserve"> </v>
      </c>
      <c r="H989" s="1149"/>
      <c r="I989">
        <f t="shared" si="120"/>
        <v>0</v>
      </c>
      <c r="K989">
        <f t="shared" si="121"/>
        <v>0</v>
      </c>
      <c r="L989" s="1161"/>
      <c r="N989" s="1162" t="str">
        <f t="shared" si="124"/>
        <v xml:space="preserve"> </v>
      </c>
      <c r="O989" s="1163" t="str">
        <f t="shared" si="125"/>
        <v xml:space="preserve"> </v>
      </c>
      <c r="Q989">
        <f t="shared" si="126"/>
        <v>0</v>
      </c>
      <c r="R989">
        <f t="shared" si="127"/>
        <v>0</v>
      </c>
    </row>
    <row r="990" spans="2:18" x14ac:dyDescent="0.15">
      <c r="B990" s="1157"/>
      <c r="C990" s="1158"/>
      <c r="D990" s="897"/>
      <c r="E990" s="1159" t="str">
        <f t="shared" si="122"/>
        <v xml:space="preserve"> </v>
      </c>
      <c r="G990" s="1160" t="str">
        <f t="shared" si="123"/>
        <v xml:space="preserve"> </v>
      </c>
      <c r="H990" s="1149"/>
      <c r="I990">
        <f t="shared" si="120"/>
        <v>0</v>
      </c>
      <c r="K990">
        <f t="shared" si="121"/>
        <v>0</v>
      </c>
      <c r="L990" s="1161"/>
      <c r="N990" s="1162" t="str">
        <f t="shared" si="124"/>
        <v xml:space="preserve"> </v>
      </c>
      <c r="O990" s="1163" t="str">
        <f t="shared" si="125"/>
        <v xml:space="preserve"> </v>
      </c>
      <c r="Q990">
        <f t="shared" si="126"/>
        <v>0</v>
      </c>
      <c r="R990">
        <f t="shared" si="127"/>
        <v>0</v>
      </c>
    </row>
    <row r="991" spans="2:18" x14ac:dyDescent="0.15">
      <c r="B991" s="1157"/>
      <c r="C991" s="1158"/>
      <c r="D991" s="897"/>
      <c r="E991" s="1159" t="str">
        <f t="shared" si="122"/>
        <v xml:space="preserve"> </v>
      </c>
      <c r="G991" s="1160" t="str">
        <f t="shared" si="123"/>
        <v xml:space="preserve"> </v>
      </c>
      <c r="H991" s="1149"/>
      <c r="I991">
        <f t="shared" si="120"/>
        <v>0</v>
      </c>
      <c r="K991">
        <f t="shared" si="121"/>
        <v>0</v>
      </c>
      <c r="L991" s="1161"/>
      <c r="N991" s="1162" t="str">
        <f t="shared" si="124"/>
        <v xml:space="preserve"> </v>
      </c>
      <c r="O991" s="1163" t="str">
        <f t="shared" si="125"/>
        <v xml:space="preserve"> </v>
      </c>
      <c r="Q991">
        <f t="shared" si="126"/>
        <v>0</v>
      </c>
      <c r="R991">
        <f t="shared" si="127"/>
        <v>0</v>
      </c>
    </row>
    <row r="992" spans="2:18" x14ac:dyDescent="0.15">
      <c r="B992" s="1157"/>
      <c r="C992" s="1158"/>
      <c r="D992" s="897"/>
      <c r="E992" s="1159" t="str">
        <f t="shared" si="122"/>
        <v xml:space="preserve"> </v>
      </c>
      <c r="G992" s="1160" t="str">
        <f t="shared" si="123"/>
        <v xml:space="preserve"> </v>
      </c>
      <c r="H992" s="1149"/>
      <c r="I992">
        <f t="shared" si="120"/>
        <v>0</v>
      </c>
      <c r="K992">
        <f t="shared" si="121"/>
        <v>0</v>
      </c>
      <c r="L992" s="1161"/>
      <c r="N992" s="1162" t="str">
        <f t="shared" si="124"/>
        <v xml:space="preserve"> </v>
      </c>
      <c r="O992" s="1163" t="str">
        <f t="shared" si="125"/>
        <v xml:space="preserve"> </v>
      </c>
      <c r="Q992">
        <f t="shared" si="126"/>
        <v>0</v>
      </c>
      <c r="R992">
        <f t="shared" si="127"/>
        <v>0</v>
      </c>
    </row>
    <row r="993" spans="2:18" x14ac:dyDescent="0.15">
      <c r="B993" s="1157"/>
      <c r="C993" s="1158"/>
      <c r="D993" s="897"/>
      <c r="E993" s="1159" t="str">
        <f t="shared" si="122"/>
        <v xml:space="preserve"> </v>
      </c>
      <c r="G993" s="1160" t="str">
        <f t="shared" si="123"/>
        <v xml:space="preserve"> </v>
      </c>
      <c r="H993" s="1149"/>
      <c r="I993">
        <f t="shared" si="120"/>
        <v>0</v>
      </c>
      <c r="K993">
        <f t="shared" si="121"/>
        <v>0</v>
      </c>
      <c r="L993" s="1161"/>
      <c r="N993" s="1162" t="str">
        <f t="shared" si="124"/>
        <v xml:space="preserve"> </v>
      </c>
      <c r="O993" s="1163" t="str">
        <f t="shared" si="125"/>
        <v xml:space="preserve"> </v>
      </c>
      <c r="Q993">
        <f t="shared" si="126"/>
        <v>0</v>
      </c>
      <c r="R993">
        <f t="shared" si="127"/>
        <v>0</v>
      </c>
    </row>
    <row r="994" spans="2:18" x14ac:dyDescent="0.15">
      <c r="B994" s="1157"/>
      <c r="C994" s="1158"/>
      <c r="D994" s="897"/>
      <c r="E994" s="1159" t="str">
        <f t="shared" si="122"/>
        <v xml:space="preserve"> </v>
      </c>
      <c r="G994" s="1160" t="str">
        <f t="shared" si="123"/>
        <v xml:space="preserve"> </v>
      </c>
      <c r="H994" s="1149"/>
      <c r="I994">
        <f t="shared" si="120"/>
        <v>0</v>
      </c>
      <c r="K994">
        <f t="shared" si="121"/>
        <v>0</v>
      </c>
      <c r="L994" s="1161"/>
      <c r="N994" s="1162" t="str">
        <f t="shared" si="124"/>
        <v xml:space="preserve"> </v>
      </c>
      <c r="O994" s="1163" t="str">
        <f t="shared" si="125"/>
        <v xml:space="preserve"> </v>
      </c>
      <c r="Q994">
        <f t="shared" si="126"/>
        <v>0</v>
      </c>
      <c r="R994">
        <f t="shared" si="127"/>
        <v>0</v>
      </c>
    </row>
    <row r="995" spans="2:18" x14ac:dyDescent="0.15">
      <c r="B995" s="1157"/>
      <c r="C995" s="1158"/>
      <c r="D995" s="897"/>
      <c r="E995" s="1159" t="str">
        <f t="shared" si="122"/>
        <v xml:space="preserve"> </v>
      </c>
      <c r="G995" s="1160" t="str">
        <f t="shared" si="123"/>
        <v xml:space="preserve"> </v>
      </c>
      <c r="H995" s="1149"/>
      <c r="I995">
        <f t="shared" si="120"/>
        <v>0</v>
      </c>
      <c r="K995">
        <f t="shared" si="121"/>
        <v>0</v>
      </c>
      <c r="L995" s="1161"/>
      <c r="N995" s="1162" t="str">
        <f t="shared" si="124"/>
        <v xml:space="preserve"> </v>
      </c>
      <c r="O995" s="1163" t="str">
        <f t="shared" si="125"/>
        <v xml:space="preserve"> </v>
      </c>
      <c r="Q995">
        <f t="shared" si="126"/>
        <v>0</v>
      </c>
      <c r="R995">
        <f t="shared" si="127"/>
        <v>0</v>
      </c>
    </row>
    <row r="996" spans="2:18" x14ac:dyDescent="0.15">
      <c r="B996" s="1157"/>
      <c r="C996" s="1158"/>
      <c r="D996" s="897"/>
      <c r="E996" s="1159" t="str">
        <f t="shared" si="122"/>
        <v xml:space="preserve"> </v>
      </c>
      <c r="G996" s="1160" t="str">
        <f t="shared" si="123"/>
        <v xml:space="preserve"> </v>
      </c>
      <c r="H996" s="1149"/>
      <c r="I996">
        <f t="shared" si="120"/>
        <v>0</v>
      </c>
      <c r="K996">
        <f t="shared" si="121"/>
        <v>0</v>
      </c>
      <c r="L996" s="1161"/>
      <c r="N996" s="1162" t="str">
        <f t="shared" si="124"/>
        <v xml:space="preserve"> </v>
      </c>
      <c r="O996" s="1163" t="str">
        <f t="shared" si="125"/>
        <v xml:space="preserve"> </v>
      </c>
      <c r="Q996">
        <f t="shared" si="126"/>
        <v>0</v>
      </c>
      <c r="R996">
        <f t="shared" si="127"/>
        <v>0</v>
      </c>
    </row>
    <row r="997" spans="2:18" x14ac:dyDescent="0.15">
      <c r="B997" s="1157"/>
      <c r="C997" s="1158"/>
      <c r="D997" s="897"/>
      <c r="E997" s="1159" t="str">
        <f t="shared" si="122"/>
        <v xml:space="preserve"> </v>
      </c>
      <c r="G997" s="1160" t="str">
        <f t="shared" si="123"/>
        <v xml:space="preserve"> </v>
      </c>
      <c r="H997" s="1149"/>
      <c r="I997">
        <f t="shared" si="120"/>
        <v>0</v>
      </c>
      <c r="K997">
        <f t="shared" si="121"/>
        <v>0</v>
      </c>
      <c r="L997" s="1161"/>
      <c r="N997" s="1162" t="str">
        <f t="shared" si="124"/>
        <v xml:space="preserve"> </v>
      </c>
      <c r="O997" s="1163" t="str">
        <f t="shared" si="125"/>
        <v xml:space="preserve"> </v>
      </c>
      <c r="Q997">
        <f t="shared" si="126"/>
        <v>0</v>
      </c>
      <c r="R997">
        <f t="shared" si="127"/>
        <v>0</v>
      </c>
    </row>
    <row r="998" spans="2:18" x14ac:dyDescent="0.15">
      <c r="B998" s="1157"/>
      <c r="C998" s="1158"/>
      <c r="D998" s="897"/>
      <c r="E998" s="1159" t="str">
        <f t="shared" si="122"/>
        <v xml:space="preserve"> </v>
      </c>
      <c r="G998" s="1160" t="str">
        <f t="shared" si="123"/>
        <v xml:space="preserve"> </v>
      </c>
      <c r="H998" s="1149"/>
      <c r="I998">
        <f t="shared" si="120"/>
        <v>0</v>
      </c>
      <c r="K998">
        <f t="shared" si="121"/>
        <v>0</v>
      </c>
      <c r="L998" s="1161"/>
      <c r="N998" s="1162" t="str">
        <f t="shared" si="124"/>
        <v xml:space="preserve"> </v>
      </c>
      <c r="O998" s="1163" t="str">
        <f t="shared" si="125"/>
        <v xml:space="preserve"> </v>
      </c>
      <c r="Q998">
        <f t="shared" si="126"/>
        <v>0</v>
      </c>
      <c r="R998">
        <f t="shared" si="127"/>
        <v>0</v>
      </c>
    </row>
    <row r="999" spans="2:18" x14ac:dyDescent="0.15">
      <c r="B999" s="1157"/>
      <c r="C999" s="1158"/>
      <c r="D999" s="897"/>
      <c r="E999" s="1159" t="str">
        <f t="shared" si="122"/>
        <v xml:space="preserve"> </v>
      </c>
      <c r="G999" s="1160" t="str">
        <f t="shared" si="123"/>
        <v xml:space="preserve"> </v>
      </c>
      <c r="H999" s="1149"/>
      <c r="I999">
        <f t="shared" si="120"/>
        <v>0</v>
      </c>
      <c r="K999">
        <f t="shared" si="121"/>
        <v>0</v>
      </c>
      <c r="L999" s="1161"/>
      <c r="N999" s="1162" t="str">
        <f t="shared" si="124"/>
        <v xml:space="preserve"> </v>
      </c>
      <c r="O999" s="1163" t="str">
        <f t="shared" si="125"/>
        <v xml:space="preserve"> </v>
      </c>
      <c r="Q999">
        <f t="shared" si="126"/>
        <v>0</v>
      </c>
      <c r="R999">
        <f t="shared" si="127"/>
        <v>0</v>
      </c>
    </row>
    <row r="1000" spans="2:18" x14ac:dyDescent="0.15">
      <c r="B1000" s="1157"/>
      <c r="C1000" s="1158"/>
      <c r="D1000" s="897"/>
      <c r="E1000" s="1159" t="str">
        <f t="shared" si="122"/>
        <v xml:space="preserve"> </v>
      </c>
      <c r="G1000" s="1160" t="str">
        <f t="shared" si="123"/>
        <v xml:space="preserve"> </v>
      </c>
      <c r="H1000" s="1149"/>
      <c r="I1000">
        <f t="shared" si="120"/>
        <v>0</v>
      </c>
      <c r="K1000">
        <f t="shared" si="121"/>
        <v>0</v>
      </c>
      <c r="L1000" s="1161"/>
      <c r="N1000" s="1162" t="str">
        <f t="shared" si="124"/>
        <v xml:space="preserve"> </v>
      </c>
      <c r="O1000" s="1163" t="str">
        <f t="shared" si="125"/>
        <v xml:space="preserve"> </v>
      </c>
      <c r="Q1000">
        <f t="shared" si="126"/>
        <v>0</v>
      </c>
      <c r="R1000">
        <f t="shared" si="127"/>
        <v>0</v>
      </c>
    </row>
    <row r="1001" spans="2:18" x14ac:dyDescent="0.15">
      <c r="B1001" s="1157"/>
      <c r="C1001" s="1158"/>
      <c r="D1001" s="897"/>
      <c r="E1001" s="1159" t="str">
        <f t="shared" si="122"/>
        <v xml:space="preserve"> </v>
      </c>
      <c r="G1001" s="1160" t="str">
        <f t="shared" si="123"/>
        <v xml:space="preserve"> </v>
      </c>
      <c r="H1001" s="1149"/>
      <c r="I1001">
        <f t="shared" si="120"/>
        <v>0</v>
      </c>
      <c r="K1001">
        <f t="shared" si="121"/>
        <v>0</v>
      </c>
      <c r="L1001" s="1161"/>
      <c r="N1001" s="1162" t="str">
        <f t="shared" si="124"/>
        <v xml:space="preserve"> </v>
      </c>
      <c r="O1001" s="1163" t="str">
        <f t="shared" si="125"/>
        <v xml:space="preserve"> </v>
      </c>
      <c r="Q1001">
        <f t="shared" si="126"/>
        <v>0</v>
      </c>
      <c r="R1001">
        <f t="shared" si="127"/>
        <v>0</v>
      </c>
    </row>
    <row r="1002" spans="2:18" x14ac:dyDescent="0.15">
      <c r="B1002" s="1157"/>
      <c r="C1002" s="1158"/>
      <c r="D1002" s="897"/>
      <c r="E1002" s="1159" t="str">
        <f t="shared" si="122"/>
        <v xml:space="preserve"> </v>
      </c>
      <c r="G1002" s="1160" t="str">
        <f t="shared" si="123"/>
        <v xml:space="preserve"> </v>
      </c>
      <c r="H1002" s="1149"/>
      <c r="I1002">
        <f t="shared" si="120"/>
        <v>0</v>
      </c>
      <c r="K1002">
        <f t="shared" si="121"/>
        <v>0</v>
      </c>
      <c r="L1002" s="1161"/>
      <c r="N1002" s="1162" t="str">
        <f t="shared" si="124"/>
        <v xml:space="preserve"> </v>
      </c>
      <c r="O1002" s="1163" t="str">
        <f t="shared" si="125"/>
        <v xml:space="preserve"> </v>
      </c>
      <c r="Q1002">
        <f t="shared" si="126"/>
        <v>0</v>
      </c>
      <c r="R1002">
        <f t="shared" si="127"/>
        <v>0</v>
      </c>
    </row>
    <row r="1003" spans="2:18" x14ac:dyDescent="0.15">
      <c r="B1003" s="1157"/>
      <c r="C1003" s="1158"/>
      <c r="D1003" s="897"/>
      <c r="E1003" s="1159" t="str">
        <f t="shared" si="122"/>
        <v xml:space="preserve"> </v>
      </c>
      <c r="G1003" s="1160" t="str">
        <f t="shared" si="123"/>
        <v xml:space="preserve"> </v>
      </c>
      <c r="H1003" s="1149"/>
      <c r="I1003">
        <f t="shared" si="120"/>
        <v>0</v>
      </c>
      <c r="K1003">
        <f t="shared" si="121"/>
        <v>0</v>
      </c>
      <c r="L1003" s="1161"/>
      <c r="N1003" s="1162" t="str">
        <f t="shared" si="124"/>
        <v xml:space="preserve"> </v>
      </c>
      <c r="O1003" s="1163" t="str">
        <f t="shared" si="125"/>
        <v xml:space="preserve"> </v>
      </c>
      <c r="Q1003">
        <f t="shared" si="126"/>
        <v>0</v>
      </c>
      <c r="R1003">
        <f t="shared" si="127"/>
        <v>0</v>
      </c>
    </row>
    <row r="1004" spans="2:18" x14ac:dyDescent="0.15">
      <c r="B1004" s="1157"/>
      <c r="C1004" s="1158"/>
      <c r="D1004" s="897"/>
      <c r="E1004" s="1159" t="str">
        <f t="shared" si="122"/>
        <v xml:space="preserve"> </v>
      </c>
      <c r="G1004" s="1160" t="str">
        <f t="shared" si="123"/>
        <v xml:space="preserve"> </v>
      </c>
      <c r="H1004" s="1149"/>
      <c r="I1004">
        <f t="shared" si="120"/>
        <v>0</v>
      </c>
      <c r="K1004">
        <f t="shared" si="121"/>
        <v>0</v>
      </c>
      <c r="L1004" s="1161"/>
      <c r="N1004" s="1162" t="str">
        <f t="shared" si="124"/>
        <v xml:space="preserve"> </v>
      </c>
      <c r="O1004" s="1163" t="str">
        <f t="shared" si="125"/>
        <v xml:space="preserve"> </v>
      </c>
      <c r="Q1004">
        <f t="shared" si="126"/>
        <v>0</v>
      </c>
      <c r="R1004">
        <f t="shared" si="127"/>
        <v>0</v>
      </c>
    </row>
    <row r="1005" spans="2:18" x14ac:dyDescent="0.15">
      <c r="B1005" s="1157"/>
      <c r="C1005" s="1158"/>
      <c r="D1005" s="897"/>
      <c r="E1005" s="1159" t="str">
        <f t="shared" si="122"/>
        <v xml:space="preserve"> </v>
      </c>
      <c r="G1005" s="1160" t="str">
        <f t="shared" si="123"/>
        <v xml:space="preserve"> </v>
      </c>
      <c r="H1005" s="1149"/>
      <c r="I1005">
        <f t="shared" si="120"/>
        <v>0</v>
      </c>
      <c r="K1005">
        <f t="shared" si="121"/>
        <v>0</v>
      </c>
      <c r="L1005" s="1161"/>
      <c r="N1005" s="1162" t="str">
        <f t="shared" si="124"/>
        <v xml:space="preserve"> </v>
      </c>
      <c r="O1005" s="1163" t="str">
        <f t="shared" si="125"/>
        <v xml:space="preserve"> </v>
      </c>
      <c r="Q1005">
        <f t="shared" si="126"/>
        <v>0</v>
      </c>
      <c r="R1005">
        <f t="shared" si="127"/>
        <v>0</v>
      </c>
    </row>
    <row r="1006" spans="2:18" x14ac:dyDescent="0.15">
      <c r="B1006" s="1157"/>
      <c r="C1006" s="1158"/>
      <c r="D1006" s="897"/>
      <c r="E1006" s="1159" t="str">
        <f t="shared" si="122"/>
        <v xml:space="preserve"> </v>
      </c>
      <c r="G1006" s="1160" t="str">
        <f t="shared" si="123"/>
        <v xml:space="preserve"> </v>
      </c>
      <c r="H1006" s="1149"/>
      <c r="I1006">
        <f t="shared" si="120"/>
        <v>0</v>
      </c>
      <c r="K1006">
        <f t="shared" si="121"/>
        <v>0</v>
      </c>
      <c r="L1006" s="1161"/>
      <c r="N1006" s="1162" t="str">
        <f t="shared" si="124"/>
        <v xml:space="preserve"> </v>
      </c>
      <c r="O1006" s="1163" t="str">
        <f t="shared" si="125"/>
        <v xml:space="preserve"> </v>
      </c>
      <c r="Q1006">
        <f t="shared" si="126"/>
        <v>0</v>
      </c>
      <c r="R1006">
        <f t="shared" si="127"/>
        <v>0</v>
      </c>
    </row>
    <row r="1007" spans="2:18" x14ac:dyDescent="0.15">
      <c r="B1007" s="1157"/>
      <c r="C1007" s="1158"/>
      <c r="D1007" s="897"/>
      <c r="E1007" s="1159" t="str">
        <f t="shared" si="122"/>
        <v xml:space="preserve"> </v>
      </c>
      <c r="G1007" s="1160" t="str">
        <f t="shared" si="123"/>
        <v xml:space="preserve"> </v>
      </c>
      <c r="H1007" s="1149"/>
      <c r="I1007">
        <f t="shared" si="120"/>
        <v>0</v>
      </c>
      <c r="K1007">
        <f t="shared" si="121"/>
        <v>0</v>
      </c>
      <c r="L1007" s="1161"/>
      <c r="N1007" s="1162" t="str">
        <f t="shared" si="124"/>
        <v xml:space="preserve"> </v>
      </c>
      <c r="O1007" s="1163" t="str">
        <f t="shared" si="125"/>
        <v xml:space="preserve"> </v>
      </c>
      <c r="Q1007">
        <f t="shared" si="126"/>
        <v>0</v>
      </c>
      <c r="R1007">
        <f t="shared" si="127"/>
        <v>0</v>
      </c>
    </row>
    <row r="1008" spans="2:18" x14ac:dyDescent="0.15">
      <c r="B1008" s="1157"/>
      <c r="C1008" s="1158"/>
      <c r="D1008" s="897"/>
      <c r="E1008" s="1159" t="str">
        <f t="shared" si="122"/>
        <v xml:space="preserve"> </v>
      </c>
      <c r="G1008" s="1160" t="str">
        <f t="shared" si="123"/>
        <v xml:space="preserve"> </v>
      </c>
      <c r="H1008" s="1149"/>
      <c r="I1008">
        <f t="shared" si="120"/>
        <v>0</v>
      </c>
      <c r="K1008">
        <f t="shared" si="121"/>
        <v>0</v>
      </c>
      <c r="L1008" s="1161"/>
      <c r="N1008" s="1162" t="str">
        <f t="shared" si="124"/>
        <v xml:space="preserve"> </v>
      </c>
      <c r="O1008" s="1163" t="str">
        <f t="shared" si="125"/>
        <v xml:space="preserve"> </v>
      </c>
      <c r="Q1008">
        <f t="shared" si="126"/>
        <v>0</v>
      </c>
      <c r="R1008">
        <f t="shared" si="127"/>
        <v>0</v>
      </c>
    </row>
    <row r="1009" spans="2:18" x14ac:dyDescent="0.15">
      <c r="B1009" s="1157"/>
      <c r="C1009" s="1158"/>
      <c r="D1009" s="897"/>
      <c r="E1009" s="1159" t="str">
        <f t="shared" si="122"/>
        <v xml:space="preserve"> </v>
      </c>
      <c r="G1009" s="1160" t="str">
        <f t="shared" si="123"/>
        <v xml:space="preserve"> </v>
      </c>
      <c r="H1009" s="1149"/>
      <c r="I1009">
        <f t="shared" si="120"/>
        <v>0</v>
      </c>
      <c r="K1009">
        <f t="shared" si="121"/>
        <v>0</v>
      </c>
      <c r="L1009" s="1161"/>
      <c r="N1009" s="1162" t="str">
        <f t="shared" si="124"/>
        <v xml:space="preserve"> </v>
      </c>
      <c r="O1009" s="1163" t="str">
        <f t="shared" si="125"/>
        <v xml:space="preserve"> </v>
      </c>
      <c r="Q1009">
        <f t="shared" si="126"/>
        <v>0</v>
      </c>
      <c r="R1009">
        <f t="shared" si="127"/>
        <v>0</v>
      </c>
    </row>
    <row r="1010" spans="2:18" x14ac:dyDescent="0.15">
      <c r="B1010" s="1157"/>
      <c r="C1010" s="1158"/>
      <c r="D1010" s="897"/>
      <c r="E1010" s="1159" t="str">
        <f t="shared" si="122"/>
        <v xml:space="preserve"> </v>
      </c>
      <c r="G1010" s="1160" t="str">
        <f t="shared" si="123"/>
        <v xml:space="preserve"> </v>
      </c>
      <c r="H1010" s="1149"/>
      <c r="I1010">
        <f t="shared" si="120"/>
        <v>0</v>
      </c>
      <c r="K1010">
        <f t="shared" si="121"/>
        <v>0</v>
      </c>
      <c r="L1010" s="1161"/>
      <c r="N1010" s="1162" t="str">
        <f t="shared" si="124"/>
        <v xml:space="preserve"> </v>
      </c>
      <c r="O1010" s="1163" t="str">
        <f t="shared" si="125"/>
        <v xml:space="preserve"> </v>
      </c>
      <c r="Q1010">
        <f t="shared" si="126"/>
        <v>0</v>
      </c>
      <c r="R1010">
        <f t="shared" si="127"/>
        <v>0</v>
      </c>
    </row>
    <row r="1011" spans="2:18" x14ac:dyDescent="0.15">
      <c r="B1011" s="1157"/>
      <c r="C1011" s="1158"/>
      <c r="D1011" s="897"/>
      <c r="E1011" s="1159" t="str">
        <f t="shared" si="122"/>
        <v xml:space="preserve"> </v>
      </c>
      <c r="G1011" s="1160" t="str">
        <f t="shared" si="123"/>
        <v xml:space="preserve"> </v>
      </c>
      <c r="H1011" s="1149"/>
      <c r="I1011">
        <f t="shared" si="120"/>
        <v>0</v>
      </c>
      <c r="K1011">
        <f t="shared" si="121"/>
        <v>0</v>
      </c>
      <c r="L1011" s="1161"/>
      <c r="N1011" s="1162" t="str">
        <f t="shared" si="124"/>
        <v xml:space="preserve"> </v>
      </c>
      <c r="O1011" s="1163" t="str">
        <f t="shared" si="125"/>
        <v xml:space="preserve"> </v>
      </c>
      <c r="Q1011">
        <f t="shared" si="126"/>
        <v>0</v>
      </c>
      <c r="R1011">
        <f t="shared" si="127"/>
        <v>0</v>
      </c>
    </row>
    <row r="1012" spans="2:18" x14ac:dyDescent="0.15">
      <c r="B1012" s="1157"/>
      <c r="C1012" s="1158"/>
      <c r="D1012" s="897"/>
      <c r="E1012" s="1159" t="str">
        <f t="shared" si="122"/>
        <v xml:space="preserve"> </v>
      </c>
      <c r="G1012" s="1160" t="str">
        <f t="shared" si="123"/>
        <v xml:space="preserve"> </v>
      </c>
      <c r="H1012" s="1149"/>
      <c r="I1012">
        <f t="shared" si="120"/>
        <v>0</v>
      </c>
      <c r="K1012">
        <f t="shared" si="121"/>
        <v>0</v>
      </c>
      <c r="L1012" s="1161"/>
      <c r="N1012" s="1162" t="str">
        <f t="shared" si="124"/>
        <v xml:space="preserve"> </v>
      </c>
      <c r="O1012" s="1163" t="str">
        <f t="shared" si="125"/>
        <v xml:space="preserve"> </v>
      </c>
      <c r="Q1012">
        <f t="shared" si="126"/>
        <v>0</v>
      </c>
      <c r="R1012">
        <f t="shared" si="127"/>
        <v>0</v>
      </c>
    </row>
    <row r="1013" spans="2:18" x14ac:dyDescent="0.15">
      <c r="B1013" s="1157"/>
      <c r="C1013" s="1158"/>
      <c r="D1013" s="897"/>
      <c r="E1013" s="1159" t="str">
        <f t="shared" si="122"/>
        <v xml:space="preserve"> </v>
      </c>
      <c r="G1013" s="1160" t="str">
        <f t="shared" si="123"/>
        <v xml:space="preserve"> </v>
      </c>
      <c r="H1013" s="1149"/>
      <c r="I1013">
        <f t="shared" si="120"/>
        <v>0</v>
      </c>
      <c r="K1013">
        <f t="shared" si="121"/>
        <v>0</v>
      </c>
      <c r="L1013" s="1161"/>
      <c r="N1013" s="1162" t="str">
        <f t="shared" si="124"/>
        <v xml:space="preserve"> </v>
      </c>
      <c r="O1013" s="1163" t="str">
        <f t="shared" si="125"/>
        <v xml:space="preserve"> </v>
      </c>
      <c r="Q1013">
        <f t="shared" si="126"/>
        <v>0</v>
      </c>
      <c r="R1013">
        <f t="shared" si="127"/>
        <v>0</v>
      </c>
    </row>
    <row r="1014" spans="2:18" x14ac:dyDescent="0.15">
      <c r="B1014" s="1157"/>
      <c r="C1014" s="1158"/>
      <c r="D1014" s="897"/>
      <c r="E1014" s="1159" t="str">
        <f t="shared" si="122"/>
        <v xml:space="preserve"> </v>
      </c>
      <c r="G1014" s="1160" t="str">
        <f t="shared" si="123"/>
        <v xml:space="preserve"> </v>
      </c>
      <c r="H1014" s="1149"/>
      <c r="I1014">
        <f t="shared" si="120"/>
        <v>0</v>
      </c>
      <c r="K1014">
        <f t="shared" si="121"/>
        <v>0</v>
      </c>
      <c r="L1014" s="1161"/>
      <c r="N1014" s="1162" t="str">
        <f t="shared" si="124"/>
        <v xml:space="preserve"> </v>
      </c>
      <c r="O1014" s="1163" t="str">
        <f t="shared" si="125"/>
        <v xml:space="preserve"> </v>
      </c>
      <c r="Q1014">
        <f t="shared" si="126"/>
        <v>0</v>
      </c>
      <c r="R1014">
        <f t="shared" si="127"/>
        <v>0</v>
      </c>
    </row>
    <row r="1015" spans="2:18" x14ac:dyDescent="0.15">
      <c r="B1015" s="1157"/>
      <c r="C1015" s="1158"/>
      <c r="D1015" s="897"/>
      <c r="E1015" s="1159" t="str">
        <f t="shared" si="122"/>
        <v xml:space="preserve"> </v>
      </c>
      <c r="G1015" s="1160" t="str">
        <f t="shared" si="123"/>
        <v xml:space="preserve"> </v>
      </c>
      <c r="H1015" s="1149"/>
      <c r="I1015">
        <f t="shared" si="120"/>
        <v>0</v>
      </c>
      <c r="K1015">
        <f t="shared" si="121"/>
        <v>0</v>
      </c>
      <c r="L1015" s="1161"/>
      <c r="N1015" s="1162" t="str">
        <f t="shared" si="124"/>
        <v xml:space="preserve"> </v>
      </c>
      <c r="O1015" s="1163" t="str">
        <f t="shared" si="125"/>
        <v xml:space="preserve"> </v>
      </c>
      <c r="Q1015">
        <f t="shared" si="126"/>
        <v>0</v>
      </c>
      <c r="R1015">
        <f t="shared" si="127"/>
        <v>0</v>
      </c>
    </row>
    <row r="1016" spans="2:18" x14ac:dyDescent="0.15">
      <c r="B1016" s="1157"/>
      <c r="C1016" s="1158"/>
      <c r="D1016" s="897"/>
      <c r="E1016" s="1159" t="str">
        <f t="shared" si="122"/>
        <v xml:space="preserve"> </v>
      </c>
      <c r="G1016" s="1160" t="str">
        <f t="shared" si="123"/>
        <v xml:space="preserve"> </v>
      </c>
      <c r="H1016" s="1149"/>
      <c r="I1016">
        <f t="shared" si="120"/>
        <v>0</v>
      </c>
      <c r="K1016">
        <f t="shared" si="121"/>
        <v>0</v>
      </c>
      <c r="L1016" s="1161"/>
      <c r="N1016" s="1162" t="str">
        <f t="shared" si="124"/>
        <v xml:space="preserve"> </v>
      </c>
      <c r="O1016" s="1163" t="str">
        <f t="shared" si="125"/>
        <v xml:space="preserve"> </v>
      </c>
      <c r="Q1016">
        <f t="shared" si="126"/>
        <v>0</v>
      </c>
      <c r="R1016">
        <f t="shared" si="127"/>
        <v>0</v>
      </c>
    </row>
    <row r="1017" spans="2:18" x14ac:dyDescent="0.15">
      <c r="B1017" s="1157"/>
      <c r="C1017" s="1158"/>
      <c r="D1017" s="897"/>
      <c r="E1017" s="1159" t="str">
        <f t="shared" si="122"/>
        <v xml:space="preserve"> </v>
      </c>
      <c r="G1017" s="1160" t="str">
        <f t="shared" si="123"/>
        <v xml:space="preserve"> </v>
      </c>
      <c r="H1017" s="1149"/>
      <c r="I1017">
        <f t="shared" si="120"/>
        <v>0</v>
      </c>
      <c r="K1017">
        <f t="shared" si="121"/>
        <v>0</v>
      </c>
      <c r="L1017" s="1161"/>
      <c r="N1017" s="1162" t="str">
        <f t="shared" si="124"/>
        <v xml:space="preserve"> </v>
      </c>
      <c r="O1017" s="1163" t="str">
        <f t="shared" si="125"/>
        <v xml:space="preserve"> </v>
      </c>
      <c r="Q1017">
        <f t="shared" si="126"/>
        <v>0</v>
      </c>
      <c r="R1017">
        <f t="shared" si="127"/>
        <v>0</v>
      </c>
    </row>
    <row r="1018" spans="2:18" x14ac:dyDescent="0.15">
      <c r="B1018" s="1157"/>
      <c r="C1018" s="1158"/>
      <c r="D1018" s="897"/>
      <c r="E1018" s="1159" t="str">
        <f t="shared" si="122"/>
        <v xml:space="preserve"> </v>
      </c>
      <c r="G1018" s="1160" t="str">
        <f t="shared" si="123"/>
        <v xml:space="preserve"> </v>
      </c>
      <c r="H1018" s="1149"/>
      <c r="I1018">
        <f t="shared" si="120"/>
        <v>0</v>
      </c>
      <c r="K1018">
        <f t="shared" si="121"/>
        <v>0</v>
      </c>
      <c r="L1018" s="1161"/>
      <c r="N1018" s="1162" t="str">
        <f t="shared" si="124"/>
        <v xml:space="preserve"> </v>
      </c>
      <c r="O1018" s="1163" t="str">
        <f t="shared" si="125"/>
        <v xml:space="preserve"> </v>
      </c>
      <c r="Q1018">
        <f t="shared" si="126"/>
        <v>0</v>
      </c>
      <c r="R1018">
        <f t="shared" si="127"/>
        <v>0</v>
      </c>
    </row>
    <row r="1019" spans="2:18" x14ac:dyDescent="0.15">
      <c r="B1019" s="1157"/>
      <c r="C1019" s="1158"/>
      <c r="D1019" s="897"/>
      <c r="E1019" s="1159" t="str">
        <f t="shared" si="122"/>
        <v xml:space="preserve"> </v>
      </c>
      <c r="G1019" s="1160" t="str">
        <f t="shared" si="123"/>
        <v xml:space="preserve"> </v>
      </c>
      <c r="H1019" s="1149"/>
      <c r="I1019">
        <f t="shared" si="120"/>
        <v>0</v>
      </c>
      <c r="K1019">
        <f t="shared" si="121"/>
        <v>0</v>
      </c>
      <c r="L1019" s="1161"/>
      <c r="N1019" s="1162" t="str">
        <f t="shared" si="124"/>
        <v xml:space="preserve"> </v>
      </c>
      <c r="O1019" s="1163" t="str">
        <f t="shared" si="125"/>
        <v xml:space="preserve"> </v>
      </c>
      <c r="Q1019">
        <f t="shared" si="126"/>
        <v>0</v>
      </c>
      <c r="R1019">
        <f t="shared" si="127"/>
        <v>0</v>
      </c>
    </row>
    <row r="1020" spans="2:18" x14ac:dyDescent="0.15">
      <c r="B1020" s="1157"/>
      <c r="C1020" s="1158"/>
      <c r="D1020" s="897"/>
      <c r="E1020" s="1159" t="str">
        <f t="shared" si="122"/>
        <v xml:space="preserve"> </v>
      </c>
      <c r="G1020" s="1160" t="str">
        <f t="shared" si="123"/>
        <v xml:space="preserve"> </v>
      </c>
      <c r="H1020" s="1149"/>
      <c r="I1020">
        <f t="shared" si="120"/>
        <v>0</v>
      </c>
      <c r="K1020">
        <f t="shared" si="121"/>
        <v>0</v>
      </c>
      <c r="L1020" s="1161"/>
      <c r="N1020" s="1162" t="str">
        <f t="shared" si="124"/>
        <v xml:space="preserve"> </v>
      </c>
      <c r="O1020" s="1163" t="str">
        <f t="shared" si="125"/>
        <v xml:space="preserve"> </v>
      </c>
      <c r="Q1020">
        <f t="shared" si="126"/>
        <v>0</v>
      </c>
      <c r="R1020">
        <f t="shared" si="127"/>
        <v>0</v>
      </c>
    </row>
    <row r="1021" spans="2:18" x14ac:dyDescent="0.15">
      <c r="B1021" s="1157"/>
      <c r="C1021" s="1158"/>
      <c r="D1021" s="897"/>
      <c r="E1021" s="1159" t="str">
        <f t="shared" si="122"/>
        <v xml:space="preserve"> </v>
      </c>
      <c r="G1021" s="1160" t="str">
        <f t="shared" si="123"/>
        <v xml:space="preserve"> </v>
      </c>
      <c r="H1021" s="1149"/>
      <c r="I1021">
        <f t="shared" si="120"/>
        <v>0</v>
      </c>
      <c r="K1021">
        <f t="shared" si="121"/>
        <v>0</v>
      </c>
      <c r="L1021" s="1161"/>
      <c r="N1021" s="1162" t="str">
        <f t="shared" si="124"/>
        <v xml:space="preserve"> </v>
      </c>
      <c r="O1021" s="1163" t="str">
        <f t="shared" si="125"/>
        <v xml:space="preserve"> </v>
      </c>
      <c r="Q1021">
        <f t="shared" si="126"/>
        <v>0</v>
      </c>
      <c r="R1021">
        <f t="shared" si="127"/>
        <v>0</v>
      </c>
    </row>
    <row r="1022" spans="2:18" x14ac:dyDescent="0.15">
      <c r="B1022" s="1157"/>
      <c r="C1022" s="1158"/>
      <c r="D1022" s="897"/>
      <c r="E1022" s="1159" t="str">
        <f t="shared" si="122"/>
        <v xml:space="preserve"> </v>
      </c>
      <c r="G1022" s="1160" t="str">
        <f t="shared" si="123"/>
        <v xml:space="preserve"> </v>
      </c>
      <c r="H1022" s="1149"/>
      <c r="I1022">
        <f t="shared" si="120"/>
        <v>0</v>
      </c>
      <c r="K1022">
        <f t="shared" si="121"/>
        <v>0</v>
      </c>
      <c r="L1022" s="1161"/>
      <c r="N1022" s="1162" t="str">
        <f t="shared" si="124"/>
        <v xml:space="preserve"> </v>
      </c>
      <c r="O1022" s="1163" t="str">
        <f t="shared" si="125"/>
        <v xml:space="preserve"> </v>
      </c>
      <c r="Q1022">
        <f t="shared" si="126"/>
        <v>0</v>
      </c>
      <c r="R1022">
        <f t="shared" si="127"/>
        <v>0</v>
      </c>
    </row>
    <row r="1023" spans="2:18" x14ac:dyDescent="0.15">
      <c r="B1023" s="1157"/>
      <c r="C1023" s="1158"/>
      <c r="D1023" s="897"/>
      <c r="E1023" s="1159" t="str">
        <f t="shared" si="122"/>
        <v xml:space="preserve"> </v>
      </c>
      <c r="G1023" s="1160" t="str">
        <f t="shared" si="123"/>
        <v xml:space="preserve"> </v>
      </c>
      <c r="H1023" s="1149"/>
      <c r="I1023">
        <f t="shared" si="120"/>
        <v>0</v>
      </c>
      <c r="K1023">
        <f t="shared" si="121"/>
        <v>0</v>
      </c>
      <c r="L1023" s="1161"/>
      <c r="N1023" s="1162" t="str">
        <f t="shared" si="124"/>
        <v xml:space="preserve"> </v>
      </c>
      <c r="O1023" s="1163" t="str">
        <f t="shared" si="125"/>
        <v xml:space="preserve"> </v>
      </c>
      <c r="Q1023">
        <f t="shared" si="126"/>
        <v>0</v>
      </c>
      <c r="R1023">
        <f t="shared" si="127"/>
        <v>0</v>
      </c>
    </row>
    <row r="1024" spans="2:18" x14ac:dyDescent="0.15">
      <c r="B1024" s="1157"/>
      <c r="C1024" s="1158"/>
      <c r="D1024" s="897"/>
      <c r="E1024" s="1159" t="str">
        <f t="shared" si="122"/>
        <v xml:space="preserve"> </v>
      </c>
      <c r="G1024" s="1160" t="str">
        <f t="shared" si="123"/>
        <v xml:space="preserve"> </v>
      </c>
      <c r="H1024" s="1149"/>
      <c r="I1024">
        <f t="shared" si="120"/>
        <v>0</v>
      </c>
      <c r="K1024">
        <f t="shared" si="121"/>
        <v>0</v>
      </c>
      <c r="L1024" s="1161"/>
      <c r="N1024" s="1162" t="str">
        <f t="shared" si="124"/>
        <v xml:space="preserve"> </v>
      </c>
      <c r="O1024" s="1163" t="str">
        <f t="shared" si="125"/>
        <v xml:space="preserve"> </v>
      </c>
      <c r="Q1024">
        <f t="shared" si="126"/>
        <v>0</v>
      </c>
      <c r="R1024">
        <f t="shared" si="127"/>
        <v>0</v>
      </c>
    </row>
    <row r="1025" spans="2:18" x14ac:dyDescent="0.15">
      <c r="B1025" s="1157"/>
      <c r="C1025" s="1158"/>
      <c r="D1025" s="897"/>
      <c r="E1025" s="1159" t="str">
        <f t="shared" si="122"/>
        <v xml:space="preserve"> </v>
      </c>
      <c r="G1025" s="1160" t="str">
        <f t="shared" si="123"/>
        <v xml:space="preserve"> </v>
      </c>
      <c r="H1025" s="1149"/>
      <c r="I1025">
        <f t="shared" si="120"/>
        <v>0</v>
      </c>
      <c r="K1025">
        <f t="shared" si="121"/>
        <v>0</v>
      </c>
      <c r="L1025" s="1161"/>
      <c r="N1025" s="1162" t="str">
        <f t="shared" si="124"/>
        <v xml:space="preserve"> </v>
      </c>
      <c r="O1025" s="1163" t="str">
        <f t="shared" si="125"/>
        <v xml:space="preserve"> </v>
      </c>
      <c r="Q1025">
        <f t="shared" si="126"/>
        <v>0</v>
      </c>
      <c r="R1025">
        <f t="shared" si="127"/>
        <v>0</v>
      </c>
    </row>
    <row r="1026" spans="2:18" x14ac:dyDescent="0.15">
      <c r="B1026" s="1157"/>
      <c r="C1026" s="1158"/>
      <c r="D1026" s="897"/>
      <c r="E1026" s="1159" t="str">
        <f t="shared" si="122"/>
        <v xml:space="preserve"> </v>
      </c>
      <c r="G1026" s="1160" t="str">
        <f t="shared" si="123"/>
        <v xml:space="preserve"> </v>
      </c>
      <c r="H1026" s="1149"/>
      <c r="I1026">
        <f t="shared" si="120"/>
        <v>0</v>
      </c>
      <c r="K1026">
        <f t="shared" si="121"/>
        <v>0</v>
      </c>
      <c r="L1026" s="1161"/>
      <c r="N1026" s="1162" t="str">
        <f t="shared" si="124"/>
        <v xml:space="preserve"> </v>
      </c>
      <c r="O1026" s="1163" t="str">
        <f t="shared" si="125"/>
        <v xml:space="preserve"> </v>
      </c>
      <c r="Q1026">
        <f t="shared" si="126"/>
        <v>0</v>
      </c>
      <c r="R1026">
        <f t="shared" si="127"/>
        <v>0</v>
      </c>
    </row>
    <row r="1027" spans="2:18" x14ac:dyDescent="0.15">
      <c r="B1027" s="1157"/>
      <c r="C1027" s="1158"/>
      <c r="D1027" s="897"/>
      <c r="E1027" s="1159" t="str">
        <f t="shared" si="122"/>
        <v xml:space="preserve"> </v>
      </c>
      <c r="G1027" s="1160" t="str">
        <f t="shared" si="123"/>
        <v xml:space="preserve"> </v>
      </c>
      <c r="H1027" s="1149"/>
      <c r="I1027">
        <f t="shared" si="120"/>
        <v>0</v>
      </c>
      <c r="K1027">
        <f t="shared" si="121"/>
        <v>0</v>
      </c>
      <c r="L1027" s="1161"/>
      <c r="N1027" s="1162" t="str">
        <f t="shared" si="124"/>
        <v xml:space="preserve"> </v>
      </c>
      <c r="O1027" s="1163" t="str">
        <f t="shared" si="125"/>
        <v xml:space="preserve"> </v>
      </c>
      <c r="Q1027">
        <f t="shared" si="126"/>
        <v>0</v>
      </c>
      <c r="R1027">
        <f t="shared" si="127"/>
        <v>0</v>
      </c>
    </row>
    <row r="1028" spans="2:18" x14ac:dyDescent="0.15">
      <c r="B1028" s="1157"/>
      <c r="C1028" s="1158"/>
      <c r="D1028" s="897"/>
      <c r="E1028" s="1159" t="str">
        <f t="shared" si="122"/>
        <v xml:space="preserve"> </v>
      </c>
      <c r="G1028" s="1160" t="str">
        <f t="shared" si="123"/>
        <v xml:space="preserve"> </v>
      </c>
      <c r="H1028" s="1149"/>
      <c r="I1028">
        <f t="shared" si="120"/>
        <v>0</v>
      </c>
      <c r="K1028">
        <f t="shared" si="121"/>
        <v>0</v>
      </c>
      <c r="L1028" s="1161"/>
      <c r="N1028" s="1162" t="str">
        <f t="shared" si="124"/>
        <v xml:space="preserve"> </v>
      </c>
      <c r="O1028" s="1163" t="str">
        <f t="shared" si="125"/>
        <v xml:space="preserve"> </v>
      </c>
      <c r="Q1028">
        <f t="shared" si="126"/>
        <v>0</v>
      </c>
      <c r="R1028">
        <f t="shared" si="127"/>
        <v>0</v>
      </c>
    </row>
    <row r="1029" spans="2:18" x14ac:dyDescent="0.15">
      <c r="B1029" s="1157"/>
      <c r="C1029" s="1158"/>
      <c r="D1029" s="897"/>
      <c r="E1029" s="1159" t="str">
        <f t="shared" si="122"/>
        <v xml:space="preserve"> </v>
      </c>
      <c r="G1029" s="1160" t="str">
        <f t="shared" si="123"/>
        <v xml:space="preserve"> </v>
      </c>
      <c r="H1029" s="1149"/>
      <c r="I1029">
        <f t="shared" si="120"/>
        <v>0</v>
      </c>
      <c r="K1029">
        <f t="shared" si="121"/>
        <v>0</v>
      </c>
      <c r="L1029" s="1161"/>
      <c r="N1029" s="1162" t="str">
        <f t="shared" si="124"/>
        <v xml:space="preserve"> </v>
      </c>
      <c r="O1029" s="1163" t="str">
        <f t="shared" si="125"/>
        <v xml:space="preserve"> </v>
      </c>
      <c r="Q1029">
        <f t="shared" si="126"/>
        <v>0</v>
      </c>
      <c r="R1029">
        <f t="shared" si="127"/>
        <v>0</v>
      </c>
    </row>
    <row r="1030" spans="2:18" x14ac:dyDescent="0.15">
      <c r="B1030" s="1157"/>
      <c r="C1030" s="1158"/>
      <c r="D1030" s="897"/>
      <c r="E1030" s="1159" t="str">
        <f t="shared" si="122"/>
        <v xml:space="preserve"> </v>
      </c>
      <c r="G1030" s="1160" t="str">
        <f t="shared" si="123"/>
        <v xml:space="preserve"> </v>
      </c>
      <c r="H1030" s="1149"/>
      <c r="I1030">
        <f t="shared" si="120"/>
        <v>0</v>
      </c>
      <c r="K1030">
        <f t="shared" si="121"/>
        <v>0</v>
      </c>
      <c r="L1030" s="1161"/>
      <c r="N1030" s="1162" t="str">
        <f t="shared" si="124"/>
        <v xml:space="preserve"> </v>
      </c>
      <c r="O1030" s="1163" t="str">
        <f t="shared" si="125"/>
        <v xml:space="preserve"> </v>
      </c>
      <c r="Q1030">
        <f t="shared" si="126"/>
        <v>0</v>
      </c>
      <c r="R1030">
        <f t="shared" si="127"/>
        <v>0</v>
      </c>
    </row>
    <row r="1031" spans="2:18" x14ac:dyDescent="0.15">
      <c r="B1031" s="1157"/>
      <c r="C1031" s="1158"/>
      <c r="D1031" s="897"/>
      <c r="E1031" s="1159" t="str">
        <f t="shared" si="122"/>
        <v xml:space="preserve"> </v>
      </c>
      <c r="G1031" s="1160" t="str">
        <f t="shared" si="123"/>
        <v xml:space="preserve"> </v>
      </c>
      <c r="H1031" s="1149"/>
      <c r="I1031">
        <f t="shared" si="120"/>
        <v>0</v>
      </c>
      <c r="K1031">
        <f t="shared" si="121"/>
        <v>0</v>
      </c>
      <c r="L1031" s="1161"/>
      <c r="N1031" s="1162" t="str">
        <f t="shared" si="124"/>
        <v xml:space="preserve"> </v>
      </c>
      <c r="O1031" s="1163" t="str">
        <f t="shared" si="125"/>
        <v xml:space="preserve"> </v>
      </c>
      <c r="Q1031">
        <f t="shared" si="126"/>
        <v>0</v>
      </c>
      <c r="R1031">
        <f t="shared" si="127"/>
        <v>0</v>
      </c>
    </row>
    <row r="1032" spans="2:18" x14ac:dyDescent="0.15">
      <c r="B1032" s="1157"/>
      <c r="C1032" s="1158"/>
      <c r="D1032" s="897"/>
      <c r="E1032" s="1159" t="str">
        <f t="shared" si="122"/>
        <v xml:space="preserve"> </v>
      </c>
      <c r="G1032" s="1160" t="str">
        <f t="shared" si="123"/>
        <v xml:space="preserve"> </v>
      </c>
      <c r="H1032" s="1149"/>
      <c r="I1032">
        <f t="shared" ref="I1032:I1095" si="128">(J1032+C1032)/12</f>
        <v>0</v>
      </c>
      <c r="K1032">
        <f t="shared" ref="K1032:K1097" si="129">I1032+B1032</f>
        <v>0</v>
      </c>
      <c r="L1032" s="1161"/>
      <c r="N1032" s="1162" t="str">
        <f t="shared" si="124"/>
        <v xml:space="preserve"> </v>
      </c>
      <c r="O1032" s="1163" t="str">
        <f t="shared" si="125"/>
        <v xml:space="preserve"> </v>
      </c>
      <c r="Q1032">
        <f t="shared" si="126"/>
        <v>0</v>
      </c>
      <c r="R1032">
        <f t="shared" si="127"/>
        <v>0</v>
      </c>
    </row>
    <row r="1033" spans="2:18" x14ac:dyDescent="0.15">
      <c r="B1033" s="1157"/>
      <c r="C1033" s="1158"/>
      <c r="D1033" s="897"/>
      <c r="E1033" s="1159" t="str">
        <f t="shared" si="122"/>
        <v xml:space="preserve"> </v>
      </c>
      <c r="G1033" s="1160" t="str">
        <f t="shared" si="123"/>
        <v xml:space="preserve"> </v>
      </c>
      <c r="H1033" s="1149"/>
      <c r="I1033">
        <f t="shared" si="128"/>
        <v>0</v>
      </c>
      <c r="K1033">
        <f t="shared" si="129"/>
        <v>0</v>
      </c>
      <c r="L1033" s="1161"/>
      <c r="N1033" s="1162" t="str">
        <f t="shared" si="124"/>
        <v xml:space="preserve"> </v>
      </c>
      <c r="O1033" s="1163" t="str">
        <f t="shared" si="125"/>
        <v xml:space="preserve"> </v>
      </c>
      <c r="Q1033">
        <f t="shared" si="126"/>
        <v>0</v>
      </c>
      <c r="R1033">
        <f t="shared" si="127"/>
        <v>0</v>
      </c>
    </row>
    <row r="1034" spans="2:18" x14ac:dyDescent="0.15">
      <c r="B1034" s="1157"/>
      <c r="C1034" s="1158"/>
      <c r="D1034" s="897"/>
      <c r="E1034" s="1159" t="str">
        <f t="shared" ref="E1034:E1096" si="130">IF(K1034=0," ",IF(K1034&gt;0,K1034*12*25.4))</f>
        <v xml:space="preserve"> </v>
      </c>
      <c r="G1034" s="1160" t="str">
        <f t="shared" ref="G1034:G1097" si="131">IF(K1034=0," ",IF(K1034&gt;0,E1034/1000))</f>
        <v xml:space="preserve"> </v>
      </c>
      <c r="H1034" s="1149"/>
      <c r="I1034">
        <f t="shared" si="128"/>
        <v>0</v>
      </c>
      <c r="K1034">
        <f t="shared" si="129"/>
        <v>0</v>
      </c>
      <c r="L1034" s="1161"/>
      <c r="N1034" s="1162" t="str">
        <f t="shared" ref="N1034:N1097" si="132">IF(R1034=0," ",IF(R1034&gt;0,TRUNC(R1034)))</f>
        <v xml:space="preserve"> </v>
      </c>
      <c r="O1034" s="1163" t="str">
        <f t="shared" ref="O1034:O1097" si="133">IF(R1034=0," ",IF(R1034&gt;0,(R1034-N1034)*12))</f>
        <v xml:space="preserve"> </v>
      </c>
      <c r="Q1034">
        <f t="shared" ref="Q1034:Q1097" si="134">L1034/25.4</f>
        <v>0</v>
      </c>
      <c r="R1034">
        <f t="shared" ref="R1034:R1097" si="135">Q1034/12</f>
        <v>0</v>
      </c>
    </row>
    <row r="1035" spans="2:18" x14ac:dyDescent="0.15">
      <c r="B1035" s="1157"/>
      <c r="C1035" s="1158"/>
      <c r="D1035" s="897"/>
      <c r="E1035" s="1159" t="str">
        <f t="shared" si="130"/>
        <v xml:space="preserve"> </v>
      </c>
      <c r="G1035" s="1160" t="str">
        <f t="shared" si="131"/>
        <v xml:space="preserve"> </v>
      </c>
      <c r="H1035" s="1149"/>
      <c r="I1035">
        <f t="shared" si="128"/>
        <v>0</v>
      </c>
      <c r="K1035">
        <f t="shared" si="129"/>
        <v>0</v>
      </c>
      <c r="L1035" s="1161"/>
      <c r="N1035" s="1162" t="str">
        <f t="shared" si="132"/>
        <v xml:space="preserve"> </v>
      </c>
      <c r="O1035" s="1163" t="str">
        <f t="shared" si="133"/>
        <v xml:space="preserve"> </v>
      </c>
      <c r="Q1035">
        <f t="shared" si="134"/>
        <v>0</v>
      </c>
      <c r="R1035">
        <f t="shared" si="135"/>
        <v>0</v>
      </c>
    </row>
    <row r="1036" spans="2:18" x14ac:dyDescent="0.15">
      <c r="B1036" s="1157"/>
      <c r="C1036" s="1158"/>
      <c r="D1036" s="897"/>
      <c r="E1036" s="1159" t="str">
        <f t="shared" si="130"/>
        <v xml:space="preserve"> </v>
      </c>
      <c r="G1036" s="1160" t="str">
        <f t="shared" si="131"/>
        <v xml:space="preserve"> </v>
      </c>
      <c r="H1036" s="1149"/>
      <c r="I1036">
        <f t="shared" si="128"/>
        <v>0</v>
      </c>
      <c r="K1036">
        <f t="shared" si="129"/>
        <v>0</v>
      </c>
      <c r="L1036" s="1161"/>
      <c r="N1036" s="1162" t="str">
        <f t="shared" si="132"/>
        <v xml:space="preserve"> </v>
      </c>
      <c r="O1036" s="1163" t="str">
        <f t="shared" si="133"/>
        <v xml:space="preserve"> </v>
      </c>
      <c r="Q1036">
        <f t="shared" si="134"/>
        <v>0</v>
      </c>
      <c r="R1036">
        <f t="shared" si="135"/>
        <v>0</v>
      </c>
    </row>
    <row r="1037" spans="2:18" x14ac:dyDescent="0.15">
      <c r="B1037" s="1157"/>
      <c r="C1037" s="1158"/>
      <c r="D1037" s="897"/>
      <c r="E1037" s="1159" t="str">
        <f t="shared" si="130"/>
        <v xml:space="preserve"> </v>
      </c>
      <c r="G1037" s="1160" t="str">
        <f t="shared" si="131"/>
        <v xml:space="preserve"> </v>
      </c>
      <c r="H1037" s="1149"/>
      <c r="I1037">
        <f t="shared" si="128"/>
        <v>0</v>
      </c>
      <c r="K1037">
        <f t="shared" si="129"/>
        <v>0</v>
      </c>
      <c r="L1037" s="1161"/>
      <c r="N1037" s="1162" t="str">
        <f t="shared" si="132"/>
        <v xml:space="preserve"> </v>
      </c>
      <c r="O1037" s="1163" t="str">
        <f t="shared" si="133"/>
        <v xml:space="preserve"> </v>
      </c>
      <c r="Q1037">
        <f t="shared" si="134"/>
        <v>0</v>
      </c>
      <c r="R1037">
        <f t="shared" si="135"/>
        <v>0</v>
      </c>
    </row>
    <row r="1038" spans="2:18" x14ac:dyDescent="0.15">
      <c r="B1038" s="1157"/>
      <c r="C1038" s="1158"/>
      <c r="D1038" s="897"/>
      <c r="E1038" s="1159" t="str">
        <f t="shared" si="130"/>
        <v xml:space="preserve"> </v>
      </c>
      <c r="G1038" s="1160" t="str">
        <f t="shared" si="131"/>
        <v xml:space="preserve"> </v>
      </c>
      <c r="H1038" s="1149"/>
      <c r="I1038">
        <f t="shared" si="128"/>
        <v>0</v>
      </c>
      <c r="K1038">
        <f t="shared" si="129"/>
        <v>0</v>
      </c>
      <c r="L1038" s="1161"/>
      <c r="N1038" s="1162" t="str">
        <f t="shared" si="132"/>
        <v xml:space="preserve"> </v>
      </c>
      <c r="O1038" s="1163" t="str">
        <f t="shared" si="133"/>
        <v xml:space="preserve"> </v>
      </c>
      <c r="Q1038">
        <f t="shared" si="134"/>
        <v>0</v>
      </c>
      <c r="R1038">
        <f t="shared" si="135"/>
        <v>0</v>
      </c>
    </row>
    <row r="1039" spans="2:18" x14ac:dyDescent="0.15">
      <c r="B1039" s="1157"/>
      <c r="C1039" s="1158"/>
      <c r="D1039" s="897"/>
      <c r="E1039" s="1159" t="str">
        <f t="shared" si="130"/>
        <v xml:space="preserve"> </v>
      </c>
      <c r="G1039" s="1160" t="str">
        <f t="shared" si="131"/>
        <v xml:space="preserve"> </v>
      </c>
      <c r="H1039" s="1149"/>
      <c r="I1039">
        <f t="shared" si="128"/>
        <v>0</v>
      </c>
      <c r="K1039">
        <f t="shared" si="129"/>
        <v>0</v>
      </c>
      <c r="L1039" s="1161"/>
      <c r="N1039" s="1162" t="str">
        <f t="shared" si="132"/>
        <v xml:space="preserve"> </v>
      </c>
      <c r="O1039" s="1163" t="str">
        <f t="shared" si="133"/>
        <v xml:space="preserve"> </v>
      </c>
      <c r="Q1039">
        <f t="shared" si="134"/>
        <v>0</v>
      </c>
      <c r="R1039">
        <f t="shared" si="135"/>
        <v>0</v>
      </c>
    </row>
    <row r="1040" spans="2:18" x14ac:dyDescent="0.15">
      <c r="B1040" s="1157"/>
      <c r="C1040" s="1158"/>
      <c r="D1040" s="897"/>
      <c r="E1040" s="1159" t="str">
        <f t="shared" si="130"/>
        <v xml:space="preserve"> </v>
      </c>
      <c r="G1040" s="1160" t="str">
        <f t="shared" si="131"/>
        <v xml:space="preserve"> </v>
      </c>
      <c r="H1040" s="1149"/>
      <c r="I1040">
        <f t="shared" si="128"/>
        <v>0</v>
      </c>
      <c r="K1040">
        <f t="shared" si="129"/>
        <v>0</v>
      </c>
      <c r="L1040" s="1161"/>
      <c r="N1040" s="1162" t="str">
        <f t="shared" si="132"/>
        <v xml:space="preserve"> </v>
      </c>
      <c r="O1040" s="1163" t="str">
        <f t="shared" si="133"/>
        <v xml:space="preserve"> </v>
      </c>
      <c r="Q1040">
        <f t="shared" si="134"/>
        <v>0</v>
      </c>
      <c r="R1040">
        <f t="shared" si="135"/>
        <v>0</v>
      </c>
    </row>
    <row r="1041" spans="2:18" x14ac:dyDescent="0.15">
      <c r="B1041" s="1157"/>
      <c r="C1041" s="1158"/>
      <c r="D1041" s="897"/>
      <c r="E1041" s="1159" t="str">
        <f t="shared" si="130"/>
        <v xml:space="preserve"> </v>
      </c>
      <c r="G1041" s="1160" t="str">
        <f t="shared" si="131"/>
        <v xml:space="preserve"> </v>
      </c>
      <c r="H1041" s="1149"/>
      <c r="I1041">
        <f t="shared" si="128"/>
        <v>0</v>
      </c>
      <c r="K1041">
        <f t="shared" si="129"/>
        <v>0</v>
      </c>
      <c r="L1041" s="1161"/>
      <c r="N1041" s="1162" t="str">
        <f t="shared" si="132"/>
        <v xml:space="preserve"> </v>
      </c>
      <c r="O1041" s="1163" t="str">
        <f t="shared" si="133"/>
        <v xml:space="preserve"> </v>
      </c>
      <c r="Q1041">
        <f t="shared" si="134"/>
        <v>0</v>
      </c>
      <c r="R1041">
        <f t="shared" si="135"/>
        <v>0</v>
      </c>
    </row>
    <row r="1042" spans="2:18" x14ac:dyDescent="0.15">
      <c r="B1042" s="1157"/>
      <c r="C1042" s="1158"/>
      <c r="D1042" s="897"/>
      <c r="E1042" s="1159" t="str">
        <f t="shared" si="130"/>
        <v xml:space="preserve"> </v>
      </c>
      <c r="G1042" s="1160" t="str">
        <f t="shared" si="131"/>
        <v xml:space="preserve"> </v>
      </c>
      <c r="H1042" s="1149"/>
      <c r="I1042">
        <f t="shared" si="128"/>
        <v>0</v>
      </c>
      <c r="K1042">
        <f t="shared" si="129"/>
        <v>0</v>
      </c>
      <c r="L1042" s="1161"/>
      <c r="N1042" s="1162" t="str">
        <f t="shared" si="132"/>
        <v xml:space="preserve"> </v>
      </c>
      <c r="O1042" s="1163" t="str">
        <f t="shared" si="133"/>
        <v xml:space="preserve"> </v>
      </c>
      <c r="Q1042">
        <f t="shared" si="134"/>
        <v>0</v>
      </c>
      <c r="R1042">
        <f t="shared" si="135"/>
        <v>0</v>
      </c>
    </row>
    <row r="1043" spans="2:18" x14ac:dyDescent="0.15">
      <c r="B1043" s="1157"/>
      <c r="C1043" s="1158"/>
      <c r="D1043" s="897"/>
      <c r="E1043" s="1159" t="str">
        <f t="shared" si="130"/>
        <v xml:space="preserve"> </v>
      </c>
      <c r="G1043" s="1160" t="str">
        <f t="shared" si="131"/>
        <v xml:space="preserve"> </v>
      </c>
      <c r="H1043" s="1149"/>
      <c r="I1043">
        <f t="shared" si="128"/>
        <v>0</v>
      </c>
      <c r="K1043">
        <f t="shared" si="129"/>
        <v>0</v>
      </c>
      <c r="L1043" s="1161"/>
      <c r="N1043" s="1162" t="str">
        <f t="shared" si="132"/>
        <v xml:space="preserve"> </v>
      </c>
      <c r="O1043" s="1163" t="str">
        <f t="shared" si="133"/>
        <v xml:space="preserve"> </v>
      </c>
      <c r="Q1043">
        <f t="shared" si="134"/>
        <v>0</v>
      </c>
      <c r="R1043">
        <f t="shared" si="135"/>
        <v>0</v>
      </c>
    </row>
    <row r="1044" spans="2:18" x14ac:dyDescent="0.15">
      <c r="B1044" s="1157"/>
      <c r="C1044" s="1158"/>
      <c r="D1044" s="897"/>
      <c r="E1044" s="1159" t="str">
        <f t="shared" si="130"/>
        <v xml:space="preserve"> </v>
      </c>
      <c r="G1044" s="1160" t="str">
        <f t="shared" si="131"/>
        <v xml:space="preserve"> </v>
      </c>
      <c r="H1044" s="1149"/>
      <c r="I1044">
        <f t="shared" si="128"/>
        <v>0</v>
      </c>
      <c r="K1044">
        <f t="shared" si="129"/>
        <v>0</v>
      </c>
      <c r="L1044" s="1161"/>
      <c r="N1044" s="1162" t="str">
        <f t="shared" si="132"/>
        <v xml:space="preserve"> </v>
      </c>
      <c r="O1044" s="1163" t="str">
        <f t="shared" si="133"/>
        <v xml:space="preserve"> </v>
      </c>
      <c r="Q1044">
        <f t="shared" si="134"/>
        <v>0</v>
      </c>
      <c r="R1044">
        <f t="shared" si="135"/>
        <v>0</v>
      </c>
    </row>
    <row r="1045" spans="2:18" x14ac:dyDescent="0.15">
      <c r="B1045" s="1157"/>
      <c r="C1045" s="1158"/>
      <c r="D1045" s="897"/>
      <c r="E1045" s="1159" t="str">
        <f t="shared" si="130"/>
        <v xml:space="preserve"> </v>
      </c>
      <c r="G1045" s="1160" t="str">
        <f t="shared" si="131"/>
        <v xml:space="preserve"> </v>
      </c>
      <c r="H1045" s="1149"/>
      <c r="I1045">
        <f t="shared" si="128"/>
        <v>0</v>
      </c>
      <c r="K1045">
        <f t="shared" si="129"/>
        <v>0</v>
      </c>
      <c r="L1045" s="1161"/>
      <c r="N1045" s="1162" t="str">
        <f t="shared" si="132"/>
        <v xml:space="preserve"> </v>
      </c>
      <c r="O1045" s="1163" t="str">
        <f t="shared" si="133"/>
        <v xml:space="preserve"> </v>
      </c>
      <c r="Q1045">
        <f t="shared" si="134"/>
        <v>0</v>
      </c>
      <c r="R1045">
        <f t="shared" si="135"/>
        <v>0</v>
      </c>
    </row>
    <row r="1046" spans="2:18" x14ac:dyDescent="0.15">
      <c r="B1046" s="1157"/>
      <c r="C1046" s="1158"/>
      <c r="D1046" s="897"/>
      <c r="E1046" s="1159" t="str">
        <f t="shared" si="130"/>
        <v xml:space="preserve"> </v>
      </c>
      <c r="G1046" s="1160" t="str">
        <f t="shared" si="131"/>
        <v xml:space="preserve"> </v>
      </c>
      <c r="H1046" s="1149"/>
      <c r="I1046">
        <f t="shared" si="128"/>
        <v>0</v>
      </c>
      <c r="K1046">
        <f t="shared" si="129"/>
        <v>0</v>
      </c>
      <c r="L1046" s="1161"/>
      <c r="N1046" s="1162" t="str">
        <f t="shared" si="132"/>
        <v xml:space="preserve"> </v>
      </c>
      <c r="O1046" s="1163" t="str">
        <f t="shared" si="133"/>
        <v xml:space="preserve"> </v>
      </c>
      <c r="Q1046">
        <f t="shared" si="134"/>
        <v>0</v>
      </c>
      <c r="R1046">
        <f t="shared" si="135"/>
        <v>0</v>
      </c>
    </row>
    <row r="1047" spans="2:18" x14ac:dyDescent="0.15">
      <c r="B1047" s="1157"/>
      <c r="C1047" s="1158"/>
      <c r="D1047" s="897"/>
      <c r="E1047" s="1159" t="str">
        <f t="shared" si="130"/>
        <v xml:space="preserve"> </v>
      </c>
      <c r="G1047" s="1160" t="str">
        <f t="shared" si="131"/>
        <v xml:space="preserve"> </v>
      </c>
      <c r="H1047" s="1149"/>
      <c r="I1047">
        <f t="shared" si="128"/>
        <v>0</v>
      </c>
      <c r="K1047">
        <f t="shared" si="129"/>
        <v>0</v>
      </c>
      <c r="L1047" s="1161"/>
      <c r="N1047" s="1162" t="str">
        <f t="shared" si="132"/>
        <v xml:space="preserve"> </v>
      </c>
      <c r="O1047" s="1163" t="str">
        <f t="shared" si="133"/>
        <v xml:space="preserve"> </v>
      </c>
      <c r="Q1047">
        <f t="shared" si="134"/>
        <v>0</v>
      </c>
      <c r="R1047">
        <f t="shared" si="135"/>
        <v>0</v>
      </c>
    </row>
    <row r="1048" spans="2:18" x14ac:dyDescent="0.15">
      <c r="B1048" s="1157"/>
      <c r="C1048" s="1158"/>
      <c r="D1048" s="897"/>
      <c r="E1048" s="1159" t="str">
        <f t="shared" si="130"/>
        <v xml:space="preserve"> </v>
      </c>
      <c r="G1048" s="1160" t="str">
        <f t="shared" si="131"/>
        <v xml:space="preserve"> </v>
      </c>
      <c r="H1048" s="1149"/>
      <c r="I1048">
        <f t="shared" si="128"/>
        <v>0</v>
      </c>
      <c r="K1048">
        <f t="shared" si="129"/>
        <v>0</v>
      </c>
      <c r="L1048" s="1161"/>
      <c r="N1048" s="1162" t="str">
        <f t="shared" si="132"/>
        <v xml:space="preserve"> </v>
      </c>
      <c r="O1048" s="1163" t="str">
        <f t="shared" si="133"/>
        <v xml:space="preserve"> </v>
      </c>
      <c r="Q1048">
        <f t="shared" si="134"/>
        <v>0</v>
      </c>
      <c r="R1048">
        <f t="shared" si="135"/>
        <v>0</v>
      </c>
    </row>
    <row r="1049" spans="2:18" x14ac:dyDescent="0.15">
      <c r="B1049" s="1157"/>
      <c r="C1049" s="1158"/>
      <c r="D1049" s="897"/>
      <c r="E1049" s="1159" t="str">
        <f t="shared" si="130"/>
        <v xml:space="preserve"> </v>
      </c>
      <c r="G1049" s="1160" t="str">
        <f t="shared" si="131"/>
        <v xml:space="preserve"> </v>
      </c>
      <c r="H1049" s="1149"/>
      <c r="I1049">
        <f t="shared" si="128"/>
        <v>0</v>
      </c>
      <c r="K1049">
        <f t="shared" si="129"/>
        <v>0</v>
      </c>
      <c r="L1049" s="1161"/>
      <c r="N1049" s="1162" t="str">
        <f t="shared" si="132"/>
        <v xml:space="preserve"> </v>
      </c>
      <c r="O1049" s="1163" t="str">
        <f t="shared" si="133"/>
        <v xml:space="preserve"> </v>
      </c>
      <c r="Q1049">
        <f t="shared" si="134"/>
        <v>0</v>
      </c>
      <c r="R1049">
        <f t="shared" si="135"/>
        <v>0</v>
      </c>
    </row>
    <row r="1050" spans="2:18" x14ac:dyDescent="0.15">
      <c r="B1050" s="1157"/>
      <c r="C1050" s="1158"/>
      <c r="D1050" s="897"/>
      <c r="E1050" s="1159" t="str">
        <f t="shared" si="130"/>
        <v xml:space="preserve"> </v>
      </c>
      <c r="G1050" s="1160" t="str">
        <f t="shared" si="131"/>
        <v xml:space="preserve"> </v>
      </c>
      <c r="H1050" s="1149"/>
      <c r="I1050">
        <f t="shared" si="128"/>
        <v>0</v>
      </c>
      <c r="K1050">
        <f t="shared" si="129"/>
        <v>0</v>
      </c>
      <c r="L1050" s="1161"/>
      <c r="N1050" s="1162" t="str">
        <f t="shared" si="132"/>
        <v xml:space="preserve"> </v>
      </c>
      <c r="O1050" s="1163" t="str">
        <f t="shared" si="133"/>
        <v xml:space="preserve"> </v>
      </c>
      <c r="Q1050">
        <f t="shared" si="134"/>
        <v>0</v>
      </c>
      <c r="R1050">
        <f t="shared" si="135"/>
        <v>0</v>
      </c>
    </row>
    <row r="1051" spans="2:18" x14ac:dyDescent="0.15">
      <c r="B1051" s="1157"/>
      <c r="C1051" s="1158"/>
      <c r="D1051" s="897"/>
      <c r="E1051" s="1159" t="str">
        <f t="shared" si="130"/>
        <v xml:space="preserve"> </v>
      </c>
      <c r="G1051" s="1160" t="str">
        <f t="shared" si="131"/>
        <v xml:space="preserve"> </v>
      </c>
      <c r="H1051" s="1149"/>
      <c r="I1051">
        <f t="shared" si="128"/>
        <v>0</v>
      </c>
      <c r="K1051">
        <f t="shared" si="129"/>
        <v>0</v>
      </c>
      <c r="L1051" s="1161"/>
      <c r="N1051" s="1162" t="str">
        <f t="shared" si="132"/>
        <v xml:space="preserve"> </v>
      </c>
      <c r="O1051" s="1163" t="str">
        <f t="shared" si="133"/>
        <v xml:space="preserve"> </v>
      </c>
      <c r="Q1051">
        <f t="shared" si="134"/>
        <v>0</v>
      </c>
      <c r="R1051">
        <f t="shared" si="135"/>
        <v>0</v>
      </c>
    </row>
    <row r="1052" spans="2:18" x14ac:dyDescent="0.15">
      <c r="B1052" s="1157"/>
      <c r="C1052" s="1158"/>
      <c r="D1052" s="897"/>
      <c r="E1052" s="1159" t="str">
        <f t="shared" si="130"/>
        <v xml:space="preserve"> </v>
      </c>
      <c r="G1052" s="1160" t="str">
        <f t="shared" si="131"/>
        <v xml:space="preserve"> </v>
      </c>
      <c r="H1052" s="1149"/>
      <c r="I1052">
        <f t="shared" si="128"/>
        <v>0</v>
      </c>
      <c r="K1052">
        <f t="shared" si="129"/>
        <v>0</v>
      </c>
      <c r="L1052" s="1161"/>
      <c r="N1052" s="1162" t="str">
        <f t="shared" si="132"/>
        <v xml:space="preserve"> </v>
      </c>
      <c r="O1052" s="1163" t="str">
        <f t="shared" si="133"/>
        <v xml:space="preserve"> </v>
      </c>
      <c r="Q1052">
        <f t="shared" si="134"/>
        <v>0</v>
      </c>
      <c r="R1052">
        <f t="shared" si="135"/>
        <v>0</v>
      </c>
    </row>
    <row r="1053" spans="2:18" x14ac:dyDescent="0.15">
      <c r="B1053" s="1157"/>
      <c r="C1053" s="1158"/>
      <c r="D1053" s="897"/>
      <c r="E1053" s="1159" t="str">
        <f t="shared" si="130"/>
        <v xml:space="preserve"> </v>
      </c>
      <c r="G1053" s="1160" t="str">
        <f t="shared" si="131"/>
        <v xml:space="preserve"> </v>
      </c>
      <c r="H1053" s="1149"/>
      <c r="I1053">
        <f t="shared" si="128"/>
        <v>0</v>
      </c>
      <c r="K1053">
        <f t="shared" si="129"/>
        <v>0</v>
      </c>
      <c r="L1053" s="1161"/>
      <c r="N1053" s="1162" t="str">
        <f t="shared" si="132"/>
        <v xml:space="preserve"> </v>
      </c>
      <c r="O1053" s="1163" t="str">
        <f t="shared" si="133"/>
        <v xml:space="preserve"> </v>
      </c>
      <c r="Q1053">
        <f t="shared" si="134"/>
        <v>0</v>
      </c>
      <c r="R1053">
        <f t="shared" si="135"/>
        <v>0</v>
      </c>
    </row>
    <row r="1054" spans="2:18" x14ac:dyDescent="0.15">
      <c r="B1054" s="1157"/>
      <c r="C1054" s="1158"/>
      <c r="D1054" s="897"/>
      <c r="E1054" s="1159" t="str">
        <f t="shared" si="130"/>
        <v xml:space="preserve"> </v>
      </c>
      <c r="G1054" s="1160" t="str">
        <f t="shared" si="131"/>
        <v xml:space="preserve"> </v>
      </c>
      <c r="H1054" s="1149"/>
      <c r="I1054">
        <f t="shared" si="128"/>
        <v>0</v>
      </c>
      <c r="K1054">
        <f t="shared" si="129"/>
        <v>0</v>
      </c>
      <c r="L1054" s="1161"/>
      <c r="N1054" s="1162" t="str">
        <f t="shared" si="132"/>
        <v xml:space="preserve"> </v>
      </c>
      <c r="O1054" s="1163" t="str">
        <f t="shared" si="133"/>
        <v xml:space="preserve"> </v>
      </c>
      <c r="Q1054">
        <f t="shared" si="134"/>
        <v>0</v>
      </c>
      <c r="R1054">
        <f t="shared" si="135"/>
        <v>0</v>
      </c>
    </row>
    <row r="1055" spans="2:18" x14ac:dyDescent="0.15">
      <c r="B1055" s="1157"/>
      <c r="C1055" s="1158"/>
      <c r="D1055" s="897"/>
      <c r="E1055" s="1159" t="str">
        <f t="shared" si="130"/>
        <v xml:space="preserve"> </v>
      </c>
      <c r="G1055" s="1160" t="str">
        <f t="shared" si="131"/>
        <v xml:space="preserve"> </v>
      </c>
      <c r="H1055" s="1149"/>
      <c r="I1055">
        <f t="shared" si="128"/>
        <v>0</v>
      </c>
      <c r="K1055">
        <f t="shared" si="129"/>
        <v>0</v>
      </c>
      <c r="L1055" s="1161"/>
      <c r="N1055" s="1162" t="str">
        <f t="shared" si="132"/>
        <v xml:space="preserve"> </v>
      </c>
      <c r="O1055" s="1163" t="str">
        <f t="shared" si="133"/>
        <v xml:space="preserve"> </v>
      </c>
      <c r="Q1055">
        <f t="shared" si="134"/>
        <v>0</v>
      </c>
      <c r="R1055">
        <f t="shared" si="135"/>
        <v>0</v>
      </c>
    </row>
    <row r="1056" spans="2:18" x14ac:dyDescent="0.15">
      <c r="B1056" s="1157"/>
      <c r="C1056" s="1158"/>
      <c r="D1056" s="897"/>
      <c r="E1056" s="1159" t="str">
        <f t="shared" si="130"/>
        <v xml:space="preserve"> </v>
      </c>
      <c r="G1056" s="1160" t="str">
        <f t="shared" si="131"/>
        <v xml:space="preserve"> </v>
      </c>
      <c r="H1056" s="1149"/>
      <c r="I1056">
        <f t="shared" si="128"/>
        <v>0</v>
      </c>
      <c r="K1056">
        <f t="shared" si="129"/>
        <v>0</v>
      </c>
      <c r="L1056" s="1161"/>
      <c r="N1056" s="1162" t="str">
        <f t="shared" si="132"/>
        <v xml:space="preserve"> </v>
      </c>
      <c r="O1056" s="1163" t="str">
        <f t="shared" si="133"/>
        <v xml:space="preserve"> </v>
      </c>
      <c r="Q1056">
        <f t="shared" si="134"/>
        <v>0</v>
      </c>
      <c r="R1056">
        <f t="shared" si="135"/>
        <v>0</v>
      </c>
    </row>
    <row r="1057" spans="2:18" x14ac:dyDescent="0.15">
      <c r="B1057" s="1157"/>
      <c r="C1057" s="1158"/>
      <c r="D1057" s="897"/>
      <c r="E1057" s="1159" t="str">
        <f t="shared" si="130"/>
        <v xml:space="preserve"> </v>
      </c>
      <c r="G1057" s="1160" t="str">
        <f t="shared" si="131"/>
        <v xml:space="preserve"> </v>
      </c>
      <c r="H1057" s="1149"/>
      <c r="I1057">
        <f t="shared" si="128"/>
        <v>0</v>
      </c>
      <c r="K1057">
        <f t="shared" si="129"/>
        <v>0</v>
      </c>
      <c r="L1057" s="1161"/>
      <c r="N1057" s="1162" t="str">
        <f t="shared" si="132"/>
        <v xml:space="preserve"> </v>
      </c>
      <c r="O1057" s="1163" t="str">
        <f t="shared" si="133"/>
        <v xml:space="preserve"> </v>
      </c>
      <c r="Q1057">
        <f t="shared" si="134"/>
        <v>0</v>
      </c>
      <c r="R1057">
        <f t="shared" si="135"/>
        <v>0</v>
      </c>
    </row>
    <row r="1058" spans="2:18" x14ac:dyDescent="0.15">
      <c r="B1058" s="1157"/>
      <c r="C1058" s="1158"/>
      <c r="D1058" s="897"/>
      <c r="E1058" s="1159" t="str">
        <f t="shared" si="130"/>
        <v xml:space="preserve"> </v>
      </c>
      <c r="G1058" s="1160" t="str">
        <f t="shared" si="131"/>
        <v xml:space="preserve"> </v>
      </c>
      <c r="H1058" s="1149"/>
      <c r="I1058">
        <f t="shared" si="128"/>
        <v>0</v>
      </c>
      <c r="K1058">
        <f t="shared" si="129"/>
        <v>0</v>
      </c>
      <c r="L1058" s="1161"/>
      <c r="N1058" s="1162" t="str">
        <f t="shared" si="132"/>
        <v xml:space="preserve"> </v>
      </c>
      <c r="O1058" s="1163" t="str">
        <f t="shared" si="133"/>
        <v xml:space="preserve"> </v>
      </c>
      <c r="Q1058">
        <f t="shared" si="134"/>
        <v>0</v>
      </c>
      <c r="R1058">
        <f t="shared" si="135"/>
        <v>0</v>
      </c>
    </row>
    <row r="1059" spans="2:18" x14ac:dyDescent="0.15">
      <c r="B1059" s="1157"/>
      <c r="C1059" s="1158"/>
      <c r="D1059" s="897"/>
      <c r="E1059" s="1159" t="str">
        <f t="shared" si="130"/>
        <v xml:space="preserve"> </v>
      </c>
      <c r="G1059" s="1160" t="str">
        <f t="shared" si="131"/>
        <v xml:space="preserve"> </v>
      </c>
      <c r="H1059" s="1149"/>
      <c r="I1059">
        <f t="shared" si="128"/>
        <v>0</v>
      </c>
      <c r="K1059">
        <f t="shared" si="129"/>
        <v>0</v>
      </c>
      <c r="L1059" s="1161"/>
      <c r="N1059" s="1162" t="str">
        <f t="shared" si="132"/>
        <v xml:space="preserve"> </v>
      </c>
      <c r="O1059" s="1163" t="str">
        <f t="shared" si="133"/>
        <v xml:space="preserve"> </v>
      </c>
      <c r="Q1059">
        <f t="shared" si="134"/>
        <v>0</v>
      </c>
      <c r="R1059">
        <f t="shared" si="135"/>
        <v>0</v>
      </c>
    </row>
    <row r="1060" spans="2:18" x14ac:dyDescent="0.15">
      <c r="B1060" s="1157"/>
      <c r="C1060" s="1158"/>
      <c r="D1060" s="897"/>
      <c r="E1060" s="1159" t="str">
        <f t="shared" si="130"/>
        <v xml:space="preserve"> </v>
      </c>
      <c r="G1060" s="1160" t="str">
        <f t="shared" si="131"/>
        <v xml:space="preserve"> </v>
      </c>
      <c r="H1060" s="1149"/>
      <c r="I1060">
        <f t="shared" si="128"/>
        <v>0</v>
      </c>
      <c r="K1060">
        <f t="shared" si="129"/>
        <v>0</v>
      </c>
      <c r="L1060" s="1161"/>
      <c r="N1060" s="1162" t="str">
        <f t="shared" si="132"/>
        <v xml:space="preserve"> </v>
      </c>
      <c r="O1060" s="1163" t="str">
        <f t="shared" si="133"/>
        <v xml:space="preserve"> </v>
      </c>
      <c r="Q1060">
        <f t="shared" si="134"/>
        <v>0</v>
      </c>
      <c r="R1060">
        <f t="shared" si="135"/>
        <v>0</v>
      </c>
    </row>
    <row r="1061" spans="2:18" x14ac:dyDescent="0.15">
      <c r="B1061" s="1157"/>
      <c r="C1061" s="1158"/>
      <c r="D1061" s="897"/>
      <c r="E1061" s="1159" t="str">
        <f t="shared" si="130"/>
        <v xml:space="preserve"> </v>
      </c>
      <c r="G1061" s="1160" t="str">
        <f t="shared" si="131"/>
        <v xml:space="preserve"> </v>
      </c>
      <c r="H1061" s="1149"/>
      <c r="I1061">
        <f t="shared" si="128"/>
        <v>0</v>
      </c>
      <c r="K1061">
        <f t="shared" si="129"/>
        <v>0</v>
      </c>
      <c r="L1061" s="1161"/>
      <c r="N1061" s="1162" t="str">
        <f t="shared" si="132"/>
        <v xml:space="preserve"> </v>
      </c>
      <c r="O1061" s="1163" t="str">
        <f t="shared" si="133"/>
        <v xml:space="preserve"> </v>
      </c>
      <c r="Q1061">
        <f t="shared" si="134"/>
        <v>0</v>
      </c>
      <c r="R1061">
        <f t="shared" si="135"/>
        <v>0</v>
      </c>
    </row>
    <row r="1062" spans="2:18" x14ac:dyDescent="0.15">
      <c r="B1062" s="1157"/>
      <c r="C1062" s="1158"/>
      <c r="D1062" s="897"/>
      <c r="E1062" s="1159" t="str">
        <f t="shared" si="130"/>
        <v xml:space="preserve"> </v>
      </c>
      <c r="G1062" s="1160" t="str">
        <f t="shared" si="131"/>
        <v xml:space="preserve"> </v>
      </c>
      <c r="H1062" s="1149"/>
      <c r="I1062">
        <f t="shared" si="128"/>
        <v>0</v>
      </c>
      <c r="K1062">
        <f t="shared" si="129"/>
        <v>0</v>
      </c>
      <c r="L1062" s="1161"/>
      <c r="N1062" s="1162" t="str">
        <f t="shared" si="132"/>
        <v xml:space="preserve"> </v>
      </c>
      <c r="O1062" s="1163" t="str">
        <f t="shared" si="133"/>
        <v xml:space="preserve"> </v>
      </c>
      <c r="Q1062">
        <f t="shared" si="134"/>
        <v>0</v>
      </c>
      <c r="R1062">
        <f t="shared" si="135"/>
        <v>0</v>
      </c>
    </row>
    <row r="1063" spans="2:18" x14ac:dyDescent="0.15">
      <c r="B1063" s="1157"/>
      <c r="C1063" s="1158"/>
      <c r="D1063" s="897"/>
      <c r="E1063" s="1159" t="str">
        <f t="shared" si="130"/>
        <v xml:space="preserve"> </v>
      </c>
      <c r="G1063" s="1160" t="str">
        <f t="shared" si="131"/>
        <v xml:space="preserve"> </v>
      </c>
      <c r="H1063" s="1149"/>
      <c r="I1063">
        <f t="shared" si="128"/>
        <v>0</v>
      </c>
      <c r="K1063">
        <f t="shared" si="129"/>
        <v>0</v>
      </c>
      <c r="L1063" s="1161"/>
      <c r="N1063" s="1162" t="str">
        <f t="shared" si="132"/>
        <v xml:space="preserve"> </v>
      </c>
      <c r="O1063" s="1163" t="str">
        <f t="shared" si="133"/>
        <v xml:space="preserve"> </v>
      </c>
      <c r="Q1063">
        <f t="shared" si="134"/>
        <v>0</v>
      </c>
      <c r="R1063">
        <f t="shared" si="135"/>
        <v>0</v>
      </c>
    </row>
    <row r="1064" spans="2:18" x14ac:dyDescent="0.15">
      <c r="B1064" s="1157"/>
      <c r="C1064" s="1158"/>
      <c r="D1064" s="897"/>
      <c r="E1064" s="1159" t="str">
        <f t="shared" si="130"/>
        <v xml:space="preserve"> </v>
      </c>
      <c r="G1064" s="1160" t="str">
        <f t="shared" si="131"/>
        <v xml:space="preserve"> </v>
      </c>
      <c r="H1064" s="1149"/>
      <c r="I1064">
        <f t="shared" si="128"/>
        <v>0</v>
      </c>
      <c r="K1064">
        <f t="shared" si="129"/>
        <v>0</v>
      </c>
      <c r="L1064" s="1161"/>
      <c r="N1064" s="1162" t="str">
        <f t="shared" si="132"/>
        <v xml:space="preserve"> </v>
      </c>
      <c r="O1064" s="1163" t="str">
        <f t="shared" si="133"/>
        <v xml:space="preserve"> </v>
      </c>
      <c r="Q1064">
        <f t="shared" si="134"/>
        <v>0</v>
      </c>
      <c r="R1064">
        <f t="shared" si="135"/>
        <v>0</v>
      </c>
    </row>
    <row r="1065" spans="2:18" x14ac:dyDescent="0.15">
      <c r="B1065" s="1157"/>
      <c r="C1065" s="1158"/>
      <c r="D1065" s="897"/>
      <c r="E1065" s="1159" t="str">
        <f t="shared" si="130"/>
        <v xml:space="preserve"> </v>
      </c>
      <c r="G1065" s="1160" t="str">
        <f t="shared" si="131"/>
        <v xml:space="preserve"> </v>
      </c>
      <c r="H1065" s="1149"/>
      <c r="I1065">
        <f t="shared" si="128"/>
        <v>0</v>
      </c>
      <c r="K1065">
        <f t="shared" si="129"/>
        <v>0</v>
      </c>
      <c r="L1065" s="1161"/>
      <c r="N1065" s="1162" t="str">
        <f t="shared" si="132"/>
        <v xml:space="preserve"> </v>
      </c>
      <c r="O1065" s="1163" t="str">
        <f t="shared" si="133"/>
        <v xml:space="preserve"> </v>
      </c>
      <c r="Q1065">
        <f t="shared" si="134"/>
        <v>0</v>
      </c>
      <c r="R1065">
        <f t="shared" si="135"/>
        <v>0</v>
      </c>
    </row>
    <row r="1066" spans="2:18" x14ac:dyDescent="0.15">
      <c r="B1066" s="1157"/>
      <c r="C1066" s="1158"/>
      <c r="D1066" s="897"/>
      <c r="E1066" s="1159" t="str">
        <f t="shared" si="130"/>
        <v xml:space="preserve"> </v>
      </c>
      <c r="G1066" s="1160" t="str">
        <f t="shared" si="131"/>
        <v xml:space="preserve"> </v>
      </c>
      <c r="H1066" s="1149"/>
      <c r="I1066">
        <f t="shared" si="128"/>
        <v>0</v>
      </c>
      <c r="K1066">
        <f t="shared" si="129"/>
        <v>0</v>
      </c>
      <c r="L1066" s="1161"/>
      <c r="N1066" s="1162" t="str">
        <f t="shared" si="132"/>
        <v xml:space="preserve"> </v>
      </c>
      <c r="O1066" s="1163" t="str">
        <f t="shared" si="133"/>
        <v xml:space="preserve"> </v>
      </c>
      <c r="Q1066">
        <f t="shared" si="134"/>
        <v>0</v>
      </c>
      <c r="R1066">
        <f t="shared" si="135"/>
        <v>0</v>
      </c>
    </row>
    <row r="1067" spans="2:18" x14ac:dyDescent="0.15">
      <c r="B1067" s="1157"/>
      <c r="C1067" s="1158"/>
      <c r="D1067" s="897"/>
      <c r="E1067" s="1159" t="str">
        <f t="shared" si="130"/>
        <v xml:space="preserve"> </v>
      </c>
      <c r="G1067" s="1160" t="str">
        <f t="shared" si="131"/>
        <v xml:space="preserve"> </v>
      </c>
      <c r="H1067" s="1149"/>
      <c r="I1067">
        <f t="shared" si="128"/>
        <v>0</v>
      </c>
      <c r="K1067">
        <f t="shared" si="129"/>
        <v>0</v>
      </c>
      <c r="L1067" s="1161"/>
      <c r="N1067" s="1162" t="str">
        <f t="shared" si="132"/>
        <v xml:space="preserve"> </v>
      </c>
      <c r="O1067" s="1163" t="str">
        <f t="shared" si="133"/>
        <v xml:space="preserve"> </v>
      </c>
      <c r="Q1067">
        <f t="shared" si="134"/>
        <v>0</v>
      </c>
      <c r="R1067">
        <f t="shared" si="135"/>
        <v>0</v>
      </c>
    </row>
    <row r="1068" spans="2:18" x14ac:dyDescent="0.15">
      <c r="B1068" s="1157"/>
      <c r="C1068" s="1158"/>
      <c r="D1068" s="897"/>
      <c r="E1068" s="1159" t="str">
        <f t="shared" si="130"/>
        <v xml:space="preserve"> </v>
      </c>
      <c r="G1068" s="1160" t="str">
        <f t="shared" si="131"/>
        <v xml:space="preserve"> </v>
      </c>
      <c r="H1068" s="1149"/>
      <c r="I1068">
        <f t="shared" si="128"/>
        <v>0</v>
      </c>
      <c r="K1068">
        <f t="shared" si="129"/>
        <v>0</v>
      </c>
      <c r="L1068" s="1161"/>
      <c r="N1068" s="1162" t="str">
        <f t="shared" si="132"/>
        <v xml:space="preserve"> </v>
      </c>
      <c r="O1068" s="1163" t="str">
        <f t="shared" si="133"/>
        <v xml:space="preserve"> </v>
      </c>
      <c r="Q1068">
        <f t="shared" si="134"/>
        <v>0</v>
      </c>
      <c r="R1068">
        <f t="shared" si="135"/>
        <v>0</v>
      </c>
    </row>
    <row r="1069" spans="2:18" x14ac:dyDescent="0.15">
      <c r="B1069" s="1157"/>
      <c r="C1069" s="1158"/>
      <c r="D1069" s="897"/>
      <c r="E1069" s="1159" t="str">
        <f t="shared" si="130"/>
        <v xml:space="preserve"> </v>
      </c>
      <c r="G1069" s="1160" t="str">
        <f t="shared" si="131"/>
        <v xml:space="preserve"> </v>
      </c>
      <c r="H1069" s="1149"/>
      <c r="I1069">
        <f t="shared" si="128"/>
        <v>0</v>
      </c>
      <c r="K1069">
        <f t="shared" si="129"/>
        <v>0</v>
      </c>
      <c r="L1069" s="1161"/>
      <c r="N1069" s="1162" t="str">
        <f t="shared" si="132"/>
        <v xml:space="preserve"> </v>
      </c>
      <c r="O1069" s="1163" t="str">
        <f t="shared" si="133"/>
        <v xml:space="preserve"> </v>
      </c>
      <c r="Q1069">
        <f t="shared" si="134"/>
        <v>0</v>
      </c>
      <c r="R1069">
        <f t="shared" si="135"/>
        <v>0</v>
      </c>
    </row>
    <row r="1070" spans="2:18" x14ac:dyDescent="0.15">
      <c r="B1070" s="1157"/>
      <c r="C1070" s="1158"/>
      <c r="D1070" s="897"/>
      <c r="E1070" s="1159" t="str">
        <f t="shared" si="130"/>
        <v xml:space="preserve"> </v>
      </c>
      <c r="G1070" s="1160" t="str">
        <f t="shared" si="131"/>
        <v xml:space="preserve"> </v>
      </c>
      <c r="H1070" s="1149"/>
      <c r="I1070">
        <f t="shared" si="128"/>
        <v>0</v>
      </c>
      <c r="K1070">
        <f t="shared" si="129"/>
        <v>0</v>
      </c>
      <c r="L1070" s="1161"/>
      <c r="N1070" s="1162" t="str">
        <f t="shared" si="132"/>
        <v xml:space="preserve"> </v>
      </c>
      <c r="O1070" s="1163" t="str">
        <f t="shared" si="133"/>
        <v xml:space="preserve"> </v>
      </c>
      <c r="Q1070">
        <f t="shared" si="134"/>
        <v>0</v>
      </c>
      <c r="R1070">
        <f t="shared" si="135"/>
        <v>0</v>
      </c>
    </row>
    <row r="1071" spans="2:18" x14ac:dyDescent="0.15">
      <c r="B1071" s="1157"/>
      <c r="C1071" s="1158"/>
      <c r="D1071" s="897"/>
      <c r="E1071" s="1159" t="str">
        <f t="shared" si="130"/>
        <v xml:space="preserve"> </v>
      </c>
      <c r="G1071" s="1160" t="str">
        <f t="shared" si="131"/>
        <v xml:space="preserve"> </v>
      </c>
      <c r="H1071" s="1149"/>
      <c r="I1071">
        <f t="shared" si="128"/>
        <v>0</v>
      </c>
      <c r="K1071">
        <f t="shared" si="129"/>
        <v>0</v>
      </c>
      <c r="L1071" s="1161"/>
      <c r="N1071" s="1162" t="str">
        <f t="shared" si="132"/>
        <v xml:space="preserve"> </v>
      </c>
      <c r="O1071" s="1163" t="str">
        <f t="shared" si="133"/>
        <v xml:space="preserve"> </v>
      </c>
      <c r="Q1071">
        <f t="shared" si="134"/>
        <v>0</v>
      </c>
      <c r="R1071">
        <f t="shared" si="135"/>
        <v>0</v>
      </c>
    </row>
    <row r="1072" spans="2:18" x14ac:dyDescent="0.15">
      <c r="B1072" s="1157"/>
      <c r="C1072" s="1158"/>
      <c r="D1072" s="897"/>
      <c r="E1072" s="1159" t="str">
        <f t="shared" si="130"/>
        <v xml:space="preserve"> </v>
      </c>
      <c r="G1072" s="1160" t="str">
        <f t="shared" si="131"/>
        <v xml:space="preserve"> </v>
      </c>
      <c r="H1072" s="1149"/>
      <c r="I1072">
        <f t="shared" si="128"/>
        <v>0</v>
      </c>
      <c r="K1072">
        <f t="shared" si="129"/>
        <v>0</v>
      </c>
      <c r="L1072" s="1161"/>
      <c r="N1072" s="1162" t="str">
        <f t="shared" si="132"/>
        <v xml:space="preserve"> </v>
      </c>
      <c r="O1072" s="1163" t="str">
        <f t="shared" si="133"/>
        <v xml:space="preserve"> </v>
      </c>
      <c r="Q1072">
        <f t="shared" si="134"/>
        <v>0</v>
      </c>
      <c r="R1072">
        <f t="shared" si="135"/>
        <v>0</v>
      </c>
    </row>
    <row r="1073" spans="2:18" x14ac:dyDescent="0.15">
      <c r="B1073" s="1157"/>
      <c r="C1073" s="1158"/>
      <c r="D1073" s="897"/>
      <c r="E1073" s="1159" t="str">
        <f t="shared" si="130"/>
        <v xml:space="preserve"> </v>
      </c>
      <c r="G1073" s="1160" t="str">
        <f t="shared" si="131"/>
        <v xml:space="preserve"> </v>
      </c>
      <c r="H1073" s="1149"/>
      <c r="I1073">
        <f t="shared" si="128"/>
        <v>0</v>
      </c>
      <c r="K1073">
        <f t="shared" si="129"/>
        <v>0</v>
      </c>
      <c r="L1073" s="1161"/>
      <c r="N1073" s="1162" t="str">
        <f t="shared" si="132"/>
        <v xml:space="preserve"> </v>
      </c>
      <c r="O1073" s="1163" t="str">
        <f t="shared" si="133"/>
        <v xml:space="preserve"> </v>
      </c>
      <c r="Q1073">
        <f t="shared" si="134"/>
        <v>0</v>
      </c>
      <c r="R1073">
        <f t="shared" si="135"/>
        <v>0</v>
      </c>
    </row>
    <row r="1074" spans="2:18" x14ac:dyDescent="0.15">
      <c r="B1074" s="1157"/>
      <c r="C1074" s="1158"/>
      <c r="D1074" s="897"/>
      <c r="E1074" s="1159" t="str">
        <f t="shared" si="130"/>
        <v xml:space="preserve"> </v>
      </c>
      <c r="G1074" s="1160" t="str">
        <f t="shared" si="131"/>
        <v xml:space="preserve"> </v>
      </c>
      <c r="H1074" s="1149"/>
      <c r="I1074">
        <f t="shared" si="128"/>
        <v>0</v>
      </c>
      <c r="K1074">
        <f t="shared" si="129"/>
        <v>0</v>
      </c>
      <c r="L1074" s="1161"/>
      <c r="N1074" s="1162" t="str">
        <f t="shared" si="132"/>
        <v xml:space="preserve"> </v>
      </c>
      <c r="O1074" s="1163" t="str">
        <f t="shared" si="133"/>
        <v xml:space="preserve"> </v>
      </c>
      <c r="Q1074">
        <f t="shared" si="134"/>
        <v>0</v>
      </c>
      <c r="R1074">
        <f t="shared" si="135"/>
        <v>0</v>
      </c>
    </row>
    <row r="1075" spans="2:18" x14ac:dyDescent="0.15">
      <c r="B1075" s="1157"/>
      <c r="C1075" s="1158"/>
      <c r="D1075" s="897"/>
      <c r="E1075" s="1159" t="str">
        <f t="shared" si="130"/>
        <v xml:space="preserve"> </v>
      </c>
      <c r="G1075" s="1160" t="str">
        <f t="shared" si="131"/>
        <v xml:space="preserve"> </v>
      </c>
      <c r="H1075" s="1149"/>
      <c r="I1075">
        <f t="shared" si="128"/>
        <v>0</v>
      </c>
      <c r="K1075">
        <f t="shared" si="129"/>
        <v>0</v>
      </c>
      <c r="L1075" s="1161"/>
      <c r="N1075" s="1162" t="str">
        <f t="shared" si="132"/>
        <v xml:space="preserve"> </v>
      </c>
      <c r="O1075" s="1163" t="str">
        <f t="shared" si="133"/>
        <v xml:space="preserve"> </v>
      </c>
      <c r="Q1075">
        <f t="shared" si="134"/>
        <v>0</v>
      </c>
      <c r="R1075">
        <f t="shared" si="135"/>
        <v>0</v>
      </c>
    </row>
    <row r="1076" spans="2:18" x14ac:dyDescent="0.15">
      <c r="B1076" s="1157"/>
      <c r="C1076" s="1158"/>
      <c r="D1076" s="897"/>
      <c r="E1076" s="1159" t="str">
        <f t="shared" si="130"/>
        <v xml:space="preserve"> </v>
      </c>
      <c r="G1076" s="1160" t="str">
        <f t="shared" si="131"/>
        <v xml:space="preserve"> </v>
      </c>
      <c r="H1076" s="1149"/>
      <c r="I1076">
        <f t="shared" si="128"/>
        <v>0</v>
      </c>
      <c r="K1076">
        <f t="shared" si="129"/>
        <v>0</v>
      </c>
      <c r="L1076" s="1161"/>
      <c r="N1076" s="1162" t="str">
        <f t="shared" si="132"/>
        <v xml:space="preserve"> </v>
      </c>
      <c r="O1076" s="1163" t="str">
        <f t="shared" si="133"/>
        <v xml:space="preserve"> </v>
      </c>
      <c r="Q1076">
        <f t="shared" si="134"/>
        <v>0</v>
      </c>
      <c r="R1076">
        <f t="shared" si="135"/>
        <v>0</v>
      </c>
    </row>
    <row r="1077" spans="2:18" x14ac:dyDescent="0.15">
      <c r="B1077" s="1157"/>
      <c r="C1077" s="1158"/>
      <c r="D1077" s="897"/>
      <c r="E1077" s="1159" t="str">
        <f t="shared" si="130"/>
        <v xml:space="preserve"> </v>
      </c>
      <c r="G1077" s="1160" t="str">
        <f t="shared" si="131"/>
        <v xml:space="preserve"> </v>
      </c>
      <c r="H1077" s="1149"/>
      <c r="I1077">
        <f t="shared" si="128"/>
        <v>0</v>
      </c>
      <c r="K1077">
        <f t="shared" si="129"/>
        <v>0</v>
      </c>
      <c r="L1077" s="1161"/>
      <c r="N1077" s="1162" t="str">
        <f t="shared" si="132"/>
        <v xml:space="preserve"> </v>
      </c>
      <c r="O1077" s="1163" t="str">
        <f t="shared" si="133"/>
        <v xml:space="preserve"> </v>
      </c>
      <c r="Q1077">
        <f t="shared" si="134"/>
        <v>0</v>
      </c>
      <c r="R1077">
        <f t="shared" si="135"/>
        <v>0</v>
      </c>
    </row>
    <row r="1078" spans="2:18" x14ac:dyDescent="0.15">
      <c r="B1078" s="1157"/>
      <c r="C1078" s="1158"/>
      <c r="D1078" s="897"/>
      <c r="E1078" s="1159" t="str">
        <f t="shared" si="130"/>
        <v xml:space="preserve"> </v>
      </c>
      <c r="G1078" s="1160" t="str">
        <f t="shared" si="131"/>
        <v xml:space="preserve"> </v>
      </c>
      <c r="H1078" s="1149"/>
      <c r="I1078">
        <f t="shared" si="128"/>
        <v>0</v>
      </c>
      <c r="K1078">
        <f t="shared" si="129"/>
        <v>0</v>
      </c>
      <c r="L1078" s="1161"/>
      <c r="N1078" s="1162" t="str">
        <f t="shared" si="132"/>
        <v xml:space="preserve"> </v>
      </c>
      <c r="O1078" s="1163" t="str">
        <f t="shared" si="133"/>
        <v xml:space="preserve"> </v>
      </c>
      <c r="Q1078">
        <f t="shared" si="134"/>
        <v>0</v>
      </c>
      <c r="R1078">
        <f t="shared" si="135"/>
        <v>0</v>
      </c>
    </row>
    <row r="1079" spans="2:18" x14ac:dyDescent="0.15">
      <c r="B1079" s="1157"/>
      <c r="C1079" s="1158"/>
      <c r="D1079" s="897"/>
      <c r="E1079" s="1159" t="str">
        <f t="shared" si="130"/>
        <v xml:space="preserve"> </v>
      </c>
      <c r="G1079" s="1160" t="str">
        <f t="shared" si="131"/>
        <v xml:space="preserve"> </v>
      </c>
      <c r="H1079" s="1149"/>
      <c r="I1079">
        <f t="shared" si="128"/>
        <v>0</v>
      </c>
      <c r="K1079">
        <f t="shared" si="129"/>
        <v>0</v>
      </c>
      <c r="L1079" s="1161"/>
      <c r="N1079" s="1162" t="str">
        <f t="shared" si="132"/>
        <v xml:space="preserve"> </v>
      </c>
      <c r="O1079" s="1163" t="str">
        <f t="shared" si="133"/>
        <v xml:space="preserve"> </v>
      </c>
      <c r="Q1079">
        <f t="shared" si="134"/>
        <v>0</v>
      </c>
      <c r="R1079">
        <f t="shared" si="135"/>
        <v>0</v>
      </c>
    </row>
    <row r="1080" spans="2:18" x14ac:dyDescent="0.15">
      <c r="B1080" s="1157"/>
      <c r="C1080" s="1158"/>
      <c r="D1080" s="897"/>
      <c r="E1080" s="1159" t="str">
        <f t="shared" si="130"/>
        <v xml:space="preserve"> </v>
      </c>
      <c r="G1080" s="1160" t="str">
        <f t="shared" si="131"/>
        <v xml:space="preserve"> </v>
      </c>
      <c r="H1080" s="1149"/>
      <c r="I1080">
        <f t="shared" si="128"/>
        <v>0</v>
      </c>
      <c r="K1080">
        <f t="shared" si="129"/>
        <v>0</v>
      </c>
      <c r="L1080" s="1161"/>
      <c r="N1080" s="1162" t="str">
        <f t="shared" si="132"/>
        <v xml:space="preserve"> </v>
      </c>
      <c r="O1080" s="1163" t="str">
        <f t="shared" si="133"/>
        <v xml:space="preserve"> </v>
      </c>
      <c r="Q1080">
        <f t="shared" si="134"/>
        <v>0</v>
      </c>
      <c r="R1080">
        <f t="shared" si="135"/>
        <v>0</v>
      </c>
    </row>
    <row r="1081" spans="2:18" x14ac:dyDescent="0.15">
      <c r="B1081" s="1157"/>
      <c r="C1081" s="1158"/>
      <c r="D1081" s="897"/>
      <c r="E1081" s="1159" t="str">
        <f t="shared" si="130"/>
        <v xml:space="preserve"> </v>
      </c>
      <c r="G1081" s="1160" t="str">
        <f t="shared" si="131"/>
        <v xml:space="preserve"> </v>
      </c>
      <c r="H1081" s="1149"/>
      <c r="I1081">
        <f t="shared" si="128"/>
        <v>0</v>
      </c>
      <c r="K1081">
        <f t="shared" si="129"/>
        <v>0</v>
      </c>
      <c r="L1081" s="1161"/>
      <c r="N1081" s="1162" t="str">
        <f t="shared" si="132"/>
        <v xml:space="preserve"> </v>
      </c>
      <c r="O1081" s="1163" t="str">
        <f t="shared" si="133"/>
        <v xml:space="preserve"> </v>
      </c>
      <c r="Q1081">
        <f t="shared" si="134"/>
        <v>0</v>
      </c>
      <c r="R1081">
        <f t="shared" si="135"/>
        <v>0</v>
      </c>
    </row>
    <row r="1082" spans="2:18" x14ac:dyDescent="0.15">
      <c r="B1082" s="1157"/>
      <c r="C1082" s="1158"/>
      <c r="D1082" s="897"/>
      <c r="E1082" s="1159" t="str">
        <f t="shared" si="130"/>
        <v xml:space="preserve"> </v>
      </c>
      <c r="G1082" s="1160" t="str">
        <f t="shared" si="131"/>
        <v xml:space="preserve"> </v>
      </c>
      <c r="H1082" s="1149"/>
      <c r="I1082">
        <f t="shared" si="128"/>
        <v>0</v>
      </c>
      <c r="K1082">
        <f t="shared" si="129"/>
        <v>0</v>
      </c>
      <c r="L1082" s="1161"/>
      <c r="N1082" s="1162" t="str">
        <f t="shared" si="132"/>
        <v xml:space="preserve"> </v>
      </c>
      <c r="O1082" s="1163" t="str">
        <f t="shared" si="133"/>
        <v xml:space="preserve"> </v>
      </c>
      <c r="Q1082">
        <f t="shared" si="134"/>
        <v>0</v>
      </c>
      <c r="R1082">
        <f t="shared" si="135"/>
        <v>0</v>
      </c>
    </row>
    <row r="1083" spans="2:18" x14ac:dyDescent="0.15">
      <c r="B1083" s="1157"/>
      <c r="C1083" s="1158"/>
      <c r="D1083" s="897"/>
      <c r="E1083" s="1159" t="str">
        <f t="shared" si="130"/>
        <v xml:space="preserve"> </v>
      </c>
      <c r="G1083" s="1160" t="str">
        <f t="shared" si="131"/>
        <v xml:space="preserve"> </v>
      </c>
      <c r="H1083" s="1149"/>
      <c r="I1083">
        <f t="shared" si="128"/>
        <v>0</v>
      </c>
      <c r="K1083">
        <f t="shared" si="129"/>
        <v>0</v>
      </c>
      <c r="L1083" s="1161"/>
      <c r="N1083" s="1162" t="str">
        <f t="shared" si="132"/>
        <v xml:space="preserve"> </v>
      </c>
      <c r="O1083" s="1163" t="str">
        <f t="shared" si="133"/>
        <v xml:space="preserve"> </v>
      </c>
      <c r="Q1083">
        <f t="shared" si="134"/>
        <v>0</v>
      </c>
      <c r="R1083">
        <f t="shared" si="135"/>
        <v>0</v>
      </c>
    </row>
    <row r="1084" spans="2:18" x14ac:dyDescent="0.15">
      <c r="B1084" s="1157"/>
      <c r="C1084" s="1158"/>
      <c r="D1084" s="897"/>
      <c r="E1084" s="1159" t="str">
        <f t="shared" si="130"/>
        <v xml:space="preserve"> </v>
      </c>
      <c r="G1084" s="1160" t="str">
        <f t="shared" si="131"/>
        <v xml:space="preserve"> </v>
      </c>
      <c r="H1084" s="1149"/>
      <c r="I1084">
        <f t="shared" si="128"/>
        <v>0</v>
      </c>
      <c r="K1084">
        <f t="shared" si="129"/>
        <v>0</v>
      </c>
      <c r="L1084" s="1161"/>
      <c r="N1084" s="1162" t="str">
        <f t="shared" si="132"/>
        <v xml:space="preserve"> </v>
      </c>
      <c r="O1084" s="1163" t="str">
        <f t="shared" si="133"/>
        <v xml:space="preserve"> </v>
      </c>
      <c r="Q1084">
        <f t="shared" si="134"/>
        <v>0</v>
      </c>
      <c r="R1084">
        <f t="shared" si="135"/>
        <v>0</v>
      </c>
    </row>
    <row r="1085" spans="2:18" x14ac:dyDescent="0.15">
      <c r="B1085" s="1157"/>
      <c r="C1085" s="1158"/>
      <c r="D1085" s="897"/>
      <c r="E1085" s="1159" t="str">
        <f t="shared" si="130"/>
        <v xml:space="preserve"> </v>
      </c>
      <c r="G1085" s="1160" t="str">
        <f t="shared" si="131"/>
        <v xml:space="preserve"> </v>
      </c>
      <c r="H1085" s="1149"/>
      <c r="I1085">
        <f t="shared" si="128"/>
        <v>0</v>
      </c>
      <c r="K1085">
        <f t="shared" si="129"/>
        <v>0</v>
      </c>
      <c r="L1085" s="1161"/>
      <c r="N1085" s="1162" t="str">
        <f t="shared" si="132"/>
        <v xml:space="preserve"> </v>
      </c>
      <c r="O1085" s="1163" t="str">
        <f t="shared" si="133"/>
        <v xml:space="preserve"> </v>
      </c>
      <c r="Q1085">
        <f t="shared" si="134"/>
        <v>0</v>
      </c>
      <c r="R1085">
        <f t="shared" si="135"/>
        <v>0</v>
      </c>
    </row>
    <row r="1086" spans="2:18" x14ac:dyDescent="0.15">
      <c r="B1086" s="1157"/>
      <c r="C1086" s="1158"/>
      <c r="D1086" s="897"/>
      <c r="E1086" s="1159" t="str">
        <f t="shared" si="130"/>
        <v xml:space="preserve"> </v>
      </c>
      <c r="G1086" s="1160" t="str">
        <f t="shared" si="131"/>
        <v xml:space="preserve"> </v>
      </c>
      <c r="H1086" s="1149"/>
      <c r="I1086">
        <f t="shared" si="128"/>
        <v>0</v>
      </c>
      <c r="K1086">
        <f t="shared" si="129"/>
        <v>0</v>
      </c>
      <c r="L1086" s="1161"/>
      <c r="N1086" s="1162" t="str">
        <f t="shared" si="132"/>
        <v xml:space="preserve"> </v>
      </c>
      <c r="O1086" s="1163" t="str">
        <f t="shared" si="133"/>
        <v xml:space="preserve"> </v>
      </c>
      <c r="Q1086">
        <f t="shared" si="134"/>
        <v>0</v>
      </c>
      <c r="R1086">
        <f t="shared" si="135"/>
        <v>0</v>
      </c>
    </row>
    <row r="1087" spans="2:18" x14ac:dyDescent="0.15">
      <c r="B1087" s="1157"/>
      <c r="C1087" s="1158"/>
      <c r="D1087" s="897"/>
      <c r="E1087" s="1159" t="str">
        <f t="shared" si="130"/>
        <v xml:space="preserve"> </v>
      </c>
      <c r="G1087" s="1160" t="str">
        <f t="shared" si="131"/>
        <v xml:space="preserve"> </v>
      </c>
      <c r="H1087" s="1149"/>
      <c r="I1087">
        <f t="shared" si="128"/>
        <v>0</v>
      </c>
      <c r="K1087">
        <f t="shared" si="129"/>
        <v>0</v>
      </c>
      <c r="L1087" s="1161"/>
      <c r="N1087" s="1162" t="str">
        <f t="shared" si="132"/>
        <v xml:space="preserve"> </v>
      </c>
      <c r="O1087" s="1163" t="str">
        <f t="shared" si="133"/>
        <v xml:space="preserve"> </v>
      </c>
      <c r="Q1087">
        <f t="shared" si="134"/>
        <v>0</v>
      </c>
      <c r="R1087">
        <f t="shared" si="135"/>
        <v>0</v>
      </c>
    </row>
    <row r="1088" spans="2:18" x14ac:dyDescent="0.15">
      <c r="B1088" s="1157"/>
      <c r="C1088" s="1158"/>
      <c r="D1088" s="897"/>
      <c r="E1088" s="1159" t="str">
        <f t="shared" si="130"/>
        <v xml:space="preserve"> </v>
      </c>
      <c r="G1088" s="1160" t="str">
        <f t="shared" si="131"/>
        <v xml:space="preserve"> </v>
      </c>
      <c r="H1088" s="1149"/>
      <c r="I1088">
        <f t="shared" si="128"/>
        <v>0</v>
      </c>
      <c r="K1088">
        <f t="shared" si="129"/>
        <v>0</v>
      </c>
      <c r="L1088" s="1161"/>
      <c r="N1088" s="1162" t="str">
        <f t="shared" si="132"/>
        <v xml:space="preserve"> </v>
      </c>
      <c r="O1088" s="1163" t="str">
        <f t="shared" si="133"/>
        <v xml:space="preserve"> </v>
      </c>
      <c r="Q1088">
        <f t="shared" si="134"/>
        <v>0</v>
      </c>
      <c r="R1088">
        <f t="shared" si="135"/>
        <v>0</v>
      </c>
    </row>
    <row r="1089" spans="2:18" x14ac:dyDescent="0.15">
      <c r="B1089" s="1157"/>
      <c r="C1089" s="1158"/>
      <c r="D1089" s="897"/>
      <c r="E1089" s="1159" t="str">
        <f t="shared" si="130"/>
        <v xml:space="preserve"> </v>
      </c>
      <c r="G1089" s="1160" t="str">
        <f t="shared" si="131"/>
        <v xml:space="preserve"> </v>
      </c>
      <c r="H1089" s="1149"/>
      <c r="I1089">
        <f t="shared" si="128"/>
        <v>0</v>
      </c>
      <c r="K1089">
        <f t="shared" si="129"/>
        <v>0</v>
      </c>
      <c r="L1089" s="1161"/>
      <c r="N1089" s="1162" t="str">
        <f t="shared" si="132"/>
        <v xml:space="preserve"> </v>
      </c>
      <c r="O1089" s="1163" t="str">
        <f t="shared" si="133"/>
        <v xml:space="preserve"> </v>
      </c>
      <c r="Q1089">
        <f t="shared" si="134"/>
        <v>0</v>
      </c>
      <c r="R1089">
        <f t="shared" si="135"/>
        <v>0</v>
      </c>
    </row>
    <row r="1090" spans="2:18" x14ac:dyDescent="0.15">
      <c r="B1090" s="1157"/>
      <c r="C1090" s="1158"/>
      <c r="D1090" s="897"/>
      <c r="E1090" s="1159" t="str">
        <f t="shared" si="130"/>
        <v xml:space="preserve"> </v>
      </c>
      <c r="G1090" s="1160" t="str">
        <f t="shared" si="131"/>
        <v xml:space="preserve"> </v>
      </c>
      <c r="H1090" s="1149"/>
      <c r="I1090">
        <f t="shared" si="128"/>
        <v>0</v>
      </c>
      <c r="K1090">
        <f t="shared" si="129"/>
        <v>0</v>
      </c>
      <c r="L1090" s="1161"/>
      <c r="N1090" s="1162" t="str">
        <f t="shared" si="132"/>
        <v xml:space="preserve"> </v>
      </c>
      <c r="O1090" s="1163" t="str">
        <f t="shared" si="133"/>
        <v xml:space="preserve"> </v>
      </c>
      <c r="Q1090">
        <f t="shared" si="134"/>
        <v>0</v>
      </c>
      <c r="R1090">
        <f t="shared" si="135"/>
        <v>0</v>
      </c>
    </row>
    <row r="1091" spans="2:18" x14ac:dyDescent="0.15">
      <c r="B1091" s="1157"/>
      <c r="C1091" s="1158"/>
      <c r="D1091" s="897"/>
      <c r="E1091" s="1159" t="str">
        <f t="shared" si="130"/>
        <v xml:space="preserve"> </v>
      </c>
      <c r="G1091" s="1160" t="str">
        <f t="shared" si="131"/>
        <v xml:space="preserve"> </v>
      </c>
      <c r="H1091" s="1149"/>
      <c r="I1091">
        <f t="shared" si="128"/>
        <v>0</v>
      </c>
      <c r="K1091">
        <f t="shared" si="129"/>
        <v>0</v>
      </c>
      <c r="L1091" s="1161"/>
      <c r="N1091" s="1162" t="str">
        <f t="shared" si="132"/>
        <v xml:space="preserve"> </v>
      </c>
      <c r="O1091" s="1163" t="str">
        <f t="shared" si="133"/>
        <v xml:space="preserve"> </v>
      </c>
      <c r="Q1091">
        <f t="shared" si="134"/>
        <v>0</v>
      </c>
      <c r="R1091">
        <f t="shared" si="135"/>
        <v>0</v>
      </c>
    </row>
    <row r="1092" spans="2:18" x14ac:dyDescent="0.15">
      <c r="B1092" s="1157"/>
      <c r="C1092" s="1158"/>
      <c r="D1092" s="897"/>
      <c r="E1092" s="1159" t="str">
        <f t="shared" si="130"/>
        <v xml:space="preserve"> </v>
      </c>
      <c r="G1092" s="1160" t="str">
        <f t="shared" si="131"/>
        <v xml:space="preserve"> </v>
      </c>
      <c r="H1092" s="1149"/>
      <c r="I1092">
        <f t="shared" si="128"/>
        <v>0</v>
      </c>
      <c r="K1092">
        <f t="shared" si="129"/>
        <v>0</v>
      </c>
      <c r="L1092" s="1161"/>
      <c r="N1092" s="1162" t="str">
        <f t="shared" si="132"/>
        <v xml:space="preserve"> </v>
      </c>
      <c r="O1092" s="1163" t="str">
        <f t="shared" si="133"/>
        <v xml:space="preserve"> </v>
      </c>
      <c r="Q1092">
        <f t="shared" si="134"/>
        <v>0</v>
      </c>
      <c r="R1092">
        <f t="shared" si="135"/>
        <v>0</v>
      </c>
    </row>
    <row r="1093" spans="2:18" x14ac:dyDescent="0.15">
      <c r="B1093" s="1157"/>
      <c r="C1093" s="1158"/>
      <c r="D1093" s="897"/>
      <c r="E1093" s="1159" t="str">
        <f t="shared" si="130"/>
        <v xml:space="preserve"> </v>
      </c>
      <c r="G1093" s="1160" t="str">
        <f t="shared" si="131"/>
        <v xml:space="preserve"> </v>
      </c>
      <c r="H1093" s="1149"/>
      <c r="I1093">
        <f t="shared" si="128"/>
        <v>0</v>
      </c>
      <c r="K1093">
        <f t="shared" si="129"/>
        <v>0</v>
      </c>
      <c r="L1093" s="1161"/>
      <c r="N1093" s="1162" t="str">
        <f t="shared" si="132"/>
        <v xml:space="preserve"> </v>
      </c>
      <c r="O1093" s="1163" t="str">
        <f t="shared" si="133"/>
        <v xml:space="preserve"> </v>
      </c>
      <c r="Q1093">
        <f t="shared" si="134"/>
        <v>0</v>
      </c>
      <c r="R1093">
        <f t="shared" si="135"/>
        <v>0</v>
      </c>
    </row>
    <row r="1094" spans="2:18" x14ac:dyDescent="0.15">
      <c r="B1094" s="1157"/>
      <c r="C1094" s="1158"/>
      <c r="D1094" s="897"/>
      <c r="E1094" s="1159" t="str">
        <f t="shared" si="130"/>
        <v xml:space="preserve"> </v>
      </c>
      <c r="G1094" s="1160" t="str">
        <f t="shared" si="131"/>
        <v xml:space="preserve"> </v>
      </c>
      <c r="H1094" s="1149"/>
      <c r="I1094">
        <f t="shared" si="128"/>
        <v>0</v>
      </c>
      <c r="K1094">
        <f t="shared" si="129"/>
        <v>0</v>
      </c>
      <c r="L1094" s="1161"/>
      <c r="N1094" s="1162" t="str">
        <f t="shared" si="132"/>
        <v xml:space="preserve"> </v>
      </c>
      <c r="O1094" s="1163" t="str">
        <f t="shared" si="133"/>
        <v xml:space="preserve"> </v>
      </c>
      <c r="Q1094">
        <f t="shared" si="134"/>
        <v>0</v>
      </c>
      <c r="R1094">
        <f t="shared" si="135"/>
        <v>0</v>
      </c>
    </row>
    <row r="1095" spans="2:18" x14ac:dyDescent="0.15">
      <c r="B1095" s="1157"/>
      <c r="C1095" s="1158"/>
      <c r="D1095" s="897"/>
      <c r="E1095" s="1159" t="str">
        <f t="shared" si="130"/>
        <v xml:space="preserve"> </v>
      </c>
      <c r="G1095" s="1160" t="str">
        <f t="shared" si="131"/>
        <v xml:space="preserve"> </v>
      </c>
      <c r="H1095" s="1149"/>
      <c r="I1095">
        <f t="shared" si="128"/>
        <v>0</v>
      </c>
      <c r="K1095">
        <f t="shared" si="129"/>
        <v>0</v>
      </c>
      <c r="L1095" s="1161"/>
      <c r="N1095" s="1162" t="str">
        <f t="shared" si="132"/>
        <v xml:space="preserve"> </v>
      </c>
      <c r="O1095" s="1163" t="str">
        <f t="shared" si="133"/>
        <v xml:space="preserve"> </v>
      </c>
      <c r="Q1095">
        <f t="shared" si="134"/>
        <v>0</v>
      </c>
      <c r="R1095">
        <f t="shared" si="135"/>
        <v>0</v>
      </c>
    </row>
    <row r="1096" spans="2:18" x14ac:dyDescent="0.15">
      <c r="B1096" s="1157"/>
      <c r="C1096" s="1158"/>
      <c r="D1096" s="897"/>
      <c r="E1096" s="1159" t="str">
        <f t="shared" si="130"/>
        <v xml:space="preserve"> </v>
      </c>
      <c r="G1096" s="1160" t="str">
        <f t="shared" si="131"/>
        <v xml:space="preserve"> </v>
      </c>
      <c r="H1096" s="1149"/>
      <c r="I1096">
        <f>(J1096+C1096)/12</f>
        <v>0</v>
      </c>
      <c r="K1096">
        <f t="shared" si="129"/>
        <v>0</v>
      </c>
      <c r="L1096" s="1161"/>
      <c r="N1096" s="1162" t="str">
        <f t="shared" si="132"/>
        <v xml:space="preserve"> </v>
      </c>
      <c r="O1096" s="1163" t="str">
        <f t="shared" si="133"/>
        <v xml:space="preserve"> </v>
      </c>
      <c r="Q1096">
        <f t="shared" si="134"/>
        <v>0</v>
      </c>
      <c r="R1096">
        <f t="shared" si="135"/>
        <v>0</v>
      </c>
    </row>
    <row r="1097" spans="2:18" ht="14" thickBot="1" x14ac:dyDescent="0.2">
      <c r="B1097" s="1157"/>
      <c r="C1097" s="1164"/>
      <c r="D1097" s="897"/>
      <c r="E1097" s="1159" t="str">
        <f>IF(K1097=0," ",IF(K1097&gt;0,K1097*12*25.4))</f>
        <v xml:space="preserve"> </v>
      </c>
      <c r="G1097" s="1160" t="str">
        <f t="shared" si="131"/>
        <v xml:space="preserve"> </v>
      </c>
      <c r="H1097" s="1165"/>
      <c r="I1097">
        <f>(J1097+C1097)/12</f>
        <v>0</v>
      </c>
      <c r="K1097">
        <f t="shared" si="129"/>
        <v>0</v>
      </c>
      <c r="L1097" s="1161"/>
      <c r="N1097" s="1162" t="str">
        <f t="shared" si="132"/>
        <v xml:space="preserve"> </v>
      </c>
      <c r="O1097" s="1163" t="str">
        <f t="shared" si="133"/>
        <v xml:space="preserve"> </v>
      </c>
      <c r="Q1097">
        <f t="shared" si="134"/>
        <v>0</v>
      </c>
      <c r="R1097">
        <f t="shared" si="135"/>
        <v>0</v>
      </c>
    </row>
    <row r="1098" spans="2:18" ht="14" thickTop="1" x14ac:dyDescent="0.15"/>
  </sheetData>
  <phoneticPr fontId="80" type="noConversion"/>
  <pageMargins left="0.75" right="0.75" top="1" bottom="1" header="0.5" footer="0.5"/>
  <headerFooter alignWithMargins="0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18608D-A67C-544D-A4D9-84F0405F34BB}">
  <dimension ref="B1:N48"/>
  <sheetViews>
    <sheetView showGridLines="0" topLeftCell="A46" workbookViewId="0"/>
  </sheetViews>
  <sheetFormatPr baseColWidth="10" defaultColWidth="8.83203125" defaultRowHeight="13" x14ac:dyDescent="0.15"/>
  <cols>
    <col min="1" max="7" width="8.83203125" customWidth="1"/>
    <col min="8" max="8" width="75" customWidth="1"/>
  </cols>
  <sheetData>
    <row r="1" spans="2:8" ht="18" x14ac:dyDescent="0.2">
      <c r="B1" s="1079" t="s">
        <v>799</v>
      </c>
    </row>
    <row r="2" spans="2:8" x14ac:dyDescent="0.15">
      <c r="B2" s="790" t="s">
        <v>787</v>
      </c>
    </row>
    <row r="3" spans="2:8" x14ac:dyDescent="0.15">
      <c r="B3" s="228" t="s">
        <v>740</v>
      </c>
      <c r="H3" t="s">
        <v>788</v>
      </c>
    </row>
    <row r="4" spans="2:8" x14ac:dyDescent="0.15">
      <c r="H4" t="s">
        <v>807</v>
      </c>
    </row>
    <row r="5" spans="2:8" x14ac:dyDescent="0.15">
      <c r="H5" t="s">
        <v>789</v>
      </c>
    </row>
    <row r="6" spans="2:8" x14ac:dyDescent="0.15">
      <c r="H6" t="s">
        <v>808</v>
      </c>
    </row>
    <row r="7" spans="2:8" x14ac:dyDescent="0.15">
      <c r="H7" t="s">
        <v>790</v>
      </c>
    </row>
    <row r="8" spans="2:8" x14ac:dyDescent="0.15">
      <c r="H8" t="s">
        <v>796</v>
      </c>
    </row>
    <row r="9" spans="2:8" x14ac:dyDescent="0.15">
      <c r="H9" t="s">
        <v>809</v>
      </c>
    </row>
    <row r="10" spans="2:8" x14ac:dyDescent="0.15">
      <c r="H10" t="s">
        <v>791</v>
      </c>
    </row>
    <row r="11" spans="2:8" x14ac:dyDescent="0.15">
      <c r="H11" t="s">
        <v>810</v>
      </c>
    </row>
    <row r="12" spans="2:8" x14ac:dyDescent="0.15">
      <c r="H12" t="s">
        <v>792</v>
      </c>
    </row>
    <row r="13" spans="2:8" x14ac:dyDescent="0.15">
      <c r="H13" s="1169" t="s">
        <v>793</v>
      </c>
    </row>
    <row r="14" spans="2:8" x14ac:dyDescent="0.15">
      <c r="H14" t="s">
        <v>811</v>
      </c>
    </row>
    <row r="15" spans="2:8" x14ac:dyDescent="0.15">
      <c r="H15" t="s">
        <v>797</v>
      </c>
    </row>
    <row r="16" spans="2:8" x14ac:dyDescent="0.15">
      <c r="H16" t="s">
        <v>805</v>
      </c>
    </row>
    <row r="17" spans="8:8" x14ac:dyDescent="0.15">
      <c r="H17" t="s">
        <v>804</v>
      </c>
    </row>
    <row r="18" spans="8:8" x14ac:dyDescent="0.15">
      <c r="H18" t="s">
        <v>812</v>
      </c>
    </row>
    <row r="19" spans="8:8" x14ac:dyDescent="0.15">
      <c r="H19" t="s">
        <v>803</v>
      </c>
    </row>
    <row r="20" spans="8:8" x14ac:dyDescent="0.15">
      <c r="H20" t="s">
        <v>794</v>
      </c>
    </row>
    <row r="21" spans="8:8" x14ac:dyDescent="0.15">
      <c r="H21" t="s">
        <v>813</v>
      </c>
    </row>
    <row r="22" spans="8:8" x14ac:dyDescent="0.15">
      <c r="H22" t="s">
        <v>814</v>
      </c>
    </row>
    <row r="23" spans="8:8" x14ac:dyDescent="0.15">
      <c r="H23" t="s">
        <v>815</v>
      </c>
    </row>
    <row r="24" spans="8:8" x14ac:dyDescent="0.15">
      <c r="H24" t="s">
        <v>830</v>
      </c>
    </row>
    <row r="25" spans="8:8" x14ac:dyDescent="0.15">
      <c r="H25" t="s">
        <v>825</v>
      </c>
    </row>
    <row r="26" spans="8:8" x14ac:dyDescent="0.15">
      <c r="H26" t="s">
        <v>795</v>
      </c>
    </row>
    <row r="27" spans="8:8" x14ac:dyDescent="0.15">
      <c r="H27" t="s">
        <v>816</v>
      </c>
    </row>
    <row r="28" spans="8:8" x14ac:dyDescent="0.15">
      <c r="H28" t="s">
        <v>826</v>
      </c>
    </row>
    <row r="29" spans="8:8" x14ac:dyDescent="0.15">
      <c r="H29" t="s">
        <v>806</v>
      </c>
    </row>
    <row r="30" spans="8:8" x14ac:dyDescent="0.15">
      <c r="H30" t="s">
        <v>827</v>
      </c>
    </row>
    <row r="31" spans="8:8" x14ac:dyDescent="0.15">
      <c r="H31" t="s">
        <v>817</v>
      </c>
    </row>
    <row r="32" spans="8:8" x14ac:dyDescent="0.15">
      <c r="H32" t="s">
        <v>737</v>
      </c>
    </row>
    <row r="33" spans="8:14" x14ac:dyDescent="0.15">
      <c r="H33" t="s">
        <v>738</v>
      </c>
    </row>
    <row r="34" spans="8:14" x14ac:dyDescent="0.15">
      <c r="H34" t="s">
        <v>828</v>
      </c>
      <c r="N34" s="1062" t="s">
        <v>818</v>
      </c>
    </row>
    <row r="35" spans="8:14" x14ac:dyDescent="0.15">
      <c r="H35" t="s">
        <v>798</v>
      </c>
    </row>
    <row r="36" spans="8:14" x14ac:dyDescent="0.15">
      <c r="H36" t="s">
        <v>819</v>
      </c>
    </row>
    <row r="37" spans="8:14" x14ac:dyDescent="0.15">
      <c r="H37" t="s">
        <v>831</v>
      </c>
    </row>
    <row r="38" spans="8:14" x14ac:dyDescent="0.15">
      <c r="H38" t="s">
        <v>822</v>
      </c>
    </row>
    <row r="39" spans="8:14" x14ac:dyDescent="0.15">
      <c r="H39" t="s">
        <v>820</v>
      </c>
    </row>
    <row r="40" spans="8:14" x14ac:dyDescent="0.15">
      <c r="H40" t="s">
        <v>821</v>
      </c>
    </row>
    <row r="41" spans="8:14" x14ac:dyDescent="0.15">
      <c r="H41" t="s">
        <v>739</v>
      </c>
    </row>
    <row r="42" spans="8:14" x14ac:dyDescent="0.15">
      <c r="H42" t="s">
        <v>823</v>
      </c>
    </row>
    <row r="43" spans="8:14" x14ac:dyDescent="0.15">
      <c r="H43" t="s">
        <v>829</v>
      </c>
    </row>
    <row r="44" spans="8:14" x14ac:dyDescent="0.15">
      <c r="H44" t="s">
        <v>824</v>
      </c>
    </row>
    <row r="45" spans="8:14" x14ac:dyDescent="0.15">
      <c r="H45" t="s">
        <v>832</v>
      </c>
    </row>
    <row r="46" spans="8:14" x14ac:dyDescent="0.15">
      <c r="H46" t="s">
        <v>801</v>
      </c>
    </row>
    <row r="47" spans="8:14" x14ac:dyDescent="0.15">
      <c r="H47" t="s">
        <v>800</v>
      </c>
    </row>
    <row r="48" spans="8:14" x14ac:dyDescent="0.15">
      <c r="H48" t="s">
        <v>802</v>
      </c>
    </row>
  </sheetData>
  <phoneticPr fontId="80" type="noConversion"/>
  <pageMargins left="0.75" right="0.75" top="1" bottom="1" header="0.5" footer="0.5"/>
  <pageSetup paperSize="17" orientation="landscape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53474-5E1C-3848-80AA-3D250314FE00}">
  <sheetPr codeName="Sheet2"/>
  <dimension ref="B1:N41"/>
  <sheetViews>
    <sheetView showGridLines="0" zoomScale="95" workbookViewId="0">
      <pane ySplit="18" topLeftCell="A19" activePane="bottomLeft" state="frozen"/>
      <selection pane="bottomLeft"/>
    </sheetView>
  </sheetViews>
  <sheetFormatPr baseColWidth="10" defaultColWidth="8.83203125" defaultRowHeight="13" x14ac:dyDescent="0.15"/>
  <cols>
    <col min="1" max="1" width="2.33203125" customWidth="1"/>
    <col min="2" max="8" width="8.83203125" customWidth="1"/>
    <col min="9" max="10" width="9.5" customWidth="1"/>
    <col min="11" max="11" width="12.83203125" customWidth="1"/>
    <col min="12" max="12" width="13.5" customWidth="1"/>
    <col min="13" max="13" width="9.6640625" customWidth="1"/>
    <col min="14" max="14" width="5.1640625" hidden="1" customWidth="1"/>
  </cols>
  <sheetData>
    <row r="1" spans="2:12" x14ac:dyDescent="0.15">
      <c r="B1" s="112">
        <f ca="1">NOW()</f>
        <v>45636.449309606483</v>
      </c>
    </row>
    <row r="2" spans="2:12" ht="16" x14ac:dyDescent="0.2">
      <c r="B2" s="113"/>
      <c r="I2" s="35" t="s">
        <v>1673</v>
      </c>
    </row>
    <row r="3" spans="2:12" ht="23" x14ac:dyDescent="0.25">
      <c r="D3" s="188" t="s">
        <v>1048</v>
      </c>
      <c r="I3" s="35" t="s">
        <v>1674</v>
      </c>
    </row>
    <row r="4" spans="2:12" x14ac:dyDescent="0.15">
      <c r="I4" s="187"/>
    </row>
    <row r="5" spans="2:12" ht="16" x14ac:dyDescent="0.2">
      <c r="I5" s="35" t="s">
        <v>1675</v>
      </c>
    </row>
    <row r="6" spans="2:12" ht="16" x14ac:dyDescent="0.2">
      <c r="F6" s="35" t="s">
        <v>1671</v>
      </c>
      <c r="G6" s="187"/>
      <c r="L6" s="35" t="s">
        <v>1676</v>
      </c>
    </row>
    <row r="9" spans="2:12" ht="16" x14ac:dyDescent="0.2">
      <c r="L9" s="35" t="s">
        <v>1677</v>
      </c>
    </row>
    <row r="11" spans="2:12" ht="16" x14ac:dyDescent="0.2">
      <c r="G11" s="35" t="s">
        <v>846</v>
      </c>
    </row>
    <row r="12" spans="2:12" ht="16" x14ac:dyDescent="0.2">
      <c r="G12" s="35" t="s">
        <v>1672</v>
      </c>
    </row>
    <row r="13" spans="2:12" ht="16" x14ac:dyDescent="0.2">
      <c r="J13" s="35" t="s">
        <v>1670</v>
      </c>
    </row>
    <row r="16" spans="2:12" ht="14" thickBot="1" x14ac:dyDescent="0.2"/>
    <row r="17" spans="2:14" ht="16" x14ac:dyDescent="0.2">
      <c r="B17" s="361" t="s">
        <v>844</v>
      </c>
      <c r="C17" s="362" t="s">
        <v>846</v>
      </c>
      <c r="D17" s="362" t="s">
        <v>856</v>
      </c>
      <c r="E17" s="362" t="s">
        <v>858</v>
      </c>
      <c r="F17" s="362" t="s">
        <v>859</v>
      </c>
      <c r="G17" s="363" t="s">
        <v>860</v>
      </c>
      <c r="H17" s="365" t="s">
        <v>1051</v>
      </c>
      <c r="I17" s="362" t="s">
        <v>847</v>
      </c>
      <c r="J17" s="362" t="s">
        <v>1047</v>
      </c>
      <c r="K17" s="365" t="s">
        <v>1514</v>
      </c>
      <c r="L17" s="365" t="s">
        <v>1743</v>
      </c>
      <c r="M17" s="365" t="s">
        <v>1435</v>
      </c>
    </row>
    <row r="18" spans="2:14" ht="17" thickBot="1" x14ac:dyDescent="0.25">
      <c r="B18" s="366" t="s">
        <v>845</v>
      </c>
      <c r="C18" s="367" t="s">
        <v>855</v>
      </c>
      <c r="D18" s="367" t="s">
        <v>857</v>
      </c>
      <c r="E18" s="367" t="s">
        <v>1046</v>
      </c>
      <c r="F18" s="367" t="s">
        <v>892</v>
      </c>
      <c r="G18" s="369"/>
      <c r="H18" s="370" t="s">
        <v>1052</v>
      </c>
      <c r="I18" s="371" t="s">
        <v>848</v>
      </c>
      <c r="J18" s="371" t="s">
        <v>848</v>
      </c>
      <c r="K18" s="370" t="s">
        <v>1515</v>
      </c>
      <c r="L18" s="372" t="s">
        <v>1744</v>
      </c>
      <c r="M18" s="372" t="s">
        <v>1764</v>
      </c>
    </row>
    <row r="19" spans="2:14" x14ac:dyDescent="0.15">
      <c r="B19" s="7" t="s">
        <v>1050</v>
      </c>
      <c r="C19" s="10">
        <v>14</v>
      </c>
      <c r="D19" s="9">
        <v>0.1875</v>
      </c>
      <c r="E19" s="8">
        <v>4</v>
      </c>
      <c r="F19" s="9">
        <v>0.25</v>
      </c>
      <c r="G19" s="3">
        <v>0.625</v>
      </c>
      <c r="H19" s="11">
        <v>0.75</v>
      </c>
      <c r="I19" s="8" t="s">
        <v>850</v>
      </c>
      <c r="J19" s="9" t="s">
        <v>850</v>
      </c>
      <c r="K19" s="328">
        <f>((C19-(F19*2))*2+(E19*4)+(F19*4)-(D19*2))*12/144</f>
        <v>3.6354166666666665</v>
      </c>
      <c r="L19" s="329">
        <f>K19*3.2808399*0.09290304</f>
        <v>1.108075001684274</v>
      </c>
      <c r="M19" s="273">
        <f>N19*3.2808399*0.4535924</f>
        <v>26.78695279662168</v>
      </c>
      <c r="N19">
        <v>18</v>
      </c>
    </row>
    <row r="20" spans="2:14" x14ac:dyDescent="0.15">
      <c r="B20" s="307" t="s">
        <v>850</v>
      </c>
      <c r="C20" s="315" t="s">
        <v>850</v>
      </c>
      <c r="D20" s="315" t="s">
        <v>850</v>
      </c>
      <c r="E20" s="315" t="s">
        <v>850</v>
      </c>
      <c r="F20" s="315" t="s">
        <v>850</v>
      </c>
      <c r="G20" s="315" t="s">
        <v>850</v>
      </c>
      <c r="H20" s="315" t="s">
        <v>850</v>
      </c>
      <c r="I20" s="315" t="s">
        <v>850</v>
      </c>
      <c r="J20" s="315" t="s">
        <v>850</v>
      </c>
      <c r="K20" s="316"/>
      <c r="L20" s="317"/>
      <c r="M20" s="334"/>
    </row>
    <row r="21" spans="2:14" x14ac:dyDescent="0.15">
      <c r="B21" s="18" t="s">
        <v>1053</v>
      </c>
      <c r="C21" s="156">
        <v>12</v>
      </c>
      <c r="D21" s="131">
        <v>0.1875</v>
      </c>
      <c r="E21" s="156">
        <v>3.125</v>
      </c>
      <c r="F21" s="131">
        <v>0.25</v>
      </c>
      <c r="G21" s="131">
        <v>0.5625</v>
      </c>
      <c r="H21" s="173" t="s">
        <v>1054</v>
      </c>
      <c r="I21" s="156" t="s">
        <v>850</v>
      </c>
      <c r="J21" s="131" t="s">
        <v>850</v>
      </c>
      <c r="K21" s="119">
        <f>((C21-(F21*2))*2+(E21*4)+(F21*4)-(D21*2))*12/144</f>
        <v>3.0104166666666665</v>
      </c>
      <c r="L21" s="274">
        <f t="shared" ref="L21:L33" si="0">K21*3.2808399*0.09290304</f>
        <v>0.91757500139471393</v>
      </c>
      <c r="M21" s="274">
        <f t="shared" ref="M21:M33" si="1">N21*3.2808399*0.4535924</f>
        <v>17.56033572222977</v>
      </c>
      <c r="N21">
        <v>11.8</v>
      </c>
    </row>
    <row r="22" spans="2:14" x14ac:dyDescent="0.15">
      <c r="B22" s="155" t="s">
        <v>1656</v>
      </c>
      <c r="C22" s="156">
        <v>12</v>
      </c>
      <c r="D22" s="131">
        <v>0.1875</v>
      </c>
      <c r="E22" s="156">
        <v>3.125</v>
      </c>
      <c r="F22" s="131">
        <v>0.25</v>
      </c>
      <c r="G22" s="131">
        <v>0.5</v>
      </c>
      <c r="H22" s="173">
        <v>0.5</v>
      </c>
      <c r="I22" s="156"/>
      <c r="J22" s="131"/>
      <c r="K22" s="119">
        <f>((C22-(F22*2))*2+(E22*4)+(F22*4)-(D22*2))*12/144</f>
        <v>3.0104166666666665</v>
      </c>
      <c r="L22" s="274">
        <f t="shared" si="0"/>
        <v>0.91757500139471393</v>
      </c>
      <c r="M22" s="274">
        <f t="shared" si="1"/>
        <v>16.07217167797301</v>
      </c>
      <c r="N22">
        <v>10.8</v>
      </c>
    </row>
    <row r="23" spans="2:14" x14ac:dyDescent="0.15">
      <c r="B23" s="127" t="s">
        <v>1657</v>
      </c>
      <c r="C23" s="130">
        <v>12</v>
      </c>
      <c r="D23" s="129">
        <v>0.1875</v>
      </c>
      <c r="E23" s="130">
        <v>3.25</v>
      </c>
      <c r="F23" s="129">
        <v>0.1875</v>
      </c>
      <c r="G23" s="129">
        <v>0.5</v>
      </c>
      <c r="H23" s="170"/>
      <c r="I23" s="130"/>
      <c r="J23" s="129"/>
      <c r="K23" s="313">
        <f>((C23-(F23*2))*2+(E23*4)+(F23*4)-(D23*2))*12/144</f>
        <v>3.0520833333333335</v>
      </c>
      <c r="L23" s="333">
        <f t="shared" si="0"/>
        <v>0.9302750014140182</v>
      </c>
      <c r="M23" s="274">
        <f t="shared" si="1"/>
        <v>14.881640442567601</v>
      </c>
      <c r="N23">
        <v>10</v>
      </c>
    </row>
    <row r="24" spans="2:14" x14ac:dyDescent="0.15">
      <c r="B24" s="307" t="s">
        <v>850</v>
      </c>
      <c r="C24" s="315" t="s">
        <v>850</v>
      </c>
      <c r="D24" s="315" t="s">
        <v>850</v>
      </c>
      <c r="E24" s="315" t="s">
        <v>850</v>
      </c>
      <c r="F24" s="315" t="s">
        <v>850</v>
      </c>
      <c r="G24" s="315" t="s">
        <v>850</v>
      </c>
      <c r="H24" s="315" t="s">
        <v>850</v>
      </c>
      <c r="I24" s="315" t="s">
        <v>850</v>
      </c>
      <c r="J24" s="315" t="s">
        <v>850</v>
      </c>
      <c r="K24" s="316"/>
      <c r="L24" s="317"/>
      <c r="M24" s="334"/>
    </row>
    <row r="25" spans="2:14" x14ac:dyDescent="0.15">
      <c r="B25" s="18" t="s">
        <v>1055</v>
      </c>
      <c r="C25" s="156">
        <v>10</v>
      </c>
      <c r="D25" s="131">
        <v>0.1875</v>
      </c>
      <c r="E25" s="156">
        <v>2.75</v>
      </c>
      <c r="F25" s="131">
        <v>0.1875</v>
      </c>
      <c r="G25" s="131">
        <v>0.5625</v>
      </c>
      <c r="H25" s="173" t="s">
        <v>1054</v>
      </c>
      <c r="I25" s="156" t="s">
        <v>850</v>
      </c>
      <c r="J25" s="131" t="s">
        <v>850</v>
      </c>
      <c r="K25" s="119">
        <f>((C25-(F25*2))*2+(E25*4)+(F25*4)-(D25*2))*12/144</f>
        <v>2.5520833333333335</v>
      </c>
      <c r="L25" s="274">
        <f t="shared" si="0"/>
        <v>0.77787500118237018</v>
      </c>
      <c r="M25" s="274">
        <f t="shared" si="1"/>
        <v>13.39347639831084</v>
      </c>
      <c r="N25">
        <v>9</v>
      </c>
    </row>
    <row r="26" spans="2:14" x14ac:dyDescent="0.15">
      <c r="B26" s="18" t="s">
        <v>1658</v>
      </c>
      <c r="C26" s="20">
        <v>10</v>
      </c>
      <c r="D26" s="19">
        <v>0.1875</v>
      </c>
      <c r="E26" s="20">
        <v>2.75</v>
      </c>
      <c r="F26" s="19">
        <v>0.1875</v>
      </c>
      <c r="G26" s="19">
        <v>0.4375</v>
      </c>
      <c r="H26" s="23">
        <v>0.375</v>
      </c>
      <c r="I26" s="20"/>
      <c r="J26" s="19"/>
      <c r="K26" s="119">
        <f>((C26-(F26*2))*2+(E26*4)+(F26*4)-(D26*2))*12/144</f>
        <v>2.5520833333333335</v>
      </c>
      <c r="L26" s="274">
        <f t="shared" si="0"/>
        <v>0.77787500118237018</v>
      </c>
      <c r="M26" s="274">
        <f t="shared" si="1"/>
        <v>11.905312354054081</v>
      </c>
      <c r="N26">
        <v>8</v>
      </c>
    </row>
    <row r="27" spans="2:14" x14ac:dyDescent="0.15">
      <c r="B27" s="127" t="s">
        <v>1659</v>
      </c>
      <c r="C27" s="130">
        <v>10</v>
      </c>
      <c r="D27" s="129">
        <v>0.125</v>
      </c>
      <c r="E27" s="130">
        <v>2.75</v>
      </c>
      <c r="F27" s="129">
        <v>0.1875</v>
      </c>
      <c r="G27" s="129">
        <v>0.4375</v>
      </c>
      <c r="H27" s="170">
        <v>0.375</v>
      </c>
      <c r="I27" s="130"/>
      <c r="J27" s="129"/>
      <c r="K27" s="313">
        <f>((C27-(F27*2))*2+(E27*4)+(F27*4)-(D27*2))*12/144</f>
        <v>2.5625</v>
      </c>
      <c r="L27" s="333">
        <f t="shared" si="0"/>
        <v>0.78105000118719603</v>
      </c>
      <c r="M27" s="274">
        <f t="shared" si="1"/>
        <v>11.161230331925699</v>
      </c>
      <c r="N27">
        <v>7.5</v>
      </c>
    </row>
    <row r="28" spans="2:14" x14ac:dyDescent="0.15">
      <c r="B28" s="307" t="s">
        <v>850</v>
      </c>
      <c r="C28" s="315" t="s">
        <v>850</v>
      </c>
      <c r="D28" s="315" t="s">
        <v>850</v>
      </c>
      <c r="E28" s="315" t="s">
        <v>850</v>
      </c>
      <c r="F28" s="315" t="s">
        <v>850</v>
      </c>
      <c r="G28" s="315" t="s">
        <v>850</v>
      </c>
      <c r="H28" s="315" t="s">
        <v>850</v>
      </c>
      <c r="I28" s="315" t="s">
        <v>850</v>
      </c>
      <c r="J28" s="315" t="s">
        <v>850</v>
      </c>
      <c r="K28" s="316"/>
      <c r="L28" s="317"/>
      <c r="M28" s="334"/>
    </row>
    <row r="29" spans="2:14" x14ac:dyDescent="0.15">
      <c r="B29" s="127" t="s">
        <v>1056</v>
      </c>
      <c r="C29" s="128">
        <v>8</v>
      </c>
      <c r="D29" s="129">
        <v>0.125</v>
      </c>
      <c r="E29" s="130">
        <v>2.25</v>
      </c>
      <c r="F29" s="129">
        <v>0.1875</v>
      </c>
      <c r="G29" s="129">
        <v>0.5</v>
      </c>
      <c r="H29" s="171" t="s">
        <v>1054</v>
      </c>
      <c r="I29" s="130" t="s">
        <v>850</v>
      </c>
      <c r="J29" s="129" t="s">
        <v>850</v>
      </c>
      <c r="K29" s="313">
        <f>((C29-(F29*2))*2+(E29*4)+(F29*4)-(D29*2))*12/144</f>
        <v>2.0625</v>
      </c>
      <c r="L29" s="333">
        <f t="shared" si="0"/>
        <v>0.62865000095554813</v>
      </c>
      <c r="M29" s="274">
        <f t="shared" si="1"/>
        <v>9.6730662876689415</v>
      </c>
      <c r="N29">
        <v>6.5</v>
      </c>
    </row>
    <row r="30" spans="2:14" x14ac:dyDescent="0.15">
      <c r="B30" s="307" t="s">
        <v>850</v>
      </c>
      <c r="C30" s="315" t="s">
        <v>850</v>
      </c>
      <c r="D30" s="315" t="s">
        <v>850</v>
      </c>
      <c r="E30" s="315" t="s">
        <v>850</v>
      </c>
      <c r="F30" s="315" t="s">
        <v>850</v>
      </c>
      <c r="G30" s="315" t="s">
        <v>850</v>
      </c>
      <c r="H30" s="315" t="s">
        <v>850</v>
      </c>
      <c r="I30" s="315" t="s">
        <v>850</v>
      </c>
      <c r="J30" s="315" t="s">
        <v>850</v>
      </c>
      <c r="K30" s="316"/>
      <c r="L30" s="317"/>
      <c r="M30" s="334"/>
    </row>
    <row r="31" spans="2:14" x14ac:dyDescent="0.15">
      <c r="B31" s="127" t="s">
        <v>1057</v>
      </c>
      <c r="C31" s="130">
        <v>6</v>
      </c>
      <c r="D31" s="129">
        <v>0.125</v>
      </c>
      <c r="E31" s="130">
        <v>1.875</v>
      </c>
      <c r="F31" s="129">
        <v>0.1875</v>
      </c>
      <c r="G31" s="129">
        <v>0.1875</v>
      </c>
      <c r="H31" s="170" t="s">
        <v>1054</v>
      </c>
      <c r="I31" s="130" t="s">
        <v>850</v>
      </c>
      <c r="J31" s="129" t="s">
        <v>850</v>
      </c>
      <c r="K31" s="313">
        <f>((C31-(F31*2))*2+(E31*4)+(F31*4)-(D31*2))*12/144</f>
        <v>1.6041666666666667</v>
      </c>
      <c r="L31" s="333">
        <f t="shared" si="0"/>
        <v>0.48895000074320411</v>
      </c>
      <c r="M31" s="274">
        <f t="shared" si="1"/>
        <v>6.5479217947297448</v>
      </c>
      <c r="N31">
        <v>4.4000000000000004</v>
      </c>
    </row>
    <row r="32" spans="2:14" x14ac:dyDescent="0.15">
      <c r="B32" s="307" t="s">
        <v>850</v>
      </c>
      <c r="C32" s="315" t="s">
        <v>850</v>
      </c>
      <c r="D32" s="315" t="s">
        <v>850</v>
      </c>
      <c r="E32" s="315" t="s">
        <v>850</v>
      </c>
      <c r="F32" s="315" t="s">
        <v>850</v>
      </c>
      <c r="G32" s="315" t="s">
        <v>850</v>
      </c>
      <c r="H32" s="315" t="s">
        <v>850</v>
      </c>
      <c r="I32" s="315" t="s">
        <v>850</v>
      </c>
      <c r="J32" s="315" t="s">
        <v>850</v>
      </c>
      <c r="K32" s="316"/>
      <c r="L32" s="317"/>
      <c r="M32" s="334"/>
    </row>
    <row r="33" spans="2:14" x14ac:dyDescent="0.15">
      <c r="B33" s="127" t="s">
        <v>1058</v>
      </c>
      <c r="C33" s="128">
        <v>5</v>
      </c>
      <c r="D33" s="129">
        <v>0.3125</v>
      </c>
      <c r="E33" s="130">
        <v>5</v>
      </c>
      <c r="F33" s="129">
        <v>0.4375</v>
      </c>
      <c r="G33" s="129">
        <v>0.875</v>
      </c>
      <c r="H33" s="172">
        <v>0.875</v>
      </c>
      <c r="I33" s="130" t="s">
        <v>850</v>
      </c>
      <c r="J33" s="129" t="s">
        <v>850</v>
      </c>
      <c r="K33" s="119">
        <f>((C33-(F33*2))*2+(E33*4)+(F33*4)-(D33*2))*12/144</f>
        <v>2.4479166666666665</v>
      </c>
      <c r="L33" s="274">
        <f t="shared" si="0"/>
        <v>0.74612500113411007</v>
      </c>
      <c r="M33" s="274">
        <f t="shared" si="1"/>
        <v>28.126300436452762</v>
      </c>
      <c r="N33">
        <v>18.899999999999999</v>
      </c>
    </row>
    <row r="34" spans="2:14" x14ac:dyDescent="0.15">
      <c r="B34" s="18" t="s">
        <v>850</v>
      </c>
      <c r="C34" s="20" t="s">
        <v>850</v>
      </c>
      <c r="D34" s="19" t="s">
        <v>850</v>
      </c>
      <c r="E34" s="20" t="s">
        <v>850</v>
      </c>
      <c r="F34" s="19" t="s">
        <v>850</v>
      </c>
      <c r="G34" s="19" t="s">
        <v>850</v>
      </c>
      <c r="H34" s="19" t="s">
        <v>850</v>
      </c>
      <c r="I34" s="20" t="s">
        <v>850</v>
      </c>
      <c r="J34" s="19" t="s">
        <v>850</v>
      </c>
      <c r="K34" s="132"/>
      <c r="L34" s="132"/>
      <c r="M34" s="274"/>
    </row>
    <row r="35" spans="2:14" x14ac:dyDescent="0.15">
      <c r="B35" s="133"/>
      <c r="C35" s="133"/>
      <c r="D35" s="133"/>
      <c r="E35" s="133"/>
      <c r="F35" s="133"/>
      <c r="G35" s="133"/>
      <c r="H35" s="133"/>
      <c r="I35" s="133"/>
      <c r="J35" s="133"/>
      <c r="K35" s="133"/>
    </row>
    <row r="36" spans="2:14" x14ac:dyDescent="0.15">
      <c r="B36" s="133"/>
      <c r="C36" s="133"/>
      <c r="D36" s="133"/>
      <c r="E36" s="133"/>
      <c r="F36" s="133"/>
      <c r="G36" s="133"/>
      <c r="H36" s="133"/>
      <c r="I36" s="133"/>
      <c r="J36" s="133"/>
      <c r="K36" s="133"/>
    </row>
    <row r="37" spans="2:14" x14ac:dyDescent="0.15">
      <c r="B37" s="133"/>
      <c r="C37" s="133"/>
      <c r="D37" s="133"/>
      <c r="E37" s="133"/>
      <c r="F37" s="133"/>
      <c r="G37" s="133"/>
      <c r="H37" s="133"/>
      <c r="I37" s="133"/>
      <c r="J37" s="133"/>
      <c r="K37" s="133"/>
    </row>
    <row r="38" spans="2:14" x14ac:dyDescent="0.15">
      <c r="B38" s="133"/>
      <c r="C38" s="133"/>
      <c r="D38" s="133"/>
      <c r="E38" s="133"/>
      <c r="F38" s="133"/>
      <c r="G38" s="133"/>
      <c r="H38" s="133"/>
      <c r="I38" s="133"/>
      <c r="J38" s="133"/>
      <c r="K38" s="133"/>
    </row>
    <row r="39" spans="2:14" x14ac:dyDescent="0.15">
      <c r="B39" s="133"/>
      <c r="C39" s="133"/>
      <c r="D39" s="133"/>
      <c r="E39" s="133"/>
      <c r="F39" s="133"/>
      <c r="G39" s="133"/>
      <c r="H39" s="133"/>
      <c r="I39" s="133"/>
      <c r="J39" s="133"/>
      <c r="K39" s="133"/>
    </row>
    <row r="40" spans="2:14" x14ac:dyDescent="0.15">
      <c r="B40" s="133"/>
      <c r="C40" s="133"/>
      <c r="D40" s="133"/>
      <c r="E40" s="133"/>
      <c r="F40" s="133"/>
      <c r="G40" s="133"/>
      <c r="H40" s="133"/>
      <c r="I40" s="133"/>
      <c r="J40" s="133"/>
      <c r="K40" s="133"/>
    </row>
    <row r="41" spans="2:14" x14ac:dyDescent="0.15">
      <c r="B41" s="133"/>
      <c r="C41" s="133"/>
      <c r="D41" s="133"/>
      <c r="E41" s="133"/>
      <c r="F41" s="133"/>
      <c r="G41" s="133"/>
      <c r="H41" s="133"/>
      <c r="I41" s="133"/>
      <c r="J41" s="133"/>
      <c r="K41" s="133"/>
    </row>
  </sheetData>
  <phoneticPr fontId="80" type="noConversion"/>
  <pageMargins left="0.75" right="0.75" top="1" bottom="1" header="0.5" footer="0.5"/>
  <pageSetup orientation="portrait"/>
  <headerFooter alignWithMargins="0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3132A-F96E-9140-A0E9-719F90C028DB}">
  <dimension ref="A2:U40"/>
  <sheetViews>
    <sheetView showGridLines="0" workbookViewId="0"/>
  </sheetViews>
  <sheetFormatPr baseColWidth="10" defaultColWidth="8.83203125" defaultRowHeight="13" x14ac:dyDescent="0.15"/>
  <cols>
    <col min="1" max="2" width="8.83203125" customWidth="1"/>
    <col min="3" max="4" width="12.1640625" customWidth="1"/>
    <col min="5" max="5" width="13" customWidth="1"/>
    <col min="6" max="6" width="11.83203125" customWidth="1"/>
    <col min="7" max="7" width="8.83203125" customWidth="1"/>
    <col min="8" max="8" width="11.33203125" customWidth="1"/>
    <col min="9" max="9" width="8.83203125" customWidth="1"/>
    <col min="10" max="10" width="11.33203125" customWidth="1"/>
    <col min="11" max="14" width="8.83203125" customWidth="1"/>
    <col min="15" max="17" width="0" hidden="1" customWidth="1"/>
    <col min="18" max="18" width="10.83203125" hidden="1" customWidth="1"/>
    <col min="19" max="21" width="0" hidden="1" customWidth="1"/>
  </cols>
  <sheetData>
    <row r="2" spans="1:5" ht="18" x14ac:dyDescent="0.2">
      <c r="A2" s="1079" t="s">
        <v>748</v>
      </c>
    </row>
    <row r="3" spans="1:5" ht="14" thickBot="1" x14ac:dyDescent="0.2">
      <c r="A3" s="17" t="s">
        <v>841</v>
      </c>
    </row>
    <row r="4" spans="1:5" ht="14" thickTop="1" x14ac:dyDescent="0.15">
      <c r="B4" s="1097" t="s">
        <v>732</v>
      </c>
      <c r="C4" s="1098"/>
      <c r="D4" s="1099"/>
      <c r="E4" s="1100" t="s">
        <v>733</v>
      </c>
    </row>
    <row r="5" spans="1:5" ht="14" thickBot="1" x14ac:dyDescent="0.2">
      <c r="B5" s="1101" t="s">
        <v>750</v>
      </c>
      <c r="C5" s="1102"/>
      <c r="D5" s="1103"/>
      <c r="E5" s="1104" t="s">
        <v>845</v>
      </c>
    </row>
    <row r="6" spans="1:5" ht="14" thickTop="1" x14ac:dyDescent="0.15">
      <c r="B6" s="1080" t="s">
        <v>734</v>
      </c>
      <c r="C6" s="917"/>
      <c r="D6" s="1081"/>
      <c r="E6" s="1096" t="s">
        <v>735</v>
      </c>
    </row>
    <row r="7" spans="1:5" x14ac:dyDescent="0.15">
      <c r="B7" s="1085" t="s">
        <v>741</v>
      </c>
      <c r="C7" s="918"/>
      <c r="D7" s="1082"/>
      <c r="E7" s="1089" t="s">
        <v>736</v>
      </c>
    </row>
    <row r="8" spans="1:5" ht="14" thickBot="1" x14ac:dyDescent="0.2">
      <c r="B8" s="1086" t="s">
        <v>742</v>
      </c>
      <c r="C8" s="1083"/>
      <c r="D8" s="1084"/>
      <c r="E8" s="1090" t="s">
        <v>743</v>
      </c>
    </row>
    <row r="9" spans="1:5" ht="8.25" customHeight="1" thickTop="1" x14ac:dyDescent="0.15"/>
    <row r="10" spans="1:5" x14ac:dyDescent="0.15">
      <c r="A10" s="17" t="s">
        <v>744</v>
      </c>
    </row>
    <row r="11" spans="1:5" x14ac:dyDescent="0.15">
      <c r="A11" t="s">
        <v>745</v>
      </c>
    </row>
    <row r="12" spans="1:5" ht="8.25" customHeight="1" x14ac:dyDescent="0.15"/>
    <row r="13" spans="1:5" x14ac:dyDescent="0.15">
      <c r="A13" s="17" t="s">
        <v>746</v>
      </c>
    </row>
    <row r="14" spans="1:5" ht="8.25" customHeight="1" x14ac:dyDescent="0.15"/>
    <row r="15" spans="1:5" x14ac:dyDescent="0.15">
      <c r="A15" s="17" t="s">
        <v>751</v>
      </c>
    </row>
    <row r="16" spans="1:5" ht="8.25" customHeight="1" x14ac:dyDescent="0.15"/>
    <row r="17" spans="1:21" x14ac:dyDescent="0.15">
      <c r="A17" s="17" t="s">
        <v>747</v>
      </c>
    </row>
    <row r="18" spans="1:21" x14ac:dyDescent="0.15">
      <c r="A18" s="17" t="s">
        <v>752</v>
      </c>
    </row>
    <row r="19" spans="1:21" x14ac:dyDescent="0.15">
      <c r="A19" t="s">
        <v>749</v>
      </c>
    </row>
    <row r="20" spans="1:21" x14ac:dyDescent="0.15">
      <c r="A20" s="792" t="s">
        <v>834</v>
      </c>
    </row>
    <row r="21" spans="1:21" ht="14" thickBot="1" x14ac:dyDescent="0.2">
      <c r="G21" s="790"/>
    </row>
    <row r="22" spans="1:21" ht="14" thickTop="1" x14ac:dyDescent="0.15">
      <c r="B22" s="1100" t="s">
        <v>753</v>
      </c>
      <c r="C22" s="1100" t="s">
        <v>756</v>
      </c>
      <c r="D22" s="1100" t="s">
        <v>757</v>
      </c>
      <c r="G22" s="792" t="s">
        <v>108</v>
      </c>
    </row>
    <row r="23" spans="1:21" ht="14" thickBot="1" x14ac:dyDescent="0.2">
      <c r="B23" s="1105" t="s">
        <v>754</v>
      </c>
      <c r="C23" s="1106"/>
      <c r="D23" s="1106"/>
      <c r="G23" s="389" t="s">
        <v>1783</v>
      </c>
      <c r="H23" s="389" t="s">
        <v>1753</v>
      </c>
      <c r="I23" s="28" t="s">
        <v>109</v>
      </c>
      <c r="J23" s="28" t="s">
        <v>1754</v>
      </c>
    </row>
    <row r="24" spans="1:21" ht="15" thickTop="1" thickBot="1" x14ac:dyDescent="0.2">
      <c r="B24" s="1104" t="s">
        <v>755</v>
      </c>
      <c r="C24" s="1107" t="s">
        <v>758</v>
      </c>
      <c r="D24" s="1107" t="s">
        <v>758</v>
      </c>
      <c r="F24" s="760" t="s">
        <v>110</v>
      </c>
      <c r="G24" s="801">
        <v>8</v>
      </c>
      <c r="H24" s="802">
        <v>6</v>
      </c>
      <c r="I24" s="791">
        <f>H24/12+G24</f>
        <v>8.5</v>
      </c>
      <c r="J24" s="815">
        <f>I24*12*25.4</f>
        <v>2590.7999999999997</v>
      </c>
    </row>
    <row r="25" spans="1:21" ht="14" thickTop="1" x14ac:dyDescent="0.15">
      <c r="B25" s="1093">
        <v>30.58</v>
      </c>
      <c r="C25" s="1088" t="s">
        <v>759</v>
      </c>
      <c r="D25" s="1088" t="s">
        <v>760</v>
      </c>
      <c r="F25" s="1087" t="s">
        <v>354</v>
      </c>
    </row>
    <row r="26" spans="1:21" x14ac:dyDescent="0.15">
      <c r="B26" s="1094">
        <v>32</v>
      </c>
      <c r="C26" s="1091" t="s">
        <v>779</v>
      </c>
      <c r="D26" s="1091" t="s">
        <v>761</v>
      </c>
      <c r="F26" s="228" t="s">
        <v>833</v>
      </c>
    </row>
    <row r="27" spans="1:21" x14ac:dyDescent="0.15">
      <c r="B27" s="1094">
        <v>33.68</v>
      </c>
      <c r="C27" s="1091" t="s">
        <v>762</v>
      </c>
      <c r="D27" s="1091" t="s">
        <v>763</v>
      </c>
    </row>
    <row r="28" spans="1:21" ht="14" thickBot="1" x14ac:dyDescent="0.2">
      <c r="B28" s="1094">
        <v>35.270000000000003</v>
      </c>
      <c r="C28" s="1091" t="s">
        <v>764</v>
      </c>
      <c r="D28" s="1091" t="s">
        <v>765</v>
      </c>
      <c r="H28" s="1108" t="s">
        <v>843</v>
      </c>
    </row>
    <row r="29" spans="1:21" ht="15" thickTop="1" thickBot="1" x14ac:dyDescent="0.2">
      <c r="B29" s="1094">
        <v>36.869999999999997</v>
      </c>
      <c r="C29" s="1091" t="s">
        <v>766</v>
      </c>
      <c r="D29" s="1091" t="s">
        <v>767</v>
      </c>
      <c r="F29" s="1062" t="s">
        <v>842</v>
      </c>
      <c r="H29" s="1113">
        <f>IF(J32=0," ",IF(H37=0," ",IF(H37&gt;0,R32,IF(J32&gt;0,R32))))</f>
        <v>107.48023074035522</v>
      </c>
    </row>
    <row r="30" spans="1:21" ht="15" thickTop="1" thickBot="1" x14ac:dyDescent="0.2">
      <c r="B30" s="1094">
        <v>38.479999999999997</v>
      </c>
      <c r="C30" s="1091" t="s">
        <v>768</v>
      </c>
      <c r="D30" s="1091" t="s">
        <v>769</v>
      </c>
      <c r="F30" s="1113">
        <f>IF(H37=0," ",IF(J32=0," ",IF(H37&gt;0,+U32)))</f>
        <v>45</v>
      </c>
    </row>
    <row r="31" spans="1:21" ht="15" thickTop="1" thickBot="1" x14ac:dyDescent="0.2">
      <c r="B31" s="1094">
        <v>40</v>
      </c>
      <c r="C31" s="1091" t="s">
        <v>770</v>
      </c>
      <c r="D31" s="1091" t="s">
        <v>771</v>
      </c>
      <c r="J31" s="389" t="s">
        <v>1795</v>
      </c>
      <c r="O31" s="1067" t="s">
        <v>96</v>
      </c>
      <c r="P31" s="1068" t="s">
        <v>94</v>
      </c>
      <c r="Q31" s="886"/>
      <c r="R31" s="1067" t="s">
        <v>95</v>
      </c>
      <c r="S31" s="663" t="s">
        <v>1823</v>
      </c>
      <c r="T31" s="663" t="s">
        <v>1824</v>
      </c>
      <c r="U31" s="1069" t="s">
        <v>1730</v>
      </c>
    </row>
    <row r="32" spans="1:21" ht="15" thickTop="1" thickBot="1" x14ac:dyDescent="0.2">
      <c r="B32" s="1094">
        <v>41.73</v>
      </c>
      <c r="C32" s="1091" t="s">
        <v>772</v>
      </c>
      <c r="D32" s="1091" t="s">
        <v>773</v>
      </c>
      <c r="J32" s="1112">
        <v>76</v>
      </c>
      <c r="O32" s="1070">
        <f>H37</f>
        <v>76</v>
      </c>
      <c r="P32" s="1071">
        <f>J32</f>
        <v>76</v>
      </c>
      <c r="Q32" s="389" t="s">
        <v>100</v>
      </c>
      <c r="R32" s="1109">
        <f>SQRT(SUMSQ(O32)+SUMSQ(P32))</f>
        <v>107.48023074035522</v>
      </c>
      <c r="S32" s="662">
        <v>90</v>
      </c>
      <c r="T32" s="1110">
        <f>ATAN(O32/P32)*180/PI()</f>
        <v>45</v>
      </c>
      <c r="U32" s="1111">
        <f>ATAN(P32/O32)*180/PI()</f>
        <v>45</v>
      </c>
    </row>
    <row r="33" spans="1:8" ht="14" thickTop="1" x14ac:dyDescent="0.15">
      <c r="B33" s="1094">
        <v>43.37</v>
      </c>
      <c r="C33" s="1091" t="s">
        <v>774</v>
      </c>
      <c r="D33" s="1091" t="s">
        <v>775</v>
      </c>
    </row>
    <row r="34" spans="1:8" x14ac:dyDescent="0.15">
      <c r="B34" s="1094">
        <v>45</v>
      </c>
      <c r="C34" s="1091" t="s">
        <v>776</v>
      </c>
      <c r="D34" s="1091" t="s">
        <v>776</v>
      </c>
    </row>
    <row r="35" spans="1:8" x14ac:dyDescent="0.15">
      <c r="B35" s="1094">
        <v>46.63</v>
      </c>
      <c r="C35" s="1091" t="s">
        <v>775</v>
      </c>
      <c r="D35" s="1091" t="s">
        <v>774</v>
      </c>
    </row>
    <row r="36" spans="1:8" ht="14" thickBot="1" x14ac:dyDescent="0.2">
      <c r="B36" s="1094">
        <v>48</v>
      </c>
      <c r="C36" s="1091" t="s">
        <v>773</v>
      </c>
      <c r="D36" s="1091" t="s">
        <v>772</v>
      </c>
      <c r="H36" s="389" t="s">
        <v>1795</v>
      </c>
    </row>
    <row r="37" spans="1:8" ht="15" thickTop="1" thickBot="1" x14ac:dyDescent="0.2">
      <c r="B37" s="1095">
        <v>49.9</v>
      </c>
      <c r="C37" s="1092" t="s">
        <v>771</v>
      </c>
      <c r="D37" s="1092" t="s">
        <v>770</v>
      </c>
      <c r="H37" s="1112">
        <v>76</v>
      </c>
    </row>
    <row r="38" spans="1:8" ht="14" thickTop="1" x14ac:dyDescent="0.15"/>
    <row r="39" spans="1:8" x14ac:dyDescent="0.15">
      <c r="A39" s="17" t="s">
        <v>778</v>
      </c>
    </row>
    <row r="40" spans="1:8" x14ac:dyDescent="0.15">
      <c r="A40" t="s">
        <v>777</v>
      </c>
    </row>
  </sheetData>
  <phoneticPr fontId="80" type="noConversion"/>
  <pageMargins left="0.75" right="0.75" top="1" bottom="1" header="0.5" footer="0.5"/>
  <headerFooter alignWithMargins="0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421FA-9981-3842-AE9F-99EE552BEC24}">
  <dimension ref="A1:U30"/>
  <sheetViews>
    <sheetView showGridLines="0" workbookViewId="0"/>
  </sheetViews>
  <sheetFormatPr baseColWidth="10" defaultColWidth="8.83203125" defaultRowHeight="13" x14ac:dyDescent="0.15"/>
  <cols>
    <col min="1" max="1" width="8.5" customWidth="1"/>
    <col min="2" max="14" width="8.83203125" customWidth="1"/>
    <col min="15" max="16" width="0" hidden="1" customWidth="1"/>
    <col min="17" max="17" width="1.83203125" hidden="1" customWidth="1"/>
    <col min="18" max="18" width="11.33203125" hidden="1" customWidth="1"/>
    <col min="19" max="19" width="9.5" hidden="1" customWidth="1"/>
    <col min="20" max="20" width="9.83203125" hidden="1" customWidth="1"/>
    <col min="21" max="21" width="0" hidden="1" customWidth="1"/>
  </cols>
  <sheetData>
    <row r="1" spans="1:13" x14ac:dyDescent="0.15">
      <c r="A1" s="1077"/>
      <c r="B1" s="1078">
        <f ca="1">NOW()</f>
        <v>45636.449309606483</v>
      </c>
    </row>
    <row r="2" spans="1:13" ht="18" x14ac:dyDescent="0.2">
      <c r="D2" s="266" t="s">
        <v>728</v>
      </c>
      <c r="H2" s="1061"/>
    </row>
    <row r="4" spans="1:13" x14ac:dyDescent="0.15">
      <c r="I4" s="837" t="s">
        <v>835</v>
      </c>
    </row>
    <row r="5" spans="1:13" x14ac:dyDescent="0.15">
      <c r="I5" s="187" t="s">
        <v>723</v>
      </c>
    </row>
    <row r="6" spans="1:13" x14ac:dyDescent="0.15">
      <c r="I6" s="837" t="s">
        <v>836</v>
      </c>
    </row>
    <row r="7" spans="1:13" x14ac:dyDescent="0.15">
      <c r="I7" s="187" t="s">
        <v>722</v>
      </c>
    </row>
    <row r="8" spans="1:13" ht="14" thickBot="1" x14ac:dyDescent="0.2">
      <c r="B8" s="28" t="s">
        <v>731</v>
      </c>
      <c r="I8" s="837" t="s">
        <v>837</v>
      </c>
    </row>
    <row r="9" spans="1:13" ht="15" thickTop="1" thickBot="1" x14ac:dyDescent="0.2">
      <c r="A9" s="1022" t="s">
        <v>1753</v>
      </c>
      <c r="B9" s="1063"/>
      <c r="I9" s="187" t="s">
        <v>724</v>
      </c>
    </row>
    <row r="10" spans="1:13" ht="15" thickTop="1" thickBot="1" x14ac:dyDescent="0.2">
      <c r="A10" s="1019" t="s">
        <v>1754</v>
      </c>
      <c r="B10" s="1064"/>
      <c r="I10" s="17" t="s">
        <v>838</v>
      </c>
    </row>
    <row r="11" spans="1:13" ht="14" thickTop="1" x14ac:dyDescent="0.15">
      <c r="I11" s="17"/>
    </row>
    <row r="12" spans="1:13" x14ac:dyDescent="0.15">
      <c r="I12" s="17" t="s">
        <v>839</v>
      </c>
    </row>
    <row r="13" spans="1:13" x14ac:dyDescent="0.15">
      <c r="I13" s="17"/>
    </row>
    <row r="14" spans="1:13" x14ac:dyDescent="0.15">
      <c r="I14" s="17" t="s">
        <v>840</v>
      </c>
    </row>
    <row r="15" spans="1:13" ht="14" thickBot="1" x14ac:dyDescent="0.2">
      <c r="B15" s="28" t="s">
        <v>729</v>
      </c>
      <c r="I15" s="17"/>
      <c r="L15" s="17"/>
      <c r="M15" s="389" t="s">
        <v>730</v>
      </c>
    </row>
    <row r="16" spans="1:13" ht="15" thickTop="1" thickBot="1" x14ac:dyDescent="0.2">
      <c r="A16" s="1022" t="s">
        <v>1753</v>
      </c>
      <c r="B16" s="1063"/>
      <c r="H16" s="28" t="s">
        <v>727</v>
      </c>
      <c r="J16" s="957"/>
    </row>
    <row r="17" spans="1:21" ht="15" thickTop="1" thickBot="1" x14ac:dyDescent="0.2">
      <c r="A17" s="1019" t="s">
        <v>1754</v>
      </c>
      <c r="B17" s="1065"/>
      <c r="H17" s="1063"/>
      <c r="I17" s="837" t="s">
        <v>1753</v>
      </c>
      <c r="O17">
        <f>((H17+B16+B9)*2*3.14159265)/360</f>
        <v>0</v>
      </c>
    </row>
    <row r="18" spans="1:21" ht="15" thickTop="1" thickBot="1" x14ac:dyDescent="0.2">
      <c r="H18" s="1065"/>
      <c r="I18" s="759" t="s">
        <v>1754</v>
      </c>
      <c r="O18">
        <f>((H18+B17+B10)*2*3.14159265)/360</f>
        <v>0</v>
      </c>
    </row>
    <row r="19" spans="1:21" ht="14" thickTop="1" x14ac:dyDescent="0.15"/>
    <row r="20" spans="1:21" ht="14" thickBot="1" x14ac:dyDescent="0.2"/>
    <row r="21" spans="1:21" ht="14" thickTop="1" x14ac:dyDescent="0.15">
      <c r="O21" s="1067" t="s">
        <v>96</v>
      </c>
      <c r="P21" s="1068" t="s">
        <v>94</v>
      </c>
      <c r="Q21" s="886"/>
      <c r="R21" s="1067" t="s">
        <v>95</v>
      </c>
      <c r="S21" s="663" t="s">
        <v>1823</v>
      </c>
      <c r="T21" s="663" t="s">
        <v>1824</v>
      </c>
      <c r="U21" s="1069" t="s">
        <v>1730</v>
      </c>
    </row>
    <row r="22" spans="1:21" ht="14" thickBot="1" x14ac:dyDescent="0.2">
      <c r="O22" s="1070">
        <f>B9+B16+H17</f>
        <v>0</v>
      </c>
      <c r="P22" s="1071">
        <v>36</v>
      </c>
      <c r="Q22" s="389"/>
      <c r="R22" s="1072">
        <f>SQRT(SUMSQ(O22)+SUMSQ(P22))</f>
        <v>36</v>
      </c>
      <c r="S22" s="662">
        <v>90</v>
      </c>
      <c r="T22" s="1073">
        <f>ATAN(O22/P22)*180/PI()</f>
        <v>0</v>
      </c>
      <c r="U22" s="1074" t="e">
        <f>ATAN(P22/O22)*180/PI()</f>
        <v>#DIV/0!</v>
      </c>
    </row>
    <row r="23" spans="1:21" ht="15" thickTop="1" thickBot="1" x14ac:dyDescent="0.2">
      <c r="O23" s="886"/>
      <c r="P23" s="886"/>
      <c r="Q23" s="886"/>
      <c r="R23" s="886"/>
      <c r="S23" s="886"/>
      <c r="T23" s="886"/>
      <c r="U23" s="886"/>
    </row>
    <row r="24" spans="1:21" ht="15" thickTop="1" thickBot="1" x14ac:dyDescent="0.2">
      <c r="H24" s="28" t="s">
        <v>726</v>
      </c>
      <c r="O24" s="1067" t="s">
        <v>96</v>
      </c>
      <c r="P24" s="1068" t="s">
        <v>94</v>
      </c>
      <c r="Q24" s="886"/>
      <c r="R24" s="1067" t="s">
        <v>95</v>
      </c>
      <c r="S24" s="663" t="s">
        <v>1823</v>
      </c>
      <c r="T24" s="663" t="s">
        <v>1824</v>
      </c>
      <c r="U24" s="1069" t="s">
        <v>1730</v>
      </c>
    </row>
    <row r="25" spans="1:21" ht="15" thickTop="1" thickBot="1" x14ac:dyDescent="0.2">
      <c r="H25" s="1075" t="str">
        <f>IF(B9=0," ",IF(B16=0," ",IF(H17=0," ",IF(B9&gt;0,72/O17))))</f>
        <v xml:space="preserve"> </v>
      </c>
      <c r="I25" s="837" t="s">
        <v>725</v>
      </c>
      <c r="O25" s="1070">
        <f>B10+B17+H18</f>
        <v>0</v>
      </c>
      <c r="P25" s="1071">
        <f>36*25.4</f>
        <v>914.4</v>
      </c>
      <c r="Q25" s="389"/>
      <c r="R25" s="1072">
        <f>SQRT(SUMSQ(O25)+SUMSQ(P25))</f>
        <v>914.4</v>
      </c>
      <c r="S25" s="662">
        <v>90</v>
      </c>
      <c r="T25" s="1073">
        <f>ATAN(O25/P25)*180/PI()</f>
        <v>0</v>
      </c>
      <c r="U25" s="1074" t="e">
        <f>ATAN(P25/O25)*180/PI()</f>
        <v>#DIV/0!</v>
      </c>
    </row>
    <row r="26" spans="1:21" ht="15" thickTop="1" thickBot="1" x14ac:dyDescent="0.2">
      <c r="H26" s="1076" t="str">
        <f>IF(B10=0," ",IF(B17=0," ",IF(H18=0," ",IF(B10&gt;0,1829/O18))))</f>
        <v xml:space="preserve"> </v>
      </c>
      <c r="I26" s="187" t="s">
        <v>725</v>
      </c>
    </row>
    <row r="27" spans="1:21" ht="15" thickTop="1" thickBot="1" x14ac:dyDescent="0.2">
      <c r="A27" s="1066" t="s">
        <v>726</v>
      </c>
    </row>
    <row r="28" spans="1:21" ht="15" thickTop="1" thickBot="1" x14ac:dyDescent="0.2">
      <c r="A28" s="1075" t="str">
        <f>IF(B9=0," ",IF(B16=0," ",IF(H17=0," ",IF(B9&gt;0,U22*2))))</f>
        <v xml:space="preserve"> </v>
      </c>
      <c r="B28" s="837" t="s">
        <v>725</v>
      </c>
    </row>
    <row r="29" spans="1:21" ht="15" thickTop="1" thickBot="1" x14ac:dyDescent="0.2">
      <c r="A29" s="1076" t="str">
        <f>IF(B10=0," ",IF(B17=0," ",IF(H18=0," ",IF(B10&gt;0,U25*2))))</f>
        <v xml:space="preserve"> </v>
      </c>
      <c r="B29" s="187" t="s">
        <v>725</v>
      </c>
    </row>
    <row r="30" spans="1:21" ht="14" thickTop="1" x14ac:dyDescent="0.15"/>
  </sheetData>
  <phoneticPr fontId="80" type="noConversion"/>
  <pageMargins left="0.75" right="0.75" top="1" bottom="1" header="0.5" footer="0.5"/>
  <pageSetup orientation="portrait"/>
  <headerFooter alignWithMargins="0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B5F36-A600-9547-A383-A6B57B0F796D}">
  <dimension ref="B1:AC269"/>
  <sheetViews>
    <sheetView showGridLines="0" workbookViewId="0">
      <pane ySplit="10" topLeftCell="A11" activePane="bottomLeft" state="frozen"/>
      <selection pane="bottomLeft" activeCell="H7" sqref="H7"/>
    </sheetView>
  </sheetViews>
  <sheetFormatPr baseColWidth="10" defaultColWidth="8.83203125" defaultRowHeight="13" x14ac:dyDescent="0.15"/>
  <cols>
    <col min="1" max="1" width="1.5" customWidth="1"/>
    <col min="2" max="2" width="10.6640625" customWidth="1"/>
    <col min="3" max="3" width="9" customWidth="1"/>
    <col min="4" max="4" width="8.83203125" customWidth="1"/>
    <col min="5" max="5" width="8.6640625" customWidth="1"/>
    <col min="6" max="6" width="11.5" customWidth="1"/>
    <col min="7" max="7" width="11.83203125" customWidth="1"/>
    <col min="8" max="8" width="13.33203125" customWidth="1"/>
    <col min="9" max="9" width="11.83203125" customWidth="1"/>
    <col min="10" max="11" width="8.83203125" customWidth="1"/>
    <col min="12" max="12" width="12" customWidth="1"/>
    <col min="13" max="13" width="8.1640625" customWidth="1"/>
    <col min="14" max="14" width="8.83203125" customWidth="1"/>
    <col min="15" max="15" width="9" hidden="1" customWidth="1"/>
    <col min="16" max="21" width="9.1640625" hidden="1" customWidth="1"/>
    <col min="22" max="22" width="13.5" hidden="1" customWidth="1"/>
    <col min="23" max="23" width="3.6640625" hidden="1" customWidth="1"/>
    <col min="24" max="24" width="10.5" hidden="1" customWidth="1"/>
    <col min="25" max="25" width="10.33203125" hidden="1" customWidth="1"/>
    <col min="26" max="26" width="4" hidden="1" customWidth="1"/>
    <col min="27" max="27" width="6.1640625" hidden="1" customWidth="1"/>
    <col min="28" max="29" width="9.1640625" hidden="1" customWidth="1"/>
  </cols>
  <sheetData>
    <row r="1" spans="2:28" ht="17" thickBot="1" x14ac:dyDescent="0.25">
      <c r="B1" s="446" t="s">
        <v>1692</v>
      </c>
      <c r="O1" s="35" t="s">
        <v>1692</v>
      </c>
    </row>
    <row r="2" spans="2:28" ht="17" thickBot="1" x14ac:dyDescent="0.25">
      <c r="B2" s="60" t="s">
        <v>1507</v>
      </c>
      <c r="C2" s="60" t="s">
        <v>1433</v>
      </c>
      <c r="D2" s="107" t="s">
        <v>1435</v>
      </c>
      <c r="E2" s="392" t="s">
        <v>1435</v>
      </c>
      <c r="F2" s="107" t="s">
        <v>1768</v>
      </c>
      <c r="G2" s="393" t="s">
        <v>1750</v>
      </c>
      <c r="H2" s="107" t="s">
        <v>1752</v>
      </c>
      <c r="I2" s="107" t="s">
        <v>1768</v>
      </c>
      <c r="J2" s="1056" t="s">
        <v>718</v>
      </c>
      <c r="K2" s="1054"/>
      <c r="L2" s="1058">
        <f>L3/(0.5*O5)</f>
        <v>1.8120148036193848</v>
      </c>
      <c r="M2" s="1055"/>
      <c r="O2" s="60" t="s">
        <v>1507</v>
      </c>
      <c r="P2" s="60" t="s">
        <v>1433</v>
      </c>
      <c r="Q2" s="107" t="s">
        <v>1435</v>
      </c>
      <c r="R2" s="107" t="s">
        <v>1435</v>
      </c>
      <c r="S2" s="107" t="s">
        <v>1741</v>
      </c>
      <c r="T2" s="107" t="s">
        <v>1509</v>
      </c>
      <c r="U2" s="107" t="s">
        <v>1511</v>
      </c>
      <c r="V2" s="107" t="s">
        <v>1741</v>
      </c>
    </row>
    <row r="3" spans="2:28" ht="17" thickBot="1" x14ac:dyDescent="0.25">
      <c r="B3" s="390" t="s">
        <v>1753</v>
      </c>
      <c r="C3" s="390" t="s">
        <v>1753</v>
      </c>
      <c r="D3" s="391"/>
      <c r="E3" s="302"/>
      <c r="F3" s="391" t="s">
        <v>1769</v>
      </c>
      <c r="G3" s="395"/>
      <c r="H3" s="391"/>
      <c r="I3" s="391" t="s">
        <v>1769</v>
      </c>
      <c r="J3" s="1056" t="s">
        <v>719</v>
      </c>
      <c r="K3" s="1057"/>
      <c r="L3" s="1058">
        <f>(L4*L4)*AB5</f>
        <v>2.7180222054290772</v>
      </c>
      <c r="M3" s="1055"/>
      <c r="O3" s="390"/>
      <c r="P3" s="390"/>
      <c r="Q3" s="391"/>
      <c r="R3" s="391"/>
      <c r="S3" s="391"/>
      <c r="T3" s="391"/>
      <c r="U3" s="391"/>
      <c r="V3" s="391"/>
    </row>
    <row r="4" spans="2:28" ht="17" thickBot="1" x14ac:dyDescent="0.25">
      <c r="B4" s="108" t="s">
        <v>1485</v>
      </c>
      <c r="C4" s="108" t="s">
        <v>1508</v>
      </c>
      <c r="D4" s="108" t="s">
        <v>1506</v>
      </c>
      <c r="E4" s="399" t="s">
        <v>1504</v>
      </c>
      <c r="F4" s="109" t="s">
        <v>1742</v>
      </c>
      <c r="G4" s="396" t="s">
        <v>1751</v>
      </c>
      <c r="H4" s="291" t="s">
        <v>1513</v>
      </c>
      <c r="I4" s="398" t="s">
        <v>1740</v>
      </c>
      <c r="J4" s="1056" t="s">
        <v>720</v>
      </c>
      <c r="K4" s="1057"/>
      <c r="L4" s="1058">
        <f>Y9</f>
        <v>0.9375</v>
      </c>
      <c r="M4" s="1055"/>
      <c r="O4" s="108" t="s">
        <v>1485</v>
      </c>
      <c r="P4" s="108" t="s">
        <v>1508</v>
      </c>
      <c r="Q4" s="108" t="s">
        <v>1506</v>
      </c>
      <c r="R4" s="108" t="s">
        <v>1504</v>
      </c>
      <c r="S4" s="109" t="s">
        <v>1742</v>
      </c>
      <c r="T4" s="291" t="s">
        <v>1512</v>
      </c>
      <c r="U4" s="291" t="s">
        <v>1513</v>
      </c>
      <c r="V4" s="109" t="s">
        <v>1740</v>
      </c>
      <c r="AB4" s="1052" t="s">
        <v>1769</v>
      </c>
    </row>
    <row r="5" spans="2:28" ht="17" thickBot="1" x14ac:dyDescent="0.25">
      <c r="B5" s="814">
        <v>3</v>
      </c>
      <c r="C5" s="814">
        <v>0.375</v>
      </c>
      <c r="D5" s="118">
        <f t="shared" ref="D5:I5" si="0">Q5</f>
        <v>10.52310801419301</v>
      </c>
      <c r="E5" s="394">
        <f t="shared" si="0"/>
        <v>15.660110980552194</v>
      </c>
      <c r="F5" s="110">
        <f t="shared" si="0"/>
        <v>0.78539816250000016</v>
      </c>
      <c r="G5" s="397">
        <f t="shared" si="0"/>
        <v>1.722967218984375</v>
      </c>
      <c r="H5" s="110">
        <f t="shared" si="0"/>
        <v>12.246075233177384</v>
      </c>
      <c r="I5" s="268">
        <f t="shared" si="0"/>
        <v>0.23938936029387189</v>
      </c>
      <c r="O5" s="106">
        <f>B5</f>
        <v>3</v>
      </c>
      <c r="P5" s="106">
        <f>C5</f>
        <v>0.375</v>
      </c>
      <c r="Q5" s="118">
        <f>AA7</f>
        <v>10.52310801419301</v>
      </c>
      <c r="R5" s="110">
        <f>Q5*3.2808399*0.4535924</f>
        <v>15.660110980552194</v>
      </c>
      <c r="S5" s="110">
        <f>(O5*3.14159265*12)/144</f>
        <v>0.78539816250000016</v>
      </c>
      <c r="T5" s="110">
        <f>(((Z5*Z5)*3.14159265*12)/1728)*62.4</f>
        <v>1.722967218984375</v>
      </c>
      <c r="U5" s="110">
        <f>T5+Q5</f>
        <v>12.246075233177384</v>
      </c>
      <c r="V5" s="268">
        <f>S5*0.09290304*3.2808399</f>
        <v>0.23938936029387189</v>
      </c>
      <c r="Y5">
        <f>Z5*2</f>
        <v>2.25</v>
      </c>
      <c r="Z5">
        <f>O5/2-P5</f>
        <v>1.125</v>
      </c>
      <c r="AA5">
        <f>(Z5*Z5*3.14159265)*12*0.28356481</f>
        <v>13.529710303962446</v>
      </c>
      <c r="AB5" s="1053">
        <f>(Z6*Z6*3.14159265)-(Z5*Z5*3.14159265)</f>
        <v>3.0925052648437501</v>
      </c>
    </row>
    <row r="6" spans="2:28" x14ac:dyDescent="0.15">
      <c r="B6" s="389" t="s">
        <v>1767</v>
      </c>
      <c r="C6" s="389" t="s">
        <v>1767</v>
      </c>
      <c r="O6" s="17" t="s">
        <v>1510</v>
      </c>
      <c r="Y6">
        <f>Y5*Y5</f>
        <v>5.0625</v>
      </c>
      <c r="Z6">
        <f>O5/2</f>
        <v>1.5</v>
      </c>
      <c r="AA6">
        <f>(Z6*Z6*3.14159265)*12*0.28356481</f>
        <v>24.052818318155456</v>
      </c>
    </row>
    <row r="7" spans="2:28" ht="23" x14ac:dyDescent="0.25">
      <c r="B7" s="188" t="s">
        <v>1505</v>
      </c>
      <c r="E7" s="17" t="s">
        <v>1510</v>
      </c>
      <c r="Y7">
        <f>(O5*O5)+Y6</f>
        <v>14.0625</v>
      </c>
      <c r="AA7">
        <f>AA6-AA5</f>
        <v>10.52310801419301</v>
      </c>
    </row>
    <row r="8" spans="2:28" ht="14" thickBot="1" x14ac:dyDescent="0.2">
      <c r="Y8">
        <f>SQRT(Y7)</f>
        <v>3.75</v>
      </c>
    </row>
    <row r="9" spans="2:28" x14ac:dyDescent="0.15">
      <c r="B9" s="84" t="s">
        <v>1432</v>
      </c>
      <c r="C9" s="84" t="s">
        <v>1486</v>
      </c>
      <c r="D9" s="84" t="s">
        <v>1488</v>
      </c>
      <c r="E9" s="84" t="s">
        <v>1433</v>
      </c>
      <c r="F9" s="84" t="s">
        <v>1435</v>
      </c>
      <c r="G9" s="84" t="s">
        <v>1435</v>
      </c>
      <c r="I9" s="84" t="s">
        <v>1432</v>
      </c>
      <c r="J9" s="84" t="s">
        <v>1486</v>
      </c>
      <c r="K9" s="84" t="s">
        <v>1488</v>
      </c>
      <c r="L9" s="84" t="s">
        <v>1433</v>
      </c>
      <c r="M9" s="84" t="s">
        <v>1435</v>
      </c>
      <c r="N9" s="84" t="s">
        <v>1435</v>
      </c>
      <c r="X9" s="462" t="s">
        <v>721</v>
      </c>
      <c r="Y9">
        <f>Y8*0.25</f>
        <v>0.9375</v>
      </c>
      <c r="AA9">
        <f>AA6-AA5</f>
        <v>10.52310801419301</v>
      </c>
    </row>
    <row r="10" spans="2:28" ht="14" thickBot="1" x14ac:dyDescent="0.2">
      <c r="B10" s="85" t="s">
        <v>1484</v>
      </c>
      <c r="C10" s="85" t="s">
        <v>1487</v>
      </c>
      <c r="D10" s="85" t="s">
        <v>1489</v>
      </c>
      <c r="E10" s="85" t="s">
        <v>1490</v>
      </c>
      <c r="F10" s="85" t="s">
        <v>1503</v>
      </c>
      <c r="G10" s="85" t="s">
        <v>1504</v>
      </c>
      <c r="I10" s="85" t="s">
        <v>1484</v>
      </c>
      <c r="J10" s="85" t="s">
        <v>1487</v>
      </c>
      <c r="K10" s="85" t="s">
        <v>1489</v>
      </c>
      <c r="L10" s="85" t="s">
        <v>1490</v>
      </c>
      <c r="M10" s="85" t="s">
        <v>1503</v>
      </c>
      <c r="N10" s="85" t="s">
        <v>1504</v>
      </c>
    </row>
    <row r="11" spans="2:28" x14ac:dyDescent="0.15">
      <c r="B11" s="68">
        <v>0.125</v>
      </c>
      <c r="C11" s="73">
        <v>0.40500000000000003</v>
      </c>
      <c r="D11" s="74" t="s">
        <v>1493</v>
      </c>
      <c r="E11" s="73">
        <v>4.9000000000000002E-2</v>
      </c>
      <c r="F11" s="74">
        <v>0.186</v>
      </c>
      <c r="G11" s="103">
        <f>F11*3.2808399*0.4535924</f>
        <v>0.27679851223175739</v>
      </c>
      <c r="I11" s="58">
        <v>14</v>
      </c>
      <c r="J11" s="78">
        <v>14</v>
      </c>
      <c r="K11" s="76" t="s">
        <v>1500</v>
      </c>
      <c r="L11" s="78">
        <v>0.13400000000000001</v>
      </c>
      <c r="M11" s="77">
        <v>20</v>
      </c>
      <c r="N11" s="78">
        <f t="shared" ref="N11:N35" si="1">M11*3.2808399*0.4535924</f>
        <v>29.763280885135202</v>
      </c>
    </row>
    <row r="12" spans="2:28" x14ac:dyDescent="0.15">
      <c r="B12" s="89">
        <v>0.125</v>
      </c>
      <c r="C12" s="90">
        <v>0.40500000000000003</v>
      </c>
      <c r="D12" s="92" t="s">
        <v>1491</v>
      </c>
      <c r="E12" s="90">
        <v>6.8000000000000005E-2</v>
      </c>
      <c r="F12" s="91">
        <v>0.24399999999999999</v>
      </c>
      <c r="G12" s="78">
        <f>F12*3.2808399*0.4535924</f>
        <v>0.36311202679864946</v>
      </c>
      <c r="I12" s="58">
        <v>14</v>
      </c>
      <c r="J12" s="78">
        <v>14</v>
      </c>
      <c r="K12" s="76" t="s">
        <v>1498</v>
      </c>
      <c r="L12" s="78">
        <v>0.16400000000000001</v>
      </c>
      <c r="M12" s="77">
        <v>24</v>
      </c>
      <c r="N12" s="78">
        <f t="shared" si="1"/>
        <v>35.71593706216224</v>
      </c>
    </row>
    <row r="13" spans="2:28" x14ac:dyDescent="0.15">
      <c r="B13" s="69">
        <v>0.125</v>
      </c>
      <c r="C13" s="75">
        <v>0.40500000000000003</v>
      </c>
      <c r="D13" s="76" t="s">
        <v>1492</v>
      </c>
      <c r="E13" s="75">
        <v>9.5000000000000001E-2</v>
      </c>
      <c r="F13" s="77">
        <v>0.314</v>
      </c>
      <c r="G13" s="78">
        <f>F13*3.2808399*0.4535924</f>
        <v>0.46728350989662265</v>
      </c>
      <c r="I13" s="58">
        <v>14</v>
      </c>
      <c r="J13" s="78">
        <v>14</v>
      </c>
      <c r="K13" s="76" t="s">
        <v>1501</v>
      </c>
      <c r="L13" s="78">
        <v>0.19400000000000001</v>
      </c>
      <c r="M13" s="77">
        <v>29</v>
      </c>
      <c r="N13" s="78">
        <f t="shared" si="1"/>
        <v>43.156757283446041</v>
      </c>
    </row>
    <row r="14" spans="2:28" x14ac:dyDescent="0.15">
      <c r="B14" s="70"/>
      <c r="C14" s="71"/>
      <c r="D14" s="71"/>
      <c r="E14" s="71"/>
      <c r="F14" s="72"/>
      <c r="G14" s="86"/>
      <c r="I14" s="58">
        <v>14</v>
      </c>
      <c r="J14" s="78">
        <v>14</v>
      </c>
      <c r="K14" s="76" t="s">
        <v>1495</v>
      </c>
      <c r="L14" s="78">
        <v>0.21</v>
      </c>
      <c r="M14" s="77">
        <v>31</v>
      </c>
      <c r="N14" s="78">
        <f t="shared" si="1"/>
        <v>46.133085371959559</v>
      </c>
    </row>
    <row r="15" spans="2:28" x14ac:dyDescent="0.15">
      <c r="B15" s="69">
        <v>0.25</v>
      </c>
      <c r="C15" s="78">
        <v>0.54</v>
      </c>
      <c r="D15" s="82" t="s">
        <v>1493</v>
      </c>
      <c r="E15" s="82">
        <v>6.5000000000000002E-2</v>
      </c>
      <c r="F15" s="83">
        <v>0.33</v>
      </c>
      <c r="G15" s="78">
        <f>F15*3.2808399*0.4535924</f>
        <v>0.49109413460473089</v>
      </c>
      <c r="I15" s="58">
        <v>14</v>
      </c>
      <c r="J15" s="78">
        <v>14</v>
      </c>
      <c r="K15" s="76" t="s">
        <v>1495</v>
      </c>
      <c r="L15" s="78">
        <v>0.219</v>
      </c>
      <c r="M15" s="77">
        <v>32</v>
      </c>
      <c r="N15" s="78">
        <f t="shared" si="1"/>
        <v>47.621249416216322</v>
      </c>
    </row>
    <row r="16" spans="2:28" x14ac:dyDescent="0.15">
      <c r="B16" s="69">
        <v>0.25</v>
      </c>
      <c r="C16" s="78">
        <v>0.54</v>
      </c>
      <c r="D16" s="93" t="s">
        <v>1491</v>
      </c>
      <c r="E16" s="75">
        <v>8.7999999999999995E-2</v>
      </c>
      <c r="F16" s="77">
        <v>0.42399999999999999</v>
      </c>
      <c r="G16" s="78">
        <f>F16*3.2808399*0.4535924</f>
        <v>0.63098155476486617</v>
      </c>
      <c r="I16" s="58">
        <v>14</v>
      </c>
      <c r="J16" s="78">
        <v>14</v>
      </c>
      <c r="K16" s="76" t="s">
        <v>1502</v>
      </c>
      <c r="L16" s="78">
        <v>0.23899999999999999</v>
      </c>
      <c r="M16" s="77">
        <v>35</v>
      </c>
      <c r="N16" s="78">
        <f t="shared" si="1"/>
        <v>52.085741548986604</v>
      </c>
    </row>
    <row r="17" spans="2:14" x14ac:dyDescent="0.15">
      <c r="B17" s="69">
        <v>0.25</v>
      </c>
      <c r="C17" s="78">
        <v>0.54</v>
      </c>
      <c r="D17" s="76" t="s">
        <v>1492</v>
      </c>
      <c r="E17" s="75">
        <v>0.11899999999999999</v>
      </c>
      <c r="F17" s="77">
        <v>0.53500000000000003</v>
      </c>
      <c r="G17" s="78">
        <f>F17*3.2808399*0.4535924</f>
        <v>0.79616776367736664</v>
      </c>
      <c r="I17" s="58">
        <v>14</v>
      </c>
      <c r="J17" s="78">
        <v>14</v>
      </c>
      <c r="K17" s="76">
        <v>10</v>
      </c>
      <c r="L17" s="78">
        <v>0.25</v>
      </c>
      <c r="M17" s="77">
        <v>37</v>
      </c>
      <c r="N17" s="78">
        <f t="shared" si="1"/>
        <v>55.062069637500123</v>
      </c>
    </row>
    <row r="18" spans="2:14" x14ac:dyDescent="0.15">
      <c r="B18" s="70"/>
      <c r="C18" s="79"/>
      <c r="D18" s="79"/>
      <c r="E18" s="79"/>
      <c r="F18" s="81"/>
      <c r="G18" s="86"/>
      <c r="I18" s="58">
        <v>14</v>
      </c>
      <c r="J18" s="78">
        <v>14</v>
      </c>
      <c r="K18" s="76" t="s">
        <v>1495</v>
      </c>
      <c r="L18" s="78">
        <v>0.28100000000000003</v>
      </c>
      <c r="M18" s="77">
        <v>41</v>
      </c>
      <c r="N18" s="78">
        <f t="shared" si="1"/>
        <v>61.014725814527161</v>
      </c>
    </row>
    <row r="19" spans="2:14" x14ac:dyDescent="0.15">
      <c r="B19" s="69">
        <v>0.375</v>
      </c>
      <c r="C19" s="75">
        <v>0.67500000000000004</v>
      </c>
      <c r="D19" s="82" t="s">
        <v>1493</v>
      </c>
      <c r="E19" s="75">
        <v>6.5000000000000002E-2</v>
      </c>
      <c r="F19" s="77">
        <v>0.42299999999999999</v>
      </c>
      <c r="G19" s="78">
        <f>F19*3.2808399*0.4535924</f>
        <v>0.6294933907206095</v>
      </c>
      <c r="I19" s="58">
        <v>14</v>
      </c>
      <c r="J19" s="78">
        <v>14</v>
      </c>
      <c r="K19" s="76">
        <v>20</v>
      </c>
      <c r="L19" s="78">
        <v>0.312</v>
      </c>
      <c r="M19" s="77">
        <v>46</v>
      </c>
      <c r="N19" s="78">
        <f t="shared" si="1"/>
        <v>68.455546035810954</v>
      </c>
    </row>
    <row r="20" spans="2:14" x14ac:dyDescent="0.15">
      <c r="B20" s="69">
        <v>0.375</v>
      </c>
      <c r="C20" s="75">
        <v>0.67500000000000004</v>
      </c>
      <c r="D20" s="93" t="s">
        <v>1491</v>
      </c>
      <c r="E20" s="75">
        <v>9.0999999999999998E-2</v>
      </c>
      <c r="F20" s="77">
        <v>0.56699999999999995</v>
      </c>
      <c r="G20" s="104">
        <f>F20*3.2808399*0.4535924</f>
        <v>0.8437890130935829</v>
      </c>
      <c r="I20" s="58">
        <v>14</v>
      </c>
      <c r="J20" s="78">
        <v>14</v>
      </c>
      <c r="K20" s="76" t="s">
        <v>1495</v>
      </c>
      <c r="L20" s="78">
        <v>0.34399999999999997</v>
      </c>
      <c r="M20" s="77">
        <v>50</v>
      </c>
      <c r="N20" s="78">
        <f t="shared" si="1"/>
        <v>74.408202212838006</v>
      </c>
    </row>
    <row r="21" spans="2:14" x14ac:dyDescent="0.15">
      <c r="B21" s="69">
        <v>0.375</v>
      </c>
      <c r="C21" s="75">
        <v>0.67500000000000004</v>
      </c>
      <c r="D21" s="76" t="s">
        <v>1492</v>
      </c>
      <c r="E21" s="75">
        <v>0.126</v>
      </c>
      <c r="F21" s="77">
        <v>0.73799999999999999</v>
      </c>
      <c r="G21" s="78">
        <f>F21*3.2808399*0.4535924</f>
        <v>1.0982650646614889</v>
      </c>
      <c r="I21" s="58">
        <v>14</v>
      </c>
      <c r="J21" s="78">
        <v>14</v>
      </c>
      <c r="K21" s="93" t="s">
        <v>1491</v>
      </c>
      <c r="L21" s="78">
        <v>0.375</v>
      </c>
      <c r="M21" s="77">
        <v>55</v>
      </c>
      <c r="N21" s="78">
        <f t="shared" si="1"/>
        <v>81.849022434121807</v>
      </c>
    </row>
    <row r="22" spans="2:14" x14ac:dyDescent="0.15">
      <c r="B22" s="70"/>
      <c r="C22" s="79"/>
      <c r="D22" s="79"/>
      <c r="E22" s="79"/>
      <c r="F22" s="81"/>
      <c r="G22" s="86"/>
      <c r="I22" s="58">
        <v>14</v>
      </c>
      <c r="J22" s="78">
        <v>14</v>
      </c>
      <c r="K22" s="76">
        <v>40</v>
      </c>
      <c r="L22" s="78">
        <v>0.438</v>
      </c>
      <c r="M22" s="77">
        <v>63</v>
      </c>
      <c r="N22" s="78">
        <f t="shared" si="1"/>
        <v>93.754334788175896</v>
      </c>
    </row>
    <row r="23" spans="2:14" x14ac:dyDescent="0.15">
      <c r="B23" s="69">
        <v>0.5</v>
      </c>
      <c r="C23" s="78">
        <v>0.84</v>
      </c>
      <c r="D23" s="82" t="s">
        <v>1493</v>
      </c>
      <c r="E23" s="75">
        <v>8.3000000000000004E-2</v>
      </c>
      <c r="F23" s="83">
        <v>0.67100000000000004</v>
      </c>
      <c r="G23" s="78">
        <f>F23*3.2808399*0.4535924</f>
        <v>0.99855807369628602</v>
      </c>
      <c r="I23" s="58">
        <v>14</v>
      </c>
      <c r="J23" s="78">
        <v>14</v>
      </c>
      <c r="K23" s="76" t="s">
        <v>1492</v>
      </c>
      <c r="L23" s="78">
        <v>0.5</v>
      </c>
      <c r="M23" s="77">
        <v>72</v>
      </c>
      <c r="N23" s="78">
        <f t="shared" si="1"/>
        <v>107.14781118648672</v>
      </c>
    </row>
    <row r="24" spans="2:14" x14ac:dyDescent="0.15">
      <c r="B24" s="69">
        <v>0.5</v>
      </c>
      <c r="C24" s="78">
        <v>0.84</v>
      </c>
      <c r="D24" s="93" t="s">
        <v>1491</v>
      </c>
      <c r="E24" s="75">
        <v>0.109</v>
      </c>
      <c r="F24" s="83">
        <v>0.85</v>
      </c>
      <c r="G24" s="78">
        <f>F24*3.2808399*0.4535924</f>
        <v>1.2649394376182461</v>
      </c>
      <c r="I24" s="58">
        <v>14</v>
      </c>
      <c r="J24" s="78">
        <v>14</v>
      </c>
      <c r="K24" s="76">
        <v>60</v>
      </c>
      <c r="L24" s="78">
        <v>0.59399999999999997</v>
      </c>
      <c r="M24" s="77">
        <v>85</v>
      </c>
      <c r="N24" s="78">
        <f t="shared" si="1"/>
        <v>126.49394376182461</v>
      </c>
    </row>
    <row r="25" spans="2:14" x14ac:dyDescent="0.15">
      <c r="B25" s="69">
        <v>0.5</v>
      </c>
      <c r="C25" s="78">
        <v>0.84</v>
      </c>
      <c r="D25" s="76" t="s">
        <v>1492</v>
      </c>
      <c r="E25" s="75">
        <v>0.14699999999999999</v>
      </c>
      <c r="F25" s="83">
        <v>1.087</v>
      </c>
      <c r="G25" s="78">
        <f>F25*3.2808399*0.4535924</f>
        <v>1.6176343161070983</v>
      </c>
      <c r="I25" s="58">
        <v>14</v>
      </c>
      <c r="J25" s="78">
        <v>14</v>
      </c>
      <c r="K25" s="87" t="s">
        <v>1496</v>
      </c>
      <c r="L25" s="78">
        <v>0.625</v>
      </c>
      <c r="M25" s="77">
        <v>89</v>
      </c>
      <c r="N25" s="78">
        <f t="shared" si="1"/>
        <v>132.44659993885165</v>
      </c>
    </row>
    <row r="26" spans="2:14" x14ac:dyDescent="0.15">
      <c r="B26" s="69">
        <v>0.5</v>
      </c>
      <c r="C26" s="78">
        <v>0.84</v>
      </c>
      <c r="D26" s="76">
        <v>160</v>
      </c>
      <c r="E26" s="75">
        <v>0.13800000000000001</v>
      </c>
      <c r="F26" s="83">
        <v>1.31</v>
      </c>
      <c r="G26" s="78">
        <f>F26*3.2808399*0.4535924</f>
        <v>1.9494948979763558</v>
      </c>
      <c r="I26" s="58">
        <v>14</v>
      </c>
      <c r="J26" s="78">
        <v>14</v>
      </c>
      <c r="K26" s="76">
        <v>80</v>
      </c>
      <c r="L26" s="78">
        <v>0.75</v>
      </c>
      <c r="M26" s="77">
        <v>107</v>
      </c>
      <c r="N26" s="78">
        <f t="shared" si="1"/>
        <v>159.23355273547332</v>
      </c>
    </row>
    <row r="27" spans="2:14" x14ac:dyDescent="0.15">
      <c r="B27" s="69">
        <v>0.5</v>
      </c>
      <c r="C27" s="78">
        <v>0.84</v>
      </c>
      <c r="D27" s="76" t="s">
        <v>1494</v>
      </c>
      <c r="E27" s="75">
        <v>0.29399999999999998</v>
      </c>
      <c r="F27" s="83">
        <v>1.714</v>
      </c>
      <c r="G27" s="78">
        <f>F27*3.2808399*0.4535924</f>
        <v>2.5507131718560867</v>
      </c>
      <c r="I27" s="58">
        <v>14</v>
      </c>
      <c r="J27" s="78">
        <v>14</v>
      </c>
      <c r="K27" s="87" t="s">
        <v>1496</v>
      </c>
      <c r="L27" s="78">
        <v>0.875</v>
      </c>
      <c r="M27" s="77">
        <v>123</v>
      </c>
      <c r="N27" s="78">
        <f t="shared" si="1"/>
        <v>183.04417744358148</v>
      </c>
    </row>
    <row r="28" spans="2:14" x14ac:dyDescent="0.15">
      <c r="B28" s="70"/>
      <c r="C28" s="79"/>
      <c r="D28" s="80"/>
      <c r="E28" s="79"/>
      <c r="F28" s="86"/>
      <c r="G28" s="86"/>
      <c r="I28" s="58">
        <v>14</v>
      </c>
      <c r="J28" s="78">
        <v>14</v>
      </c>
      <c r="K28" s="76">
        <v>100</v>
      </c>
      <c r="L28" s="78">
        <v>0.93799999999999994</v>
      </c>
      <c r="M28" s="77">
        <v>131</v>
      </c>
      <c r="N28" s="78">
        <f t="shared" si="1"/>
        <v>194.94948979763558</v>
      </c>
    </row>
    <row r="29" spans="2:14" x14ac:dyDescent="0.15">
      <c r="B29" s="69">
        <v>0.75</v>
      </c>
      <c r="C29" s="78">
        <v>1.05</v>
      </c>
      <c r="D29" s="82" t="s">
        <v>1493</v>
      </c>
      <c r="E29" s="75">
        <v>8.3000000000000004E-2</v>
      </c>
      <c r="F29" s="83">
        <v>0.85699999999999998</v>
      </c>
      <c r="G29" s="78">
        <f>F29*3.2808399*0.4535924</f>
        <v>1.2753565859280434</v>
      </c>
      <c r="I29" s="58">
        <v>14</v>
      </c>
      <c r="J29" s="78">
        <v>14</v>
      </c>
      <c r="K29" s="87" t="s">
        <v>1496</v>
      </c>
      <c r="L29" s="78">
        <v>1</v>
      </c>
      <c r="M29" s="77">
        <v>139</v>
      </c>
      <c r="N29" s="78">
        <f t="shared" si="1"/>
        <v>206.85480215168965</v>
      </c>
    </row>
    <row r="30" spans="2:14" x14ac:dyDescent="0.15">
      <c r="B30" s="69">
        <v>0.75</v>
      </c>
      <c r="C30" s="78">
        <v>1.05</v>
      </c>
      <c r="D30" s="93" t="s">
        <v>1491</v>
      </c>
      <c r="E30" s="75">
        <v>0.113</v>
      </c>
      <c r="F30" s="83">
        <v>1.1299999999999999</v>
      </c>
      <c r="G30" s="78">
        <f>F30*3.2808399*0.4535924</f>
        <v>1.6816253700101387</v>
      </c>
      <c r="I30" s="58">
        <v>14</v>
      </c>
      <c r="J30" s="78">
        <v>14</v>
      </c>
      <c r="K30" s="76">
        <v>120</v>
      </c>
      <c r="L30" s="78">
        <v>1.0940000000000001</v>
      </c>
      <c r="M30" s="77">
        <v>151</v>
      </c>
      <c r="N30" s="78">
        <f t="shared" si="1"/>
        <v>224.71277068277075</v>
      </c>
    </row>
    <row r="31" spans="2:14" x14ac:dyDescent="0.15">
      <c r="B31" s="69">
        <v>0.75</v>
      </c>
      <c r="C31" s="78">
        <v>1.05</v>
      </c>
      <c r="D31" s="76" t="s">
        <v>1492</v>
      </c>
      <c r="E31" s="75">
        <v>0.154</v>
      </c>
      <c r="F31" s="83">
        <v>1.4730000000000001</v>
      </c>
      <c r="G31" s="78">
        <f>F31*3.2808399*0.4535924</f>
        <v>2.1920656371902076</v>
      </c>
      <c r="I31" s="58">
        <v>14</v>
      </c>
      <c r="J31" s="78">
        <v>14</v>
      </c>
      <c r="K31" s="87" t="s">
        <v>1496</v>
      </c>
      <c r="L31" s="78">
        <v>1.125</v>
      </c>
      <c r="M31" s="77">
        <v>155</v>
      </c>
      <c r="N31" s="78">
        <f t="shared" si="1"/>
        <v>230.6654268597978</v>
      </c>
    </row>
    <row r="32" spans="2:14" x14ac:dyDescent="0.15">
      <c r="B32" s="69">
        <v>0.75</v>
      </c>
      <c r="C32" s="78">
        <v>1.05</v>
      </c>
      <c r="D32" s="76">
        <v>160</v>
      </c>
      <c r="E32" s="78">
        <v>0.219</v>
      </c>
      <c r="F32" s="83">
        <v>1.94</v>
      </c>
      <c r="G32" s="78">
        <f>F32*3.2808399*0.4535924</f>
        <v>2.8870382458581143</v>
      </c>
      <c r="I32" s="58">
        <v>14</v>
      </c>
      <c r="J32" s="78">
        <v>14</v>
      </c>
      <c r="K32" s="76">
        <v>140</v>
      </c>
      <c r="L32" s="78">
        <v>1.25</v>
      </c>
      <c r="M32" s="77">
        <v>171</v>
      </c>
      <c r="N32" s="78">
        <f t="shared" si="1"/>
        <v>254.47605156790601</v>
      </c>
    </row>
    <row r="33" spans="2:14" x14ac:dyDescent="0.15">
      <c r="B33" s="69">
        <v>0.75</v>
      </c>
      <c r="C33" s="78">
        <v>1.05</v>
      </c>
      <c r="D33" s="76" t="s">
        <v>1494</v>
      </c>
      <c r="E33" s="75">
        <v>0.308</v>
      </c>
      <c r="F33" s="83">
        <v>2.44</v>
      </c>
      <c r="G33" s="78">
        <f>F33*3.2808399*0.4535924</f>
        <v>3.6311202679864945</v>
      </c>
      <c r="I33" s="58">
        <v>14</v>
      </c>
      <c r="J33" s="78">
        <v>14</v>
      </c>
      <c r="K33" s="87" t="s">
        <v>1496</v>
      </c>
      <c r="L33" s="78">
        <v>1.375</v>
      </c>
      <c r="M33" s="77">
        <v>186</v>
      </c>
      <c r="N33" s="78">
        <f t="shared" si="1"/>
        <v>276.79851223175734</v>
      </c>
    </row>
    <row r="34" spans="2:14" x14ac:dyDescent="0.15">
      <c r="B34" s="70"/>
      <c r="C34" s="79"/>
      <c r="D34" s="80"/>
      <c r="E34" s="79"/>
      <c r="F34" s="86"/>
      <c r="G34" s="86"/>
      <c r="I34" s="58">
        <v>14</v>
      </c>
      <c r="J34" s="78">
        <v>14</v>
      </c>
      <c r="K34" s="76">
        <v>160</v>
      </c>
      <c r="L34" s="78">
        <v>1.4059999999999999</v>
      </c>
      <c r="M34" s="77">
        <v>190</v>
      </c>
      <c r="N34" s="78">
        <f t="shared" si="1"/>
        <v>282.75116840878445</v>
      </c>
    </row>
    <row r="35" spans="2:14" x14ac:dyDescent="0.15">
      <c r="B35" s="58">
        <v>1</v>
      </c>
      <c r="C35" s="75">
        <v>1.3149999999999999</v>
      </c>
      <c r="D35" s="82" t="s">
        <v>1493</v>
      </c>
      <c r="E35" s="75">
        <v>0.109</v>
      </c>
      <c r="F35" s="83">
        <v>1.4039999999999999</v>
      </c>
      <c r="G35" s="78">
        <f>F35*3.2808399*0.4535924</f>
        <v>2.089382318136491</v>
      </c>
      <c r="I35" s="58">
        <v>14</v>
      </c>
      <c r="J35" s="78">
        <v>14</v>
      </c>
      <c r="K35" s="87" t="s">
        <v>1496</v>
      </c>
      <c r="L35" s="78">
        <v>1.5</v>
      </c>
      <c r="M35" s="77">
        <v>200</v>
      </c>
      <c r="N35" s="78">
        <f t="shared" si="1"/>
        <v>297.63280885135202</v>
      </c>
    </row>
    <row r="36" spans="2:14" x14ac:dyDescent="0.15">
      <c r="B36" s="58">
        <v>1</v>
      </c>
      <c r="C36" s="75">
        <v>1.3149999999999999</v>
      </c>
      <c r="D36" s="93" t="s">
        <v>1491</v>
      </c>
      <c r="E36" s="75">
        <v>0.13300000000000001</v>
      </c>
      <c r="F36" s="83">
        <v>1.6779999999999999</v>
      </c>
      <c r="G36" s="78">
        <f>F36*3.2808399*0.4535924</f>
        <v>2.4971392662628431</v>
      </c>
      <c r="I36" s="95" t="s">
        <v>850</v>
      </c>
      <c r="J36" s="88" t="s">
        <v>850</v>
      </c>
      <c r="K36" s="80" t="s">
        <v>850</v>
      </c>
      <c r="L36" s="88" t="s">
        <v>850</v>
      </c>
      <c r="M36" s="81" t="s">
        <v>850</v>
      </c>
      <c r="N36" s="94" t="s">
        <v>850</v>
      </c>
    </row>
    <row r="37" spans="2:14" x14ac:dyDescent="0.15">
      <c r="B37" s="58">
        <v>1</v>
      </c>
      <c r="C37" s="75">
        <v>1.3149999999999999</v>
      </c>
      <c r="D37" s="76" t="s">
        <v>1492</v>
      </c>
      <c r="E37" s="75">
        <v>0.17899999999999999</v>
      </c>
      <c r="F37" s="83">
        <v>2.1709999999999998</v>
      </c>
      <c r="G37" s="78">
        <f>F37*3.2808399*0.4535924</f>
        <v>3.230804140081426</v>
      </c>
      <c r="I37" s="58">
        <v>16</v>
      </c>
      <c r="J37" s="78">
        <v>16</v>
      </c>
      <c r="K37" s="76" t="s">
        <v>1500</v>
      </c>
      <c r="L37" s="78">
        <v>0.13400000000000001</v>
      </c>
      <c r="M37" s="77">
        <v>23</v>
      </c>
      <c r="N37" s="78">
        <f t="shared" ref="N37:N63" si="2">M37*3.2808399*0.4535924</f>
        <v>34.227773017905477</v>
      </c>
    </row>
    <row r="38" spans="2:14" x14ac:dyDescent="0.15">
      <c r="B38" s="58">
        <v>1</v>
      </c>
      <c r="C38" s="75">
        <v>1.3149999999999999</v>
      </c>
      <c r="D38" s="76">
        <v>160</v>
      </c>
      <c r="E38" s="78">
        <v>0.25</v>
      </c>
      <c r="F38" s="83">
        <v>2.85</v>
      </c>
      <c r="G38" s="78">
        <f>F38*3.2808399*0.4535924</f>
        <v>4.2412675261317663</v>
      </c>
      <c r="I38" s="58">
        <v>16</v>
      </c>
      <c r="J38" s="78">
        <v>16</v>
      </c>
      <c r="K38" s="76" t="s">
        <v>1498</v>
      </c>
      <c r="L38" s="78">
        <v>0.16400000000000001</v>
      </c>
      <c r="M38" s="77">
        <v>28</v>
      </c>
      <c r="N38" s="78">
        <f t="shared" si="2"/>
        <v>41.668593239189285</v>
      </c>
    </row>
    <row r="39" spans="2:14" x14ac:dyDescent="0.15">
      <c r="B39" s="58">
        <v>1</v>
      </c>
      <c r="C39" s="75">
        <v>1.3149999999999999</v>
      </c>
      <c r="D39" s="76" t="s">
        <v>1494</v>
      </c>
      <c r="E39" s="75">
        <v>0.35799999999999998</v>
      </c>
      <c r="F39" s="83">
        <v>3.6589999999999998</v>
      </c>
      <c r="G39" s="78">
        <f>F39*3.2808399*0.4535924</f>
        <v>5.4451922379354851</v>
      </c>
      <c r="I39" s="58">
        <v>16</v>
      </c>
      <c r="J39" s="78">
        <v>16</v>
      </c>
      <c r="K39" s="87" t="s">
        <v>1496</v>
      </c>
      <c r="L39" s="78">
        <v>0.188</v>
      </c>
      <c r="M39" s="77">
        <v>32</v>
      </c>
      <c r="N39" s="78">
        <f t="shared" si="2"/>
        <v>47.621249416216322</v>
      </c>
    </row>
    <row r="40" spans="2:14" x14ac:dyDescent="0.15">
      <c r="B40" s="70"/>
      <c r="C40" s="79"/>
      <c r="D40" s="80"/>
      <c r="E40" s="79"/>
      <c r="F40" s="86"/>
      <c r="G40" s="86"/>
      <c r="I40" s="58">
        <v>16</v>
      </c>
      <c r="J40" s="78">
        <v>16</v>
      </c>
      <c r="K40" s="76" t="s">
        <v>1501</v>
      </c>
      <c r="L40" s="78">
        <v>0.19400000000000001</v>
      </c>
      <c r="M40" s="77">
        <v>33</v>
      </c>
      <c r="N40" s="78">
        <f t="shared" si="2"/>
        <v>49.109413460473085</v>
      </c>
    </row>
    <row r="41" spans="2:14" x14ac:dyDescent="0.15">
      <c r="B41" s="69">
        <v>1.25</v>
      </c>
      <c r="C41" s="78">
        <v>1.66</v>
      </c>
      <c r="D41" s="82" t="s">
        <v>1493</v>
      </c>
      <c r="E41" s="75">
        <v>0.109</v>
      </c>
      <c r="F41" s="83">
        <v>1.806</v>
      </c>
      <c r="G41" s="78">
        <f>F41*3.2808399*0.4535924</f>
        <v>2.687624263927709</v>
      </c>
      <c r="I41" s="58">
        <v>16</v>
      </c>
      <c r="J41" s="78">
        <v>16</v>
      </c>
      <c r="K41" s="76" t="s">
        <v>1495</v>
      </c>
      <c r="L41" s="78">
        <v>0.219</v>
      </c>
      <c r="M41" s="77">
        <v>37</v>
      </c>
      <c r="N41" s="78">
        <f t="shared" si="2"/>
        <v>55.062069637500123</v>
      </c>
    </row>
    <row r="42" spans="2:14" x14ac:dyDescent="0.15">
      <c r="B42" s="69">
        <v>1.25</v>
      </c>
      <c r="C42" s="78">
        <v>1.66</v>
      </c>
      <c r="D42" s="93" t="s">
        <v>1491</v>
      </c>
      <c r="E42" s="78">
        <v>0.14000000000000001</v>
      </c>
      <c r="F42" s="83">
        <v>2.2719999999999998</v>
      </c>
      <c r="G42" s="78">
        <f>F42*3.2808399*0.4535924</f>
        <v>3.3811087085513587</v>
      </c>
      <c r="I42" s="58">
        <v>16</v>
      </c>
      <c r="J42" s="78">
        <v>16</v>
      </c>
      <c r="K42" s="76" t="s">
        <v>1502</v>
      </c>
      <c r="L42" s="78">
        <v>0.23899999999999999</v>
      </c>
      <c r="M42" s="77">
        <v>40</v>
      </c>
      <c r="N42" s="78">
        <f t="shared" si="2"/>
        <v>59.526561770270405</v>
      </c>
    </row>
    <row r="43" spans="2:14" x14ac:dyDescent="0.15">
      <c r="B43" s="69">
        <v>1.25</v>
      </c>
      <c r="C43" s="78">
        <v>1.66</v>
      </c>
      <c r="D43" s="87" t="s">
        <v>1054</v>
      </c>
      <c r="E43" s="75">
        <v>0.191</v>
      </c>
      <c r="F43" s="83">
        <v>2.996</v>
      </c>
      <c r="G43" s="78">
        <f>F43*3.2808399*0.4535924</f>
        <v>4.4585394765932529</v>
      </c>
      <c r="I43" s="58">
        <v>16</v>
      </c>
      <c r="J43" s="78">
        <v>16</v>
      </c>
      <c r="K43" s="76">
        <v>10</v>
      </c>
      <c r="L43" s="78">
        <v>0.25</v>
      </c>
      <c r="M43" s="77">
        <v>42</v>
      </c>
      <c r="N43" s="78">
        <f t="shared" si="2"/>
        <v>62.502889858783924</v>
      </c>
    </row>
    <row r="44" spans="2:14" x14ac:dyDescent="0.15">
      <c r="B44" s="69">
        <v>1.25</v>
      </c>
      <c r="C44" s="78">
        <v>1.66</v>
      </c>
      <c r="D44" s="87" t="s">
        <v>1054</v>
      </c>
      <c r="E44" s="78">
        <v>0.25</v>
      </c>
      <c r="F44" s="83">
        <v>3.7639999999999998</v>
      </c>
      <c r="G44" s="78">
        <f>F44*3.2808399*0.4535924</f>
        <v>5.6014494625824449</v>
      </c>
      <c r="I44" s="58">
        <v>16</v>
      </c>
      <c r="J44" s="78">
        <v>16</v>
      </c>
      <c r="K44" s="76" t="s">
        <v>1495</v>
      </c>
      <c r="L44" s="78">
        <v>0.28100000000000003</v>
      </c>
      <c r="M44" s="77">
        <v>47</v>
      </c>
      <c r="N44" s="78">
        <f t="shared" si="2"/>
        <v>69.943710080067731</v>
      </c>
    </row>
    <row r="45" spans="2:14" x14ac:dyDescent="0.15">
      <c r="B45" s="69">
        <v>1.25</v>
      </c>
      <c r="C45" s="78">
        <v>1.66</v>
      </c>
      <c r="D45" s="87" t="s">
        <v>1054</v>
      </c>
      <c r="E45" s="75">
        <v>0.38200000000000001</v>
      </c>
      <c r="F45" s="83">
        <v>5.2140000000000004</v>
      </c>
      <c r="G45" s="78">
        <f>F45*3.2808399*0.4535924</f>
        <v>7.7592873267547473</v>
      </c>
      <c r="I45" s="58">
        <v>16</v>
      </c>
      <c r="J45" s="78">
        <v>16</v>
      </c>
      <c r="K45" s="76">
        <v>20</v>
      </c>
      <c r="L45" s="78">
        <v>0.312</v>
      </c>
      <c r="M45" s="77">
        <v>52</v>
      </c>
      <c r="N45" s="78">
        <f t="shared" si="2"/>
        <v>77.384530301351532</v>
      </c>
    </row>
    <row r="46" spans="2:14" x14ac:dyDescent="0.15">
      <c r="B46" s="70"/>
      <c r="C46" s="79"/>
      <c r="D46" s="80"/>
      <c r="E46" s="79"/>
      <c r="F46" s="86"/>
      <c r="G46" s="86"/>
      <c r="I46" s="58">
        <v>16</v>
      </c>
      <c r="J46" s="78">
        <v>16</v>
      </c>
      <c r="K46" s="76" t="s">
        <v>1495</v>
      </c>
      <c r="L46" s="78">
        <v>0.34399999999999997</v>
      </c>
      <c r="M46" s="77">
        <v>57</v>
      </c>
      <c r="N46" s="78">
        <f t="shared" si="2"/>
        <v>84.825350522635318</v>
      </c>
    </row>
    <row r="47" spans="2:14" x14ac:dyDescent="0.15">
      <c r="B47" s="69">
        <v>1.5</v>
      </c>
      <c r="C47" s="78">
        <v>1.9</v>
      </c>
      <c r="D47" s="82" t="s">
        <v>1493</v>
      </c>
      <c r="E47" s="78">
        <v>0.109</v>
      </c>
      <c r="F47" s="83">
        <v>2.085</v>
      </c>
      <c r="G47" s="78">
        <f>F47*3.2808399*0.4535924</f>
        <v>3.1028220322753448</v>
      </c>
      <c r="I47" s="58">
        <v>16</v>
      </c>
      <c r="J47" s="78">
        <v>16</v>
      </c>
      <c r="K47" s="93" t="s">
        <v>1491</v>
      </c>
      <c r="L47" s="78">
        <v>0.375</v>
      </c>
      <c r="M47" s="77">
        <v>63</v>
      </c>
      <c r="N47" s="78">
        <f t="shared" si="2"/>
        <v>93.754334788175896</v>
      </c>
    </row>
    <row r="48" spans="2:14" x14ac:dyDescent="0.15">
      <c r="B48" s="69">
        <v>1.5</v>
      </c>
      <c r="C48" s="78">
        <v>1.9</v>
      </c>
      <c r="D48" s="93" t="s">
        <v>1491</v>
      </c>
      <c r="E48" s="78">
        <v>0.14499999999999999</v>
      </c>
      <c r="F48" s="83">
        <v>2.7170000000000001</v>
      </c>
      <c r="G48" s="78">
        <f>F48*3.2808399*0.4535924</f>
        <v>4.0433417082456176</v>
      </c>
      <c r="I48" s="58">
        <v>16</v>
      </c>
      <c r="J48" s="78">
        <v>16</v>
      </c>
      <c r="K48" s="76" t="s">
        <v>1495</v>
      </c>
      <c r="L48" s="78">
        <v>0.438</v>
      </c>
      <c r="M48" s="77">
        <v>73</v>
      </c>
      <c r="N48" s="78">
        <f t="shared" si="2"/>
        <v>108.63597523074348</v>
      </c>
    </row>
    <row r="49" spans="2:14" x14ac:dyDescent="0.15">
      <c r="B49" s="69">
        <v>1.5</v>
      </c>
      <c r="C49" s="78">
        <v>1.9</v>
      </c>
      <c r="D49" s="76" t="s">
        <v>1492</v>
      </c>
      <c r="E49" s="78">
        <v>0.2</v>
      </c>
      <c r="F49" s="83">
        <v>3.6309999999999998</v>
      </c>
      <c r="G49" s="78">
        <f>F49*3.2808399*0.4535924</f>
        <v>5.4035236446962953</v>
      </c>
      <c r="I49" s="58">
        <v>16</v>
      </c>
      <c r="J49" s="78">
        <v>16</v>
      </c>
      <c r="K49" s="76" t="s">
        <v>1492</v>
      </c>
      <c r="L49" s="78">
        <v>0.5</v>
      </c>
      <c r="M49" s="77">
        <v>83</v>
      </c>
      <c r="N49" s="78">
        <f t="shared" si="2"/>
        <v>123.5176156733111</v>
      </c>
    </row>
    <row r="50" spans="2:14" x14ac:dyDescent="0.15">
      <c r="B50" s="69">
        <v>1.5</v>
      </c>
      <c r="C50" s="78">
        <v>1.9</v>
      </c>
      <c r="D50" s="76">
        <v>160</v>
      </c>
      <c r="E50" s="78">
        <v>0.28100000000000003</v>
      </c>
      <c r="F50" s="83">
        <v>4.8620000000000001</v>
      </c>
      <c r="G50" s="78">
        <f>F50*3.2808399*0.4535924</f>
        <v>7.2354535831763673</v>
      </c>
      <c r="I50" s="58">
        <v>16</v>
      </c>
      <c r="J50" s="78">
        <v>16</v>
      </c>
      <c r="K50" s="87" t="s">
        <v>1496</v>
      </c>
      <c r="L50" s="78">
        <v>0.625</v>
      </c>
      <c r="M50" s="77">
        <v>103</v>
      </c>
      <c r="N50" s="78">
        <f t="shared" si="2"/>
        <v>153.28089655844627</v>
      </c>
    </row>
    <row r="51" spans="2:14" x14ac:dyDescent="0.15">
      <c r="B51" s="69">
        <v>1.5</v>
      </c>
      <c r="C51" s="78">
        <v>1.9</v>
      </c>
      <c r="D51" s="76" t="s">
        <v>1494</v>
      </c>
      <c r="E51" s="78">
        <v>0.4</v>
      </c>
      <c r="F51" s="83">
        <v>6.4080000000000004</v>
      </c>
      <c r="G51" s="78">
        <f>F51*3.2808399*0.4535924</f>
        <v>9.5361551955973187</v>
      </c>
      <c r="I51" s="58">
        <v>16</v>
      </c>
      <c r="J51" s="78">
        <v>16</v>
      </c>
      <c r="K51" s="76">
        <v>60</v>
      </c>
      <c r="L51" s="78">
        <v>0.65600000000000003</v>
      </c>
      <c r="M51" s="77">
        <v>108</v>
      </c>
      <c r="N51" s="78">
        <f t="shared" si="2"/>
        <v>160.72171677973009</v>
      </c>
    </row>
    <row r="52" spans="2:14" x14ac:dyDescent="0.15">
      <c r="B52" s="70"/>
      <c r="C52" s="79"/>
      <c r="D52" s="80"/>
      <c r="E52" s="88"/>
      <c r="F52" s="86"/>
      <c r="G52" s="86"/>
      <c r="I52" s="58">
        <v>16</v>
      </c>
      <c r="J52" s="78">
        <v>16</v>
      </c>
      <c r="K52" s="87" t="s">
        <v>1496</v>
      </c>
      <c r="L52" s="78">
        <v>0.75</v>
      </c>
      <c r="M52" s="77">
        <v>122</v>
      </c>
      <c r="N52" s="78">
        <f t="shared" si="2"/>
        <v>181.55601339932474</v>
      </c>
    </row>
    <row r="53" spans="2:14" x14ac:dyDescent="0.15">
      <c r="B53" s="58">
        <v>2</v>
      </c>
      <c r="C53" s="75">
        <v>2.375</v>
      </c>
      <c r="D53" s="82" t="s">
        <v>1493</v>
      </c>
      <c r="E53" s="78">
        <v>0.109</v>
      </c>
      <c r="F53" s="83">
        <v>2.6379999999999999</v>
      </c>
      <c r="G53" s="78">
        <f t="shared" ref="G53:G58" si="3">F53*3.2808399*0.4535924</f>
        <v>3.9257767487493331</v>
      </c>
      <c r="I53" s="58">
        <v>16</v>
      </c>
      <c r="J53" s="78">
        <v>16</v>
      </c>
      <c r="K53" s="76">
        <v>80</v>
      </c>
      <c r="L53" s="78">
        <v>0.84399999999999997</v>
      </c>
      <c r="M53" s="77">
        <v>137</v>
      </c>
      <c r="N53" s="78">
        <f t="shared" si="2"/>
        <v>203.87847406317613</v>
      </c>
    </row>
    <row r="54" spans="2:14" x14ac:dyDescent="0.15">
      <c r="B54" s="58">
        <v>2</v>
      </c>
      <c r="C54" s="75">
        <v>2.375</v>
      </c>
      <c r="D54" s="93" t="s">
        <v>1491</v>
      </c>
      <c r="E54" s="78">
        <v>0.154</v>
      </c>
      <c r="F54" s="83">
        <v>3.6520000000000001</v>
      </c>
      <c r="G54" s="78">
        <f t="shared" si="3"/>
        <v>5.4347750896256883</v>
      </c>
      <c r="I54" s="58">
        <v>16</v>
      </c>
      <c r="J54" s="78">
        <v>16</v>
      </c>
      <c r="K54" s="87" t="s">
        <v>1496</v>
      </c>
      <c r="L54" s="78">
        <v>0.875</v>
      </c>
      <c r="M54" s="77">
        <v>141</v>
      </c>
      <c r="N54" s="78">
        <f t="shared" si="2"/>
        <v>209.83113024020315</v>
      </c>
    </row>
    <row r="55" spans="2:14" x14ac:dyDescent="0.15">
      <c r="B55" s="58">
        <v>2</v>
      </c>
      <c r="C55" s="75">
        <v>2.375</v>
      </c>
      <c r="D55" s="76" t="s">
        <v>1492</v>
      </c>
      <c r="E55" s="78">
        <v>0.218</v>
      </c>
      <c r="F55" s="83">
        <v>5.0220000000000002</v>
      </c>
      <c r="G55" s="78">
        <f t="shared" si="3"/>
        <v>7.4735598302574502</v>
      </c>
      <c r="I55" s="58">
        <v>16</v>
      </c>
      <c r="J55" s="78">
        <v>16</v>
      </c>
      <c r="K55" s="87" t="s">
        <v>1496</v>
      </c>
      <c r="L55" s="78">
        <v>1</v>
      </c>
      <c r="M55" s="77">
        <v>160</v>
      </c>
      <c r="N55" s="78">
        <f t="shared" si="2"/>
        <v>238.10624708108162</v>
      </c>
    </row>
    <row r="56" spans="2:14" x14ac:dyDescent="0.15">
      <c r="B56" s="58">
        <v>2</v>
      </c>
      <c r="C56" s="75">
        <v>2.375</v>
      </c>
      <c r="D56" s="87" t="s">
        <v>1054</v>
      </c>
      <c r="E56" s="78">
        <v>0.25</v>
      </c>
      <c r="F56" s="83">
        <v>5.673</v>
      </c>
      <c r="G56" s="78">
        <f t="shared" si="3"/>
        <v>8.4423546230686011</v>
      </c>
      <c r="I56" s="58">
        <v>16</v>
      </c>
      <c r="J56" s="78">
        <v>16</v>
      </c>
      <c r="K56" s="76">
        <v>100</v>
      </c>
      <c r="L56" s="78">
        <v>1.0309999999999999</v>
      </c>
      <c r="M56" s="77">
        <v>165</v>
      </c>
      <c r="N56" s="78">
        <f t="shared" si="2"/>
        <v>245.54706730236541</v>
      </c>
    </row>
    <row r="57" spans="2:14" x14ac:dyDescent="0.15">
      <c r="B57" s="58">
        <v>2</v>
      </c>
      <c r="C57" s="75">
        <v>2.375</v>
      </c>
      <c r="D57" s="76">
        <v>160</v>
      </c>
      <c r="E57" s="78">
        <v>0.34399999999999997</v>
      </c>
      <c r="F57" s="83">
        <v>7.45</v>
      </c>
      <c r="G57" s="78">
        <f t="shared" si="3"/>
        <v>11.086822129712862</v>
      </c>
      <c r="I57" s="58">
        <v>16</v>
      </c>
      <c r="J57" s="78">
        <v>16</v>
      </c>
      <c r="K57" s="87" t="s">
        <v>1496</v>
      </c>
      <c r="L57" s="78">
        <v>1.125</v>
      </c>
      <c r="M57" s="77">
        <v>179</v>
      </c>
      <c r="N57" s="78">
        <f t="shared" si="2"/>
        <v>266.38136392196003</v>
      </c>
    </row>
    <row r="58" spans="2:14" x14ac:dyDescent="0.15">
      <c r="B58" s="58">
        <v>2</v>
      </c>
      <c r="C58" s="75">
        <v>2.375</v>
      </c>
      <c r="D58" s="76" t="s">
        <v>1494</v>
      </c>
      <c r="E58" s="78">
        <v>0.436</v>
      </c>
      <c r="F58" s="83">
        <v>9.0289999999999999</v>
      </c>
      <c r="G58" s="78">
        <f t="shared" si="3"/>
        <v>13.436633155594286</v>
      </c>
      <c r="I58" s="58">
        <v>16</v>
      </c>
      <c r="J58" s="78">
        <v>16</v>
      </c>
      <c r="K58" s="76">
        <v>120</v>
      </c>
      <c r="L58" s="78">
        <v>1.2190000000000001</v>
      </c>
      <c r="M58" s="77">
        <v>193</v>
      </c>
      <c r="N58" s="78">
        <f t="shared" si="2"/>
        <v>287.21566054155471</v>
      </c>
    </row>
    <row r="59" spans="2:14" x14ac:dyDescent="0.15">
      <c r="B59" s="70"/>
      <c r="C59" s="79"/>
      <c r="D59" s="80"/>
      <c r="E59" s="88"/>
      <c r="F59" s="86"/>
      <c r="G59" s="86"/>
      <c r="I59" s="58">
        <v>16</v>
      </c>
      <c r="J59" s="78">
        <v>16</v>
      </c>
      <c r="K59" s="87" t="s">
        <v>1496</v>
      </c>
      <c r="L59" s="78">
        <v>1.25</v>
      </c>
      <c r="M59" s="77">
        <v>197</v>
      </c>
      <c r="N59" s="78">
        <f t="shared" si="2"/>
        <v>293.16831671858176</v>
      </c>
    </row>
    <row r="60" spans="2:14" x14ac:dyDescent="0.15">
      <c r="B60" s="69">
        <v>2.5</v>
      </c>
      <c r="C60" s="75">
        <v>2.875</v>
      </c>
      <c r="D60" s="82" t="s">
        <v>1493</v>
      </c>
      <c r="E60" s="78">
        <v>0.12</v>
      </c>
      <c r="F60" s="83">
        <v>3.53</v>
      </c>
      <c r="G60" s="78">
        <f>F60*3.2808399*0.4535924</f>
        <v>5.2532190762263626</v>
      </c>
      <c r="I60" s="58">
        <v>16</v>
      </c>
      <c r="J60" s="78">
        <v>16</v>
      </c>
      <c r="K60" s="87" t="s">
        <v>1496</v>
      </c>
      <c r="L60" s="78">
        <v>1.375</v>
      </c>
      <c r="M60" s="77">
        <v>215</v>
      </c>
      <c r="N60" s="78">
        <f t="shared" si="2"/>
        <v>319.95526951520344</v>
      </c>
    </row>
    <row r="61" spans="2:14" x14ac:dyDescent="0.15">
      <c r="B61" s="69">
        <v>2.5</v>
      </c>
      <c r="C61" s="75">
        <v>2.875</v>
      </c>
      <c r="D61" s="93" t="s">
        <v>1491</v>
      </c>
      <c r="E61" s="78">
        <v>0.20300000000000001</v>
      </c>
      <c r="F61" s="83">
        <v>5.79</v>
      </c>
      <c r="G61" s="78">
        <f>F61*3.2808399*0.4535924</f>
        <v>8.6164698162466404</v>
      </c>
      <c r="I61" s="58">
        <v>16</v>
      </c>
      <c r="J61" s="78">
        <v>16</v>
      </c>
      <c r="K61" s="76">
        <v>140</v>
      </c>
      <c r="L61" s="78">
        <v>1.4379999999999999</v>
      </c>
      <c r="M61" s="77">
        <v>224</v>
      </c>
      <c r="N61" s="78">
        <f t="shared" si="2"/>
        <v>333.34874591351428</v>
      </c>
    </row>
    <row r="62" spans="2:14" x14ac:dyDescent="0.15">
      <c r="B62" s="69">
        <v>2.5</v>
      </c>
      <c r="C62" s="75">
        <v>2.875</v>
      </c>
      <c r="D62" s="76" t="s">
        <v>1492</v>
      </c>
      <c r="E62" s="78">
        <v>0.27600000000000002</v>
      </c>
      <c r="F62" s="83">
        <v>7.66</v>
      </c>
      <c r="G62" s="78">
        <f>F62*3.2808399*0.4535924</f>
        <v>11.399336579006782</v>
      </c>
      <c r="I62" s="58">
        <v>16</v>
      </c>
      <c r="J62" s="78">
        <v>16</v>
      </c>
      <c r="K62" s="87" t="s">
        <v>1496</v>
      </c>
      <c r="L62" s="78">
        <v>1.5</v>
      </c>
      <c r="M62" s="77">
        <v>232</v>
      </c>
      <c r="N62" s="78">
        <f t="shared" si="2"/>
        <v>345.25405826756833</v>
      </c>
    </row>
    <row r="63" spans="2:14" x14ac:dyDescent="0.15">
      <c r="B63" s="69">
        <v>2.5</v>
      </c>
      <c r="C63" s="75">
        <v>2.875</v>
      </c>
      <c r="D63" s="76">
        <v>160</v>
      </c>
      <c r="E63" s="78">
        <v>0.375</v>
      </c>
      <c r="F63" s="83">
        <v>10.01</v>
      </c>
      <c r="G63" s="78">
        <f>F63*3.2808399*0.4535924</f>
        <v>14.896522083010167</v>
      </c>
      <c r="I63" s="58">
        <v>16</v>
      </c>
      <c r="J63" s="78">
        <v>16</v>
      </c>
      <c r="K63" s="76">
        <v>160</v>
      </c>
      <c r="L63" s="78">
        <v>1.5940000000000001</v>
      </c>
      <c r="M63" s="77">
        <v>245</v>
      </c>
      <c r="N63" s="78">
        <f t="shared" si="2"/>
        <v>364.60019084290622</v>
      </c>
    </row>
    <row r="64" spans="2:14" x14ac:dyDescent="0.15">
      <c r="B64" s="69">
        <v>2.5</v>
      </c>
      <c r="C64" s="75">
        <v>2.875</v>
      </c>
      <c r="D64" s="76" t="s">
        <v>1494</v>
      </c>
      <c r="E64" s="78">
        <v>0.55200000000000005</v>
      </c>
      <c r="F64" s="83">
        <v>13.69</v>
      </c>
      <c r="G64" s="78">
        <f>F64*3.2808399*0.4535924</f>
        <v>20.372965765875048</v>
      </c>
      <c r="I64" s="95" t="s">
        <v>850</v>
      </c>
      <c r="J64" s="88" t="s">
        <v>850</v>
      </c>
      <c r="K64" s="80" t="s">
        <v>850</v>
      </c>
      <c r="L64" s="88" t="s">
        <v>850</v>
      </c>
      <c r="M64" s="81" t="s">
        <v>850</v>
      </c>
      <c r="N64" s="94" t="s">
        <v>850</v>
      </c>
    </row>
    <row r="65" spans="2:14" x14ac:dyDescent="0.15">
      <c r="B65" s="70"/>
      <c r="C65" s="79"/>
      <c r="D65" s="80"/>
      <c r="E65" s="88"/>
      <c r="F65" s="86"/>
      <c r="G65" s="86"/>
      <c r="I65" s="58">
        <v>18</v>
      </c>
      <c r="J65" s="78">
        <v>18</v>
      </c>
      <c r="K65" s="76" t="s">
        <v>1500</v>
      </c>
      <c r="L65" s="78">
        <v>0.13400000000000001</v>
      </c>
      <c r="M65" s="77">
        <v>26</v>
      </c>
      <c r="N65" s="78">
        <f t="shared" ref="N65:N89" si="4">M65*3.2808399*0.4535924</f>
        <v>38.692265150675766</v>
      </c>
    </row>
    <row r="66" spans="2:14" x14ac:dyDescent="0.15">
      <c r="B66" s="58">
        <v>3</v>
      </c>
      <c r="C66" s="75">
        <v>3.5</v>
      </c>
      <c r="D66" s="82" t="s">
        <v>1493</v>
      </c>
      <c r="E66" s="78">
        <v>0.12</v>
      </c>
      <c r="F66" s="66">
        <v>4.33</v>
      </c>
      <c r="G66" s="78">
        <f t="shared" ref="G66:G75" si="5">F66*3.2808399*0.4535924</f>
        <v>6.4437503116317707</v>
      </c>
      <c r="I66" s="58">
        <v>18</v>
      </c>
      <c r="J66" s="78">
        <v>18</v>
      </c>
      <c r="K66" s="76" t="s">
        <v>1498</v>
      </c>
      <c r="L66" s="78">
        <v>0.16400000000000001</v>
      </c>
      <c r="M66" s="77">
        <v>31</v>
      </c>
      <c r="N66" s="78">
        <f t="shared" si="4"/>
        <v>46.133085371959559</v>
      </c>
    </row>
    <row r="67" spans="2:14" x14ac:dyDescent="0.15">
      <c r="B67" s="58">
        <v>3</v>
      </c>
      <c r="C67" s="75">
        <v>3.5</v>
      </c>
      <c r="D67" s="76" t="s">
        <v>1495</v>
      </c>
      <c r="E67" s="78">
        <v>0.125</v>
      </c>
      <c r="F67" s="66">
        <v>4.5199999999999996</v>
      </c>
      <c r="G67" s="78">
        <f t="shared" si="5"/>
        <v>6.7265014800405547</v>
      </c>
      <c r="I67" s="58">
        <v>18</v>
      </c>
      <c r="J67" s="78">
        <v>18</v>
      </c>
      <c r="K67" s="76" t="s">
        <v>1501</v>
      </c>
      <c r="L67" s="78">
        <v>0.19400000000000001</v>
      </c>
      <c r="M67" s="77">
        <v>37</v>
      </c>
      <c r="N67" s="78">
        <f t="shared" si="4"/>
        <v>55.062069637500123</v>
      </c>
    </row>
    <row r="68" spans="2:14" x14ac:dyDescent="0.15">
      <c r="B68" s="58">
        <v>3</v>
      </c>
      <c r="C68" s="75">
        <v>3.5</v>
      </c>
      <c r="D68" s="76" t="s">
        <v>1495</v>
      </c>
      <c r="E68" s="78">
        <v>0.156</v>
      </c>
      <c r="F68" s="66">
        <v>5.58</v>
      </c>
      <c r="G68" s="78">
        <f t="shared" si="5"/>
        <v>8.3039553669527209</v>
      </c>
      <c r="I68" s="58">
        <v>18</v>
      </c>
      <c r="J68" s="78">
        <v>18</v>
      </c>
      <c r="K68" s="76" t="s">
        <v>1502</v>
      </c>
      <c r="L68" s="78">
        <v>0.23899999999999999</v>
      </c>
      <c r="M68" s="77">
        <v>45</v>
      </c>
      <c r="N68" s="78">
        <f t="shared" si="4"/>
        <v>66.967381991554205</v>
      </c>
    </row>
    <row r="69" spans="2:14" x14ac:dyDescent="0.15">
      <c r="B69" s="58">
        <v>3</v>
      </c>
      <c r="C69" s="75">
        <v>3.5</v>
      </c>
      <c r="D69" s="76" t="s">
        <v>1495</v>
      </c>
      <c r="E69" s="78">
        <v>0.188</v>
      </c>
      <c r="F69" s="66">
        <v>6.65</v>
      </c>
      <c r="G69" s="78">
        <f t="shared" si="5"/>
        <v>9.8962908943074535</v>
      </c>
      <c r="I69" s="58">
        <v>18</v>
      </c>
      <c r="J69" s="78">
        <v>18</v>
      </c>
      <c r="K69" s="76">
        <v>10</v>
      </c>
      <c r="L69" s="78">
        <v>0.25</v>
      </c>
      <c r="M69" s="77">
        <v>47</v>
      </c>
      <c r="N69" s="78">
        <f t="shared" si="4"/>
        <v>69.943710080067731</v>
      </c>
    </row>
    <row r="70" spans="2:14" x14ac:dyDescent="0.15">
      <c r="B70" s="58">
        <v>3</v>
      </c>
      <c r="C70" s="75">
        <v>3.5</v>
      </c>
      <c r="D70" s="93" t="s">
        <v>1491</v>
      </c>
      <c r="E70" s="78">
        <v>0.216</v>
      </c>
      <c r="F70" s="66">
        <v>7.57</v>
      </c>
      <c r="G70" s="78">
        <f t="shared" si="5"/>
        <v>11.265401815023674</v>
      </c>
      <c r="I70" s="58">
        <v>18</v>
      </c>
      <c r="J70" s="78">
        <v>18</v>
      </c>
      <c r="K70" s="76" t="s">
        <v>1495</v>
      </c>
      <c r="L70" s="78">
        <v>0.28100000000000003</v>
      </c>
      <c r="M70" s="77">
        <v>49</v>
      </c>
      <c r="N70" s="78">
        <f t="shared" si="4"/>
        <v>72.920038168581243</v>
      </c>
    </row>
    <row r="71" spans="2:14" x14ac:dyDescent="0.15">
      <c r="B71" s="58">
        <v>3</v>
      </c>
      <c r="C71" s="75">
        <v>3.5</v>
      </c>
      <c r="D71" s="76" t="s">
        <v>1495</v>
      </c>
      <c r="E71" s="78">
        <v>0.25</v>
      </c>
      <c r="F71" s="66">
        <v>8.68</v>
      </c>
      <c r="G71" s="78">
        <f t="shared" si="5"/>
        <v>12.917263904148678</v>
      </c>
      <c r="I71" s="58">
        <v>18</v>
      </c>
      <c r="J71" s="78">
        <v>18</v>
      </c>
      <c r="K71" s="76">
        <v>20</v>
      </c>
      <c r="L71" s="78">
        <v>0.312</v>
      </c>
      <c r="M71" s="77">
        <v>59</v>
      </c>
      <c r="N71" s="78">
        <f t="shared" si="4"/>
        <v>87.801678611148844</v>
      </c>
    </row>
    <row r="72" spans="2:14" x14ac:dyDescent="0.15">
      <c r="B72" s="58">
        <v>3</v>
      </c>
      <c r="C72" s="75">
        <v>3.5</v>
      </c>
      <c r="D72" s="76" t="s">
        <v>1495</v>
      </c>
      <c r="E72" s="78">
        <v>0.28100000000000003</v>
      </c>
      <c r="F72" s="66">
        <v>9.65</v>
      </c>
      <c r="G72" s="78">
        <f t="shared" si="5"/>
        <v>14.360783027077735</v>
      </c>
      <c r="I72" s="58">
        <v>18</v>
      </c>
      <c r="J72" s="78">
        <v>18</v>
      </c>
      <c r="K72" s="76" t="s">
        <v>1495</v>
      </c>
      <c r="L72" s="78">
        <v>0.34399999999999997</v>
      </c>
      <c r="M72" s="77">
        <v>65</v>
      </c>
      <c r="N72" s="78">
        <f t="shared" si="4"/>
        <v>96.730662876689408</v>
      </c>
    </row>
    <row r="73" spans="2:14" x14ac:dyDescent="0.15">
      <c r="B73" s="58">
        <v>3</v>
      </c>
      <c r="C73" s="75">
        <v>3.5</v>
      </c>
      <c r="D73" s="76" t="s">
        <v>1492</v>
      </c>
      <c r="E73" s="78">
        <v>0.3</v>
      </c>
      <c r="F73" s="66">
        <v>10.25</v>
      </c>
      <c r="G73" s="78">
        <f t="shared" si="5"/>
        <v>15.25368145363179</v>
      </c>
      <c r="I73" s="58">
        <v>18</v>
      </c>
      <c r="J73" s="78">
        <v>18</v>
      </c>
      <c r="K73" s="93" t="s">
        <v>1491</v>
      </c>
      <c r="L73" s="78">
        <v>0.375</v>
      </c>
      <c r="M73" s="77">
        <v>71</v>
      </c>
      <c r="N73" s="78">
        <f t="shared" si="4"/>
        <v>105.65964714222997</v>
      </c>
    </row>
    <row r="74" spans="2:14" x14ac:dyDescent="0.15">
      <c r="B74" s="58">
        <v>3</v>
      </c>
      <c r="C74" s="75">
        <v>3.5</v>
      </c>
      <c r="D74" s="76">
        <v>160</v>
      </c>
      <c r="E74" s="78">
        <v>0.438</v>
      </c>
      <c r="F74" s="66">
        <v>14.32</v>
      </c>
      <c r="G74" s="78">
        <f t="shared" si="5"/>
        <v>21.310509113756805</v>
      </c>
      <c r="I74" s="58">
        <v>18</v>
      </c>
      <c r="J74" s="78">
        <v>18</v>
      </c>
      <c r="K74" s="76" t="s">
        <v>1495</v>
      </c>
      <c r="L74" s="78">
        <v>0.40600000000000003</v>
      </c>
      <c r="M74" s="77">
        <v>76</v>
      </c>
      <c r="N74" s="78">
        <f t="shared" si="4"/>
        <v>113.10046736351376</v>
      </c>
    </row>
    <row r="75" spans="2:14" x14ac:dyDescent="0.15">
      <c r="B75" s="58">
        <v>3</v>
      </c>
      <c r="C75" s="75">
        <v>3.5</v>
      </c>
      <c r="D75" s="76" t="s">
        <v>1494</v>
      </c>
      <c r="E75" s="78">
        <v>0.6</v>
      </c>
      <c r="F75" s="66">
        <v>18.579999999999998</v>
      </c>
      <c r="G75" s="78">
        <f t="shared" si="5"/>
        <v>27.6500879422906</v>
      </c>
      <c r="I75" s="58">
        <v>18</v>
      </c>
      <c r="J75" s="78">
        <v>18</v>
      </c>
      <c r="K75" s="76">
        <v>30</v>
      </c>
      <c r="L75" s="78">
        <v>0.438</v>
      </c>
      <c r="M75" s="77">
        <v>82</v>
      </c>
      <c r="N75" s="78">
        <f t="shared" si="4"/>
        <v>122.02945162905432</v>
      </c>
    </row>
    <row r="76" spans="2:14" x14ac:dyDescent="0.15">
      <c r="B76" s="70"/>
      <c r="C76" s="79"/>
      <c r="D76" s="80"/>
      <c r="E76" s="88"/>
      <c r="F76" s="94"/>
      <c r="G76" s="86"/>
      <c r="I76" s="58">
        <v>18</v>
      </c>
      <c r="J76" s="78">
        <v>18</v>
      </c>
      <c r="K76" s="76" t="s">
        <v>1492</v>
      </c>
      <c r="L76" s="78">
        <v>0.5</v>
      </c>
      <c r="M76" s="77">
        <v>93</v>
      </c>
      <c r="N76" s="78">
        <f t="shared" si="4"/>
        <v>138.39925611587867</v>
      </c>
    </row>
    <row r="77" spans="2:14" x14ac:dyDescent="0.15">
      <c r="B77" s="69">
        <v>3.5</v>
      </c>
      <c r="C77" s="75">
        <v>4</v>
      </c>
      <c r="D77" s="82" t="s">
        <v>1493</v>
      </c>
      <c r="E77" s="78">
        <v>0.12</v>
      </c>
      <c r="F77" s="66">
        <v>4.97</v>
      </c>
      <c r="G77" s="78">
        <f t="shared" ref="G77:G85" si="6">F77*3.2808399*0.4535924</f>
        <v>7.3961752999560968</v>
      </c>
      <c r="I77" s="58">
        <v>18</v>
      </c>
      <c r="J77" s="78">
        <v>18</v>
      </c>
      <c r="K77" s="76">
        <v>40</v>
      </c>
      <c r="L77" s="78">
        <v>0.56200000000000006</v>
      </c>
      <c r="M77" s="77">
        <v>105</v>
      </c>
      <c r="N77" s="78">
        <f t="shared" si="4"/>
        <v>156.25722464695983</v>
      </c>
    </row>
    <row r="78" spans="2:14" x14ac:dyDescent="0.15">
      <c r="B78" s="69">
        <v>3.5</v>
      </c>
      <c r="C78" s="75">
        <v>4</v>
      </c>
      <c r="D78" s="76" t="s">
        <v>1495</v>
      </c>
      <c r="E78" s="78">
        <v>0.125</v>
      </c>
      <c r="F78" s="66">
        <v>5.18</v>
      </c>
      <c r="G78" s="78">
        <f t="shared" si="6"/>
        <v>7.7086897492500164</v>
      </c>
      <c r="I78" s="58">
        <v>18</v>
      </c>
      <c r="J78" s="78">
        <v>18</v>
      </c>
      <c r="K78" s="87" t="s">
        <v>1496</v>
      </c>
      <c r="L78" s="78">
        <v>0.625</v>
      </c>
      <c r="M78" s="77">
        <v>116</v>
      </c>
      <c r="N78" s="78">
        <f t="shared" si="4"/>
        <v>172.62702913378416</v>
      </c>
    </row>
    <row r="79" spans="2:14" x14ac:dyDescent="0.15">
      <c r="B79" s="69">
        <v>3.5</v>
      </c>
      <c r="C79" s="75">
        <v>4</v>
      </c>
      <c r="D79" s="76" t="s">
        <v>1495</v>
      </c>
      <c r="E79" s="78">
        <v>0.156</v>
      </c>
      <c r="F79" s="66">
        <v>6.41</v>
      </c>
      <c r="G79" s="78">
        <f t="shared" si="6"/>
        <v>9.5391315236858318</v>
      </c>
      <c r="I79" s="58">
        <v>18</v>
      </c>
      <c r="J79" s="78">
        <v>18</v>
      </c>
      <c r="K79" s="76">
        <v>60</v>
      </c>
      <c r="L79" s="78">
        <v>0.75</v>
      </c>
      <c r="M79" s="77">
        <v>138</v>
      </c>
      <c r="N79" s="78">
        <f t="shared" si="4"/>
        <v>205.36663810743289</v>
      </c>
    </row>
    <row r="80" spans="2:14" x14ac:dyDescent="0.15">
      <c r="B80" s="69">
        <v>3.5</v>
      </c>
      <c r="C80" s="75">
        <v>4</v>
      </c>
      <c r="D80" s="76" t="s">
        <v>1495</v>
      </c>
      <c r="E80" s="78">
        <v>0.188</v>
      </c>
      <c r="F80" s="66">
        <v>7.71</v>
      </c>
      <c r="G80" s="78">
        <f t="shared" si="6"/>
        <v>11.47374478121962</v>
      </c>
      <c r="I80" s="58">
        <v>18</v>
      </c>
      <c r="J80" s="78">
        <v>18</v>
      </c>
      <c r="K80" s="87" t="s">
        <v>1496</v>
      </c>
      <c r="L80" s="78">
        <v>0.875</v>
      </c>
      <c r="M80" s="77">
        <v>160</v>
      </c>
      <c r="N80" s="78">
        <f t="shared" si="4"/>
        <v>238.10624708108162</v>
      </c>
    </row>
    <row r="81" spans="2:14" x14ac:dyDescent="0.15">
      <c r="B81" s="69">
        <v>3.5</v>
      </c>
      <c r="C81" s="75">
        <v>4</v>
      </c>
      <c r="D81" s="93" t="s">
        <v>1491</v>
      </c>
      <c r="E81" s="78">
        <v>0.22600000000000001</v>
      </c>
      <c r="F81" s="66">
        <v>9.11</v>
      </c>
      <c r="G81" s="78">
        <f t="shared" si="6"/>
        <v>13.557174443179083</v>
      </c>
      <c r="I81" s="58">
        <v>18</v>
      </c>
      <c r="J81" s="78">
        <v>18</v>
      </c>
      <c r="K81" s="76">
        <v>80</v>
      </c>
      <c r="L81" s="78">
        <v>0.93799999999999994</v>
      </c>
      <c r="M81" s="77">
        <v>171</v>
      </c>
      <c r="N81" s="78">
        <f t="shared" si="4"/>
        <v>254.47605156790601</v>
      </c>
    </row>
    <row r="82" spans="2:14" x14ac:dyDescent="0.15">
      <c r="B82" s="69">
        <v>3.5</v>
      </c>
      <c r="C82" s="75">
        <v>4</v>
      </c>
      <c r="D82" s="76" t="s">
        <v>1495</v>
      </c>
      <c r="E82" s="78">
        <v>0.25</v>
      </c>
      <c r="F82" s="66">
        <v>10.02</v>
      </c>
      <c r="G82" s="78">
        <f t="shared" si="6"/>
        <v>14.911403723452736</v>
      </c>
      <c r="I82" s="58">
        <v>18</v>
      </c>
      <c r="J82" s="78">
        <v>18</v>
      </c>
      <c r="K82" s="87" t="s">
        <v>1496</v>
      </c>
      <c r="L82" s="78">
        <v>1</v>
      </c>
      <c r="M82" s="77">
        <v>182</v>
      </c>
      <c r="N82" s="78">
        <f t="shared" si="4"/>
        <v>270.84585605473035</v>
      </c>
    </row>
    <row r="83" spans="2:14" x14ac:dyDescent="0.15">
      <c r="B83" s="69">
        <v>3.5</v>
      </c>
      <c r="C83" s="75">
        <v>4</v>
      </c>
      <c r="D83" s="76" t="s">
        <v>1495</v>
      </c>
      <c r="E83" s="78">
        <v>0.28100000000000003</v>
      </c>
      <c r="F83" s="66">
        <v>11.17</v>
      </c>
      <c r="G83" s="78">
        <f t="shared" si="6"/>
        <v>16.622792374348009</v>
      </c>
      <c r="I83" s="58">
        <v>18</v>
      </c>
      <c r="J83" s="78">
        <v>18</v>
      </c>
      <c r="K83" s="87" t="s">
        <v>1496</v>
      </c>
      <c r="L83" s="78">
        <v>1.125</v>
      </c>
      <c r="M83" s="77">
        <v>203</v>
      </c>
      <c r="N83" s="78">
        <f t="shared" si="4"/>
        <v>302.09730098412234</v>
      </c>
    </row>
    <row r="84" spans="2:14" x14ac:dyDescent="0.15">
      <c r="B84" s="69">
        <v>3.5</v>
      </c>
      <c r="C84" s="75">
        <v>4</v>
      </c>
      <c r="D84" s="76" t="s">
        <v>1492</v>
      </c>
      <c r="E84" s="78">
        <v>0.318</v>
      </c>
      <c r="F84" s="66">
        <v>12.51</v>
      </c>
      <c r="G84" s="78">
        <f t="shared" si="6"/>
        <v>18.616932193652069</v>
      </c>
      <c r="I84" s="58">
        <v>18</v>
      </c>
      <c r="J84" s="78">
        <v>18</v>
      </c>
      <c r="K84" s="76">
        <v>100</v>
      </c>
      <c r="L84" s="78">
        <v>1.1559999999999999</v>
      </c>
      <c r="M84" s="77">
        <v>208</v>
      </c>
      <c r="N84" s="78">
        <f t="shared" si="4"/>
        <v>309.53812120540613</v>
      </c>
    </row>
    <row r="85" spans="2:14" x14ac:dyDescent="0.15">
      <c r="B85" s="69">
        <v>3.5</v>
      </c>
      <c r="C85" s="75">
        <v>4</v>
      </c>
      <c r="D85" s="76" t="s">
        <v>1494</v>
      </c>
      <c r="E85" s="78">
        <v>0.63600000000000001</v>
      </c>
      <c r="F85" s="66">
        <v>22.85</v>
      </c>
      <c r="G85" s="78">
        <f t="shared" si="6"/>
        <v>34.004548411266974</v>
      </c>
      <c r="I85" s="58">
        <v>18</v>
      </c>
      <c r="J85" s="78">
        <v>18</v>
      </c>
      <c r="K85" s="87" t="s">
        <v>1496</v>
      </c>
      <c r="L85" s="78">
        <v>1.25</v>
      </c>
      <c r="M85" s="77">
        <v>224</v>
      </c>
      <c r="N85" s="78">
        <f t="shared" si="4"/>
        <v>333.34874591351428</v>
      </c>
    </row>
    <row r="86" spans="2:14" x14ac:dyDescent="0.15">
      <c r="B86" s="70"/>
      <c r="C86" s="79"/>
      <c r="D86" s="80" t="s">
        <v>850</v>
      </c>
      <c r="E86" s="88"/>
      <c r="F86" s="94"/>
      <c r="G86" s="86"/>
      <c r="I86" s="58">
        <v>18</v>
      </c>
      <c r="J86" s="78">
        <v>18</v>
      </c>
      <c r="K86" s="76">
        <v>120</v>
      </c>
      <c r="L86" s="78">
        <v>1.375</v>
      </c>
      <c r="M86" s="77">
        <v>244</v>
      </c>
      <c r="N86" s="78">
        <f t="shared" si="4"/>
        <v>363.11202679864948</v>
      </c>
    </row>
    <row r="87" spans="2:14" x14ac:dyDescent="0.15">
      <c r="B87" s="58">
        <v>4</v>
      </c>
      <c r="C87" s="75">
        <v>4.5</v>
      </c>
      <c r="D87" s="82" t="s">
        <v>1493</v>
      </c>
      <c r="E87" s="78">
        <v>0.12</v>
      </c>
      <c r="F87" s="66">
        <v>5.61</v>
      </c>
      <c r="G87" s="78">
        <f t="shared" ref="G87:G100" si="7">F87*3.2808399*0.4535924</f>
        <v>8.3486002882804247</v>
      </c>
      <c r="I87" s="58">
        <v>18</v>
      </c>
      <c r="J87" s="78">
        <v>18</v>
      </c>
      <c r="K87" s="87" t="s">
        <v>1496</v>
      </c>
      <c r="L87" s="78">
        <v>1.5</v>
      </c>
      <c r="M87" s="77">
        <v>265</v>
      </c>
      <c r="N87" s="78">
        <f t="shared" si="4"/>
        <v>394.36347172804142</v>
      </c>
    </row>
    <row r="88" spans="2:14" x14ac:dyDescent="0.15">
      <c r="B88" s="58">
        <v>4</v>
      </c>
      <c r="C88" s="75">
        <v>4.5</v>
      </c>
      <c r="D88" s="76" t="s">
        <v>1495</v>
      </c>
      <c r="E88" s="78">
        <v>0.125</v>
      </c>
      <c r="F88" s="66">
        <v>5.84</v>
      </c>
      <c r="G88" s="78">
        <f t="shared" si="7"/>
        <v>8.6908780184594789</v>
      </c>
      <c r="I88" s="58">
        <v>18</v>
      </c>
      <c r="J88" s="78">
        <v>18</v>
      </c>
      <c r="K88" s="76">
        <v>140</v>
      </c>
      <c r="L88" s="78">
        <v>1.5620000000000001</v>
      </c>
      <c r="M88" s="77">
        <v>275</v>
      </c>
      <c r="N88" s="78">
        <f t="shared" si="4"/>
        <v>409.24511217060899</v>
      </c>
    </row>
    <row r="89" spans="2:14" x14ac:dyDescent="0.15">
      <c r="B89" s="58">
        <v>4</v>
      </c>
      <c r="C89" s="75">
        <v>4.5</v>
      </c>
      <c r="D89" s="76" t="s">
        <v>1495</v>
      </c>
      <c r="E89" s="78">
        <v>0.156</v>
      </c>
      <c r="F89" s="66">
        <v>7.24</v>
      </c>
      <c r="G89" s="78">
        <f t="shared" si="7"/>
        <v>10.774307680418943</v>
      </c>
      <c r="I89" s="58">
        <v>18</v>
      </c>
      <c r="J89" s="78">
        <v>18</v>
      </c>
      <c r="K89" s="76">
        <v>160</v>
      </c>
      <c r="L89" s="78">
        <v>1.7809999999999999</v>
      </c>
      <c r="M89" s="77">
        <v>309</v>
      </c>
      <c r="N89" s="78">
        <f t="shared" si="4"/>
        <v>459.84268967533882</v>
      </c>
    </row>
    <row r="90" spans="2:14" x14ac:dyDescent="0.15">
      <c r="B90" s="58">
        <v>4</v>
      </c>
      <c r="C90" s="75">
        <v>4.5</v>
      </c>
      <c r="D90" s="76" t="s">
        <v>1495</v>
      </c>
      <c r="E90" s="78">
        <v>0.188</v>
      </c>
      <c r="F90" s="66">
        <v>8.56</v>
      </c>
      <c r="G90" s="78">
        <f t="shared" si="7"/>
        <v>12.738684218837866</v>
      </c>
      <c r="I90" s="95" t="s">
        <v>850</v>
      </c>
      <c r="J90" s="88" t="s">
        <v>850</v>
      </c>
      <c r="K90" s="80" t="s">
        <v>850</v>
      </c>
      <c r="L90" s="88" t="s">
        <v>850</v>
      </c>
      <c r="M90" s="81" t="s">
        <v>850</v>
      </c>
      <c r="N90" s="94" t="s">
        <v>850</v>
      </c>
    </row>
    <row r="91" spans="2:14" x14ac:dyDescent="0.15">
      <c r="B91" s="58">
        <v>4</v>
      </c>
      <c r="C91" s="75">
        <v>4.5</v>
      </c>
      <c r="D91" s="76" t="s">
        <v>1495</v>
      </c>
      <c r="E91" s="78">
        <v>0.219</v>
      </c>
      <c r="F91" s="66">
        <v>10.02</v>
      </c>
      <c r="G91" s="78">
        <f t="shared" si="7"/>
        <v>14.911403723452736</v>
      </c>
      <c r="I91" s="58">
        <v>20</v>
      </c>
      <c r="J91" s="78">
        <v>20</v>
      </c>
      <c r="K91" s="76" t="s">
        <v>1500</v>
      </c>
      <c r="L91" s="78">
        <v>0.13400000000000001</v>
      </c>
      <c r="M91" s="77">
        <v>28</v>
      </c>
      <c r="N91" s="78">
        <f t="shared" ref="N91:N115" si="8">M91*3.2808399*0.4535924</f>
        <v>41.668593239189285</v>
      </c>
    </row>
    <row r="92" spans="2:14" x14ac:dyDescent="0.15">
      <c r="B92" s="58">
        <v>4</v>
      </c>
      <c r="C92" s="75">
        <v>4.5</v>
      </c>
      <c r="D92" s="93" t="s">
        <v>1491</v>
      </c>
      <c r="E92" s="78">
        <v>0.23699999999999999</v>
      </c>
      <c r="F92" s="66">
        <v>10.79</v>
      </c>
      <c r="G92" s="78">
        <f t="shared" si="7"/>
        <v>16.057290037530443</v>
      </c>
      <c r="I92" s="58">
        <v>20</v>
      </c>
      <c r="J92" s="78">
        <v>20</v>
      </c>
      <c r="K92" s="76" t="s">
        <v>1498</v>
      </c>
      <c r="L92" s="78">
        <v>0.16400000000000001</v>
      </c>
      <c r="M92" s="77">
        <v>35</v>
      </c>
      <c r="N92" s="78">
        <f t="shared" si="8"/>
        <v>52.085741548986604</v>
      </c>
    </row>
    <row r="93" spans="2:14" x14ac:dyDescent="0.15">
      <c r="B93" s="58">
        <v>4</v>
      </c>
      <c r="C93" s="75">
        <v>4.5</v>
      </c>
      <c r="D93" s="76" t="s">
        <v>1495</v>
      </c>
      <c r="E93" s="78">
        <v>0.25</v>
      </c>
      <c r="F93" s="66">
        <v>11.35</v>
      </c>
      <c r="G93" s="78">
        <f t="shared" si="7"/>
        <v>16.890661902314225</v>
      </c>
      <c r="I93" s="58">
        <v>20</v>
      </c>
      <c r="J93" s="78">
        <v>20</v>
      </c>
      <c r="K93" s="76" t="s">
        <v>1501</v>
      </c>
      <c r="L93" s="78">
        <v>0.19400000000000001</v>
      </c>
      <c r="M93" s="77">
        <v>41</v>
      </c>
      <c r="N93" s="78">
        <f t="shared" si="8"/>
        <v>61.014725814527161</v>
      </c>
    </row>
    <row r="94" spans="2:14" x14ac:dyDescent="0.15">
      <c r="B94" s="58">
        <v>4</v>
      </c>
      <c r="C94" s="75">
        <v>4.5</v>
      </c>
      <c r="D94" s="76" t="s">
        <v>1495</v>
      </c>
      <c r="E94" s="78">
        <v>0.28100000000000003</v>
      </c>
      <c r="F94" s="66">
        <v>12.67</v>
      </c>
      <c r="G94" s="78">
        <f t="shared" si="7"/>
        <v>18.85503844073315</v>
      </c>
      <c r="I94" s="58">
        <v>20</v>
      </c>
      <c r="J94" s="78">
        <v>20</v>
      </c>
      <c r="K94" s="76" t="s">
        <v>1502</v>
      </c>
      <c r="L94" s="78">
        <v>0.23899999999999999</v>
      </c>
      <c r="M94" s="77">
        <v>50</v>
      </c>
      <c r="N94" s="78">
        <f t="shared" si="8"/>
        <v>74.408202212838006</v>
      </c>
    </row>
    <row r="95" spans="2:14" x14ac:dyDescent="0.15">
      <c r="B95" s="58">
        <v>4</v>
      </c>
      <c r="C95" s="75">
        <v>4.5</v>
      </c>
      <c r="D95" s="76" t="s">
        <v>1495</v>
      </c>
      <c r="E95" s="78">
        <v>0.312</v>
      </c>
      <c r="F95" s="66">
        <v>14</v>
      </c>
      <c r="G95" s="78">
        <f t="shared" si="7"/>
        <v>20.834296619594642</v>
      </c>
      <c r="I95" s="58">
        <v>20</v>
      </c>
      <c r="J95" s="78">
        <v>20</v>
      </c>
      <c r="K95" s="76">
        <v>10</v>
      </c>
      <c r="L95" s="78">
        <v>0.25</v>
      </c>
      <c r="M95" s="77">
        <v>53</v>
      </c>
      <c r="N95" s="78">
        <f t="shared" si="8"/>
        <v>78.872694345608281</v>
      </c>
    </row>
    <row r="96" spans="2:14" x14ac:dyDescent="0.15">
      <c r="B96" s="58">
        <v>4</v>
      </c>
      <c r="C96" s="75">
        <v>4.5</v>
      </c>
      <c r="D96" s="76" t="s">
        <v>1492</v>
      </c>
      <c r="E96" s="78">
        <v>0.33700000000000002</v>
      </c>
      <c r="F96" s="66">
        <v>14.98</v>
      </c>
      <c r="G96" s="78">
        <f t="shared" si="7"/>
        <v>22.292697382966267</v>
      </c>
      <c r="I96" s="58">
        <v>20</v>
      </c>
      <c r="J96" s="78">
        <v>20</v>
      </c>
      <c r="K96" s="76" t="s">
        <v>1495</v>
      </c>
      <c r="L96" s="78">
        <v>0.28100000000000003</v>
      </c>
      <c r="M96" s="77">
        <v>59</v>
      </c>
      <c r="N96" s="78">
        <f t="shared" si="8"/>
        <v>87.801678611148844</v>
      </c>
    </row>
    <row r="97" spans="2:14" x14ac:dyDescent="0.15">
      <c r="B97" s="58">
        <v>4</v>
      </c>
      <c r="C97" s="75">
        <v>4.5</v>
      </c>
      <c r="D97" s="76">
        <v>120</v>
      </c>
      <c r="E97" s="78">
        <v>0.438</v>
      </c>
      <c r="F97" s="66">
        <v>19</v>
      </c>
      <c r="G97" s="78">
        <f t="shared" si="7"/>
        <v>28.275116840878439</v>
      </c>
      <c r="I97" s="58">
        <v>20</v>
      </c>
      <c r="J97" s="78">
        <v>20</v>
      </c>
      <c r="K97" s="76" t="s">
        <v>1495</v>
      </c>
      <c r="L97" s="78">
        <v>0.312</v>
      </c>
      <c r="M97" s="77">
        <v>66</v>
      </c>
      <c r="N97" s="78">
        <f t="shared" si="8"/>
        <v>98.218826920946171</v>
      </c>
    </row>
    <row r="98" spans="2:14" x14ac:dyDescent="0.15">
      <c r="B98" s="58">
        <v>4</v>
      </c>
      <c r="C98" s="75">
        <v>4.5</v>
      </c>
      <c r="D98" s="87" t="s">
        <v>1496</v>
      </c>
      <c r="E98" s="78">
        <v>0.5</v>
      </c>
      <c r="F98" s="66">
        <v>21.36</v>
      </c>
      <c r="G98" s="78">
        <f t="shared" si="7"/>
        <v>31.787183985324397</v>
      </c>
      <c r="I98" s="58">
        <v>20</v>
      </c>
      <c r="J98" s="78">
        <v>20</v>
      </c>
      <c r="K98" s="76" t="s">
        <v>1495</v>
      </c>
      <c r="L98" s="78">
        <v>0.34399999999999997</v>
      </c>
      <c r="M98" s="77">
        <v>72</v>
      </c>
      <c r="N98" s="78">
        <f t="shared" si="8"/>
        <v>107.14781118648672</v>
      </c>
    </row>
    <row r="99" spans="2:14" x14ac:dyDescent="0.15">
      <c r="B99" s="58">
        <v>4</v>
      </c>
      <c r="C99" s="75">
        <v>4.5</v>
      </c>
      <c r="D99" s="76">
        <v>160</v>
      </c>
      <c r="E99" s="78">
        <v>0.53100000000000003</v>
      </c>
      <c r="F99" s="66">
        <v>22.6</v>
      </c>
      <c r="G99" s="78">
        <f t="shared" si="7"/>
        <v>33.632507400202776</v>
      </c>
      <c r="I99" s="58">
        <v>20</v>
      </c>
      <c r="J99" s="78">
        <v>20</v>
      </c>
      <c r="K99" s="93" t="s">
        <v>1491</v>
      </c>
      <c r="L99" s="78">
        <v>0.375</v>
      </c>
      <c r="M99" s="77">
        <v>79</v>
      </c>
      <c r="N99" s="78">
        <f t="shared" si="8"/>
        <v>117.56495949628405</v>
      </c>
    </row>
    <row r="100" spans="2:14" x14ac:dyDescent="0.15">
      <c r="B100" s="58">
        <v>4</v>
      </c>
      <c r="C100" s="75">
        <v>4.5</v>
      </c>
      <c r="D100" s="76" t="s">
        <v>1494</v>
      </c>
      <c r="E100" s="78">
        <v>0.67400000000000004</v>
      </c>
      <c r="F100" s="66">
        <v>27.54</v>
      </c>
      <c r="G100" s="78">
        <f t="shared" si="7"/>
        <v>40.984037778831173</v>
      </c>
      <c r="I100" s="58">
        <v>20</v>
      </c>
      <c r="J100" s="78">
        <v>20</v>
      </c>
      <c r="K100" s="76" t="s">
        <v>1495</v>
      </c>
      <c r="L100" s="78">
        <v>0.40600000000000003</v>
      </c>
      <c r="M100" s="77">
        <v>85</v>
      </c>
      <c r="N100" s="78">
        <f t="shared" si="8"/>
        <v>126.49394376182461</v>
      </c>
    </row>
    <row r="101" spans="2:14" x14ac:dyDescent="0.15">
      <c r="B101" s="70" t="s">
        <v>850</v>
      </c>
      <c r="C101" s="79" t="s">
        <v>850</v>
      </c>
      <c r="D101" s="80" t="s">
        <v>850</v>
      </c>
      <c r="E101" s="88" t="s">
        <v>850</v>
      </c>
      <c r="F101" s="94" t="s">
        <v>850</v>
      </c>
      <c r="G101" s="86"/>
      <c r="I101" s="58">
        <v>20</v>
      </c>
      <c r="J101" s="78">
        <v>20</v>
      </c>
      <c r="K101" s="76" t="s">
        <v>1495</v>
      </c>
      <c r="L101" s="78">
        <v>0.438</v>
      </c>
      <c r="M101" s="77">
        <v>92</v>
      </c>
      <c r="N101" s="78">
        <f t="shared" si="8"/>
        <v>136.91109207162191</v>
      </c>
    </row>
    <row r="102" spans="2:14" x14ac:dyDescent="0.15">
      <c r="B102" s="58">
        <v>5</v>
      </c>
      <c r="C102" s="75">
        <v>5.5629999999999997</v>
      </c>
      <c r="D102" s="82" t="s">
        <v>1493</v>
      </c>
      <c r="E102" s="78">
        <v>0.13400000000000001</v>
      </c>
      <c r="F102" s="66">
        <v>7.77</v>
      </c>
      <c r="G102" s="78">
        <f t="shared" ref="G102:G113" si="9">F102*3.2808399*0.4535924</f>
        <v>11.563034623875026</v>
      </c>
      <c r="I102" s="58">
        <v>20</v>
      </c>
      <c r="J102" s="78">
        <v>20</v>
      </c>
      <c r="K102" s="76" t="s">
        <v>1492</v>
      </c>
      <c r="L102" s="78">
        <v>0.5</v>
      </c>
      <c r="M102" s="77">
        <v>105</v>
      </c>
      <c r="N102" s="78">
        <f t="shared" si="8"/>
        <v>156.25722464695983</v>
      </c>
    </row>
    <row r="103" spans="2:14" x14ac:dyDescent="0.15">
      <c r="B103" s="58">
        <v>5</v>
      </c>
      <c r="C103" s="75">
        <v>5.5629999999999997</v>
      </c>
      <c r="D103" s="76" t="s">
        <v>1495</v>
      </c>
      <c r="E103" s="78">
        <v>0.156</v>
      </c>
      <c r="F103" s="66">
        <v>9.02</v>
      </c>
      <c r="G103" s="78">
        <f t="shared" si="9"/>
        <v>13.423239679195975</v>
      </c>
      <c r="I103" s="58">
        <v>20</v>
      </c>
      <c r="J103" s="78">
        <v>20</v>
      </c>
      <c r="K103" s="76">
        <v>40</v>
      </c>
      <c r="L103" s="78">
        <v>0.59399999999999997</v>
      </c>
      <c r="M103" s="77">
        <v>123</v>
      </c>
      <c r="N103" s="78">
        <f t="shared" si="8"/>
        <v>183.04417744358148</v>
      </c>
    </row>
    <row r="104" spans="2:14" x14ac:dyDescent="0.15">
      <c r="B104" s="58">
        <v>5</v>
      </c>
      <c r="C104" s="75">
        <v>5.5629999999999997</v>
      </c>
      <c r="D104" s="76" t="s">
        <v>1495</v>
      </c>
      <c r="E104" s="78">
        <v>0.188</v>
      </c>
      <c r="F104" s="66">
        <v>10.8</v>
      </c>
      <c r="G104" s="78">
        <f t="shared" si="9"/>
        <v>16.07217167797301</v>
      </c>
      <c r="I104" s="58">
        <v>20</v>
      </c>
      <c r="J104" s="78">
        <v>20</v>
      </c>
      <c r="K104" s="87" t="s">
        <v>1496</v>
      </c>
      <c r="L104" s="78">
        <v>0.625</v>
      </c>
      <c r="M104" s="77">
        <v>129</v>
      </c>
      <c r="N104" s="78">
        <f t="shared" si="8"/>
        <v>191.97316170912205</v>
      </c>
    </row>
    <row r="105" spans="2:14" x14ac:dyDescent="0.15">
      <c r="B105" s="58">
        <v>5</v>
      </c>
      <c r="C105" s="75">
        <v>5.5629999999999997</v>
      </c>
      <c r="D105" s="76" t="s">
        <v>1495</v>
      </c>
      <c r="E105" s="78">
        <v>0.219</v>
      </c>
      <c r="F105" s="66">
        <v>12.51</v>
      </c>
      <c r="G105" s="78">
        <f t="shared" si="9"/>
        <v>18.616932193652069</v>
      </c>
      <c r="I105" s="58">
        <v>20</v>
      </c>
      <c r="J105" s="78">
        <v>20</v>
      </c>
      <c r="K105" s="76">
        <v>60</v>
      </c>
      <c r="L105" s="78">
        <v>0.81200000000000006</v>
      </c>
      <c r="M105" s="77">
        <v>167</v>
      </c>
      <c r="N105" s="78">
        <f t="shared" si="8"/>
        <v>248.52339539087893</v>
      </c>
    </row>
    <row r="106" spans="2:14" x14ac:dyDescent="0.15">
      <c r="B106" s="58">
        <v>5</v>
      </c>
      <c r="C106" s="75">
        <v>5.5629999999999997</v>
      </c>
      <c r="D106" s="93" t="s">
        <v>1491</v>
      </c>
      <c r="E106" s="78">
        <v>0.25800000000000001</v>
      </c>
      <c r="F106" s="66">
        <v>14.62</v>
      </c>
      <c r="G106" s="78">
        <f t="shared" si="9"/>
        <v>21.756958327033832</v>
      </c>
      <c r="I106" s="58">
        <v>20</v>
      </c>
      <c r="J106" s="78">
        <v>20</v>
      </c>
      <c r="K106" s="87" t="s">
        <v>1496</v>
      </c>
      <c r="L106" s="78">
        <v>0.875</v>
      </c>
      <c r="M106" s="77">
        <v>179</v>
      </c>
      <c r="N106" s="78">
        <f t="shared" si="8"/>
        <v>266.38136392196003</v>
      </c>
    </row>
    <row r="107" spans="2:14" x14ac:dyDescent="0.15">
      <c r="B107" s="58">
        <v>5</v>
      </c>
      <c r="C107" s="75">
        <v>5.5629999999999997</v>
      </c>
      <c r="D107" s="76" t="s">
        <v>1495</v>
      </c>
      <c r="E107" s="78">
        <v>0.28100000000000003</v>
      </c>
      <c r="F107" s="66">
        <v>15.86</v>
      </c>
      <c r="G107" s="78">
        <f t="shared" si="9"/>
        <v>23.602281741912211</v>
      </c>
      <c r="I107" s="58">
        <v>20</v>
      </c>
      <c r="J107" s="78">
        <v>20</v>
      </c>
      <c r="K107" s="87" t="s">
        <v>1496</v>
      </c>
      <c r="L107" s="78">
        <v>1</v>
      </c>
      <c r="M107" s="77">
        <v>203</v>
      </c>
      <c r="N107" s="78">
        <f t="shared" si="8"/>
        <v>302.09730098412234</v>
      </c>
    </row>
    <row r="108" spans="2:14" x14ac:dyDescent="0.15">
      <c r="B108" s="58">
        <v>5</v>
      </c>
      <c r="C108" s="75">
        <v>5.5629999999999997</v>
      </c>
      <c r="D108" s="76" t="s">
        <v>1495</v>
      </c>
      <c r="E108" s="78">
        <v>0.312</v>
      </c>
      <c r="F108" s="66">
        <v>17.510000000000002</v>
      </c>
      <c r="G108" s="78">
        <f t="shared" si="9"/>
        <v>26.057752414935869</v>
      </c>
      <c r="I108" s="58">
        <v>20</v>
      </c>
      <c r="J108" s="78">
        <v>20</v>
      </c>
      <c r="K108" s="76">
        <v>80</v>
      </c>
      <c r="L108" s="78">
        <v>1.0309999999999999</v>
      </c>
      <c r="M108" s="77">
        <v>209</v>
      </c>
      <c r="N108" s="78">
        <f t="shared" si="8"/>
        <v>311.02628524966286</v>
      </c>
    </row>
    <row r="109" spans="2:14" x14ac:dyDescent="0.15">
      <c r="B109" s="58">
        <v>5</v>
      </c>
      <c r="C109" s="75">
        <v>5.5629999999999997</v>
      </c>
      <c r="D109" s="76" t="s">
        <v>1495</v>
      </c>
      <c r="E109" s="78">
        <v>0.34399999999999997</v>
      </c>
      <c r="F109" s="66">
        <v>19.190000000000001</v>
      </c>
      <c r="G109" s="78">
        <f t="shared" si="9"/>
        <v>28.55786800928723</v>
      </c>
      <c r="I109" s="58">
        <v>20</v>
      </c>
      <c r="J109" s="78">
        <v>20</v>
      </c>
      <c r="K109" s="87" t="s">
        <v>1496</v>
      </c>
      <c r="L109" s="78">
        <v>1.125</v>
      </c>
      <c r="M109" s="77">
        <v>227</v>
      </c>
      <c r="N109" s="78">
        <f t="shared" si="8"/>
        <v>337.81323804628454</v>
      </c>
    </row>
    <row r="110" spans="2:14" x14ac:dyDescent="0.15">
      <c r="B110" s="58">
        <v>5</v>
      </c>
      <c r="C110" s="75">
        <v>5.5629999999999997</v>
      </c>
      <c r="D110" s="76" t="s">
        <v>1492</v>
      </c>
      <c r="E110" s="78">
        <v>0.375</v>
      </c>
      <c r="F110" s="66">
        <v>20.78</v>
      </c>
      <c r="G110" s="78">
        <f t="shared" si="9"/>
        <v>30.924048839655477</v>
      </c>
      <c r="I110" s="58">
        <v>20</v>
      </c>
      <c r="J110" s="78">
        <v>20</v>
      </c>
      <c r="K110" s="87" t="s">
        <v>1496</v>
      </c>
      <c r="L110" s="78">
        <v>1.25</v>
      </c>
      <c r="M110" s="77">
        <v>250</v>
      </c>
      <c r="N110" s="78">
        <f t="shared" si="8"/>
        <v>372.04101106419</v>
      </c>
    </row>
    <row r="111" spans="2:14" x14ac:dyDescent="0.15">
      <c r="B111" s="58">
        <v>5</v>
      </c>
      <c r="C111" s="75">
        <v>5.5629999999999997</v>
      </c>
      <c r="D111" s="76">
        <v>120</v>
      </c>
      <c r="E111" s="78">
        <v>0.5</v>
      </c>
      <c r="F111" s="66">
        <v>27.1</v>
      </c>
      <c r="G111" s="78">
        <f t="shared" si="9"/>
        <v>40.329245599358202</v>
      </c>
      <c r="I111" s="58">
        <v>20</v>
      </c>
      <c r="J111" s="78">
        <v>20</v>
      </c>
      <c r="K111" s="76">
        <v>100</v>
      </c>
      <c r="L111" s="78">
        <v>1.2809999999999999</v>
      </c>
      <c r="M111" s="77">
        <v>256</v>
      </c>
      <c r="N111" s="78">
        <f t="shared" si="8"/>
        <v>380.96999532973058</v>
      </c>
    </row>
    <row r="112" spans="2:14" x14ac:dyDescent="0.15">
      <c r="B112" s="58">
        <v>5</v>
      </c>
      <c r="C112" s="75">
        <v>5.5629999999999997</v>
      </c>
      <c r="D112" s="76">
        <v>160</v>
      </c>
      <c r="E112" s="78">
        <v>0.625</v>
      </c>
      <c r="F112" s="66">
        <v>32.96</v>
      </c>
      <c r="G112" s="78">
        <f t="shared" si="9"/>
        <v>49.049886898702816</v>
      </c>
      <c r="I112" s="58">
        <v>20</v>
      </c>
      <c r="J112" s="78">
        <v>20</v>
      </c>
      <c r="K112" s="87" t="s">
        <v>1496</v>
      </c>
      <c r="L112" s="78">
        <v>1.375</v>
      </c>
      <c r="M112" s="77">
        <v>274</v>
      </c>
      <c r="N112" s="78">
        <f t="shared" si="8"/>
        <v>407.75694812635226</v>
      </c>
    </row>
    <row r="113" spans="2:14" x14ac:dyDescent="0.15">
      <c r="B113" s="58">
        <v>5</v>
      </c>
      <c r="C113" s="75">
        <v>5.5629999999999997</v>
      </c>
      <c r="D113" s="76" t="s">
        <v>1494</v>
      </c>
      <c r="E113" s="78">
        <v>0.75</v>
      </c>
      <c r="F113" s="66">
        <v>38.549999999999997</v>
      </c>
      <c r="G113" s="78">
        <f t="shared" si="9"/>
        <v>57.368723906098097</v>
      </c>
      <c r="I113" s="58">
        <v>20</v>
      </c>
      <c r="J113" s="78">
        <v>20</v>
      </c>
      <c r="K113" s="76">
        <v>120</v>
      </c>
      <c r="L113" s="78">
        <v>1.5</v>
      </c>
      <c r="M113" s="77">
        <v>297</v>
      </c>
      <c r="N113" s="78">
        <f t="shared" si="8"/>
        <v>441.98472114425772</v>
      </c>
    </row>
    <row r="114" spans="2:14" x14ac:dyDescent="0.15">
      <c r="B114" s="70" t="s">
        <v>850</v>
      </c>
      <c r="C114" s="79" t="s">
        <v>850</v>
      </c>
      <c r="D114" s="80" t="s">
        <v>850</v>
      </c>
      <c r="E114" s="88" t="s">
        <v>850</v>
      </c>
      <c r="F114" s="94" t="s">
        <v>850</v>
      </c>
      <c r="G114" s="86"/>
      <c r="I114" s="58">
        <v>20</v>
      </c>
      <c r="J114" s="78">
        <v>20</v>
      </c>
      <c r="K114" s="76">
        <v>140</v>
      </c>
      <c r="L114" s="78">
        <v>1.75</v>
      </c>
      <c r="M114" s="77">
        <v>342</v>
      </c>
      <c r="N114" s="78">
        <f t="shared" si="8"/>
        <v>508.95210313581202</v>
      </c>
    </row>
    <row r="115" spans="2:14" x14ac:dyDescent="0.15">
      <c r="B115" s="58">
        <v>6</v>
      </c>
      <c r="C115" s="75">
        <v>6.625</v>
      </c>
      <c r="D115" s="76" t="s">
        <v>1497</v>
      </c>
      <c r="E115" s="78">
        <v>0.104</v>
      </c>
      <c r="F115" s="66">
        <v>7.25</v>
      </c>
      <c r="G115" s="78">
        <f t="shared" ref="G115:G131" si="10">F115*3.2808399*0.4535924</f>
        <v>10.78918932086151</v>
      </c>
      <c r="I115" s="58">
        <v>20</v>
      </c>
      <c r="J115" s="78">
        <v>20</v>
      </c>
      <c r="K115" s="76">
        <v>160</v>
      </c>
      <c r="L115" s="78">
        <v>1.9690000000000001</v>
      </c>
      <c r="M115" s="77">
        <v>379</v>
      </c>
      <c r="N115" s="78">
        <f t="shared" si="8"/>
        <v>564.01417277331211</v>
      </c>
    </row>
    <row r="116" spans="2:14" x14ac:dyDescent="0.15">
      <c r="B116" s="58">
        <v>6</v>
      </c>
      <c r="C116" s="75">
        <v>6.625</v>
      </c>
      <c r="D116" s="76" t="s">
        <v>1493</v>
      </c>
      <c r="E116" s="78">
        <v>0.13400000000000001</v>
      </c>
      <c r="F116" s="66">
        <v>9.2899999999999991</v>
      </c>
      <c r="G116" s="78">
        <f t="shared" si="10"/>
        <v>13.8250439711453</v>
      </c>
      <c r="I116" s="70" t="s">
        <v>850</v>
      </c>
      <c r="J116" s="79" t="s">
        <v>850</v>
      </c>
      <c r="K116" s="80" t="s">
        <v>850</v>
      </c>
      <c r="L116" s="88" t="s">
        <v>850</v>
      </c>
      <c r="M116" s="81" t="s">
        <v>850</v>
      </c>
      <c r="N116" s="94" t="s">
        <v>850</v>
      </c>
    </row>
    <row r="117" spans="2:14" x14ac:dyDescent="0.15">
      <c r="B117" s="58">
        <v>6</v>
      </c>
      <c r="C117" s="75">
        <v>6.625</v>
      </c>
      <c r="D117" s="76" t="s">
        <v>1498</v>
      </c>
      <c r="E117" s="78">
        <v>0.16400000000000001</v>
      </c>
      <c r="F117" s="66">
        <v>11.33</v>
      </c>
      <c r="G117" s="78">
        <f t="shared" si="10"/>
        <v>16.860898621429094</v>
      </c>
      <c r="I117" s="58">
        <v>22</v>
      </c>
      <c r="J117" s="78">
        <v>22</v>
      </c>
      <c r="K117" s="76" t="s">
        <v>1498</v>
      </c>
      <c r="L117" s="78">
        <v>0.16400000000000001</v>
      </c>
      <c r="M117" s="77">
        <v>38</v>
      </c>
      <c r="N117" s="78">
        <f t="shared" ref="N117:N135" si="11">M117*3.2808399*0.4535924</f>
        <v>56.550233681756879</v>
      </c>
    </row>
    <row r="118" spans="2:14" x14ac:dyDescent="0.15">
      <c r="B118" s="58">
        <v>6</v>
      </c>
      <c r="C118" s="75">
        <v>6.625</v>
      </c>
      <c r="D118" s="76" t="s">
        <v>1495</v>
      </c>
      <c r="E118" s="78">
        <v>0.188</v>
      </c>
      <c r="F118" s="66">
        <v>12.93</v>
      </c>
      <c r="G118" s="78">
        <f t="shared" si="10"/>
        <v>19.241961092239908</v>
      </c>
      <c r="I118" s="58">
        <v>22</v>
      </c>
      <c r="J118" s="78">
        <v>22</v>
      </c>
      <c r="K118" s="76" t="s">
        <v>1501</v>
      </c>
      <c r="L118" s="78">
        <v>0.19400000000000001</v>
      </c>
      <c r="M118" s="77">
        <v>45</v>
      </c>
      <c r="N118" s="78">
        <f t="shared" si="11"/>
        <v>66.967381991554205</v>
      </c>
    </row>
    <row r="119" spans="2:14" x14ac:dyDescent="0.15">
      <c r="B119" s="58">
        <v>6</v>
      </c>
      <c r="C119" s="75">
        <v>6.625</v>
      </c>
      <c r="D119" s="76" t="s">
        <v>1499</v>
      </c>
      <c r="E119" s="78">
        <v>0.19400000000000001</v>
      </c>
      <c r="F119" s="66">
        <v>13.34</v>
      </c>
      <c r="G119" s="78">
        <f t="shared" si="10"/>
        <v>19.85210835038518</v>
      </c>
      <c r="I119" s="58">
        <v>22</v>
      </c>
      <c r="J119" s="78">
        <v>22</v>
      </c>
      <c r="K119" s="76" t="s">
        <v>1502</v>
      </c>
      <c r="L119" s="78">
        <v>0.23899999999999999</v>
      </c>
      <c r="M119" s="77">
        <v>56</v>
      </c>
      <c r="N119" s="78">
        <f t="shared" si="11"/>
        <v>83.33718647837857</v>
      </c>
    </row>
    <row r="120" spans="2:14" x14ac:dyDescent="0.15">
      <c r="B120" s="58">
        <v>6</v>
      </c>
      <c r="C120" s="75">
        <v>6.625</v>
      </c>
      <c r="D120" s="76" t="s">
        <v>1495</v>
      </c>
      <c r="E120" s="78">
        <v>0.219</v>
      </c>
      <c r="F120" s="66">
        <v>15.02</v>
      </c>
      <c r="G120" s="78">
        <f t="shared" si="10"/>
        <v>22.352223944736537</v>
      </c>
      <c r="I120" s="58">
        <v>22</v>
      </c>
      <c r="J120" s="78">
        <v>22</v>
      </c>
      <c r="K120" s="76" t="s">
        <v>1495</v>
      </c>
      <c r="L120" s="78">
        <v>0.25</v>
      </c>
      <c r="M120" s="77">
        <v>58</v>
      </c>
      <c r="N120" s="78">
        <f t="shared" si="11"/>
        <v>86.313514566892081</v>
      </c>
    </row>
    <row r="121" spans="2:14" x14ac:dyDescent="0.15">
      <c r="B121" s="58">
        <v>6</v>
      </c>
      <c r="C121" s="75">
        <v>6.625</v>
      </c>
      <c r="D121" s="76" t="s">
        <v>1495</v>
      </c>
      <c r="E121" s="78">
        <v>0.25</v>
      </c>
      <c r="F121" s="66">
        <v>17.02</v>
      </c>
      <c r="G121" s="78">
        <f t="shared" si="10"/>
        <v>25.328552033250055</v>
      </c>
      <c r="I121" s="58">
        <v>22</v>
      </c>
      <c r="J121" s="78">
        <v>22</v>
      </c>
      <c r="K121" s="76" t="s">
        <v>1495</v>
      </c>
      <c r="L121" s="78">
        <v>0.28100000000000003</v>
      </c>
      <c r="M121" s="77">
        <v>65</v>
      </c>
      <c r="N121" s="78">
        <f t="shared" si="11"/>
        <v>96.730662876689408</v>
      </c>
    </row>
    <row r="122" spans="2:14" x14ac:dyDescent="0.15">
      <c r="B122" s="58">
        <v>6</v>
      </c>
      <c r="C122" s="75">
        <v>6.625</v>
      </c>
      <c r="D122" s="76" t="s">
        <v>1495</v>
      </c>
      <c r="E122" s="78">
        <v>0.27700000000000002</v>
      </c>
      <c r="F122" s="66">
        <v>18.86</v>
      </c>
      <c r="G122" s="78">
        <f t="shared" si="10"/>
        <v>28.066773874682493</v>
      </c>
      <c r="I122" s="58">
        <v>22</v>
      </c>
      <c r="J122" s="78">
        <v>22</v>
      </c>
      <c r="K122" s="76" t="s">
        <v>1495</v>
      </c>
      <c r="L122" s="78">
        <v>0.312</v>
      </c>
      <c r="M122" s="77">
        <v>72</v>
      </c>
      <c r="N122" s="78">
        <f t="shared" si="11"/>
        <v>107.14781118648672</v>
      </c>
    </row>
    <row r="123" spans="2:14" x14ac:dyDescent="0.15">
      <c r="B123" s="58">
        <v>6</v>
      </c>
      <c r="C123" s="75">
        <v>6.625</v>
      </c>
      <c r="D123" s="93" t="s">
        <v>1491</v>
      </c>
      <c r="E123" s="78">
        <v>0.28000000000000003</v>
      </c>
      <c r="F123" s="66">
        <v>18.97</v>
      </c>
      <c r="G123" s="78">
        <f t="shared" si="10"/>
        <v>28.230471919550737</v>
      </c>
      <c r="I123" s="58">
        <v>22</v>
      </c>
      <c r="J123" s="78">
        <v>22</v>
      </c>
      <c r="K123" s="76" t="s">
        <v>1495</v>
      </c>
      <c r="L123" s="78">
        <v>0.34399999999999997</v>
      </c>
      <c r="M123" s="77">
        <v>80</v>
      </c>
      <c r="N123" s="78">
        <f t="shared" si="11"/>
        <v>119.05312354054081</v>
      </c>
    </row>
    <row r="124" spans="2:14" x14ac:dyDescent="0.15">
      <c r="B124" s="58">
        <v>6</v>
      </c>
      <c r="C124" s="75">
        <v>6.625</v>
      </c>
      <c r="D124" s="76" t="s">
        <v>1495</v>
      </c>
      <c r="E124" s="78">
        <v>0.312</v>
      </c>
      <c r="F124" s="66">
        <v>21.05</v>
      </c>
      <c r="G124" s="78">
        <f t="shared" si="10"/>
        <v>31.325853131604802</v>
      </c>
      <c r="I124" s="58">
        <v>22</v>
      </c>
      <c r="J124" s="78">
        <v>22</v>
      </c>
      <c r="K124" s="76" t="s">
        <v>1495</v>
      </c>
      <c r="L124" s="78">
        <v>0.375</v>
      </c>
      <c r="M124" s="77">
        <v>87</v>
      </c>
      <c r="N124" s="78">
        <f t="shared" si="11"/>
        <v>129.47027185033812</v>
      </c>
    </row>
    <row r="125" spans="2:14" x14ac:dyDescent="0.15">
      <c r="B125" s="58">
        <v>6</v>
      </c>
      <c r="C125" s="75">
        <v>6.625</v>
      </c>
      <c r="D125" s="76" t="s">
        <v>1495</v>
      </c>
      <c r="E125" s="78">
        <v>0.34399999999999997</v>
      </c>
      <c r="F125" s="66">
        <v>23.09</v>
      </c>
      <c r="G125" s="78">
        <f t="shared" si="10"/>
        <v>34.36170778188859</v>
      </c>
      <c r="I125" s="58">
        <v>22</v>
      </c>
      <c r="J125" s="78">
        <v>22</v>
      </c>
      <c r="K125" s="76" t="s">
        <v>1495</v>
      </c>
      <c r="L125" s="78">
        <v>0.40600000000000003</v>
      </c>
      <c r="M125" s="77">
        <v>94</v>
      </c>
      <c r="N125" s="78">
        <f t="shared" si="11"/>
        <v>139.88742016013546</v>
      </c>
    </row>
    <row r="126" spans="2:14" x14ac:dyDescent="0.15">
      <c r="B126" s="58">
        <v>6</v>
      </c>
      <c r="C126" s="75">
        <v>6.625</v>
      </c>
      <c r="D126" s="76" t="s">
        <v>1495</v>
      </c>
      <c r="E126" s="78">
        <v>0.375</v>
      </c>
      <c r="F126" s="66">
        <v>25.1</v>
      </c>
      <c r="G126" s="78">
        <f t="shared" si="10"/>
        <v>37.352917510844676</v>
      </c>
      <c r="I126" s="58">
        <v>22</v>
      </c>
      <c r="J126" s="78">
        <v>22</v>
      </c>
      <c r="K126" s="76" t="s">
        <v>1495</v>
      </c>
      <c r="L126" s="78">
        <v>0.438</v>
      </c>
      <c r="M126" s="77">
        <v>101</v>
      </c>
      <c r="N126" s="78">
        <f t="shared" si="11"/>
        <v>150.30456846993278</v>
      </c>
    </row>
    <row r="127" spans="2:14" x14ac:dyDescent="0.15">
      <c r="B127" s="58">
        <v>6</v>
      </c>
      <c r="C127" s="75">
        <v>6.625</v>
      </c>
      <c r="D127" s="76" t="s">
        <v>1492</v>
      </c>
      <c r="E127" s="78">
        <v>0.432</v>
      </c>
      <c r="F127" s="66">
        <v>28.57</v>
      </c>
      <c r="G127" s="78">
        <f t="shared" si="10"/>
        <v>42.516846744415638</v>
      </c>
      <c r="I127" s="58">
        <v>22</v>
      </c>
      <c r="J127" s="78">
        <v>22</v>
      </c>
      <c r="K127" s="76" t="s">
        <v>1495</v>
      </c>
      <c r="L127" s="78">
        <v>0.5</v>
      </c>
      <c r="M127" s="77">
        <v>115</v>
      </c>
      <c r="N127" s="78">
        <f t="shared" si="11"/>
        <v>171.13886508952743</v>
      </c>
    </row>
    <row r="128" spans="2:14" x14ac:dyDescent="0.15">
      <c r="B128" s="58">
        <v>6</v>
      </c>
      <c r="C128" s="75">
        <v>6.625</v>
      </c>
      <c r="D128" s="87" t="s">
        <v>1496</v>
      </c>
      <c r="E128" s="78">
        <v>0.5</v>
      </c>
      <c r="F128" s="66">
        <v>32.79</v>
      </c>
      <c r="G128" s="78">
        <f t="shared" si="10"/>
        <v>48.796899011179157</v>
      </c>
      <c r="I128" s="58">
        <v>22</v>
      </c>
      <c r="J128" s="78">
        <v>22</v>
      </c>
      <c r="K128" s="87" t="s">
        <v>1496</v>
      </c>
      <c r="L128" s="78">
        <v>0.625</v>
      </c>
      <c r="M128" s="77">
        <v>143</v>
      </c>
      <c r="N128" s="78">
        <f t="shared" si="11"/>
        <v>212.80745832871671</v>
      </c>
    </row>
    <row r="129" spans="2:14" x14ac:dyDescent="0.15">
      <c r="B129" s="58">
        <v>6</v>
      </c>
      <c r="C129" s="75">
        <v>6.625</v>
      </c>
      <c r="D129" s="76">
        <v>120</v>
      </c>
      <c r="E129" s="78">
        <v>0.56200000000000006</v>
      </c>
      <c r="F129" s="66">
        <v>36.4</v>
      </c>
      <c r="G129" s="78">
        <f t="shared" si="10"/>
        <v>54.169171210946068</v>
      </c>
      <c r="I129" s="58">
        <v>22</v>
      </c>
      <c r="J129" s="78">
        <v>22</v>
      </c>
      <c r="K129" s="87" t="s">
        <v>1496</v>
      </c>
      <c r="L129" s="78">
        <v>0.75</v>
      </c>
      <c r="M129" s="77">
        <v>170</v>
      </c>
      <c r="N129" s="78">
        <f t="shared" si="11"/>
        <v>252.98788752364922</v>
      </c>
    </row>
    <row r="130" spans="2:14" x14ac:dyDescent="0.15">
      <c r="B130" s="58">
        <v>6</v>
      </c>
      <c r="C130" s="75">
        <v>6.625</v>
      </c>
      <c r="D130" s="76">
        <v>160</v>
      </c>
      <c r="E130" s="78">
        <v>0.71899999999999997</v>
      </c>
      <c r="F130" s="66">
        <v>45.3</v>
      </c>
      <c r="G130" s="78">
        <f t="shared" si="10"/>
        <v>67.413831204831226</v>
      </c>
      <c r="I130" s="58">
        <v>22</v>
      </c>
      <c r="J130" s="78">
        <v>22</v>
      </c>
      <c r="K130" s="87" t="s">
        <v>1496</v>
      </c>
      <c r="L130" s="78">
        <v>0.875</v>
      </c>
      <c r="M130" s="77">
        <v>198</v>
      </c>
      <c r="N130" s="78">
        <f t="shared" si="11"/>
        <v>294.6564807628385</v>
      </c>
    </row>
    <row r="131" spans="2:14" x14ac:dyDescent="0.15">
      <c r="B131" s="58">
        <v>6</v>
      </c>
      <c r="C131" s="75">
        <v>6.625</v>
      </c>
      <c r="D131" s="76" t="s">
        <v>1494</v>
      </c>
      <c r="E131" s="78">
        <v>0.86399999999999999</v>
      </c>
      <c r="F131" s="66">
        <v>53.16</v>
      </c>
      <c r="G131" s="78">
        <f t="shared" si="10"/>
        <v>79.110800592689358</v>
      </c>
      <c r="I131" s="58">
        <v>22</v>
      </c>
      <c r="J131" s="78">
        <v>22</v>
      </c>
      <c r="K131" s="87" t="s">
        <v>1496</v>
      </c>
      <c r="L131" s="78">
        <v>1</v>
      </c>
      <c r="M131" s="77">
        <v>224</v>
      </c>
      <c r="N131" s="78">
        <f t="shared" si="11"/>
        <v>333.34874591351428</v>
      </c>
    </row>
    <row r="132" spans="2:14" x14ac:dyDescent="0.15">
      <c r="B132" s="70" t="s">
        <v>850</v>
      </c>
      <c r="C132" s="79" t="s">
        <v>850</v>
      </c>
      <c r="D132" s="80" t="s">
        <v>850</v>
      </c>
      <c r="E132" s="88" t="s">
        <v>850</v>
      </c>
      <c r="F132" s="94" t="s">
        <v>850</v>
      </c>
      <c r="G132" s="86"/>
      <c r="I132" s="58">
        <v>22</v>
      </c>
      <c r="J132" s="78">
        <v>22</v>
      </c>
      <c r="K132" s="87" t="s">
        <v>1496</v>
      </c>
      <c r="L132" s="78">
        <v>1.125</v>
      </c>
      <c r="M132" s="77">
        <v>251</v>
      </c>
      <c r="N132" s="78">
        <f t="shared" si="11"/>
        <v>373.52917510844679</v>
      </c>
    </row>
    <row r="133" spans="2:14" x14ac:dyDescent="0.15">
      <c r="B133" s="58">
        <v>8</v>
      </c>
      <c r="C133" s="75">
        <v>8.625</v>
      </c>
      <c r="D133" s="76" t="s">
        <v>1497</v>
      </c>
      <c r="E133" s="78">
        <v>0.104</v>
      </c>
      <c r="F133" s="66">
        <v>9.4700000000000006</v>
      </c>
      <c r="G133" s="78">
        <f t="shared" ref="G133:G156" si="12">F133*3.2808399*0.4535924</f>
        <v>14.092913499111518</v>
      </c>
      <c r="I133" s="58">
        <v>22</v>
      </c>
      <c r="J133" s="78">
        <v>22</v>
      </c>
      <c r="K133" s="87" t="s">
        <v>1496</v>
      </c>
      <c r="L133" s="78">
        <v>1.25</v>
      </c>
      <c r="M133" s="77">
        <v>277</v>
      </c>
      <c r="N133" s="78">
        <f t="shared" si="11"/>
        <v>412.22144025912252</v>
      </c>
    </row>
    <row r="134" spans="2:14" x14ac:dyDescent="0.15">
      <c r="B134" s="58">
        <v>8</v>
      </c>
      <c r="C134" s="75">
        <v>8.625</v>
      </c>
      <c r="D134" s="76" t="s">
        <v>1500</v>
      </c>
      <c r="E134" s="78">
        <v>0.13400000000000001</v>
      </c>
      <c r="F134" s="66">
        <v>12.16</v>
      </c>
      <c r="G134" s="78">
        <f t="shared" si="12"/>
        <v>18.096074778162201</v>
      </c>
      <c r="I134" s="58">
        <v>22</v>
      </c>
      <c r="J134" s="78">
        <v>22</v>
      </c>
      <c r="K134" s="87" t="s">
        <v>1496</v>
      </c>
      <c r="L134" s="78">
        <v>1.375</v>
      </c>
      <c r="M134" s="77">
        <v>303</v>
      </c>
      <c r="N134" s="78">
        <f t="shared" si="11"/>
        <v>450.9137054097983</v>
      </c>
    </row>
    <row r="135" spans="2:14" x14ac:dyDescent="0.15">
      <c r="B135" s="58">
        <v>8</v>
      </c>
      <c r="C135" s="75">
        <v>8.625</v>
      </c>
      <c r="D135" s="76" t="s">
        <v>1493</v>
      </c>
      <c r="E135" s="78">
        <v>0.14799999999999999</v>
      </c>
      <c r="F135" s="66">
        <v>13.4</v>
      </c>
      <c r="G135" s="78">
        <f t="shared" si="12"/>
        <v>19.941398193040587</v>
      </c>
      <c r="I135" s="58">
        <v>22</v>
      </c>
      <c r="J135" s="78">
        <v>22</v>
      </c>
      <c r="K135" s="87" t="s">
        <v>1496</v>
      </c>
      <c r="L135" s="78">
        <v>1.5</v>
      </c>
      <c r="M135" s="77">
        <v>329</v>
      </c>
      <c r="N135" s="78">
        <f t="shared" si="11"/>
        <v>489.60597056047408</v>
      </c>
    </row>
    <row r="136" spans="2:14" x14ac:dyDescent="0.15">
      <c r="B136" s="58">
        <v>8</v>
      </c>
      <c r="C136" s="75">
        <v>8.625</v>
      </c>
      <c r="D136" s="76" t="s">
        <v>1498</v>
      </c>
      <c r="E136" s="78">
        <v>0.16400000000000001</v>
      </c>
      <c r="F136" s="66">
        <v>14.83</v>
      </c>
      <c r="G136" s="78">
        <f t="shared" si="12"/>
        <v>22.069472776327753</v>
      </c>
      <c r="I136" s="70" t="s">
        <v>850</v>
      </c>
      <c r="J136" s="79" t="s">
        <v>850</v>
      </c>
      <c r="K136" s="80" t="s">
        <v>850</v>
      </c>
      <c r="L136" s="88" t="s">
        <v>850</v>
      </c>
      <c r="M136" s="86" t="s">
        <v>850</v>
      </c>
      <c r="N136" s="86"/>
    </row>
    <row r="137" spans="2:14" x14ac:dyDescent="0.15">
      <c r="B137" s="58">
        <v>8</v>
      </c>
      <c r="C137" s="75">
        <v>8.625</v>
      </c>
      <c r="D137" s="76" t="s">
        <v>1495</v>
      </c>
      <c r="E137" s="78">
        <v>0.188</v>
      </c>
      <c r="F137" s="66">
        <v>16.899999999999999</v>
      </c>
      <c r="G137" s="78">
        <f t="shared" si="12"/>
        <v>25.149972347939244</v>
      </c>
      <c r="I137" s="58">
        <v>24</v>
      </c>
      <c r="J137" s="78">
        <v>24</v>
      </c>
      <c r="K137" s="76" t="s">
        <v>1498</v>
      </c>
      <c r="L137" s="78">
        <v>0.16400000000000001</v>
      </c>
      <c r="M137" s="77">
        <v>42</v>
      </c>
      <c r="N137" s="78">
        <f t="shared" ref="N137:N163" si="13">M137*3.2808399*0.4535924</f>
        <v>62.502889858783924</v>
      </c>
    </row>
    <row r="138" spans="2:14" x14ac:dyDescent="0.15">
      <c r="B138" s="58">
        <v>8</v>
      </c>
      <c r="C138" s="75">
        <v>8.625</v>
      </c>
      <c r="D138" s="76" t="s">
        <v>1501</v>
      </c>
      <c r="E138" s="78">
        <v>0.19400000000000001</v>
      </c>
      <c r="F138" s="66">
        <v>17.48</v>
      </c>
      <c r="G138" s="78">
        <f t="shared" si="12"/>
        <v>26.013107493608167</v>
      </c>
      <c r="I138" s="58">
        <v>24</v>
      </c>
      <c r="J138" s="78">
        <v>24</v>
      </c>
      <c r="K138" s="76" t="s">
        <v>1501</v>
      </c>
      <c r="L138" s="78">
        <v>0.19400000000000001</v>
      </c>
      <c r="M138" s="77">
        <v>49</v>
      </c>
      <c r="N138" s="78">
        <f t="shared" si="13"/>
        <v>72.920038168581243</v>
      </c>
    </row>
    <row r="139" spans="2:14" x14ac:dyDescent="0.15">
      <c r="B139" s="58">
        <v>8</v>
      </c>
      <c r="C139" s="75">
        <v>8.625</v>
      </c>
      <c r="D139" s="76" t="s">
        <v>1495</v>
      </c>
      <c r="E139" s="78">
        <v>0.20300000000000001</v>
      </c>
      <c r="F139" s="66">
        <v>18.3</v>
      </c>
      <c r="G139" s="78">
        <f t="shared" si="12"/>
        <v>27.233402009898711</v>
      </c>
      <c r="I139" s="58">
        <v>24</v>
      </c>
      <c r="J139" s="78">
        <v>24</v>
      </c>
      <c r="K139" s="76" t="s">
        <v>1502</v>
      </c>
      <c r="L139" s="78">
        <v>0.23899999999999999</v>
      </c>
      <c r="M139" s="77">
        <v>61</v>
      </c>
      <c r="N139" s="78">
        <f t="shared" si="13"/>
        <v>90.77800669966237</v>
      </c>
    </row>
    <row r="140" spans="2:14" x14ac:dyDescent="0.15">
      <c r="B140" s="58">
        <v>8</v>
      </c>
      <c r="C140" s="75">
        <v>8.625</v>
      </c>
      <c r="D140" s="76" t="s">
        <v>1495</v>
      </c>
      <c r="E140" s="78">
        <v>0.219</v>
      </c>
      <c r="F140" s="66">
        <v>19.64</v>
      </c>
      <c r="G140" s="78">
        <f t="shared" si="12"/>
        <v>29.227541829202771</v>
      </c>
      <c r="I140" s="58">
        <v>24</v>
      </c>
      <c r="J140" s="78">
        <v>24</v>
      </c>
      <c r="K140" s="76">
        <v>10</v>
      </c>
      <c r="L140" s="78">
        <v>0.25</v>
      </c>
      <c r="M140" s="77">
        <v>63</v>
      </c>
      <c r="N140" s="78">
        <f t="shared" si="13"/>
        <v>93.754334788175896</v>
      </c>
    </row>
    <row r="141" spans="2:14" x14ac:dyDescent="0.15">
      <c r="B141" s="58">
        <v>8</v>
      </c>
      <c r="C141" s="75">
        <v>8.625</v>
      </c>
      <c r="D141" s="76" t="s">
        <v>1502</v>
      </c>
      <c r="E141" s="78">
        <v>0.23899999999999999</v>
      </c>
      <c r="F141" s="66">
        <v>21.42</v>
      </c>
      <c r="G141" s="78">
        <f t="shared" si="12"/>
        <v>31.876473827979805</v>
      </c>
      <c r="I141" s="58">
        <v>24</v>
      </c>
      <c r="J141" s="78">
        <v>24</v>
      </c>
      <c r="K141" s="76" t="s">
        <v>1495</v>
      </c>
      <c r="L141" s="78">
        <v>0.28100000000000003</v>
      </c>
      <c r="M141" s="77">
        <v>71</v>
      </c>
      <c r="N141" s="78">
        <f t="shared" si="13"/>
        <v>105.65964714222997</v>
      </c>
    </row>
    <row r="142" spans="2:14" x14ac:dyDescent="0.15">
      <c r="B142" s="58">
        <v>8</v>
      </c>
      <c r="C142" s="75">
        <v>8.625</v>
      </c>
      <c r="D142" s="76">
        <v>20</v>
      </c>
      <c r="E142" s="78">
        <v>0.25</v>
      </c>
      <c r="F142" s="66">
        <v>22.4</v>
      </c>
      <c r="G142" s="78">
        <f t="shared" si="12"/>
        <v>33.334874591351422</v>
      </c>
      <c r="I142" s="58">
        <v>24</v>
      </c>
      <c r="J142" s="78">
        <v>24</v>
      </c>
      <c r="K142" s="76" t="s">
        <v>1495</v>
      </c>
      <c r="L142" s="78">
        <v>0.312</v>
      </c>
      <c r="M142" s="77">
        <v>79</v>
      </c>
      <c r="N142" s="78">
        <f t="shared" si="13"/>
        <v>117.56495949628405</v>
      </c>
    </row>
    <row r="143" spans="2:14" x14ac:dyDescent="0.15">
      <c r="B143" s="58">
        <v>8</v>
      </c>
      <c r="C143" s="75">
        <v>8.625</v>
      </c>
      <c r="D143" s="76">
        <v>30</v>
      </c>
      <c r="E143" s="78">
        <v>0.27700000000000002</v>
      </c>
      <c r="F143" s="66">
        <v>24.7</v>
      </c>
      <c r="G143" s="78">
        <f t="shared" si="12"/>
        <v>36.757651893141976</v>
      </c>
      <c r="I143" s="58">
        <v>24</v>
      </c>
      <c r="J143" s="78">
        <v>24</v>
      </c>
      <c r="K143" s="76" t="s">
        <v>1495</v>
      </c>
      <c r="L143" s="78">
        <v>0.34399999999999997</v>
      </c>
      <c r="M143" s="77">
        <v>87</v>
      </c>
      <c r="N143" s="78">
        <f t="shared" si="13"/>
        <v>129.47027185033812</v>
      </c>
    </row>
    <row r="144" spans="2:14" x14ac:dyDescent="0.15">
      <c r="B144" s="58">
        <v>8</v>
      </c>
      <c r="C144" s="75">
        <v>8.625</v>
      </c>
      <c r="D144" s="76" t="s">
        <v>1495</v>
      </c>
      <c r="E144" s="78">
        <v>0.312</v>
      </c>
      <c r="F144" s="66">
        <v>27.72</v>
      </c>
      <c r="G144" s="78">
        <f t="shared" si="12"/>
        <v>41.251907306797385</v>
      </c>
      <c r="I144" s="58">
        <v>24</v>
      </c>
      <c r="J144" s="78">
        <v>24</v>
      </c>
      <c r="K144" s="101" t="s">
        <v>1491</v>
      </c>
      <c r="L144" s="78">
        <v>0.375</v>
      </c>
      <c r="M144" s="77">
        <v>95</v>
      </c>
      <c r="N144" s="78">
        <f t="shared" si="13"/>
        <v>141.37558420439223</v>
      </c>
    </row>
    <row r="145" spans="2:14" x14ac:dyDescent="0.15">
      <c r="B145" s="58">
        <v>8</v>
      </c>
      <c r="C145" s="75">
        <v>8.625</v>
      </c>
      <c r="D145" s="93" t="s">
        <v>1491</v>
      </c>
      <c r="E145" s="78">
        <v>0.32200000000000001</v>
      </c>
      <c r="F145" s="66">
        <v>28.55</v>
      </c>
      <c r="G145" s="78">
        <f t="shared" si="12"/>
        <v>42.487083463530503</v>
      </c>
      <c r="I145" s="58">
        <v>24</v>
      </c>
      <c r="J145" s="78">
        <v>24</v>
      </c>
      <c r="K145" s="76" t="s">
        <v>1495</v>
      </c>
      <c r="L145" s="78">
        <v>0.40600000000000003</v>
      </c>
      <c r="M145" s="77">
        <v>102</v>
      </c>
      <c r="N145" s="78">
        <f t="shared" si="13"/>
        <v>151.79273251418954</v>
      </c>
    </row>
    <row r="146" spans="2:14" x14ac:dyDescent="0.15">
      <c r="B146" s="58">
        <v>8</v>
      </c>
      <c r="C146" s="75">
        <v>8.625</v>
      </c>
      <c r="D146" s="76" t="s">
        <v>1495</v>
      </c>
      <c r="E146" s="78">
        <v>0.34399999999999997</v>
      </c>
      <c r="F146" s="66">
        <v>30.4</v>
      </c>
      <c r="G146" s="78">
        <f t="shared" si="12"/>
        <v>45.240186945405505</v>
      </c>
      <c r="I146" s="58">
        <v>24</v>
      </c>
      <c r="J146" s="78">
        <v>24</v>
      </c>
      <c r="K146" s="76" t="s">
        <v>1495</v>
      </c>
      <c r="L146" s="78">
        <v>0.438</v>
      </c>
      <c r="M146" s="77">
        <v>110</v>
      </c>
      <c r="N146" s="78">
        <f t="shared" si="13"/>
        <v>163.69804486824361</v>
      </c>
    </row>
    <row r="147" spans="2:14" x14ac:dyDescent="0.15">
      <c r="B147" s="58">
        <v>8</v>
      </c>
      <c r="C147" s="75">
        <v>8.625</v>
      </c>
      <c r="D147" s="76" t="s">
        <v>1495</v>
      </c>
      <c r="E147" s="78">
        <v>0.375</v>
      </c>
      <c r="F147" s="66">
        <v>33.1</v>
      </c>
      <c r="G147" s="78">
        <f t="shared" si="12"/>
        <v>49.258229864898759</v>
      </c>
      <c r="I147" s="58">
        <v>24</v>
      </c>
      <c r="J147" s="78">
        <v>24</v>
      </c>
      <c r="K147" s="76" t="s">
        <v>1492</v>
      </c>
      <c r="L147" s="78">
        <v>0.5</v>
      </c>
      <c r="M147" s="77">
        <v>125</v>
      </c>
      <c r="N147" s="78">
        <f t="shared" si="13"/>
        <v>186.020505532095</v>
      </c>
    </row>
    <row r="148" spans="2:14" x14ac:dyDescent="0.15">
      <c r="B148" s="58">
        <v>8</v>
      </c>
      <c r="C148" s="75">
        <v>8.625</v>
      </c>
      <c r="D148" s="76">
        <v>60</v>
      </c>
      <c r="E148" s="78">
        <v>0.40600000000000003</v>
      </c>
      <c r="F148" s="66">
        <v>35.700000000000003</v>
      </c>
      <c r="G148" s="78">
        <f t="shared" si="12"/>
        <v>53.12745637996634</v>
      </c>
      <c r="I148" s="58">
        <v>24</v>
      </c>
      <c r="J148" s="78">
        <v>24</v>
      </c>
      <c r="K148" s="76">
        <v>30</v>
      </c>
      <c r="L148" s="78">
        <v>0.56200000000000006</v>
      </c>
      <c r="M148" s="77">
        <v>141</v>
      </c>
      <c r="N148" s="78">
        <f t="shared" si="13"/>
        <v>209.83113024020315</v>
      </c>
    </row>
    <row r="149" spans="2:14" x14ac:dyDescent="0.15">
      <c r="B149" s="58">
        <v>8</v>
      </c>
      <c r="C149" s="75">
        <v>8.625</v>
      </c>
      <c r="D149" s="76" t="s">
        <v>1495</v>
      </c>
      <c r="E149" s="78">
        <v>0.438</v>
      </c>
      <c r="F149" s="66">
        <v>38.33</v>
      </c>
      <c r="G149" s="78">
        <f t="shared" si="12"/>
        <v>57.041327816361608</v>
      </c>
      <c r="I149" s="58">
        <v>24</v>
      </c>
      <c r="J149" s="78">
        <v>24</v>
      </c>
      <c r="K149" s="87" t="s">
        <v>1496</v>
      </c>
      <c r="L149" s="78">
        <v>0.625</v>
      </c>
      <c r="M149" s="77">
        <v>156</v>
      </c>
      <c r="N149" s="78">
        <f t="shared" si="13"/>
        <v>232.15359090405457</v>
      </c>
    </row>
    <row r="150" spans="2:14" x14ac:dyDescent="0.15">
      <c r="B150" s="58">
        <v>8</v>
      </c>
      <c r="C150" s="75">
        <v>8.625</v>
      </c>
      <c r="D150" s="76" t="s">
        <v>1492</v>
      </c>
      <c r="E150" s="78">
        <v>0.5</v>
      </c>
      <c r="F150" s="66">
        <v>43.39</v>
      </c>
      <c r="G150" s="78">
        <f t="shared" si="12"/>
        <v>64.57143788030082</v>
      </c>
      <c r="I150" s="58">
        <v>24</v>
      </c>
      <c r="J150" s="78">
        <v>24</v>
      </c>
      <c r="K150" s="76">
        <v>40</v>
      </c>
      <c r="L150" s="78">
        <v>0.68799999999999994</v>
      </c>
      <c r="M150" s="77">
        <v>171</v>
      </c>
      <c r="N150" s="78">
        <f t="shared" si="13"/>
        <v>254.47605156790601</v>
      </c>
    </row>
    <row r="151" spans="2:14" x14ac:dyDescent="0.15">
      <c r="B151" s="58">
        <v>8</v>
      </c>
      <c r="C151" s="75">
        <v>8.625</v>
      </c>
      <c r="D151" s="76">
        <v>100</v>
      </c>
      <c r="E151" s="78">
        <v>0.59399999999999997</v>
      </c>
      <c r="F151" s="66">
        <v>50.9</v>
      </c>
      <c r="G151" s="78">
        <f t="shared" si="12"/>
        <v>75.747549852669081</v>
      </c>
      <c r="I151" s="58">
        <v>24</v>
      </c>
      <c r="J151" s="78">
        <v>24</v>
      </c>
      <c r="K151" s="87" t="s">
        <v>1496</v>
      </c>
      <c r="L151" s="78">
        <v>0.75</v>
      </c>
      <c r="M151" s="77">
        <v>186</v>
      </c>
      <c r="N151" s="78">
        <f t="shared" si="13"/>
        <v>276.79851223175734</v>
      </c>
    </row>
    <row r="152" spans="2:14" x14ac:dyDescent="0.15">
      <c r="B152" s="58">
        <v>8</v>
      </c>
      <c r="C152" s="75">
        <v>8.625</v>
      </c>
      <c r="D152" s="87" t="s">
        <v>1496</v>
      </c>
      <c r="E152" s="78">
        <v>0.625</v>
      </c>
      <c r="F152" s="66">
        <v>53.4</v>
      </c>
      <c r="G152" s="78">
        <f t="shared" si="12"/>
        <v>79.467959963310989</v>
      </c>
      <c r="I152" s="58">
        <v>24</v>
      </c>
      <c r="J152" s="78">
        <v>24</v>
      </c>
      <c r="K152" s="87" t="s">
        <v>1496</v>
      </c>
      <c r="L152" s="78">
        <v>0.875</v>
      </c>
      <c r="M152" s="77">
        <v>216</v>
      </c>
      <c r="N152" s="78">
        <f t="shared" si="13"/>
        <v>321.44343355946017</v>
      </c>
    </row>
    <row r="153" spans="2:14" x14ac:dyDescent="0.15">
      <c r="B153" s="58">
        <v>8</v>
      </c>
      <c r="C153" s="75">
        <v>8.625</v>
      </c>
      <c r="D153" s="76">
        <v>120</v>
      </c>
      <c r="E153" s="78">
        <v>0.71899999999999997</v>
      </c>
      <c r="F153" s="66">
        <v>60.7</v>
      </c>
      <c r="G153" s="78">
        <f t="shared" si="12"/>
        <v>90.331557486385336</v>
      </c>
      <c r="I153" s="58">
        <v>24</v>
      </c>
      <c r="J153" s="78">
        <v>24</v>
      </c>
      <c r="K153" s="76">
        <v>60</v>
      </c>
      <c r="L153" s="78">
        <v>0.96899999999999997</v>
      </c>
      <c r="M153" s="77">
        <v>238</v>
      </c>
      <c r="N153" s="78">
        <f t="shared" si="13"/>
        <v>354.1830425331089</v>
      </c>
    </row>
    <row r="154" spans="2:14" x14ac:dyDescent="0.15">
      <c r="B154" s="58">
        <v>8</v>
      </c>
      <c r="C154" s="75">
        <v>8.625</v>
      </c>
      <c r="D154" s="76">
        <v>140</v>
      </c>
      <c r="E154" s="78">
        <v>0.81200000000000006</v>
      </c>
      <c r="F154" s="66">
        <v>67.8</v>
      </c>
      <c r="G154" s="78">
        <f t="shared" si="12"/>
        <v>100.89752220060834</v>
      </c>
      <c r="I154" s="58">
        <v>24</v>
      </c>
      <c r="J154" s="78">
        <v>24</v>
      </c>
      <c r="K154" s="87" t="s">
        <v>1496</v>
      </c>
      <c r="L154" s="78">
        <v>1</v>
      </c>
      <c r="M154" s="77">
        <v>246</v>
      </c>
      <c r="N154" s="78">
        <f t="shared" si="13"/>
        <v>366.08835488716295</v>
      </c>
    </row>
    <row r="155" spans="2:14" x14ac:dyDescent="0.15">
      <c r="B155" s="58">
        <v>8</v>
      </c>
      <c r="C155" s="75">
        <v>8.625</v>
      </c>
      <c r="D155" s="76" t="s">
        <v>1494</v>
      </c>
      <c r="E155" s="78">
        <v>0.875</v>
      </c>
      <c r="F155" s="66">
        <v>72.42</v>
      </c>
      <c r="G155" s="78">
        <f t="shared" si="12"/>
        <v>107.77284008507456</v>
      </c>
      <c r="I155" s="58">
        <v>24</v>
      </c>
      <c r="J155" s="78">
        <v>24</v>
      </c>
      <c r="K155" s="87" t="s">
        <v>1496</v>
      </c>
      <c r="L155" s="78">
        <v>1.125</v>
      </c>
      <c r="M155" s="77">
        <v>275</v>
      </c>
      <c r="N155" s="78">
        <f t="shared" si="13"/>
        <v>409.24511217060899</v>
      </c>
    </row>
    <row r="156" spans="2:14" x14ac:dyDescent="0.15">
      <c r="B156" s="58">
        <v>8</v>
      </c>
      <c r="C156" s="75">
        <v>8.625</v>
      </c>
      <c r="D156" s="76">
        <v>160</v>
      </c>
      <c r="E156" s="78">
        <v>0.90600000000000003</v>
      </c>
      <c r="F156" s="66">
        <v>74.7</v>
      </c>
      <c r="G156" s="78">
        <f t="shared" si="12"/>
        <v>111.16585410597999</v>
      </c>
      <c r="I156" s="58">
        <v>24</v>
      </c>
      <c r="J156" s="78">
        <v>24</v>
      </c>
      <c r="K156" s="76">
        <v>80</v>
      </c>
      <c r="L156" s="78">
        <v>1.2190000000000001</v>
      </c>
      <c r="M156" s="77">
        <v>297</v>
      </c>
      <c r="N156" s="78">
        <f t="shared" si="13"/>
        <v>441.98472114425772</v>
      </c>
    </row>
    <row r="157" spans="2:14" x14ac:dyDescent="0.15">
      <c r="B157" s="70" t="s">
        <v>850</v>
      </c>
      <c r="C157" s="79" t="s">
        <v>850</v>
      </c>
      <c r="D157" s="80" t="s">
        <v>850</v>
      </c>
      <c r="E157" s="88" t="s">
        <v>850</v>
      </c>
      <c r="F157" s="86" t="s">
        <v>850</v>
      </c>
      <c r="G157" s="86"/>
      <c r="I157" s="58">
        <v>24</v>
      </c>
      <c r="J157" s="78">
        <v>24</v>
      </c>
      <c r="K157" s="87" t="s">
        <v>1496</v>
      </c>
      <c r="L157" s="78">
        <v>1.25</v>
      </c>
      <c r="M157" s="77">
        <v>304</v>
      </c>
      <c r="N157" s="78">
        <f t="shared" si="13"/>
        <v>452.40186945405503</v>
      </c>
    </row>
    <row r="158" spans="2:14" x14ac:dyDescent="0.15">
      <c r="B158" s="96">
        <v>10</v>
      </c>
      <c r="C158" s="105">
        <v>10.75</v>
      </c>
      <c r="D158" s="82" t="s">
        <v>1497</v>
      </c>
      <c r="E158" s="98">
        <v>0.104</v>
      </c>
      <c r="F158" s="82">
        <v>11.83</v>
      </c>
      <c r="G158" s="104">
        <f t="shared" ref="G158:G179" si="14">F158*3.2808399*0.4535924</f>
        <v>17.604980643557472</v>
      </c>
      <c r="I158" s="58">
        <v>24</v>
      </c>
      <c r="J158" s="78">
        <v>24</v>
      </c>
      <c r="K158" s="87" t="s">
        <v>1496</v>
      </c>
      <c r="L158" s="78">
        <v>1.375</v>
      </c>
      <c r="M158" s="77">
        <v>332</v>
      </c>
      <c r="N158" s="78">
        <f t="shared" si="13"/>
        <v>494.07046269324439</v>
      </c>
    </row>
    <row r="159" spans="2:14" x14ac:dyDescent="0.15">
      <c r="B159" s="99">
        <v>10</v>
      </c>
      <c r="C159" s="100">
        <v>10.75</v>
      </c>
      <c r="D159" s="75" t="s">
        <v>1500</v>
      </c>
      <c r="E159" s="75">
        <v>0.13400000000000001</v>
      </c>
      <c r="F159" s="77">
        <v>15.21</v>
      </c>
      <c r="G159" s="78">
        <f t="shared" si="14"/>
        <v>22.63497511314532</v>
      </c>
      <c r="I159" s="58">
        <v>24</v>
      </c>
      <c r="J159" s="78">
        <v>24</v>
      </c>
      <c r="K159" s="87" t="s">
        <v>1496</v>
      </c>
      <c r="L159" s="78">
        <v>1.5</v>
      </c>
      <c r="M159" s="77">
        <v>361</v>
      </c>
      <c r="N159" s="78">
        <f t="shared" si="13"/>
        <v>537.22721997669044</v>
      </c>
    </row>
    <row r="160" spans="2:14" x14ac:dyDescent="0.15">
      <c r="B160" s="99">
        <v>10</v>
      </c>
      <c r="C160" s="100">
        <v>10.75</v>
      </c>
      <c r="D160" s="75" t="s">
        <v>1498</v>
      </c>
      <c r="E160" s="75">
        <v>0.16400000000000001</v>
      </c>
      <c r="F160" s="77">
        <v>18.559999999999999</v>
      </c>
      <c r="G160" s="78">
        <f t="shared" si="14"/>
        <v>27.620324661405466</v>
      </c>
      <c r="I160" s="58">
        <v>24</v>
      </c>
      <c r="J160" s="78">
        <v>24</v>
      </c>
      <c r="K160" s="76">
        <v>100</v>
      </c>
      <c r="L160" s="78">
        <v>1.5309999999999999</v>
      </c>
      <c r="M160" s="77">
        <v>367</v>
      </c>
      <c r="N160" s="78">
        <f t="shared" si="13"/>
        <v>546.15620424223096</v>
      </c>
    </row>
    <row r="161" spans="2:14" x14ac:dyDescent="0.15">
      <c r="B161" s="99">
        <v>10</v>
      </c>
      <c r="C161" s="100">
        <v>10.75</v>
      </c>
      <c r="D161" s="75" t="s">
        <v>1493</v>
      </c>
      <c r="E161" s="75">
        <v>0.16500000000000001</v>
      </c>
      <c r="F161" s="77">
        <v>18.649999999999999</v>
      </c>
      <c r="G161" s="78">
        <f t="shared" si="14"/>
        <v>27.754259425388575</v>
      </c>
      <c r="I161" s="58">
        <v>24</v>
      </c>
      <c r="J161" s="78">
        <v>24</v>
      </c>
      <c r="K161" s="76">
        <v>120</v>
      </c>
      <c r="L161" s="78">
        <v>1.8120000000000001</v>
      </c>
      <c r="M161" s="77">
        <v>429</v>
      </c>
      <c r="N161" s="78">
        <f t="shared" si="13"/>
        <v>638.42237498615009</v>
      </c>
    </row>
    <row r="162" spans="2:14" x14ac:dyDescent="0.15">
      <c r="B162" s="99">
        <v>10</v>
      </c>
      <c r="C162" s="100">
        <v>10.75</v>
      </c>
      <c r="D162" s="75" t="s">
        <v>1495</v>
      </c>
      <c r="E162" s="75">
        <v>0.188</v>
      </c>
      <c r="F162" s="77">
        <v>21.12</v>
      </c>
      <c r="G162" s="78">
        <f t="shared" si="14"/>
        <v>31.430024614702777</v>
      </c>
      <c r="I162" s="58">
        <v>24</v>
      </c>
      <c r="J162" s="78">
        <v>24</v>
      </c>
      <c r="K162" s="76">
        <v>140</v>
      </c>
      <c r="L162" s="78">
        <v>2.0619999999999998</v>
      </c>
      <c r="M162" s="77">
        <v>484</v>
      </c>
      <c r="N162" s="78">
        <f t="shared" si="13"/>
        <v>720.27139742027191</v>
      </c>
    </row>
    <row r="163" spans="2:14" x14ac:dyDescent="0.15">
      <c r="B163" s="96">
        <v>10</v>
      </c>
      <c r="C163" s="97">
        <v>10.75</v>
      </c>
      <c r="D163" s="75" t="s">
        <v>1501</v>
      </c>
      <c r="E163" s="75">
        <v>0.19400000000000001</v>
      </c>
      <c r="F163" s="77">
        <v>21.89</v>
      </c>
      <c r="G163" s="78">
        <f t="shared" si="14"/>
        <v>32.57591092878048</v>
      </c>
      <c r="I163" s="58">
        <v>24</v>
      </c>
      <c r="J163" s="78">
        <v>24</v>
      </c>
      <c r="K163" s="76">
        <v>160</v>
      </c>
      <c r="L163" s="78">
        <v>2.3439999999999999</v>
      </c>
      <c r="M163" s="77">
        <v>542</v>
      </c>
      <c r="N163" s="78">
        <f t="shared" si="13"/>
        <v>806.58491198716399</v>
      </c>
    </row>
    <row r="164" spans="2:14" x14ac:dyDescent="0.15">
      <c r="B164" s="99">
        <v>10</v>
      </c>
      <c r="C164" s="100">
        <v>10.75</v>
      </c>
      <c r="D164" s="75" t="s">
        <v>1495</v>
      </c>
      <c r="E164" s="75">
        <v>0.20300000000000001</v>
      </c>
      <c r="F164" s="77">
        <v>22.86</v>
      </c>
      <c r="G164" s="78">
        <f t="shared" si="14"/>
        <v>34.019430051709534</v>
      </c>
      <c r="I164" s="95" t="s">
        <v>850</v>
      </c>
      <c r="J164" s="88" t="s">
        <v>850</v>
      </c>
      <c r="K164" s="80" t="s">
        <v>850</v>
      </c>
      <c r="L164" s="88" t="s">
        <v>850</v>
      </c>
      <c r="M164" s="94" t="s">
        <v>850</v>
      </c>
      <c r="N164" s="94" t="s">
        <v>850</v>
      </c>
    </row>
    <row r="165" spans="2:14" x14ac:dyDescent="0.15">
      <c r="B165" s="99">
        <v>10</v>
      </c>
      <c r="C165" s="100">
        <v>10.75</v>
      </c>
      <c r="D165" s="75" t="s">
        <v>1495</v>
      </c>
      <c r="E165" s="75">
        <v>0.219</v>
      </c>
      <c r="F165" s="66">
        <v>24.6</v>
      </c>
      <c r="G165" s="78">
        <f t="shared" si="14"/>
        <v>36.608835488716302</v>
      </c>
      <c r="I165" s="58">
        <v>26</v>
      </c>
      <c r="J165" s="78">
        <v>26</v>
      </c>
      <c r="K165" s="76" t="s">
        <v>1498</v>
      </c>
      <c r="L165" s="78">
        <v>0.16400000000000001</v>
      </c>
      <c r="M165" s="77">
        <v>45</v>
      </c>
      <c r="N165" s="78">
        <f t="shared" ref="N165:N182" si="15">M165*3.2808399*0.4535924</f>
        <v>66.967381991554205</v>
      </c>
    </row>
    <row r="166" spans="2:14" x14ac:dyDescent="0.15">
      <c r="B166" s="99">
        <v>10</v>
      </c>
      <c r="C166" s="100">
        <v>10.75</v>
      </c>
      <c r="D166" s="82" t="s">
        <v>1502</v>
      </c>
      <c r="E166" s="75">
        <v>0.23899999999999999</v>
      </c>
      <c r="F166" s="66">
        <v>28.05</v>
      </c>
      <c r="G166" s="78">
        <f t="shared" si="14"/>
        <v>41.743001441402122</v>
      </c>
      <c r="I166" s="58">
        <v>26</v>
      </c>
      <c r="J166" s="78">
        <v>26</v>
      </c>
      <c r="K166" s="76" t="s">
        <v>1501</v>
      </c>
      <c r="L166" s="78">
        <v>0.19400000000000001</v>
      </c>
      <c r="M166" s="77">
        <v>54</v>
      </c>
      <c r="N166" s="78">
        <f t="shared" si="15"/>
        <v>80.360858389865044</v>
      </c>
    </row>
    <row r="167" spans="2:14" x14ac:dyDescent="0.15">
      <c r="B167" s="99">
        <v>10</v>
      </c>
      <c r="C167" s="100">
        <v>10.75</v>
      </c>
      <c r="D167" s="75">
        <v>20</v>
      </c>
      <c r="E167" s="78">
        <v>0.25</v>
      </c>
      <c r="F167" s="66">
        <v>28.03</v>
      </c>
      <c r="G167" s="78">
        <f t="shared" si="14"/>
        <v>41.713238160516987</v>
      </c>
      <c r="I167" s="58">
        <v>26</v>
      </c>
      <c r="J167" s="78">
        <v>26</v>
      </c>
      <c r="K167" s="76" t="s">
        <v>1502</v>
      </c>
      <c r="L167" s="78">
        <v>0.23899999999999999</v>
      </c>
      <c r="M167" s="77">
        <v>66</v>
      </c>
      <c r="N167" s="78">
        <f t="shared" si="15"/>
        <v>98.218826920946171</v>
      </c>
    </row>
    <row r="168" spans="2:14" x14ac:dyDescent="0.15">
      <c r="B168" s="99">
        <v>10</v>
      </c>
      <c r="C168" s="100">
        <v>10.75</v>
      </c>
      <c r="D168" s="75" t="s">
        <v>1495</v>
      </c>
      <c r="E168" s="78">
        <v>0.27900000000000003</v>
      </c>
      <c r="F168" s="66">
        <v>31.2</v>
      </c>
      <c r="G168" s="78">
        <f t="shared" si="14"/>
        <v>46.430718180810914</v>
      </c>
      <c r="I168" s="58">
        <v>26</v>
      </c>
      <c r="J168" s="78">
        <v>26</v>
      </c>
      <c r="K168" s="76" t="s">
        <v>1495</v>
      </c>
      <c r="L168" s="78">
        <v>0.25</v>
      </c>
      <c r="M168" s="77">
        <v>67</v>
      </c>
      <c r="N168" s="78">
        <f t="shared" si="15"/>
        <v>99.70699096520292</v>
      </c>
    </row>
    <row r="169" spans="2:14" x14ac:dyDescent="0.15">
      <c r="B169" s="99">
        <v>10</v>
      </c>
      <c r="C169" s="100">
        <v>10.75</v>
      </c>
      <c r="D169" s="82">
        <v>30</v>
      </c>
      <c r="E169" s="78">
        <v>0.307</v>
      </c>
      <c r="F169" s="66">
        <v>34.24</v>
      </c>
      <c r="G169" s="78">
        <f t="shared" si="14"/>
        <v>50.954736875351465</v>
      </c>
      <c r="I169" s="58">
        <v>26</v>
      </c>
      <c r="J169" s="78">
        <v>26</v>
      </c>
      <c r="K169" s="76" t="s">
        <v>1495</v>
      </c>
      <c r="L169" s="78">
        <v>0.28100000000000003</v>
      </c>
      <c r="M169" s="77">
        <v>77</v>
      </c>
      <c r="N169" s="78">
        <f t="shared" si="15"/>
        <v>114.58863140777054</v>
      </c>
    </row>
    <row r="170" spans="2:14" x14ac:dyDescent="0.15">
      <c r="B170" s="99">
        <v>10</v>
      </c>
      <c r="C170" s="100">
        <v>10.75</v>
      </c>
      <c r="D170" s="75" t="s">
        <v>1495</v>
      </c>
      <c r="E170" s="78">
        <v>0.34399999999999997</v>
      </c>
      <c r="F170" s="66">
        <v>38.26</v>
      </c>
      <c r="G170" s="78">
        <f t="shared" si="14"/>
        <v>56.937156333263637</v>
      </c>
      <c r="I170" s="58">
        <v>26</v>
      </c>
      <c r="J170" s="78">
        <v>26</v>
      </c>
      <c r="K170" s="76" t="s">
        <v>1495</v>
      </c>
      <c r="L170" s="78">
        <v>0.312</v>
      </c>
      <c r="M170" s="77">
        <v>84</v>
      </c>
      <c r="N170" s="78">
        <f t="shared" si="15"/>
        <v>125.00577971756785</v>
      </c>
    </row>
    <row r="171" spans="2:14" x14ac:dyDescent="0.15">
      <c r="B171" s="99">
        <v>10</v>
      </c>
      <c r="C171" s="100">
        <v>10.75</v>
      </c>
      <c r="D171" s="101" t="s">
        <v>1491</v>
      </c>
      <c r="E171" s="78">
        <v>0.36499999999999999</v>
      </c>
      <c r="F171" s="66">
        <v>40.479999999999997</v>
      </c>
      <c r="G171" s="78">
        <f t="shared" si="14"/>
        <v>60.240880511513645</v>
      </c>
      <c r="I171" s="58">
        <v>26</v>
      </c>
      <c r="J171" s="78">
        <v>26</v>
      </c>
      <c r="K171" s="76" t="s">
        <v>1495</v>
      </c>
      <c r="L171" s="78">
        <v>0.34399999999999997</v>
      </c>
      <c r="M171" s="77">
        <v>94</v>
      </c>
      <c r="N171" s="78">
        <f t="shared" si="15"/>
        <v>139.88742016013546</v>
      </c>
    </row>
    <row r="172" spans="2:14" x14ac:dyDescent="0.15">
      <c r="B172" s="99">
        <v>10</v>
      </c>
      <c r="C172" s="100">
        <v>10.75</v>
      </c>
      <c r="D172" s="75" t="s">
        <v>1495</v>
      </c>
      <c r="E172" s="78">
        <v>0.438</v>
      </c>
      <c r="F172" s="66">
        <v>48.28</v>
      </c>
      <c r="G172" s="78">
        <f t="shared" si="14"/>
        <v>71.84856005671638</v>
      </c>
      <c r="I172" s="58">
        <v>26</v>
      </c>
      <c r="J172" s="78">
        <v>26</v>
      </c>
      <c r="K172" s="76" t="s">
        <v>1495</v>
      </c>
      <c r="L172" s="78">
        <v>0.375</v>
      </c>
      <c r="M172" s="77">
        <v>103</v>
      </c>
      <c r="N172" s="78">
        <f t="shared" si="15"/>
        <v>153.28089655844627</v>
      </c>
    </row>
    <row r="173" spans="2:14" x14ac:dyDescent="0.15">
      <c r="B173" s="99">
        <v>10</v>
      </c>
      <c r="C173" s="100">
        <v>10.75</v>
      </c>
      <c r="D173" s="82" t="s">
        <v>1492</v>
      </c>
      <c r="E173" s="78">
        <v>0.5</v>
      </c>
      <c r="F173" s="66">
        <v>54.74</v>
      </c>
      <c r="G173" s="78">
        <f t="shared" si="14"/>
        <v>81.462099782615041</v>
      </c>
      <c r="I173" s="58">
        <v>26</v>
      </c>
      <c r="J173" s="78">
        <v>26</v>
      </c>
      <c r="K173" s="76" t="s">
        <v>1495</v>
      </c>
      <c r="L173" s="78">
        <v>0.40600000000000003</v>
      </c>
      <c r="M173" s="77">
        <v>111</v>
      </c>
      <c r="N173" s="78">
        <f t="shared" si="15"/>
        <v>165.18620891250038</v>
      </c>
    </row>
    <row r="174" spans="2:14" x14ac:dyDescent="0.15">
      <c r="B174" s="99">
        <v>10</v>
      </c>
      <c r="C174" s="100">
        <v>10.75</v>
      </c>
      <c r="D174" s="75">
        <v>80</v>
      </c>
      <c r="E174" s="78">
        <v>0.59399999999999997</v>
      </c>
      <c r="F174" s="66">
        <v>64.400000000000006</v>
      </c>
      <c r="G174" s="78">
        <f t="shared" si="14"/>
        <v>95.837764450135353</v>
      </c>
      <c r="I174" s="58">
        <v>26</v>
      </c>
      <c r="J174" s="78">
        <v>26</v>
      </c>
      <c r="K174" s="76" t="s">
        <v>1495</v>
      </c>
      <c r="L174" s="78">
        <v>0.438</v>
      </c>
      <c r="M174" s="77">
        <v>120</v>
      </c>
      <c r="N174" s="78">
        <f t="shared" si="15"/>
        <v>178.57968531081119</v>
      </c>
    </row>
    <row r="175" spans="2:14" x14ac:dyDescent="0.15">
      <c r="B175" s="99">
        <v>10</v>
      </c>
      <c r="C175" s="100">
        <v>10.75</v>
      </c>
      <c r="D175" s="75">
        <v>100</v>
      </c>
      <c r="E175" s="78">
        <v>0.71899999999999997</v>
      </c>
      <c r="F175" s="66">
        <v>77</v>
      </c>
      <c r="G175" s="78">
        <f t="shared" si="14"/>
        <v>114.58863140777054</v>
      </c>
      <c r="I175" s="58">
        <v>26</v>
      </c>
      <c r="J175" s="78">
        <v>26</v>
      </c>
      <c r="K175" s="76" t="s">
        <v>1495</v>
      </c>
      <c r="L175" s="78">
        <v>0.5</v>
      </c>
      <c r="M175" s="77">
        <v>136</v>
      </c>
      <c r="N175" s="78">
        <f t="shared" si="15"/>
        <v>202.39031001891939</v>
      </c>
    </row>
    <row r="176" spans="2:14" x14ac:dyDescent="0.15">
      <c r="B176" s="99">
        <v>10</v>
      </c>
      <c r="C176" s="100">
        <v>10.75</v>
      </c>
      <c r="D176" s="102" t="s">
        <v>1496</v>
      </c>
      <c r="E176" s="78">
        <v>0.75</v>
      </c>
      <c r="F176" s="66">
        <v>80.099999999999994</v>
      </c>
      <c r="G176" s="78">
        <f t="shared" si="14"/>
        <v>119.20193994496647</v>
      </c>
      <c r="I176" s="58">
        <v>26</v>
      </c>
      <c r="J176" s="78">
        <v>26</v>
      </c>
      <c r="K176" s="87" t="s">
        <v>1496</v>
      </c>
      <c r="L176" s="78">
        <v>0.625</v>
      </c>
      <c r="M176" s="77">
        <v>169</v>
      </c>
      <c r="N176" s="78">
        <f t="shared" si="15"/>
        <v>251.49972347939243</v>
      </c>
    </row>
    <row r="177" spans="2:14" x14ac:dyDescent="0.15">
      <c r="B177" s="99">
        <v>10</v>
      </c>
      <c r="C177" s="100">
        <v>10.75</v>
      </c>
      <c r="D177" s="75">
        <v>120</v>
      </c>
      <c r="E177" s="78">
        <v>0.84399999999999997</v>
      </c>
      <c r="F177" s="66">
        <v>89.2</v>
      </c>
      <c r="G177" s="78">
        <f t="shared" si="14"/>
        <v>132.74423274770299</v>
      </c>
      <c r="I177" s="58">
        <v>26</v>
      </c>
      <c r="J177" s="78">
        <v>26</v>
      </c>
      <c r="K177" s="87" t="s">
        <v>1496</v>
      </c>
      <c r="L177" s="78">
        <v>0.75</v>
      </c>
      <c r="M177" s="77">
        <v>202</v>
      </c>
      <c r="N177" s="78">
        <f t="shared" si="15"/>
        <v>300.60913693986555</v>
      </c>
    </row>
    <row r="178" spans="2:14" x14ac:dyDescent="0.15">
      <c r="B178" s="96">
        <v>10</v>
      </c>
      <c r="C178" s="97">
        <v>10.75</v>
      </c>
      <c r="D178" s="82">
        <v>140</v>
      </c>
      <c r="E178" s="78">
        <v>1</v>
      </c>
      <c r="F178" s="66">
        <v>104.2</v>
      </c>
      <c r="G178" s="78">
        <f t="shared" si="14"/>
        <v>155.06669341155441</v>
      </c>
      <c r="I178" s="58">
        <v>26</v>
      </c>
      <c r="J178" s="78">
        <v>26</v>
      </c>
      <c r="K178" s="87" t="s">
        <v>1496</v>
      </c>
      <c r="L178" s="78">
        <v>0.875</v>
      </c>
      <c r="M178" s="77">
        <v>235</v>
      </c>
      <c r="N178" s="78">
        <f t="shared" si="15"/>
        <v>349.71855040033864</v>
      </c>
    </row>
    <row r="179" spans="2:14" x14ac:dyDescent="0.15">
      <c r="B179" s="96">
        <v>10</v>
      </c>
      <c r="C179" s="97">
        <v>10.75</v>
      </c>
      <c r="D179" s="82">
        <v>160</v>
      </c>
      <c r="E179" s="78">
        <v>1.125</v>
      </c>
      <c r="F179" s="66">
        <v>116</v>
      </c>
      <c r="G179" s="78">
        <f t="shared" si="14"/>
        <v>172.62702913378416</v>
      </c>
      <c r="I179" s="58">
        <v>26</v>
      </c>
      <c r="J179" s="78">
        <v>26</v>
      </c>
      <c r="K179" s="87" t="s">
        <v>1496</v>
      </c>
      <c r="L179" s="78">
        <v>1</v>
      </c>
      <c r="M179" s="77">
        <v>267</v>
      </c>
      <c r="N179" s="78">
        <f t="shared" si="15"/>
        <v>397.33979981655494</v>
      </c>
    </row>
    <row r="180" spans="2:14" x14ac:dyDescent="0.15">
      <c r="B180" s="95" t="s">
        <v>850</v>
      </c>
      <c r="C180" s="88" t="s">
        <v>850</v>
      </c>
      <c r="D180" s="80" t="s">
        <v>850</v>
      </c>
      <c r="E180" s="88" t="s">
        <v>850</v>
      </c>
      <c r="F180" s="94" t="s">
        <v>850</v>
      </c>
      <c r="G180" s="94" t="s">
        <v>850</v>
      </c>
      <c r="I180" s="58">
        <v>26</v>
      </c>
      <c r="J180" s="78">
        <v>26</v>
      </c>
      <c r="K180" s="87" t="s">
        <v>1496</v>
      </c>
      <c r="L180" s="78">
        <v>1.125</v>
      </c>
      <c r="M180" s="77">
        <v>299</v>
      </c>
      <c r="N180" s="78">
        <f t="shared" si="15"/>
        <v>444.9610492327713</v>
      </c>
    </row>
    <row r="181" spans="2:14" x14ac:dyDescent="0.15">
      <c r="B181" s="58">
        <v>12</v>
      </c>
      <c r="C181" s="78">
        <v>12.75</v>
      </c>
      <c r="D181" s="76" t="s">
        <v>1497</v>
      </c>
      <c r="E181" s="78">
        <v>0.104</v>
      </c>
      <c r="F181" s="66">
        <v>14.1</v>
      </c>
      <c r="G181" s="78">
        <f t="shared" ref="G181:G209" si="16">F181*3.2808399*0.4535924</f>
        <v>20.983113024020316</v>
      </c>
      <c r="I181" s="58">
        <v>26</v>
      </c>
      <c r="J181" s="78">
        <v>26</v>
      </c>
      <c r="K181" s="87" t="s">
        <v>1496</v>
      </c>
      <c r="L181" s="78">
        <v>1.375</v>
      </c>
      <c r="M181" s="77">
        <v>362</v>
      </c>
      <c r="N181" s="78">
        <f t="shared" si="15"/>
        <v>538.71538402094711</v>
      </c>
    </row>
    <row r="182" spans="2:14" x14ac:dyDescent="0.15">
      <c r="B182" s="58">
        <v>12</v>
      </c>
      <c r="C182" s="78">
        <v>12.75</v>
      </c>
      <c r="D182" s="76" t="s">
        <v>1500</v>
      </c>
      <c r="E182" s="78">
        <v>0.13400000000000001</v>
      </c>
      <c r="F182" s="66">
        <v>18.100000000000001</v>
      </c>
      <c r="G182" s="78">
        <f t="shared" si="16"/>
        <v>26.935769201047361</v>
      </c>
      <c r="I182" s="58">
        <v>26</v>
      </c>
      <c r="J182" s="78">
        <v>26</v>
      </c>
      <c r="K182" s="87" t="s">
        <v>1496</v>
      </c>
      <c r="L182" s="78">
        <v>1.5</v>
      </c>
      <c r="M182" s="77">
        <v>393</v>
      </c>
      <c r="N182" s="78">
        <f t="shared" si="15"/>
        <v>584.84846939290674</v>
      </c>
    </row>
    <row r="183" spans="2:14" x14ac:dyDescent="0.15">
      <c r="B183" s="58">
        <v>12</v>
      </c>
      <c r="C183" s="78">
        <v>12.75</v>
      </c>
      <c r="D183" s="76" t="s">
        <v>1498</v>
      </c>
      <c r="E183" s="78">
        <v>0.16400000000000001</v>
      </c>
      <c r="F183" s="66">
        <v>22.1</v>
      </c>
      <c r="G183" s="78">
        <f t="shared" si="16"/>
        <v>32.888425378074402</v>
      </c>
      <c r="I183" s="95" t="s">
        <v>850</v>
      </c>
      <c r="J183" s="88" t="s">
        <v>850</v>
      </c>
      <c r="K183" s="80" t="s">
        <v>850</v>
      </c>
      <c r="L183" s="88" t="s">
        <v>850</v>
      </c>
      <c r="M183" s="94" t="s">
        <v>850</v>
      </c>
      <c r="N183" s="94" t="s">
        <v>850</v>
      </c>
    </row>
    <row r="184" spans="2:14" x14ac:dyDescent="0.15">
      <c r="B184" s="58">
        <v>12</v>
      </c>
      <c r="C184" s="78">
        <v>12.75</v>
      </c>
      <c r="D184" s="76" t="s">
        <v>1493</v>
      </c>
      <c r="E184" s="78">
        <v>0.18</v>
      </c>
      <c r="F184" s="66">
        <v>24.2</v>
      </c>
      <c r="G184" s="78">
        <f t="shared" si="16"/>
        <v>36.013569871013594</v>
      </c>
      <c r="I184" s="58">
        <v>30</v>
      </c>
      <c r="J184" s="78">
        <v>30</v>
      </c>
      <c r="K184" s="76" t="s">
        <v>1498</v>
      </c>
      <c r="L184" s="78">
        <v>0.16400000000000001</v>
      </c>
      <c r="M184" s="77">
        <v>52</v>
      </c>
      <c r="N184" s="78">
        <f t="shared" ref="N184:N202" si="17">M184*3.2808399*0.4535924</f>
        <v>77.384530301351532</v>
      </c>
    </row>
    <row r="185" spans="2:14" x14ac:dyDescent="0.15">
      <c r="B185" s="58">
        <v>12</v>
      </c>
      <c r="C185" s="78">
        <v>12.75</v>
      </c>
      <c r="D185" s="76" t="s">
        <v>1501</v>
      </c>
      <c r="E185" s="78">
        <v>0.19400000000000001</v>
      </c>
      <c r="F185" s="66">
        <v>26</v>
      </c>
      <c r="G185" s="78">
        <f t="shared" si="16"/>
        <v>38.692265150675766</v>
      </c>
      <c r="I185" s="58">
        <v>30</v>
      </c>
      <c r="J185" s="78">
        <v>30</v>
      </c>
      <c r="K185" s="76" t="s">
        <v>1501</v>
      </c>
      <c r="L185" s="78">
        <v>0.19400000000000001</v>
      </c>
      <c r="M185" s="77">
        <v>62</v>
      </c>
      <c r="N185" s="78">
        <f t="shared" si="17"/>
        <v>92.266170743919119</v>
      </c>
    </row>
    <row r="186" spans="2:14" x14ac:dyDescent="0.15">
      <c r="B186" s="58">
        <v>12</v>
      </c>
      <c r="C186" s="78">
        <v>12.75</v>
      </c>
      <c r="D186" s="76" t="s">
        <v>1495</v>
      </c>
      <c r="E186" s="78">
        <v>0.20300000000000001</v>
      </c>
      <c r="F186" s="66">
        <v>27.2</v>
      </c>
      <c r="G186" s="78">
        <f t="shared" si="16"/>
        <v>40.478062003783876</v>
      </c>
      <c r="I186" s="58">
        <v>30</v>
      </c>
      <c r="J186" s="78">
        <v>30</v>
      </c>
      <c r="K186" s="76" t="s">
        <v>1502</v>
      </c>
      <c r="L186" s="78">
        <v>0.23899999999999999</v>
      </c>
      <c r="M186" s="77">
        <v>76</v>
      </c>
      <c r="N186" s="78">
        <f t="shared" si="17"/>
        <v>113.10046736351376</v>
      </c>
    </row>
    <row r="187" spans="2:14" x14ac:dyDescent="0.15">
      <c r="B187" s="58">
        <v>12</v>
      </c>
      <c r="C187" s="78">
        <v>12.75</v>
      </c>
      <c r="D187" s="76" t="s">
        <v>1495</v>
      </c>
      <c r="E187" s="78">
        <v>0.219</v>
      </c>
      <c r="F187" s="66">
        <v>29.3</v>
      </c>
      <c r="G187" s="78">
        <f t="shared" si="16"/>
        <v>43.603206496723075</v>
      </c>
      <c r="I187" s="58">
        <v>30</v>
      </c>
      <c r="J187" s="78">
        <v>30</v>
      </c>
      <c r="K187" s="76" t="s">
        <v>1495</v>
      </c>
      <c r="L187" s="78">
        <v>0.25</v>
      </c>
      <c r="M187" s="77">
        <v>79</v>
      </c>
      <c r="N187" s="78">
        <f t="shared" si="17"/>
        <v>117.56495949628405</v>
      </c>
    </row>
    <row r="188" spans="2:14" x14ac:dyDescent="0.15">
      <c r="B188" s="58">
        <v>12</v>
      </c>
      <c r="C188" s="78">
        <v>12.75</v>
      </c>
      <c r="D188" s="76" t="s">
        <v>1502</v>
      </c>
      <c r="E188" s="78">
        <v>0.23899999999999999</v>
      </c>
      <c r="F188" s="66">
        <v>32</v>
      </c>
      <c r="G188" s="78">
        <f t="shared" si="16"/>
        <v>47.621249416216322</v>
      </c>
      <c r="I188" s="58">
        <v>30</v>
      </c>
      <c r="J188" s="78">
        <v>30</v>
      </c>
      <c r="K188" s="76" t="s">
        <v>1495</v>
      </c>
      <c r="L188" s="78">
        <v>0.28100000000000003</v>
      </c>
      <c r="M188" s="77">
        <v>89</v>
      </c>
      <c r="N188" s="78">
        <f t="shared" si="17"/>
        <v>132.44659993885165</v>
      </c>
    </row>
    <row r="189" spans="2:14" x14ac:dyDescent="0.15">
      <c r="B189" s="58">
        <v>12</v>
      </c>
      <c r="C189" s="78">
        <v>12.75</v>
      </c>
      <c r="D189" s="76">
        <v>20</v>
      </c>
      <c r="E189" s="78">
        <v>0.25</v>
      </c>
      <c r="F189" s="66">
        <v>33.4</v>
      </c>
      <c r="G189" s="78">
        <f t="shared" si="16"/>
        <v>49.704679078175786</v>
      </c>
      <c r="I189" s="58">
        <v>30</v>
      </c>
      <c r="J189" s="78">
        <v>30</v>
      </c>
      <c r="K189" s="76">
        <v>10</v>
      </c>
      <c r="L189" s="78">
        <v>0.312</v>
      </c>
      <c r="M189" s="77">
        <v>99</v>
      </c>
      <c r="N189" s="78">
        <f t="shared" si="17"/>
        <v>147.32824038141925</v>
      </c>
    </row>
    <row r="190" spans="2:14" x14ac:dyDescent="0.15">
      <c r="B190" s="58">
        <v>12</v>
      </c>
      <c r="C190" s="78">
        <v>12.75</v>
      </c>
      <c r="D190" s="76" t="s">
        <v>1495</v>
      </c>
      <c r="E190" s="78">
        <v>0.28100000000000003</v>
      </c>
      <c r="F190" s="66">
        <v>37.4</v>
      </c>
      <c r="G190" s="78">
        <f t="shared" si="16"/>
        <v>55.657335255202831</v>
      </c>
      <c r="I190" s="58">
        <v>30</v>
      </c>
      <c r="J190" s="78">
        <v>30</v>
      </c>
      <c r="K190" s="76" t="s">
        <v>1495</v>
      </c>
      <c r="L190" s="78">
        <v>0.34399999999999997</v>
      </c>
      <c r="M190" s="77">
        <v>109</v>
      </c>
      <c r="N190" s="78">
        <f t="shared" si="17"/>
        <v>162.20988082398685</v>
      </c>
    </row>
    <row r="191" spans="2:14" x14ac:dyDescent="0.15">
      <c r="B191" s="58">
        <v>12</v>
      </c>
      <c r="C191" s="78">
        <v>12.75</v>
      </c>
      <c r="D191" s="76" t="s">
        <v>1495</v>
      </c>
      <c r="E191" s="78">
        <v>0.312</v>
      </c>
      <c r="F191" s="66">
        <v>41.5</v>
      </c>
      <c r="G191" s="78">
        <f t="shared" si="16"/>
        <v>61.758807836655549</v>
      </c>
      <c r="I191" s="58">
        <v>30</v>
      </c>
      <c r="J191" s="78">
        <v>30</v>
      </c>
      <c r="K191" s="76" t="s">
        <v>1495</v>
      </c>
      <c r="L191" s="78">
        <v>0.375</v>
      </c>
      <c r="M191" s="77">
        <v>119</v>
      </c>
      <c r="N191" s="78">
        <f t="shared" si="17"/>
        <v>177.09152126655445</v>
      </c>
    </row>
    <row r="192" spans="2:14" x14ac:dyDescent="0.15">
      <c r="B192" s="58">
        <v>12</v>
      </c>
      <c r="C192" s="78">
        <v>12.75</v>
      </c>
      <c r="D192" s="76">
        <v>30</v>
      </c>
      <c r="E192" s="78">
        <v>0.33</v>
      </c>
      <c r="F192" s="66">
        <v>43.8</v>
      </c>
      <c r="G192" s="78">
        <f t="shared" si="16"/>
        <v>65.181585138446096</v>
      </c>
      <c r="I192" s="58">
        <v>30</v>
      </c>
      <c r="J192" s="78">
        <v>30</v>
      </c>
      <c r="K192" s="76" t="s">
        <v>1495</v>
      </c>
      <c r="L192" s="78">
        <v>0.40600000000000003</v>
      </c>
      <c r="M192" s="77">
        <v>130</v>
      </c>
      <c r="N192" s="78">
        <f t="shared" si="17"/>
        <v>193.46132575337882</v>
      </c>
    </row>
    <row r="193" spans="2:14" x14ac:dyDescent="0.15">
      <c r="B193" s="58">
        <v>12</v>
      </c>
      <c r="C193" s="78">
        <v>12.75</v>
      </c>
      <c r="D193" s="76" t="s">
        <v>1495</v>
      </c>
      <c r="E193" s="78">
        <v>0.34399999999999997</v>
      </c>
      <c r="F193" s="66">
        <v>45.5</v>
      </c>
      <c r="G193" s="78">
        <f t="shared" si="16"/>
        <v>67.711464013682587</v>
      </c>
      <c r="I193" s="58">
        <v>30</v>
      </c>
      <c r="J193" s="78">
        <v>30</v>
      </c>
      <c r="K193" s="76" t="s">
        <v>1495</v>
      </c>
      <c r="L193" s="78">
        <v>0.438</v>
      </c>
      <c r="M193" s="77">
        <v>138</v>
      </c>
      <c r="N193" s="78">
        <f t="shared" si="17"/>
        <v>205.36663810743289</v>
      </c>
    </row>
    <row r="194" spans="2:14" x14ac:dyDescent="0.15">
      <c r="B194" s="58">
        <v>12</v>
      </c>
      <c r="C194" s="78">
        <v>12.75</v>
      </c>
      <c r="D194" s="93" t="s">
        <v>1491</v>
      </c>
      <c r="E194" s="78">
        <v>0.375</v>
      </c>
      <c r="F194" s="66">
        <v>49.6</v>
      </c>
      <c r="G194" s="78">
        <f t="shared" si="16"/>
        <v>73.812936595135298</v>
      </c>
      <c r="I194" s="58">
        <v>30</v>
      </c>
      <c r="J194" s="78">
        <v>30</v>
      </c>
      <c r="K194" s="76">
        <v>20</v>
      </c>
      <c r="L194" s="78">
        <v>0.5</v>
      </c>
      <c r="M194" s="77">
        <v>158</v>
      </c>
      <c r="N194" s="78">
        <f t="shared" si="17"/>
        <v>235.12991899256809</v>
      </c>
    </row>
    <row r="195" spans="2:14" x14ac:dyDescent="0.15">
      <c r="B195" s="58">
        <v>12</v>
      </c>
      <c r="C195" s="78">
        <v>12.75</v>
      </c>
      <c r="D195" s="76">
        <v>40</v>
      </c>
      <c r="E195" s="78">
        <v>0.40600000000000003</v>
      </c>
      <c r="F195" s="66">
        <v>53.6</v>
      </c>
      <c r="G195" s="78">
        <f t="shared" si="16"/>
        <v>79.76559277216235</v>
      </c>
      <c r="I195" s="58">
        <v>30</v>
      </c>
      <c r="J195" s="78">
        <v>30</v>
      </c>
      <c r="K195" s="76">
        <v>30</v>
      </c>
      <c r="L195" s="78">
        <v>0.625</v>
      </c>
      <c r="M195" s="77">
        <v>196</v>
      </c>
      <c r="N195" s="78">
        <f t="shared" si="17"/>
        <v>291.68015267432497</v>
      </c>
    </row>
    <row r="196" spans="2:14" x14ac:dyDescent="0.15">
      <c r="B196" s="58">
        <v>12</v>
      </c>
      <c r="C196" s="78">
        <v>12.75</v>
      </c>
      <c r="D196" s="76" t="s">
        <v>1495</v>
      </c>
      <c r="E196" s="78">
        <v>0.438</v>
      </c>
      <c r="F196" s="66">
        <v>57.5</v>
      </c>
      <c r="G196" s="78">
        <f t="shared" si="16"/>
        <v>85.569432544763714</v>
      </c>
      <c r="I196" s="58">
        <v>30</v>
      </c>
      <c r="J196" s="78">
        <v>30</v>
      </c>
      <c r="K196" s="87" t="s">
        <v>1496</v>
      </c>
      <c r="L196" s="78">
        <v>0.75</v>
      </c>
      <c r="M196" s="77">
        <v>234</v>
      </c>
      <c r="N196" s="78">
        <f t="shared" si="17"/>
        <v>348.23038635608185</v>
      </c>
    </row>
    <row r="197" spans="2:14" x14ac:dyDescent="0.15">
      <c r="B197" s="58">
        <v>12</v>
      </c>
      <c r="C197" s="78">
        <v>12.75</v>
      </c>
      <c r="D197" s="76" t="s">
        <v>1492</v>
      </c>
      <c r="E197" s="78">
        <v>0.5</v>
      </c>
      <c r="F197" s="66">
        <v>65.400000000000006</v>
      </c>
      <c r="G197" s="78">
        <f t="shared" si="16"/>
        <v>97.32592849439213</v>
      </c>
      <c r="I197" s="58">
        <v>30</v>
      </c>
      <c r="J197" s="78">
        <v>30</v>
      </c>
      <c r="K197" s="87" t="s">
        <v>1496</v>
      </c>
      <c r="L197" s="78">
        <v>0.875</v>
      </c>
      <c r="M197" s="77">
        <v>272</v>
      </c>
      <c r="N197" s="78">
        <f t="shared" si="17"/>
        <v>404.78062003783879</v>
      </c>
    </row>
    <row r="198" spans="2:14" x14ac:dyDescent="0.15">
      <c r="B198" s="58">
        <v>12</v>
      </c>
      <c r="C198" s="78">
        <v>12.75</v>
      </c>
      <c r="D198" s="76">
        <v>60</v>
      </c>
      <c r="E198" s="78">
        <v>0.56200000000000006</v>
      </c>
      <c r="F198" s="66">
        <v>73.2</v>
      </c>
      <c r="G198" s="78">
        <f t="shared" si="16"/>
        <v>108.93360803959484</v>
      </c>
      <c r="I198" s="58">
        <v>30</v>
      </c>
      <c r="J198" s="78">
        <v>30</v>
      </c>
      <c r="K198" s="87" t="s">
        <v>1496</v>
      </c>
      <c r="L198" s="78">
        <v>1</v>
      </c>
      <c r="M198" s="77">
        <v>310</v>
      </c>
      <c r="N198" s="78">
        <f t="shared" si="17"/>
        <v>461.33085371959561</v>
      </c>
    </row>
    <row r="199" spans="2:14" x14ac:dyDescent="0.15">
      <c r="B199" s="58">
        <v>12</v>
      </c>
      <c r="C199" s="78">
        <v>12.75</v>
      </c>
      <c r="D199" s="87" t="s">
        <v>1496</v>
      </c>
      <c r="E199" s="78">
        <v>0.625</v>
      </c>
      <c r="F199" s="66">
        <v>80.900000000000006</v>
      </c>
      <c r="G199" s="78">
        <f t="shared" si="16"/>
        <v>120.3924711803719</v>
      </c>
      <c r="I199" s="58">
        <v>30</v>
      </c>
      <c r="J199" s="78">
        <v>30</v>
      </c>
      <c r="K199" s="87" t="s">
        <v>1496</v>
      </c>
      <c r="L199" s="78">
        <v>1.125</v>
      </c>
      <c r="M199" s="77">
        <v>347</v>
      </c>
      <c r="N199" s="78">
        <f t="shared" si="17"/>
        <v>516.39292335709581</v>
      </c>
    </row>
    <row r="200" spans="2:14" x14ac:dyDescent="0.15">
      <c r="B200" s="58">
        <v>12</v>
      </c>
      <c r="C200" s="78">
        <v>12.75</v>
      </c>
      <c r="D200" s="76">
        <v>80</v>
      </c>
      <c r="E200" s="78">
        <v>0.68799999999999994</v>
      </c>
      <c r="F200" s="66">
        <v>88.6</v>
      </c>
      <c r="G200" s="78">
        <f t="shared" si="16"/>
        <v>131.85133432114893</v>
      </c>
      <c r="I200" s="58">
        <v>30</v>
      </c>
      <c r="J200" s="78">
        <v>30</v>
      </c>
      <c r="K200" s="87" t="s">
        <v>1496</v>
      </c>
      <c r="L200" s="78">
        <v>1.25</v>
      </c>
      <c r="M200" s="77">
        <v>384</v>
      </c>
      <c r="N200" s="78">
        <f t="shared" si="17"/>
        <v>571.45499299459584</v>
      </c>
    </row>
    <row r="201" spans="2:14" x14ac:dyDescent="0.15">
      <c r="B201" s="58">
        <v>12</v>
      </c>
      <c r="C201" s="78">
        <v>12.75</v>
      </c>
      <c r="D201" s="87" t="s">
        <v>1496</v>
      </c>
      <c r="E201" s="78">
        <v>0.75</v>
      </c>
      <c r="F201" s="66">
        <v>96.2</v>
      </c>
      <c r="G201" s="78">
        <f t="shared" si="16"/>
        <v>143.16138105750034</v>
      </c>
      <c r="I201" s="58">
        <v>30</v>
      </c>
      <c r="J201" s="78">
        <v>30</v>
      </c>
      <c r="K201" s="87" t="s">
        <v>1496</v>
      </c>
      <c r="L201" s="78">
        <v>1.375</v>
      </c>
      <c r="M201" s="77">
        <v>421</v>
      </c>
      <c r="N201" s="78">
        <f t="shared" si="17"/>
        <v>626.51706263209599</v>
      </c>
    </row>
    <row r="202" spans="2:14" x14ac:dyDescent="0.15">
      <c r="B202" s="58">
        <v>12</v>
      </c>
      <c r="C202" s="78">
        <v>12.75</v>
      </c>
      <c r="D202" s="76">
        <v>100</v>
      </c>
      <c r="E202" s="78">
        <v>0.84399999999999997</v>
      </c>
      <c r="F202" s="66">
        <v>108</v>
      </c>
      <c r="G202" s="78">
        <f t="shared" si="16"/>
        <v>160.72171677973009</v>
      </c>
      <c r="I202" s="58">
        <v>30</v>
      </c>
      <c r="J202" s="78">
        <v>30</v>
      </c>
      <c r="K202" s="87" t="s">
        <v>1496</v>
      </c>
      <c r="L202" s="78">
        <v>1.5</v>
      </c>
      <c r="M202" s="77">
        <v>457</v>
      </c>
      <c r="N202" s="78">
        <f t="shared" si="17"/>
        <v>680.09096822533934</v>
      </c>
    </row>
    <row r="203" spans="2:14" x14ac:dyDescent="0.15">
      <c r="B203" s="58">
        <v>12</v>
      </c>
      <c r="C203" s="78">
        <v>12.75</v>
      </c>
      <c r="D203" s="87" t="s">
        <v>1496</v>
      </c>
      <c r="E203" s="78">
        <v>0.875</v>
      </c>
      <c r="F203" s="66">
        <v>110.9</v>
      </c>
      <c r="G203" s="78">
        <f t="shared" si="16"/>
        <v>165.0373925080747</v>
      </c>
      <c r="I203" s="95" t="s">
        <v>850</v>
      </c>
      <c r="J203" s="88" t="s">
        <v>850</v>
      </c>
      <c r="K203" s="80" t="s">
        <v>850</v>
      </c>
      <c r="L203" s="88" t="s">
        <v>850</v>
      </c>
      <c r="M203" s="94" t="s">
        <v>850</v>
      </c>
      <c r="N203" s="94" t="s">
        <v>850</v>
      </c>
    </row>
    <row r="204" spans="2:14" x14ac:dyDescent="0.15">
      <c r="B204" s="58">
        <v>12</v>
      </c>
      <c r="C204" s="78">
        <v>12.75</v>
      </c>
      <c r="D204" s="76">
        <v>120</v>
      </c>
      <c r="E204" s="78">
        <v>1</v>
      </c>
      <c r="F204" s="66">
        <v>125.5</v>
      </c>
      <c r="G204" s="78">
        <f t="shared" si="16"/>
        <v>186.7645875542234</v>
      </c>
      <c r="I204" s="58">
        <v>32</v>
      </c>
      <c r="J204" s="78">
        <v>32</v>
      </c>
      <c r="K204" s="76" t="s">
        <v>1495</v>
      </c>
      <c r="L204" s="78">
        <v>0.25</v>
      </c>
      <c r="M204" s="77">
        <v>85</v>
      </c>
      <c r="N204" s="78">
        <f t="shared" ref="N204:N219" si="18">M204*3.2808399*0.4535924</f>
        <v>126.49394376182461</v>
      </c>
    </row>
    <row r="205" spans="2:14" x14ac:dyDescent="0.15">
      <c r="B205" s="58">
        <v>12</v>
      </c>
      <c r="C205" s="78">
        <v>12.75</v>
      </c>
      <c r="D205" s="76">
        <v>140</v>
      </c>
      <c r="E205" s="78">
        <v>1.125</v>
      </c>
      <c r="F205" s="66">
        <v>140</v>
      </c>
      <c r="G205" s="78">
        <f t="shared" si="16"/>
        <v>208.34296619594642</v>
      </c>
      <c r="I205" s="58">
        <v>32</v>
      </c>
      <c r="J205" s="78">
        <v>32</v>
      </c>
      <c r="K205" s="76" t="s">
        <v>1495</v>
      </c>
      <c r="L205" s="78">
        <v>0.28100000000000003</v>
      </c>
      <c r="M205" s="77">
        <v>95</v>
      </c>
      <c r="N205" s="78">
        <f t="shared" si="18"/>
        <v>141.37558420439223</v>
      </c>
    </row>
    <row r="206" spans="2:14" x14ac:dyDescent="0.15">
      <c r="B206" s="58">
        <v>12</v>
      </c>
      <c r="C206" s="78">
        <v>12.75</v>
      </c>
      <c r="D206" s="87" t="s">
        <v>1496</v>
      </c>
      <c r="E206" s="78">
        <v>1.25</v>
      </c>
      <c r="F206" s="66">
        <v>153.6</v>
      </c>
      <c r="G206" s="78">
        <f t="shared" si="16"/>
        <v>228.58199719783835</v>
      </c>
      <c r="I206" s="58">
        <v>32</v>
      </c>
      <c r="J206" s="78">
        <v>32</v>
      </c>
      <c r="K206" s="76" t="s">
        <v>1495</v>
      </c>
      <c r="L206" s="78">
        <v>0.312</v>
      </c>
      <c r="M206" s="77">
        <v>106</v>
      </c>
      <c r="N206" s="78">
        <f t="shared" si="18"/>
        <v>157.74538869121656</v>
      </c>
    </row>
    <row r="207" spans="2:14" x14ac:dyDescent="0.15">
      <c r="B207" s="58">
        <v>12</v>
      </c>
      <c r="C207" s="78">
        <v>12.75</v>
      </c>
      <c r="D207" s="76">
        <v>160</v>
      </c>
      <c r="E207" s="78">
        <v>1.3120000000000001</v>
      </c>
      <c r="F207" s="66">
        <v>161</v>
      </c>
      <c r="G207" s="78">
        <f t="shared" si="16"/>
        <v>239.59441112533838</v>
      </c>
      <c r="I207" s="58">
        <v>32</v>
      </c>
      <c r="J207" s="78">
        <v>32</v>
      </c>
      <c r="K207" s="76" t="s">
        <v>1495</v>
      </c>
      <c r="L207" s="78">
        <v>0.34399999999999997</v>
      </c>
      <c r="M207" s="77">
        <v>116</v>
      </c>
      <c r="N207" s="78">
        <f t="shared" si="18"/>
        <v>172.62702913378416</v>
      </c>
    </row>
    <row r="208" spans="2:14" x14ac:dyDescent="0.15">
      <c r="B208" s="58">
        <v>12</v>
      </c>
      <c r="C208" s="78">
        <v>12.75</v>
      </c>
      <c r="D208" s="87" t="s">
        <v>1496</v>
      </c>
      <c r="E208" s="78">
        <v>1.375</v>
      </c>
      <c r="F208" s="66">
        <v>167.2</v>
      </c>
      <c r="G208" s="78">
        <f t="shared" si="16"/>
        <v>248.82102819973025</v>
      </c>
      <c r="I208" s="58">
        <v>32</v>
      </c>
      <c r="J208" s="78">
        <v>32</v>
      </c>
      <c r="K208" s="76" t="s">
        <v>1495</v>
      </c>
      <c r="L208" s="78">
        <v>0.375</v>
      </c>
      <c r="M208" s="77">
        <v>127</v>
      </c>
      <c r="N208" s="78">
        <f t="shared" si="18"/>
        <v>188.99683362060853</v>
      </c>
    </row>
    <row r="209" spans="2:14" x14ac:dyDescent="0.15">
      <c r="B209" s="58">
        <v>12</v>
      </c>
      <c r="C209" s="78">
        <v>12.75</v>
      </c>
      <c r="D209" s="87" t="s">
        <v>1496</v>
      </c>
      <c r="E209" s="78">
        <v>1.5</v>
      </c>
      <c r="F209" s="66">
        <v>180.4</v>
      </c>
      <c r="G209" s="78">
        <f t="shared" si="16"/>
        <v>268.46479358391957</v>
      </c>
      <c r="I209" s="58">
        <v>32</v>
      </c>
      <c r="J209" s="78">
        <v>32</v>
      </c>
      <c r="K209" s="76" t="s">
        <v>1495</v>
      </c>
      <c r="L209" s="78">
        <v>0.40600000000000003</v>
      </c>
      <c r="M209" s="77">
        <v>137</v>
      </c>
      <c r="N209" s="78">
        <f t="shared" si="18"/>
        <v>203.87847406317613</v>
      </c>
    </row>
    <row r="210" spans="2:14" x14ac:dyDescent="0.15">
      <c r="B210" s="95" t="s">
        <v>850</v>
      </c>
      <c r="C210" s="88" t="s">
        <v>850</v>
      </c>
      <c r="D210" s="80" t="s">
        <v>850</v>
      </c>
      <c r="E210" s="88" t="s">
        <v>850</v>
      </c>
      <c r="F210" s="94" t="s">
        <v>850</v>
      </c>
      <c r="G210" s="94" t="s">
        <v>850</v>
      </c>
      <c r="I210" s="58">
        <v>32</v>
      </c>
      <c r="J210" s="78">
        <v>32</v>
      </c>
      <c r="K210" s="76" t="s">
        <v>1495</v>
      </c>
      <c r="L210" s="78">
        <v>0.438</v>
      </c>
      <c r="M210" s="77">
        <v>148</v>
      </c>
      <c r="N210" s="78">
        <f t="shared" si="18"/>
        <v>220.24827855000049</v>
      </c>
    </row>
    <row r="211" spans="2:14" x14ac:dyDescent="0.15">
      <c r="I211" s="58">
        <v>32</v>
      </c>
      <c r="J211" s="78">
        <v>32</v>
      </c>
      <c r="K211" s="76" t="s">
        <v>1495</v>
      </c>
      <c r="L211" s="78">
        <v>0.5</v>
      </c>
      <c r="M211" s="77">
        <v>168</v>
      </c>
      <c r="N211" s="78">
        <f t="shared" si="18"/>
        <v>250.01155943513569</v>
      </c>
    </row>
    <row r="212" spans="2:14" x14ac:dyDescent="0.15">
      <c r="I212" s="58">
        <v>32</v>
      </c>
      <c r="J212" s="78">
        <v>32</v>
      </c>
      <c r="K212" s="87" t="s">
        <v>1496</v>
      </c>
      <c r="L212" s="78">
        <v>0.625</v>
      </c>
      <c r="M212" s="77">
        <v>209</v>
      </c>
      <c r="N212" s="78">
        <f t="shared" si="18"/>
        <v>311.02628524966286</v>
      </c>
    </row>
    <row r="213" spans="2:14" x14ac:dyDescent="0.15">
      <c r="I213" s="58">
        <v>32</v>
      </c>
      <c r="J213" s="78">
        <v>32</v>
      </c>
      <c r="K213" s="87" t="s">
        <v>1496</v>
      </c>
      <c r="L213" s="78">
        <v>0.75</v>
      </c>
      <c r="M213" s="77">
        <v>250</v>
      </c>
      <c r="N213" s="78">
        <f t="shared" si="18"/>
        <v>372.04101106419</v>
      </c>
    </row>
    <row r="214" spans="2:14" x14ac:dyDescent="0.15">
      <c r="I214" s="58">
        <v>32</v>
      </c>
      <c r="J214" s="78">
        <v>32</v>
      </c>
      <c r="K214" s="87" t="s">
        <v>1496</v>
      </c>
      <c r="L214" s="78">
        <v>0.875</v>
      </c>
      <c r="M214" s="77">
        <v>291</v>
      </c>
      <c r="N214" s="78">
        <f t="shared" si="18"/>
        <v>433.0557368787172</v>
      </c>
    </row>
    <row r="215" spans="2:14" x14ac:dyDescent="0.15">
      <c r="I215" s="58">
        <v>32</v>
      </c>
      <c r="J215" s="78">
        <v>32</v>
      </c>
      <c r="K215" s="87" t="s">
        <v>1496</v>
      </c>
      <c r="L215" s="78">
        <v>1</v>
      </c>
      <c r="M215" s="77">
        <v>331</v>
      </c>
      <c r="N215" s="78">
        <f t="shared" si="18"/>
        <v>492.5822986489876</v>
      </c>
    </row>
    <row r="216" spans="2:14" x14ac:dyDescent="0.15">
      <c r="I216" s="58">
        <v>32</v>
      </c>
      <c r="J216" s="78">
        <v>32</v>
      </c>
      <c r="K216" s="87" t="s">
        <v>1496</v>
      </c>
      <c r="L216" s="78">
        <v>1.125</v>
      </c>
      <c r="M216" s="77">
        <v>371</v>
      </c>
      <c r="N216" s="78">
        <f t="shared" si="18"/>
        <v>552.10886041925801</v>
      </c>
    </row>
    <row r="217" spans="2:14" x14ac:dyDescent="0.15">
      <c r="I217" s="58">
        <v>32</v>
      </c>
      <c r="J217" s="78">
        <v>32</v>
      </c>
      <c r="K217" s="87" t="s">
        <v>1496</v>
      </c>
      <c r="L217" s="78">
        <v>1.25</v>
      </c>
      <c r="M217" s="77">
        <v>410</v>
      </c>
      <c r="N217" s="78">
        <f t="shared" si="18"/>
        <v>610.14725814527162</v>
      </c>
    </row>
    <row r="218" spans="2:14" x14ac:dyDescent="0.15">
      <c r="I218" s="58">
        <v>32</v>
      </c>
      <c r="J218" s="78">
        <v>32</v>
      </c>
      <c r="K218" s="87" t="s">
        <v>1496</v>
      </c>
      <c r="L218" s="78">
        <v>1.375</v>
      </c>
      <c r="M218" s="77">
        <v>450</v>
      </c>
      <c r="N218" s="78">
        <f t="shared" si="18"/>
        <v>669.67381991554203</v>
      </c>
    </row>
    <row r="219" spans="2:14" x14ac:dyDescent="0.15">
      <c r="I219" s="58">
        <v>32</v>
      </c>
      <c r="J219" s="78">
        <v>32</v>
      </c>
      <c r="K219" s="87" t="s">
        <v>1496</v>
      </c>
      <c r="L219" s="78">
        <v>1.5</v>
      </c>
      <c r="M219" s="77">
        <v>489</v>
      </c>
      <c r="N219" s="78">
        <f t="shared" si="18"/>
        <v>727.71221764155575</v>
      </c>
    </row>
    <row r="220" spans="2:14" x14ac:dyDescent="0.15">
      <c r="I220" s="95" t="s">
        <v>850</v>
      </c>
      <c r="J220" s="88" t="s">
        <v>850</v>
      </c>
      <c r="K220" s="80" t="s">
        <v>850</v>
      </c>
      <c r="L220" s="88" t="s">
        <v>850</v>
      </c>
      <c r="M220" s="94" t="s">
        <v>850</v>
      </c>
      <c r="N220" s="94" t="s">
        <v>850</v>
      </c>
    </row>
    <row r="221" spans="2:14" x14ac:dyDescent="0.15">
      <c r="I221" s="58">
        <v>34</v>
      </c>
      <c r="J221" s="78">
        <v>34</v>
      </c>
      <c r="K221" s="76" t="s">
        <v>1495</v>
      </c>
      <c r="L221" s="78">
        <v>0.25</v>
      </c>
      <c r="M221" s="77">
        <v>90</v>
      </c>
      <c r="N221" s="78">
        <f t="shared" ref="N221:N236" si="19">M221*3.2808399*0.4535924</f>
        <v>133.93476398310841</v>
      </c>
    </row>
    <row r="222" spans="2:14" x14ac:dyDescent="0.15">
      <c r="I222" s="58">
        <v>34</v>
      </c>
      <c r="J222" s="78">
        <v>34</v>
      </c>
      <c r="K222" s="76" t="s">
        <v>1495</v>
      </c>
      <c r="L222" s="78">
        <v>0.28100000000000003</v>
      </c>
      <c r="M222" s="77">
        <v>101</v>
      </c>
      <c r="N222" s="78">
        <f t="shared" si="19"/>
        <v>150.30456846993278</v>
      </c>
    </row>
    <row r="223" spans="2:14" x14ac:dyDescent="0.15">
      <c r="I223" s="58">
        <v>34</v>
      </c>
      <c r="J223" s="78">
        <v>34</v>
      </c>
      <c r="K223" s="76" t="s">
        <v>1495</v>
      </c>
      <c r="L223" s="78">
        <v>0.312</v>
      </c>
      <c r="M223" s="77">
        <v>112</v>
      </c>
      <c r="N223" s="78">
        <f t="shared" si="19"/>
        <v>166.67437295675714</v>
      </c>
    </row>
    <row r="224" spans="2:14" x14ac:dyDescent="0.15">
      <c r="I224" s="58">
        <v>34</v>
      </c>
      <c r="J224" s="78">
        <v>34</v>
      </c>
      <c r="K224" s="76" t="s">
        <v>1495</v>
      </c>
      <c r="L224" s="78">
        <v>0.34399999999999997</v>
      </c>
      <c r="M224" s="77">
        <v>124</v>
      </c>
      <c r="N224" s="78">
        <f t="shared" si="19"/>
        <v>184.53234148783824</v>
      </c>
    </row>
    <row r="225" spans="9:14" x14ac:dyDescent="0.15">
      <c r="I225" s="58">
        <v>34</v>
      </c>
      <c r="J225" s="78">
        <v>34</v>
      </c>
      <c r="K225" s="76" t="s">
        <v>1495</v>
      </c>
      <c r="L225" s="78">
        <v>0.375</v>
      </c>
      <c r="M225" s="77">
        <v>135</v>
      </c>
      <c r="N225" s="78">
        <f t="shared" si="19"/>
        <v>200.9021459746626</v>
      </c>
    </row>
    <row r="226" spans="9:14" x14ac:dyDescent="0.15">
      <c r="I226" s="58">
        <v>34</v>
      </c>
      <c r="J226" s="78">
        <v>34</v>
      </c>
      <c r="K226" s="76" t="s">
        <v>1495</v>
      </c>
      <c r="L226" s="78">
        <v>0.40600000000000003</v>
      </c>
      <c r="M226" s="77">
        <v>146</v>
      </c>
      <c r="N226" s="78">
        <f t="shared" si="19"/>
        <v>217.27195046148697</v>
      </c>
    </row>
    <row r="227" spans="9:14" x14ac:dyDescent="0.15">
      <c r="I227" s="58">
        <v>34</v>
      </c>
      <c r="J227" s="78">
        <v>34</v>
      </c>
      <c r="K227" s="76" t="s">
        <v>1495</v>
      </c>
      <c r="L227" s="78">
        <v>0.438</v>
      </c>
      <c r="M227" s="77">
        <v>157</v>
      </c>
      <c r="N227" s="78">
        <f t="shared" si="19"/>
        <v>233.64175494831133</v>
      </c>
    </row>
    <row r="228" spans="9:14" x14ac:dyDescent="0.15">
      <c r="I228" s="58">
        <v>34</v>
      </c>
      <c r="J228" s="78">
        <v>34</v>
      </c>
      <c r="K228" s="76" t="s">
        <v>1495</v>
      </c>
      <c r="L228" s="78">
        <v>0.5</v>
      </c>
      <c r="M228" s="77">
        <v>179</v>
      </c>
      <c r="N228" s="78">
        <f t="shared" si="19"/>
        <v>266.38136392196003</v>
      </c>
    </row>
    <row r="229" spans="9:14" x14ac:dyDescent="0.15">
      <c r="I229" s="58">
        <v>34</v>
      </c>
      <c r="J229" s="78">
        <v>34</v>
      </c>
      <c r="K229" s="87" t="s">
        <v>1496</v>
      </c>
      <c r="L229" s="78">
        <v>0.625</v>
      </c>
      <c r="M229" s="77">
        <v>223</v>
      </c>
      <c r="N229" s="78">
        <f t="shared" si="19"/>
        <v>331.86058186925749</v>
      </c>
    </row>
    <row r="230" spans="9:14" x14ac:dyDescent="0.15">
      <c r="I230" s="58">
        <v>34</v>
      </c>
      <c r="J230" s="78">
        <v>34</v>
      </c>
      <c r="K230" s="87" t="s">
        <v>1496</v>
      </c>
      <c r="L230" s="78">
        <v>0.75</v>
      </c>
      <c r="M230" s="77">
        <v>266</v>
      </c>
      <c r="N230" s="78">
        <f t="shared" si="19"/>
        <v>395.85163577229821</v>
      </c>
    </row>
    <row r="231" spans="9:14" x14ac:dyDescent="0.15">
      <c r="I231" s="58">
        <v>34</v>
      </c>
      <c r="J231" s="78">
        <v>34</v>
      </c>
      <c r="K231" s="87" t="s">
        <v>1496</v>
      </c>
      <c r="L231" s="78">
        <v>0.875</v>
      </c>
      <c r="M231" s="77">
        <v>308</v>
      </c>
      <c r="N231" s="78">
        <f t="shared" si="19"/>
        <v>458.35452563108214</v>
      </c>
    </row>
    <row r="232" spans="9:14" x14ac:dyDescent="0.15">
      <c r="I232" s="58">
        <v>34</v>
      </c>
      <c r="J232" s="78">
        <v>34</v>
      </c>
      <c r="K232" s="87" t="s">
        <v>1496</v>
      </c>
      <c r="L232" s="78">
        <v>1</v>
      </c>
      <c r="M232" s="77">
        <v>353</v>
      </c>
      <c r="N232" s="78">
        <f t="shared" si="19"/>
        <v>525.32190762263633</v>
      </c>
    </row>
    <row r="233" spans="9:14" x14ac:dyDescent="0.15">
      <c r="I233" s="58">
        <v>34</v>
      </c>
      <c r="J233" s="78">
        <v>34</v>
      </c>
      <c r="K233" s="87" t="s">
        <v>1496</v>
      </c>
      <c r="L233" s="78">
        <v>1.125</v>
      </c>
      <c r="M233" s="77">
        <v>395</v>
      </c>
      <c r="N233" s="78">
        <f t="shared" si="19"/>
        <v>587.82479748142021</v>
      </c>
    </row>
    <row r="234" spans="9:14" x14ac:dyDescent="0.15">
      <c r="I234" s="58">
        <v>34</v>
      </c>
      <c r="J234" s="78">
        <v>34</v>
      </c>
      <c r="K234" s="87" t="s">
        <v>1496</v>
      </c>
      <c r="L234" s="78">
        <v>1.25</v>
      </c>
      <c r="M234" s="77">
        <v>437</v>
      </c>
      <c r="N234" s="78">
        <f t="shared" si="19"/>
        <v>650.32768734020408</v>
      </c>
    </row>
    <row r="235" spans="9:14" x14ac:dyDescent="0.15">
      <c r="I235" s="58">
        <v>34</v>
      </c>
      <c r="J235" s="78">
        <v>34</v>
      </c>
      <c r="K235" s="87" t="s">
        <v>1496</v>
      </c>
      <c r="L235" s="78">
        <v>1.375</v>
      </c>
      <c r="M235" s="77">
        <v>479</v>
      </c>
      <c r="N235" s="78">
        <f t="shared" si="19"/>
        <v>712.83057719898807</v>
      </c>
    </row>
    <row r="236" spans="9:14" x14ac:dyDescent="0.15">
      <c r="I236" s="58">
        <v>34</v>
      </c>
      <c r="J236" s="78">
        <v>34</v>
      </c>
      <c r="K236" s="87" t="s">
        <v>1496</v>
      </c>
      <c r="L236" s="78">
        <v>1.5</v>
      </c>
      <c r="M236" s="77">
        <v>521</v>
      </c>
      <c r="N236" s="78">
        <f t="shared" si="19"/>
        <v>775.33346705777194</v>
      </c>
    </row>
    <row r="237" spans="9:14" x14ac:dyDescent="0.15">
      <c r="I237" s="95" t="s">
        <v>850</v>
      </c>
      <c r="J237" s="88" t="s">
        <v>850</v>
      </c>
      <c r="K237" s="80" t="s">
        <v>850</v>
      </c>
      <c r="L237" s="88" t="s">
        <v>850</v>
      </c>
      <c r="M237" s="94" t="s">
        <v>850</v>
      </c>
      <c r="N237" s="94" t="s">
        <v>850</v>
      </c>
    </row>
    <row r="238" spans="9:14" x14ac:dyDescent="0.15">
      <c r="I238" s="58">
        <v>36</v>
      </c>
      <c r="J238" s="78">
        <v>36</v>
      </c>
      <c r="K238" s="87" t="s">
        <v>1496</v>
      </c>
      <c r="L238" s="78">
        <v>0.16400000000000001</v>
      </c>
      <c r="M238" s="77">
        <v>63</v>
      </c>
      <c r="N238" s="78">
        <f t="shared" ref="N238:N256" si="20">M238*3.2808399*0.4535924</f>
        <v>93.754334788175896</v>
      </c>
    </row>
    <row r="239" spans="9:14" x14ac:dyDescent="0.15">
      <c r="I239" s="58">
        <v>36</v>
      </c>
      <c r="J239" s="78">
        <v>36</v>
      </c>
      <c r="K239" s="87" t="s">
        <v>1496</v>
      </c>
      <c r="L239" s="78">
        <v>0.19400000000000001</v>
      </c>
      <c r="M239" s="77">
        <v>74</v>
      </c>
      <c r="N239" s="78">
        <f t="shared" si="20"/>
        <v>110.12413927500025</v>
      </c>
    </row>
    <row r="240" spans="9:14" x14ac:dyDescent="0.15">
      <c r="I240" s="58">
        <v>36</v>
      </c>
      <c r="J240" s="78">
        <v>36</v>
      </c>
      <c r="K240" s="87" t="s">
        <v>1496</v>
      </c>
      <c r="L240" s="78">
        <v>0.23899999999999999</v>
      </c>
      <c r="M240" s="77">
        <v>91</v>
      </c>
      <c r="N240" s="78">
        <f t="shared" si="20"/>
        <v>135.42292802736517</v>
      </c>
    </row>
    <row r="241" spans="9:14" x14ac:dyDescent="0.15">
      <c r="I241" s="58">
        <v>36</v>
      </c>
      <c r="J241" s="78">
        <v>36</v>
      </c>
      <c r="K241" s="76" t="s">
        <v>1495</v>
      </c>
      <c r="L241" s="78">
        <v>0.25</v>
      </c>
      <c r="M241" s="77">
        <v>96</v>
      </c>
      <c r="N241" s="78">
        <f t="shared" si="20"/>
        <v>142.86374824864896</v>
      </c>
    </row>
    <row r="242" spans="9:14" x14ac:dyDescent="0.15">
      <c r="I242" s="58">
        <v>36</v>
      </c>
      <c r="J242" s="78">
        <v>36</v>
      </c>
      <c r="K242" s="76" t="s">
        <v>1495</v>
      </c>
      <c r="L242" s="78">
        <v>0.28100000000000003</v>
      </c>
      <c r="M242" s="77">
        <v>107</v>
      </c>
      <c r="N242" s="78">
        <f t="shared" si="20"/>
        <v>159.23355273547332</v>
      </c>
    </row>
    <row r="243" spans="9:14" x14ac:dyDescent="0.15">
      <c r="I243" s="58">
        <v>36</v>
      </c>
      <c r="J243" s="78">
        <v>36</v>
      </c>
      <c r="K243" s="76" t="s">
        <v>1495</v>
      </c>
      <c r="L243" s="78">
        <v>0.312</v>
      </c>
      <c r="M243" s="77">
        <v>119</v>
      </c>
      <c r="N243" s="78">
        <f t="shared" si="20"/>
        <v>177.09152126655445</v>
      </c>
    </row>
    <row r="244" spans="9:14" x14ac:dyDescent="0.15">
      <c r="I244" s="58">
        <v>36</v>
      </c>
      <c r="J244" s="78">
        <v>36</v>
      </c>
      <c r="K244" s="76" t="s">
        <v>1495</v>
      </c>
      <c r="L244" s="78">
        <v>0.34399999999999997</v>
      </c>
      <c r="M244" s="77">
        <v>131</v>
      </c>
      <c r="N244" s="78">
        <f t="shared" si="20"/>
        <v>194.94948979763558</v>
      </c>
    </row>
    <row r="245" spans="9:14" x14ac:dyDescent="0.15">
      <c r="I245" s="58">
        <v>36</v>
      </c>
      <c r="J245" s="78">
        <v>36</v>
      </c>
      <c r="K245" s="76" t="s">
        <v>1495</v>
      </c>
      <c r="L245" s="78">
        <v>0.375</v>
      </c>
      <c r="M245" s="77">
        <v>143</v>
      </c>
      <c r="N245" s="78">
        <f t="shared" si="20"/>
        <v>212.80745832871671</v>
      </c>
    </row>
    <row r="246" spans="9:14" x14ac:dyDescent="0.15">
      <c r="I246" s="58">
        <v>36</v>
      </c>
      <c r="J246" s="78">
        <v>36</v>
      </c>
      <c r="K246" s="76" t="s">
        <v>1495</v>
      </c>
      <c r="L246" s="78">
        <v>0.40600000000000003</v>
      </c>
      <c r="M246" s="77">
        <v>154</v>
      </c>
      <c r="N246" s="78">
        <f t="shared" si="20"/>
        <v>229.17726281554107</v>
      </c>
    </row>
    <row r="247" spans="9:14" x14ac:dyDescent="0.15">
      <c r="I247" s="58">
        <v>36</v>
      </c>
      <c r="J247" s="78">
        <v>36</v>
      </c>
      <c r="K247" s="76" t="s">
        <v>1495</v>
      </c>
      <c r="L247" s="78">
        <v>0.438</v>
      </c>
      <c r="M247" s="77">
        <v>166</v>
      </c>
      <c r="N247" s="78">
        <f t="shared" si="20"/>
        <v>247.0352313466222</v>
      </c>
    </row>
    <row r="248" spans="9:14" x14ac:dyDescent="0.15">
      <c r="I248" s="58">
        <v>36</v>
      </c>
      <c r="J248" s="78">
        <v>36</v>
      </c>
      <c r="K248" s="76" t="s">
        <v>1495</v>
      </c>
      <c r="L248" s="78">
        <v>0.5</v>
      </c>
      <c r="M248" s="77">
        <v>190</v>
      </c>
      <c r="N248" s="78">
        <f t="shared" si="20"/>
        <v>282.75116840878445</v>
      </c>
    </row>
    <row r="249" spans="9:14" x14ac:dyDescent="0.15">
      <c r="I249" s="58">
        <v>36</v>
      </c>
      <c r="J249" s="78">
        <v>36</v>
      </c>
      <c r="K249" s="87" t="s">
        <v>1496</v>
      </c>
      <c r="L249" s="78">
        <v>0.625</v>
      </c>
      <c r="M249" s="77">
        <v>236</v>
      </c>
      <c r="N249" s="78">
        <f t="shared" si="20"/>
        <v>351.20671444459538</v>
      </c>
    </row>
    <row r="250" spans="9:14" x14ac:dyDescent="0.15">
      <c r="I250" s="58">
        <v>36</v>
      </c>
      <c r="J250" s="78">
        <v>36</v>
      </c>
      <c r="K250" s="87" t="s">
        <v>1496</v>
      </c>
      <c r="L250" s="78">
        <v>0.75</v>
      </c>
      <c r="M250" s="77">
        <v>282</v>
      </c>
      <c r="N250" s="78">
        <f t="shared" si="20"/>
        <v>419.6622604804063</v>
      </c>
    </row>
    <row r="251" spans="9:14" x14ac:dyDescent="0.15">
      <c r="I251" s="58">
        <v>36</v>
      </c>
      <c r="J251" s="78">
        <v>36</v>
      </c>
      <c r="K251" s="87" t="s">
        <v>1496</v>
      </c>
      <c r="L251" s="78">
        <v>0.875</v>
      </c>
      <c r="M251" s="77">
        <v>329</v>
      </c>
      <c r="N251" s="78">
        <f t="shared" si="20"/>
        <v>489.60597056047408</v>
      </c>
    </row>
    <row r="252" spans="9:14" x14ac:dyDescent="0.15">
      <c r="I252" s="58">
        <v>36</v>
      </c>
      <c r="J252" s="78">
        <v>36</v>
      </c>
      <c r="K252" s="87" t="s">
        <v>1496</v>
      </c>
      <c r="L252" s="78">
        <v>1</v>
      </c>
      <c r="M252" s="77">
        <v>374</v>
      </c>
      <c r="N252" s="78">
        <f t="shared" si="20"/>
        <v>556.57335255202827</v>
      </c>
    </row>
    <row r="253" spans="9:14" x14ac:dyDescent="0.15">
      <c r="I253" s="58">
        <v>36</v>
      </c>
      <c r="J253" s="78">
        <v>36</v>
      </c>
      <c r="K253" s="87" t="s">
        <v>1496</v>
      </c>
      <c r="L253" s="78">
        <v>1.125</v>
      </c>
      <c r="M253" s="77">
        <v>419</v>
      </c>
      <c r="N253" s="78">
        <f t="shared" si="20"/>
        <v>623.54073454358252</v>
      </c>
    </row>
    <row r="254" spans="9:14" x14ac:dyDescent="0.15">
      <c r="I254" s="58">
        <v>36</v>
      </c>
      <c r="J254" s="78">
        <v>36</v>
      </c>
      <c r="K254" s="87" t="s">
        <v>1496</v>
      </c>
      <c r="L254" s="78">
        <v>1.25</v>
      </c>
      <c r="M254" s="77">
        <v>464</v>
      </c>
      <c r="N254" s="78">
        <f t="shared" si="20"/>
        <v>690.50811653513665</v>
      </c>
    </row>
    <row r="255" spans="9:14" x14ac:dyDescent="0.15">
      <c r="I255" s="58">
        <v>36</v>
      </c>
      <c r="J255" s="78">
        <v>36</v>
      </c>
      <c r="K255" s="87" t="s">
        <v>1496</v>
      </c>
      <c r="L255" s="78">
        <v>1.375</v>
      </c>
      <c r="M255" s="77">
        <v>509</v>
      </c>
      <c r="N255" s="78">
        <f t="shared" si="20"/>
        <v>757.4754985266909</v>
      </c>
    </row>
    <row r="256" spans="9:14" x14ac:dyDescent="0.15">
      <c r="I256" s="58">
        <v>36</v>
      </c>
      <c r="J256" s="78">
        <v>36</v>
      </c>
      <c r="K256" s="87" t="s">
        <v>1496</v>
      </c>
      <c r="L256" s="78">
        <v>1.5</v>
      </c>
      <c r="M256" s="77">
        <v>553</v>
      </c>
      <c r="N256" s="78">
        <f t="shared" si="20"/>
        <v>822.95471647398836</v>
      </c>
    </row>
    <row r="257" spans="9:14" x14ac:dyDescent="0.15">
      <c r="I257" s="95" t="s">
        <v>850</v>
      </c>
      <c r="J257" s="88" t="s">
        <v>850</v>
      </c>
      <c r="K257" s="80" t="s">
        <v>850</v>
      </c>
      <c r="L257" s="88" t="s">
        <v>850</v>
      </c>
      <c r="M257" s="94" t="s">
        <v>850</v>
      </c>
      <c r="N257" s="94" t="s">
        <v>850</v>
      </c>
    </row>
    <row r="258" spans="9:14" x14ac:dyDescent="0.15">
      <c r="I258" s="58">
        <v>42</v>
      </c>
      <c r="J258" s="78">
        <v>42</v>
      </c>
      <c r="K258" s="87" t="s">
        <v>1496</v>
      </c>
      <c r="L258" s="78">
        <v>0.25</v>
      </c>
      <c r="M258" s="77">
        <v>112</v>
      </c>
      <c r="N258" s="78">
        <f t="shared" ref="N258:N268" si="21">M258*3.2808399*0.4535924</f>
        <v>166.67437295675714</v>
      </c>
    </row>
    <row r="259" spans="9:14" x14ac:dyDescent="0.15">
      <c r="I259" s="58">
        <v>42</v>
      </c>
      <c r="J259" s="78">
        <v>42</v>
      </c>
      <c r="K259" s="87" t="s">
        <v>1496</v>
      </c>
      <c r="L259" s="78">
        <v>0.375</v>
      </c>
      <c r="M259" s="77">
        <v>167</v>
      </c>
      <c r="N259" s="78">
        <f t="shared" si="21"/>
        <v>248.52339539087893</v>
      </c>
    </row>
    <row r="260" spans="9:14" x14ac:dyDescent="0.15">
      <c r="I260" s="58">
        <v>42</v>
      </c>
      <c r="J260" s="78">
        <v>42</v>
      </c>
      <c r="K260" s="87" t="s">
        <v>1496</v>
      </c>
      <c r="L260" s="78">
        <v>0.5</v>
      </c>
      <c r="M260" s="77">
        <v>222</v>
      </c>
      <c r="N260" s="78">
        <f t="shared" si="21"/>
        <v>330.37241782500075</v>
      </c>
    </row>
    <row r="261" spans="9:14" x14ac:dyDescent="0.15">
      <c r="I261" s="58">
        <v>42</v>
      </c>
      <c r="J261" s="78">
        <v>42</v>
      </c>
      <c r="K261" s="87" t="s">
        <v>1496</v>
      </c>
      <c r="L261" s="78">
        <v>0.625</v>
      </c>
      <c r="M261" s="77">
        <v>276</v>
      </c>
      <c r="N261" s="78">
        <f t="shared" si="21"/>
        <v>410.73327621486578</v>
      </c>
    </row>
    <row r="262" spans="9:14" x14ac:dyDescent="0.15">
      <c r="I262" s="58">
        <v>42</v>
      </c>
      <c r="J262" s="78">
        <v>42</v>
      </c>
      <c r="K262" s="87" t="s">
        <v>1496</v>
      </c>
      <c r="L262" s="78">
        <v>0.75</v>
      </c>
      <c r="M262" s="77">
        <v>331</v>
      </c>
      <c r="N262" s="78">
        <f t="shared" si="21"/>
        <v>492.5822986489876</v>
      </c>
    </row>
    <row r="263" spans="9:14" x14ac:dyDescent="0.15">
      <c r="I263" s="58">
        <v>42</v>
      </c>
      <c r="J263" s="78">
        <v>42</v>
      </c>
      <c r="K263" s="87" t="s">
        <v>1496</v>
      </c>
      <c r="L263" s="78">
        <v>0.875</v>
      </c>
      <c r="M263" s="77">
        <v>385</v>
      </c>
      <c r="N263" s="78">
        <f t="shared" si="21"/>
        <v>572.94315703885263</v>
      </c>
    </row>
    <row r="264" spans="9:14" x14ac:dyDescent="0.15">
      <c r="I264" s="58">
        <v>42</v>
      </c>
      <c r="J264" s="78">
        <v>42</v>
      </c>
      <c r="K264" s="87" t="s">
        <v>1496</v>
      </c>
      <c r="L264" s="78">
        <v>1</v>
      </c>
      <c r="M264" s="77">
        <v>438</v>
      </c>
      <c r="N264" s="78">
        <f t="shared" si="21"/>
        <v>651.81585138446087</v>
      </c>
    </row>
    <row r="265" spans="9:14" x14ac:dyDescent="0.15">
      <c r="I265" s="58">
        <v>42</v>
      </c>
      <c r="J265" s="78">
        <v>42</v>
      </c>
      <c r="K265" s="87" t="s">
        <v>1496</v>
      </c>
      <c r="L265" s="78">
        <v>1.125</v>
      </c>
      <c r="M265" s="77">
        <v>492</v>
      </c>
      <c r="N265" s="78">
        <f t="shared" si="21"/>
        <v>732.1767097743259</v>
      </c>
    </row>
    <row r="266" spans="9:14" x14ac:dyDescent="0.15">
      <c r="I266" s="58">
        <v>42</v>
      </c>
      <c r="J266" s="78">
        <v>42</v>
      </c>
      <c r="K266" s="87" t="s">
        <v>1496</v>
      </c>
      <c r="L266" s="78">
        <v>1.25</v>
      </c>
      <c r="M266" s="77">
        <v>544</v>
      </c>
      <c r="N266" s="78">
        <f t="shared" si="21"/>
        <v>809.56124007567757</v>
      </c>
    </row>
    <row r="267" spans="9:14" x14ac:dyDescent="0.15">
      <c r="I267" s="58">
        <v>42</v>
      </c>
      <c r="J267" s="78">
        <v>42</v>
      </c>
      <c r="K267" s="87" t="s">
        <v>1496</v>
      </c>
      <c r="L267" s="78">
        <v>1.375</v>
      </c>
      <c r="M267" s="77">
        <v>597</v>
      </c>
      <c r="N267" s="78">
        <f t="shared" si="21"/>
        <v>888.43393442128581</v>
      </c>
    </row>
    <row r="268" spans="9:14" x14ac:dyDescent="0.15">
      <c r="I268" s="58">
        <v>42</v>
      </c>
      <c r="J268" s="78">
        <v>42</v>
      </c>
      <c r="K268" s="87" t="s">
        <v>1496</v>
      </c>
      <c r="L268" s="78">
        <v>1.5</v>
      </c>
      <c r="M268" s="77">
        <v>649</v>
      </c>
      <c r="N268" s="78">
        <f t="shared" si="21"/>
        <v>965.81846472263726</v>
      </c>
    </row>
    <row r="269" spans="9:14" x14ac:dyDescent="0.15">
      <c r="I269" s="95" t="s">
        <v>850</v>
      </c>
      <c r="J269" s="88" t="s">
        <v>850</v>
      </c>
      <c r="K269" s="80" t="s">
        <v>850</v>
      </c>
      <c r="L269" s="88" t="s">
        <v>850</v>
      </c>
      <c r="M269" s="94" t="s">
        <v>850</v>
      </c>
      <c r="N269" s="94" t="s">
        <v>850</v>
      </c>
    </row>
  </sheetData>
  <phoneticPr fontId="80" type="noConversion"/>
  <pageMargins left="0.75" right="0.75" top="1" bottom="1" header="0.5" footer="0.5"/>
  <pageSetup orientation="portrait"/>
  <headerFooter alignWithMargins="0"/>
  <drawing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6B1CF-79DD-8B41-9ECF-C1F6E7A23786}">
  <dimension ref="A1:N361"/>
  <sheetViews>
    <sheetView showGridLines="0" topLeftCell="A369" workbookViewId="0">
      <selection activeCell="T20" sqref="T20"/>
    </sheetView>
  </sheetViews>
  <sheetFormatPr baseColWidth="10" defaultColWidth="8.83203125" defaultRowHeight="13" x14ac:dyDescent="0.15"/>
  <sheetData>
    <row r="1" spans="1:14" ht="10.5" customHeight="1" thickBot="1" x14ac:dyDescent="0.2">
      <c r="A1" s="1170"/>
    </row>
    <row r="2" spans="1:14" ht="14" thickBot="1" x14ac:dyDescent="0.2">
      <c r="E2" s="1022" t="s">
        <v>1753</v>
      </c>
      <c r="F2" s="1020">
        <f>G24*0.8</f>
        <v>115.2</v>
      </c>
      <c r="G2" s="17" t="s">
        <v>359</v>
      </c>
    </row>
    <row r="3" spans="1:14" ht="14" thickBot="1" x14ac:dyDescent="0.2"/>
    <row r="4" spans="1:14" ht="15" thickTop="1" thickBot="1" x14ac:dyDescent="0.2">
      <c r="B4" s="17" t="s">
        <v>360</v>
      </c>
      <c r="E4" s="1019" t="s">
        <v>1754</v>
      </c>
      <c r="F4" s="1018">
        <f>F2*25.4</f>
        <v>2926.08</v>
      </c>
    </row>
    <row r="5" spans="1:14" ht="14" thickTop="1" x14ac:dyDescent="0.15"/>
    <row r="7" spans="1:14" x14ac:dyDescent="0.15">
      <c r="M7" s="632" t="s">
        <v>352</v>
      </c>
    </row>
    <row r="8" spans="1:14" ht="14" thickBot="1" x14ac:dyDescent="0.2">
      <c r="C8" s="632" t="s">
        <v>353</v>
      </c>
      <c r="M8" s="632" t="s">
        <v>356</v>
      </c>
    </row>
    <row r="9" spans="1:14" ht="14" thickBot="1" x14ac:dyDescent="0.2">
      <c r="B9" s="1022" t="s">
        <v>1753</v>
      </c>
      <c r="C9" s="1020">
        <f>G24*0.1727</f>
        <v>24.8688</v>
      </c>
      <c r="M9" s="1021">
        <f>G24/4</f>
        <v>36</v>
      </c>
      <c r="N9" s="1023" t="s">
        <v>1753</v>
      </c>
    </row>
    <row r="10" spans="1:14" ht="15" thickTop="1" thickBot="1" x14ac:dyDescent="0.2">
      <c r="B10" s="1019" t="s">
        <v>1754</v>
      </c>
      <c r="C10" s="1018">
        <f>C9*25.4</f>
        <v>631.66751999999997</v>
      </c>
      <c r="M10" s="1018">
        <f>M9*25.4</f>
        <v>914.4</v>
      </c>
      <c r="N10" s="759" t="s">
        <v>1754</v>
      </c>
    </row>
    <row r="11" spans="1:14" ht="14" thickTop="1" x14ac:dyDescent="0.15"/>
    <row r="16" spans="1:14" ht="14" thickBot="1" x14ac:dyDescent="0.2">
      <c r="B16" s="187"/>
    </row>
    <row r="17" spans="2:10" ht="14" thickBot="1" x14ac:dyDescent="0.2">
      <c r="B17" s="187"/>
      <c r="F17" s="1020">
        <f>G24*0.3273</f>
        <v>47.1312</v>
      </c>
      <c r="G17" s="1023" t="s">
        <v>1753</v>
      </c>
      <c r="I17" s="632" t="s">
        <v>351</v>
      </c>
    </row>
    <row r="18" spans="2:10" ht="14" thickBot="1" x14ac:dyDescent="0.2">
      <c r="B18" s="187" t="s">
        <v>354</v>
      </c>
      <c r="I18" s="1020">
        <f>G24*0.9045</f>
        <v>130.24799999999999</v>
      </c>
      <c r="J18" s="1023" t="s">
        <v>1753</v>
      </c>
    </row>
    <row r="19" spans="2:10" ht="15" thickTop="1" thickBot="1" x14ac:dyDescent="0.2">
      <c r="B19" s="189" t="s">
        <v>358</v>
      </c>
      <c r="F19" s="1018">
        <f>F17*25.4</f>
        <v>1197.13248</v>
      </c>
      <c r="G19" s="759" t="s">
        <v>1754</v>
      </c>
      <c r="I19" s="1018">
        <f>I18*25.4</f>
        <v>3308.2991999999995</v>
      </c>
      <c r="J19" s="759" t="s">
        <v>1754</v>
      </c>
    </row>
    <row r="20" spans="2:10" ht="14" thickTop="1" x14ac:dyDescent="0.15">
      <c r="B20" s="189" t="s">
        <v>357</v>
      </c>
    </row>
    <row r="23" spans="2:10" ht="14" thickBot="1" x14ac:dyDescent="0.2"/>
    <row r="24" spans="2:10" ht="15" thickTop="1" thickBot="1" x14ac:dyDescent="0.2">
      <c r="G24" s="1012">
        <v>144</v>
      </c>
      <c r="H24" s="1023" t="s">
        <v>1753</v>
      </c>
    </row>
    <row r="25" spans="2:10" ht="15" thickTop="1" thickBot="1" x14ac:dyDescent="0.2"/>
    <row r="26" spans="2:10" ht="15" thickTop="1" thickBot="1" x14ac:dyDescent="0.2">
      <c r="G26" s="1017">
        <f>G24*25.4</f>
        <v>3657.6</v>
      </c>
      <c r="H26" s="759" t="s">
        <v>1754</v>
      </c>
    </row>
    <row r="27" spans="2:10" ht="14" thickTop="1" x14ac:dyDescent="0.15"/>
    <row r="39" spans="2:2" x14ac:dyDescent="0.15">
      <c r="B39" s="187" t="s">
        <v>355</v>
      </c>
    </row>
    <row r="40" spans="2:2" x14ac:dyDescent="0.15">
      <c r="B40" s="187" t="s">
        <v>367</v>
      </c>
    </row>
    <row r="41" spans="2:2" x14ac:dyDescent="0.15">
      <c r="B41" s="189" t="s">
        <v>358</v>
      </c>
    </row>
    <row r="42" spans="2:2" x14ac:dyDescent="0.15">
      <c r="B42" s="189" t="s">
        <v>357</v>
      </c>
    </row>
    <row r="49" spans="2:12" x14ac:dyDescent="0.15">
      <c r="B49" t="s">
        <v>365</v>
      </c>
    </row>
    <row r="50" spans="2:12" x14ac:dyDescent="0.15">
      <c r="B50" t="s">
        <v>366</v>
      </c>
    </row>
    <row r="51" spans="2:12" ht="14" thickBot="1" x14ac:dyDescent="0.2">
      <c r="B51" s="837" t="s">
        <v>390</v>
      </c>
      <c r="H51" s="187" t="s">
        <v>389</v>
      </c>
    </row>
    <row r="52" spans="2:12" ht="15" thickTop="1" thickBot="1" x14ac:dyDescent="0.2">
      <c r="B52" s="1013" t="s">
        <v>361</v>
      </c>
      <c r="C52" s="1013" t="s">
        <v>380</v>
      </c>
      <c r="D52" s="1013" t="s">
        <v>362</v>
      </c>
      <c r="E52" s="1013" t="s">
        <v>363</v>
      </c>
      <c r="F52" s="1013" t="s">
        <v>364</v>
      </c>
      <c r="H52" s="1013" t="s">
        <v>361</v>
      </c>
      <c r="I52" s="1013" t="s">
        <v>381</v>
      </c>
      <c r="J52" s="1013" t="s">
        <v>370</v>
      </c>
      <c r="K52" s="1013" t="s">
        <v>371</v>
      </c>
      <c r="L52" s="1013" t="s">
        <v>372</v>
      </c>
    </row>
    <row r="53" spans="2:12" ht="14" thickTop="1" x14ac:dyDescent="0.15">
      <c r="B53" s="928"/>
      <c r="C53" s="1024">
        <v>0.38</v>
      </c>
      <c r="D53" s="1007">
        <v>24</v>
      </c>
      <c r="E53" s="1025">
        <v>1.1299999999999999</v>
      </c>
      <c r="F53" s="1025">
        <v>4.25</v>
      </c>
      <c r="H53" s="928"/>
      <c r="I53" s="1034">
        <f t="shared" ref="I53:I76" si="0">C53*25.4</f>
        <v>9.6519999999999992</v>
      </c>
      <c r="J53" s="978">
        <f t="shared" ref="J53:J76" si="1">D53*25.4</f>
        <v>609.59999999999991</v>
      </c>
      <c r="K53" s="978">
        <f t="shared" ref="K53:K76" si="2">E53*25.4</f>
        <v>28.701999999999995</v>
      </c>
      <c r="L53" s="1035">
        <f t="shared" ref="L53:L76" si="3">F53*25.4</f>
        <v>107.94999999999999</v>
      </c>
    </row>
    <row r="54" spans="2:12" x14ac:dyDescent="0.15">
      <c r="B54" s="944"/>
      <c r="C54" s="1026">
        <v>0.5</v>
      </c>
      <c r="D54" s="99">
        <v>24</v>
      </c>
      <c r="E54" s="1027">
        <v>1.5</v>
      </c>
      <c r="F54" s="1027">
        <v>4.38</v>
      </c>
      <c r="H54" s="1009" t="s">
        <v>368</v>
      </c>
      <c r="I54" s="1036">
        <f t="shared" si="0"/>
        <v>12.7</v>
      </c>
      <c r="J54" s="979">
        <f t="shared" si="1"/>
        <v>609.59999999999991</v>
      </c>
      <c r="K54" s="979">
        <f t="shared" si="2"/>
        <v>38.099999999999994</v>
      </c>
      <c r="L54" s="1037">
        <f t="shared" si="3"/>
        <v>111.252</v>
      </c>
    </row>
    <row r="55" spans="2:12" x14ac:dyDescent="0.15">
      <c r="B55" s="944"/>
      <c r="C55" s="1026">
        <v>0.63</v>
      </c>
      <c r="D55" s="99">
        <v>24</v>
      </c>
      <c r="E55" s="1027">
        <v>1.88</v>
      </c>
      <c r="F55" s="1027">
        <v>4.5</v>
      </c>
      <c r="H55" s="1014">
        <v>660</v>
      </c>
      <c r="I55" s="1036">
        <f t="shared" si="0"/>
        <v>16.001999999999999</v>
      </c>
      <c r="J55" s="979">
        <f t="shared" si="1"/>
        <v>609.59999999999991</v>
      </c>
      <c r="K55" s="979">
        <f t="shared" si="2"/>
        <v>47.751999999999995</v>
      </c>
      <c r="L55" s="1037">
        <f t="shared" si="3"/>
        <v>114.3</v>
      </c>
    </row>
    <row r="56" spans="2:12" ht="14" thickBot="1" x14ac:dyDescent="0.2">
      <c r="B56" s="929"/>
      <c r="C56" s="1028">
        <v>0.75</v>
      </c>
      <c r="D56" s="1029">
        <v>24</v>
      </c>
      <c r="E56" s="1030">
        <v>2.25</v>
      </c>
      <c r="F56" s="1030">
        <v>4.6900000000000004</v>
      </c>
      <c r="H56" s="929"/>
      <c r="I56" s="1038">
        <f t="shared" si="0"/>
        <v>19.049999999999997</v>
      </c>
      <c r="J56" s="1039">
        <f t="shared" si="1"/>
        <v>609.59999999999991</v>
      </c>
      <c r="K56" s="1039">
        <f t="shared" si="2"/>
        <v>57.15</v>
      </c>
      <c r="L56" s="1040">
        <f t="shared" si="3"/>
        <v>119.126</v>
      </c>
    </row>
    <row r="57" spans="2:12" ht="14" thickTop="1" x14ac:dyDescent="0.15">
      <c r="B57" s="928"/>
      <c r="C57" s="1031">
        <v>0.38</v>
      </c>
      <c r="D57" s="1007">
        <v>26</v>
      </c>
      <c r="E57" s="1025">
        <v>4.5</v>
      </c>
      <c r="F57" s="1025">
        <v>4.5</v>
      </c>
      <c r="H57" s="928"/>
      <c r="I57" s="1034">
        <f t="shared" si="0"/>
        <v>9.6519999999999992</v>
      </c>
      <c r="J57" s="978">
        <f t="shared" si="1"/>
        <v>660.4</v>
      </c>
      <c r="K57" s="978">
        <f t="shared" si="2"/>
        <v>114.3</v>
      </c>
      <c r="L57" s="1035">
        <f t="shared" si="3"/>
        <v>114.3</v>
      </c>
    </row>
    <row r="58" spans="2:12" x14ac:dyDescent="0.15">
      <c r="B58" s="944"/>
      <c r="C58" s="1032">
        <v>0.5</v>
      </c>
      <c r="D58" s="99">
        <v>26</v>
      </c>
      <c r="E58" s="1027">
        <v>4.63</v>
      </c>
      <c r="F58" s="1027">
        <v>4.63</v>
      </c>
      <c r="H58" s="1009" t="s">
        <v>369</v>
      </c>
      <c r="I58" s="1036">
        <f t="shared" si="0"/>
        <v>12.7</v>
      </c>
      <c r="J58" s="979">
        <f t="shared" si="1"/>
        <v>660.4</v>
      </c>
      <c r="K58" s="979">
        <f t="shared" si="2"/>
        <v>117.60199999999999</v>
      </c>
      <c r="L58" s="1037">
        <f t="shared" si="3"/>
        <v>117.60199999999999</v>
      </c>
    </row>
    <row r="59" spans="2:12" x14ac:dyDescent="0.15">
      <c r="B59" s="944"/>
      <c r="C59" s="1032">
        <v>0.63</v>
      </c>
      <c r="D59" s="99">
        <v>26</v>
      </c>
      <c r="E59" s="1027">
        <v>4.75</v>
      </c>
      <c r="F59" s="1027">
        <v>4.75</v>
      </c>
      <c r="H59" s="1014">
        <v>711</v>
      </c>
      <c r="I59" s="1036">
        <f t="shared" si="0"/>
        <v>16.001999999999999</v>
      </c>
      <c r="J59" s="979">
        <f t="shared" si="1"/>
        <v>660.4</v>
      </c>
      <c r="K59" s="979">
        <f t="shared" si="2"/>
        <v>120.64999999999999</v>
      </c>
      <c r="L59" s="1037">
        <f t="shared" si="3"/>
        <v>120.64999999999999</v>
      </c>
    </row>
    <row r="60" spans="2:12" ht="14" thickBot="1" x14ac:dyDescent="0.2">
      <c r="B60" s="929"/>
      <c r="C60" s="1033">
        <v>0.75</v>
      </c>
      <c r="D60" s="1029">
        <v>26</v>
      </c>
      <c r="E60" s="1030">
        <v>4.9400000000000004</v>
      </c>
      <c r="F60" s="1030">
        <v>4.9400000000000004</v>
      </c>
      <c r="H60" s="929"/>
      <c r="I60" s="1038">
        <f t="shared" si="0"/>
        <v>19.049999999999997</v>
      </c>
      <c r="J60" s="1039">
        <f t="shared" si="1"/>
        <v>660.4</v>
      </c>
      <c r="K60" s="1039">
        <f t="shared" si="2"/>
        <v>125.476</v>
      </c>
      <c r="L60" s="1040">
        <f t="shared" si="3"/>
        <v>125.476</v>
      </c>
    </row>
    <row r="61" spans="2:12" ht="14" thickTop="1" x14ac:dyDescent="0.15">
      <c r="B61" s="928"/>
      <c r="C61" s="1031">
        <v>0.38</v>
      </c>
      <c r="D61" s="1007">
        <v>30</v>
      </c>
      <c r="E61" s="1025">
        <v>4.5</v>
      </c>
      <c r="F61" s="1025">
        <v>4.5</v>
      </c>
      <c r="H61" s="928"/>
      <c r="I61" s="1034">
        <f t="shared" si="0"/>
        <v>9.6519999999999992</v>
      </c>
      <c r="J61" s="978">
        <f t="shared" si="1"/>
        <v>762</v>
      </c>
      <c r="K61" s="978">
        <f t="shared" si="2"/>
        <v>114.3</v>
      </c>
      <c r="L61" s="1035">
        <f t="shared" si="3"/>
        <v>114.3</v>
      </c>
    </row>
    <row r="62" spans="2:12" x14ac:dyDescent="0.15">
      <c r="B62" s="944"/>
      <c r="C62" s="1032">
        <v>0.5</v>
      </c>
      <c r="D62" s="99">
        <v>30</v>
      </c>
      <c r="E62" s="1027">
        <v>4.63</v>
      </c>
      <c r="F62" s="1027">
        <v>4.63</v>
      </c>
      <c r="H62" s="1009" t="s">
        <v>373</v>
      </c>
      <c r="I62" s="1036">
        <f t="shared" si="0"/>
        <v>12.7</v>
      </c>
      <c r="J62" s="979">
        <f t="shared" si="1"/>
        <v>762</v>
      </c>
      <c r="K62" s="979">
        <f t="shared" si="2"/>
        <v>117.60199999999999</v>
      </c>
      <c r="L62" s="1037">
        <f t="shared" si="3"/>
        <v>117.60199999999999</v>
      </c>
    </row>
    <row r="63" spans="2:12" x14ac:dyDescent="0.15">
      <c r="B63" s="944"/>
      <c r="C63" s="1032">
        <v>0.63</v>
      </c>
      <c r="D63" s="99">
        <v>30</v>
      </c>
      <c r="E63" s="1027">
        <v>4.8099999999999996</v>
      </c>
      <c r="F63" s="1027">
        <v>4.8099999999999996</v>
      </c>
      <c r="H63" s="1014">
        <f>30*25.4</f>
        <v>762</v>
      </c>
      <c r="I63" s="1036">
        <f t="shared" si="0"/>
        <v>16.001999999999999</v>
      </c>
      <c r="J63" s="979">
        <f t="shared" si="1"/>
        <v>762</v>
      </c>
      <c r="K63" s="979">
        <f t="shared" si="2"/>
        <v>122.17399999999998</v>
      </c>
      <c r="L63" s="1037">
        <f t="shared" si="3"/>
        <v>122.17399999999998</v>
      </c>
    </row>
    <row r="64" spans="2:12" ht="14" thickBot="1" x14ac:dyDescent="0.2">
      <c r="B64" s="929"/>
      <c r="C64" s="1033">
        <v>0.75</v>
      </c>
      <c r="D64" s="1029">
        <v>30</v>
      </c>
      <c r="E64" s="1030">
        <v>5</v>
      </c>
      <c r="F64" s="1030">
        <v>5</v>
      </c>
      <c r="H64" s="929"/>
      <c r="I64" s="1038">
        <f t="shared" si="0"/>
        <v>19.049999999999997</v>
      </c>
      <c r="J64" s="1039">
        <f t="shared" si="1"/>
        <v>762</v>
      </c>
      <c r="K64" s="1039">
        <f t="shared" si="2"/>
        <v>127</v>
      </c>
      <c r="L64" s="1040">
        <f t="shared" si="3"/>
        <v>127</v>
      </c>
    </row>
    <row r="65" spans="2:12" ht="14" thickTop="1" x14ac:dyDescent="0.15">
      <c r="B65" s="928"/>
      <c r="C65" s="1031">
        <v>0.38</v>
      </c>
      <c r="D65" s="1007">
        <v>30</v>
      </c>
      <c r="E65" s="1025">
        <v>5</v>
      </c>
      <c r="F65" s="1025">
        <v>5</v>
      </c>
      <c r="H65" s="928"/>
      <c r="I65" s="1034">
        <f t="shared" si="0"/>
        <v>9.6519999999999992</v>
      </c>
      <c r="J65" s="978">
        <f t="shared" si="1"/>
        <v>762</v>
      </c>
      <c r="K65" s="978">
        <f t="shared" si="2"/>
        <v>127</v>
      </c>
      <c r="L65" s="1035">
        <f t="shared" si="3"/>
        <v>127</v>
      </c>
    </row>
    <row r="66" spans="2:12" x14ac:dyDescent="0.15">
      <c r="B66" s="944"/>
      <c r="C66" s="1032">
        <v>0.5</v>
      </c>
      <c r="D66" s="99">
        <v>30</v>
      </c>
      <c r="E66" s="1027">
        <v>5.19</v>
      </c>
      <c r="F66" s="1027">
        <v>5.19</v>
      </c>
      <c r="H66" s="1009" t="s">
        <v>374</v>
      </c>
      <c r="I66" s="1036">
        <f t="shared" si="0"/>
        <v>12.7</v>
      </c>
      <c r="J66" s="979">
        <f t="shared" si="1"/>
        <v>762</v>
      </c>
      <c r="K66" s="979">
        <f t="shared" si="2"/>
        <v>131.82599999999999</v>
      </c>
      <c r="L66" s="1037">
        <f t="shared" si="3"/>
        <v>131.82599999999999</v>
      </c>
    </row>
    <row r="67" spans="2:12" x14ac:dyDescent="0.15">
      <c r="B67" s="944"/>
      <c r="C67" s="1032">
        <v>0.63</v>
      </c>
      <c r="D67" s="99">
        <v>30</v>
      </c>
      <c r="E67" s="1027">
        <v>5.31</v>
      </c>
      <c r="F67" s="1027">
        <v>5.31</v>
      </c>
      <c r="H67" s="1015">
        <f>32*25.4</f>
        <v>812.8</v>
      </c>
      <c r="I67" s="1036">
        <f t="shared" si="0"/>
        <v>16.001999999999999</v>
      </c>
      <c r="J67" s="979">
        <f t="shared" si="1"/>
        <v>762</v>
      </c>
      <c r="K67" s="979">
        <f t="shared" si="2"/>
        <v>134.874</v>
      </c>
      <c r="L67" s="1037">
        <f t="shared" si="3"/>
        <v>134.874</v>
      </c>
    </row>
    <row r="68" spans="2:12" ht="14" thickBot="1" x14ac:dyDescent="0.2">
      <c r="B68" s="929"/>
      <c r="C68" s="1033">
        <v>0.75</v>
      </c>
      <c r="D68" s="1029">
        <v>30</v>
      </c>
      <c r="E68" s="1030">
        <v>5.5</v>
      </c>
      <c r="F68" s="1030">
        <v>5.5</v>
      </c>
      <c r="H68" s="929"/>
      <c r="I68" s="1038">
        <f t="shared" si="0"/>
        <v>19.049999999999997</v>
      </c>
      <c r="J68" s="1039">
        <f t="shared" si="1"/>
        <v>762</v>
      </c>
      <c r="K68" s="1039">
        <f t="shared" si="2"/>
        <v>139.69999999999999</v>
      </c>
      <c r="L68" s="1040">
        <f t="shared" si="3"/>
        <v>139.69999999999999</v>
      </c>
    </row>
    <row r="69" spans="2:12" ht="14" thickTop="1" x14ac:dyDescent="0.15">
      <c r="B69" s="928"/>
      <c r="C69" s="1031">
        <v>0.38</v>
      </c>
      <c r="D69" s="1007">
        <v>34</v>
      </c>
      <c r="E69" s="1025">
        <v>5</v>
      </c>
      <c r="F69" s="1025">
        <v>5</v>
      </c>
      <c r="H69" s="928"/>
      <c r="I69" s="1034">
        <f t="shared" si="0"/>
        <v>9.6519999999999992</v>
      </c>
      <c r="J69" s="978">
        <f t="shared" si="1"/>
        <v>863.59999999999991</v>
      </c>
      <c r="K69" s="978">
        <f t="shared" si="2"/>
        <v>127</v>
      </c>
      <c r="L69" s="1035">
        <f t="shared" si="3"/>
        <v>127</v>
      </c>
    </row>
    <row r="70" spans="2:12" x14ac:dyDescent="0.15">
      <c r="B70" s="944"/>
      <c r="C70" s="1032">
        <v>0.5</v>
      </c>
      <c r="D70" s="99">
        <v>34</v>
      </c>
      <c r="E70" s="1027">
        <v>5.19</v>
      </c>
      <c r="F70" s="1027">
        <v>5.19</v>
      </c>
      <c r="H70" s="1009">
        <v>34</v>
      </c>
      <c r="I70" s="1036">
        <f t="shared" si="0"/>
        <v>12.7</v>
      </c>
      <c r="J70" s="979">
        <f t="shared" si="1"/>
        <v>863.59999999999991</v>
      </c>
      <c r="K70" s="979">
        <f t="shared" si="2"/>
        <v>131.82599999999999</v>
      </c>
      <c r="L70" s="1037">
        <f t="shared" si="3"/>
        <v>131.82599999999999</v>
      </c>
    </row>
    <row r="71" spans="2:12" x14ac:dyDescent="0.15">
      <c r="B71" s="944"/>
      <c r="C71" s="1032">
        <v>0.63</v>
      </c>
      <c r="D71" s="99">
        <v>33</v>
      </c>
      <c r="E71" s="1027">
        <v>5.44</v>
      </c>
      <c r="F71" s="1027">
        <v>5.44</v>
      </c>
      <c r="H71" s="1014">
        <v>864</v>
      </c>
      <c r="I71" s="1036">
        <f t="shared" si="0"/>
        <v>16.001999999999999</v>
      </c>
      <c r="J71" s="979">
        <f t="shared" si="1"/>
        <v>838.19999999999993</v>
      </c>
      <c r="K71" s="979">
        <f t="shared" si="2"/>
        <v>138.17600000000002</v>
      </c>
      <c r="L71" s="1037">
        <f t="shared" si="3"/>
        <v>138.17600000000002</v>
      </c>
    </row>
    <row r="72" spans="2:12" ht="14" thickBot="1" x14ac:dyDescent="0.2">
      <c r="B72" s="929"/>
      <c r="C72" s="1033">
        <v>0.75</v>
      </c>
      <c r="D72" s="1029">
        <v>30</v>
      </c>
      <c r="E72" s="1030">
        <v>6.06</v>
      </c>
      <c r="F72" s="1030">
        <v>6.06</v>
      </c>
      <c r="H72" s="929"/>
      <c r="I72" s="1038">
        <f t="shared" si="0"/>
        <v>19.049999999999997</v>
      </c>
      <c r="J72" s="1039">
        <f t="shared" si="1"/>
        <v>762</v>
      </c>
      <c r="K72" s="1039">
        <f t="shared" si="2"/>
        <v>153.92399999999998</v>
      </c>
      <c r="L72" s="1040">
        <f t="shared" si="3"/>
        <v>153.92399999999998</v>
      </c>
    </row>
    <row r="73" spans="2:12" ht="14" thickTop="1" x14ac:dyDescent="0.15">
      <c r="B73" s="928"/>
      <c r="C73" s="1031">
        <v>0.38</v>
      </c>
      <c r="D73" s="1007">
        <v>36</v>
      </c>
      <c r="E73" s="1025">
        <v>5.25</v>
      </c>
      <c r="F73" s="1025">
        <v>5.25</v>
      </c>
      <c r="H73" s="928"/>
      <c r="I73" s="1034">
        <f t="shared" si="0"/>
        <v>9.6519999999999992</v>
      </c>
      <c r="J73" s="978">
        <f t="shared" si="1"/>
        <v>914.4</v>
      </c>
      <c r="K73" s="978">
        <f t="shared" si="2"/>
        <v>133.35</v>
      </c>
      <c r="L73" s="1035">
        <f t="shared" si="3"/>
        <v>133.35</v>
      </c>
    </row>
    <row r="74" spans="2:12" x14ac:dyDescent="0.15">
      <c r="B74" s="944"/>
      <c r="C74" s="1032">
        <v>0.5</v>
      </c>
      <c r="D74" s="99">
        <v>36</v>
      </c>
      <c r="E74" s="1027">
        <v>5.44</v>
      </c>
      <c r="F74" s="1027">
        <v>5.44</v>
      </c>
      <c r="H74" s="1009" t="s">
        <v>375</v>
      </c>
      <c r="I74" s="1036">
        <f t="shared" si="0"/>
        <v>12.7</v>
      </c>
      <c r="J74" s="979">
        <f t="shared" si="1"/>
        <v>914.4</v>
      </c>
      <c r="K74" s="979">
        <f t="shared" si="2"/>
        <v>138.17600000000002</v>
      </c>
      <c r="L74" s="1037">
        <f t="shared" si="3"/>
        <v>138.17600000000002</v>
      </c>
    </row>
    <row r="75" spans="2:12" x14ac:dyDescent="0.15">
      <c r="B75" s="944"/>
      <c r="C75" s="1032">
        <v>0.63</v>
      </c>
      <c r="D75" s="99">
        <v>36</v>
      </c>
      <c r="E75" s="1027">
        <v>5.63</v>
      </c>
      <c r="F75" s="1027">
        <v>5.63</v>
      </c>
      <c r="H75" s="1015">
        <f>36*25.4</f>
        <v>914.4</v>
      </c>
      <c r="I75" s="1036">
        <f t="shared" si="0"/>
        <v>16.001999999999999</v>
      </c>
      <c r="J75" s="979">
        <f t="shared" si="1"/>
        <v>914.4</v>
      </c>
      <c r="K75" s="979">
        <f t="shared" si="2"/>
        <v>143.00199999999998</v>
      </c>
      <c r="L75" s="1037">
        <f t="shared" si="3"/>
        <v>143.00199999999998</v>
      </c>
    </row>
    <row r="76" spans="2:12" ht="14" thickBot="1" x14ac:dyDescent="0.2">
      <c r="B76" s="929"/>
      <c r="C76" s="1033">
        <v>0.75</v>
      </c>
      <c r="D76" s="1029">
        <v>36</v>
      </c>
      <c r="E76" s="1030">
        <v>5.75</v>
      </c>
      <c r="F76" s="1030">
        <v>5.75</v>
      </c>
      <c r="H76" s="929"/>
      <c r="I76" s="1038">
        <f t="shared" si="0"/>
        <v>19.049999999999997</v>
      </c>
      <c r="J76" s="1039">
        <f t="shared" si="1"/>
        <v>914.4</v>
      </c>
      <c r="K76" s="1039">
        <f t="shared" si="2"/>
        <v>146.04999999999998</v>
      </c>
      <c r="L76" s="1040">
        <f t="shared" si="3"/>
        <v>146.04999999999998</v>
      </c>
    </row>
    <row r="77" spans="2:12" ht="15" thickTop="1" thickBot="1" x14ac:dyDescent="0.2">
      <c r="B77" s="1013" t="s">
        <v>361</v>
      </c>
      <c r="C77" s="1013" t="s">
        <v>380</v>
      </c>
      <c r="D77" s="1013" t="s">
        <v>362</v>
      </c>
      <c r="E77" s="1013" t="s">
        <v>363</v>
      </c>
      <c r="F77" s="1013" t="s">
        <v>364</v>
      </c>
      <c r="H77" s="1013" t="s">
        <v>361</v>
      </c>
      <c r="I77" s="1013" t="s">
        <v>381</v>
      </c>
      <c r="J77" s="1013" t="s">
        <v>370</v>
      </c>
      <c r="K77" s="1013" t="s">
        <v>371</v>
      </c>
      <c r="L77" s="1013" t="s">
        <v>372</v>
      </c>
    </row>
    <row r="78" spans="2:12" ht="14" thickTop="1" x14ac:dyDescent="0.15">
      <c r="B78" s="928"/>
      <c r="C78" s="1024">
        <v>0.38</v>
      </c>
      <c r="D78" s="1007">
        <v>36</v>
      </c>
      <c r="E78" s="1025">
        <v>1.1299999999999999</v>
      </c>
      <c r="F78" s="1025">
        <v>5.81</v>
      </c>
      <c r="H78" s="928"/>
      <c r="I78" s="1034">
        <f t="shared" ref="I78:I101" si="4">C78*25.4</f>
        <v>9.6519999999999992</v>
      </c>
      <c r="J78" s="978">
        <f t="shared" ref="J78:J101" si="5">D78*25.4</f>
        <v>914.4</v>
      </c>
      <c r="K78" s="978">
        <f t="shared" ref="K78:K101" si="6">E78*25.4</f>
        <v>28.701999999999995</v>
      </c>
      <c r="L78" s="1035">
        <f t="shared" ref="L78:L101" si="7">F78*25.4</f>
        <v>147.57399999999998</v>
      </c>
    </row>
    <row r="79" spans="2:12" x14ac:dyDescent="0.15">
      <c r="B79" s="944"/>
      <c r="C79" s="1026">
        <v>0.5</v>
      </c>
      <c r="D79" s="99">
        <v>36</v>
      </c>
      <c r="E79" s="1027">
        <v>1.5</v>
      </c>
      <c r="F79" s="1027">
        <v>6</v>
      </c>
      <c r="H79" s="1009" t="s">
        <v>376</v>
      </c>
      <c r="I79" s="1036">
        <f t="shared" si="4"/>
        <v>12.7</v>
      </c>
      <c r="J79" s="979">
        <f t="shared" si="5"/>
        <v>914.4</v>
      </c>
      <c r="K79" s="979">
        <f t="shared" si="6"/>
        <v>38.099999999999994</v>
      </c>
      <c r="L79" s="1037">
        <f t="shared" si="7"/>
        <v>152.39999999999998</v>
      </c>
    </row>
    <row r="80" spans="2:12" x14ac:dyDescent="0.15">
      <c r="B80" s="944"/>
      <c r="C80" s="1026">
        <v>0.63</v>
      </c>
      <c r="D80" s="99">
        <v>36</v>
      </c>
      <c r="E80" s="1027">
        <v>1.88</v>
      </c>
      <c r="F80" s="1027">
        <v>6.13</v>
      </c>
      <c r="H80" s="1015">
        <f>38*25.4</f>
        <v>965.19999999999993</v>
      </c>
      <c r="I80" s="1036">
        <f t="shared" si="4"/>
        <v>16.001999999999999</v>
      </c>
      <c r="J80" s="979">
        <f t="shared" si="5"/>
        <v>914.4</v>
      </c>
      <c r="K80" s="979">
        <f t="shared" si="6"/>
        <v>47.751999999999995</v>
      </c>
      <c r="L80" s="1037">
        <f t="shared" si="7"/>
        <v>155.702</v>
      </c>
    </row>
    <row r="81" spans="2:12" ht="14" thickBot="1" x14ac:dyDescent="0.2">
      <c r="B81" s="929"/>
      <c r="C81" s="1028">
        <v>0.75</v>
      </c>
      <c r="D81" s="1029">
        <v>36</v>
      </c>
      <c r="E81" s="1030">
        <v>2.25</v>
      </c>
      <c r="F81" s="1030">
        <v>6.31</v>
      </c>
      <c r="H81" s="929"/>
      <c r="I81" s="1038">
        <f t="shared" si="4"/>
        <v>19.049999999999997</v>
      </c>
      <c r="J81" s="1039">
        <f t="shared" si="5"/>
        <v>914.4</v>
      </c>
      <c r="K81" s="1039">
        <f t="shared" si="6"/>
        <v>57.15</v>
      </c>
      <c r="L81" s="1040">
        <f t="shared" si="7"/>
        <v>160.27399999999997</v>
      </c>
    </row>
    <row r="82" spans="2:12" ht="14" thickTop="1" x14ac:dyDescent="0.15">
      <c r="B82" s="928"/>
      <c r="C82" s="1031">
        <v>0.38</v>
      </c>
      <c r="D82" s="1007">
        <v>40</v>
      </c>
      <c r="E82" s="1025">
        <v>1.1299999999999999</v>
      </c>
      <c r="F82" s="1025">
        <v>5.81</v>
      </c>
      <c r="H82" s="928"/>
      <c r="I82" s="1034">
        <f t="shared" si="4"/>
        <v>9.6519999999999992</v>
      </c>
      <c r="J82" s="978">
        <f t="shared" si="5"/>
        <v>1016</v>
      </c>
      <c r="K82" s="978">
        <f t="shared" si="6"/>
        <v>28.701999999999995</v>
      </c>
      <c r="L82" s="1035">
        <f t="shared" si="7"/>
        <v>147.57399999999998</v>
      </c>
    </row>
    <row r="83" spans="2:12" x14ac:dyDescent="0.15">
      <c r="B83" s="944"/>
      <c r="C83" s="1032">
        <v>0.5</v>
      </c>
      <c r="D83" s="99">
        <v>40</v>
      </c>
      <c r="E83" s="1027">
        <v>1.5</v>
      </c>
      <c r="F83" s="1027">
        <v>5.94</v>
      </c>
      <c r="H83" s="1009" t="s">
        <v>377</v>
      </c>
      <c r="I83" s="1036">
        <f t="shared" si="4"/>
        <v>12.7</v>
      </c>
      <c r="J83" s="979">
        <f t="shared" si="5"/>
        <v>1016</v>
      </c>
      <c r="K83" s="979">
        <f t="shared" si="6"/>
        <v>38.099999999999994</v>
      </c>
      <c r="L83" s="1037">
        <f t="shared" si="7"/>
        <v>150.876</v>
      </c>
    </row>
    <row r="84" spans="2:12" x14ac:dyDescent="0.15">
      <c r="B84" s="944"/>
      <c r="C84" s="1032">
        <v>0.63</v>
      </c>
      <c r="D84" s="99">
        <v>36</v>
      </c>
      <c r="E84" s="1027">
        <v>1.88</v>
      </c>
      <c r="F84" s="1027">
        <v>6.69</v>
      </c>
      <c r="H84" s="1016">
        <f>40*25.4</f>
        <v>1016</v>
      </c>
      <c r="I84" s="1036">
        <f t="shared" si="4"/>
        <v>16.001999999999999</v>
      </c>
      <c r="J84" s="979">
        <f t="shared" si="5"/>
        <v>914.4</v>
      </c>
      <c r="K84" s="979">
        <f t="shared" si="6"/>
        <v>47.751999999999995</v>
      </c>
      <c r="L84" s="1037">
        <f t="shared" si="7"/>
        <v>169.92599999999999</v>
      </c>
    </row>
    <row r="85" spans="2:12" ht="14" thickBot="1" x14ac:dyDescent="0.2">
      <c r="B85" s="929"/>
      <c r="C85" s="1033">
        <v>0.75</v>
      </c>
      <c r="D85" s="1029">
        <v>36</v>
      </c>
      <c r="E85" s="1030">
        <v>2.25</v>
      </c>
      <c r="F85" s="1030">
        <v>6.88</v>
      </c>
      <c r="H85" s="929"/>
      <c r="I85" s="1038">
        <f t="shared" si="4"/>
        <v>19.049999999999997</v>
      </c>
      <c r="J85" s="1039">
        <f t="shared" si="5"/>
        <v>914.4</v>
      </c>
      <c r="K85" s="1039">
        <f t="shared" si="6"/>
        <v>57.15</v>
      </c>
      <c r="L85" s="1040">
        <f t="shared" si="7"/>
        <v>174.75199999999998</v>
      </c>
    </row>
    <row r="86" spans="2:12" ht="14" thickTop="1" x14ac:dyDescent="0.15">
      <c r="B86" s="928"/>
      <c r="C86" s="1031">
        <v>0.38</v>
      </c>
      <c r="D86" s="1007">
        <v>42</v>
      </c>
      <c r="E86" s="1025">
        <v>1.1299999999999999</v>
      </c>
      <c r="F86" s="1025">
        <v>6.06</v>
      </c>
      <c r="H86" s="928"/>
      <c r="I86" s="1034">
        <f t="shared" si="4"/>
        <v>9.6519999999999992</v>
      </c>
      <c r="J86" s="978">
        <f t="shared" si="5"/>
        <v>1066.8</v>
      </c>
      <c r="K86" s="978">
        <f t="shared" si="6"/>
        <v>28.701999999999995</v>
      </c>
      <c r="L86" s="1035">
        <f t="shared" si="7"/>
        <v>153.92399999999998</v>
      </c>
    </row>
    <row r="87" spans="2:12" x14ac:dyDescent="0.15">
      <c r="B87" s="944"/>
      <c r="C87" s="1032">
        <v>0.5</v>
      </c>
      <c r="D87" s="99">
        <v>42</v>
      </c>
      <c r="E87" s="1027">
        <v>1.5</v>
      </c>
      <c r="F87" s="1027">
        <v>6.25</v>
      </c>
      <c r="H87" s="1009" t="s">
        <v>378</v>
      </c>
      <c r="I87" s="1036">
        <f t="shared" si="4"/>
        <v>12.7</v>
      </c>
      <c r="J87" s="979">
        <f t="shared" si="5"/>
        <v>1066.8</v>
      </c>
      <c r="K87" s="979">
        <f t="shared" si="6"/>
        <v>38.099999999999994</v>
      </c>
      <c r="L87" s="1037">
        <f t="shared" si="7"/>
        <v>158.75</v>
      </c>
    </row>
    <row r="88" spans="2:12" x14ac:dyDescent="0.15">
      <c r="B88" s="944"/>
      <c r="C88" s="1032">
        <v>0.63</v>
      </c>
      <c r="D88" s="99">
        <v>42</v>
      </c>
      <c r="E88" s="1027">
        <v>1.88</v>
      </c>
      <c r="F88" s="1027">
        <v>6.38</v>
      </c>
      <c r="H88" s="1016">
        <f>42*25.4</f>
        <v>1066.8</v>
      </c>
      <c r="I88" s="1036">
        <f t="shared" si="4"/>
        <v>16.001999999999999</v>
      </c>
      <c r="J88" s="979">
        <f t="shared" si="5"/>
        <v>1066.8</v>
      </c>
      <c r="K88" s="979">
        <f t="shared" si="6"/>
        <v>47.751999999999995</v>
      </c>
      <c r="L88" s="1037">
        <f t="shared" si="7"/>
        <v>162.05199999999999</v>
      </c>
    </row>
    <row r="89" spans="2:12" ht="14" thickBot="1" x14ac:dyDescent="0.2">
      <c r="B89" s="929"/>
      <c r="C89" s="1033">
        <v>0.75</v>
      </c>
      <c r="D89" s="1029">
        <v>40</v>
      </c>
      <c r="E89" s="1030">
        <v>2.25</v>
      </c>
      <c r="F89" s="1030">
        <v>6.81</v>
      </c>
      <c r="H89" s="929"/>
      <c r="I89" s="1038">
        <f t="shared" si="4"/>
        <v>19.049999999999997</v>
      </c>
      <c r="J89" s="1039">
        <f t="shared" si="5"/>
        <v>1016</v>
      </c>
      <c r="K89" s="1039">
        <f t="shared" si="6"/>
        <v>57.15</v>
      </c>
      <c r="L89" s="1040">
        <f t="shared" si="7"/>
        <v>172.97399999999999</v>
      </c>
    </row>
    <row r="90" spans="2:12" ht="14" thickTop="1" x14ac:dyDescent="0.15">
      <c r="B90" s="928"/>
      <c r="C90" s="1031">
        <v>0.38</v>
      </c>
      <c r="D90" s="1007">
        <v>48</v>
      </c>
      <c r="E90" s="1025">
        <v>1.1299999999999999</v>
      </c>
      <c r="F90" s="1025">
        <v>6.88</v>
      </c>
      <c r="H90" s="928"/>
      <c r="I90" s="1034">
        <f t="shared" si="4"/>
        <v>9.6519999999999992</v>
      </c>
      <c r="J90" s="978">
        <f t="shared" si="5"/>
        <v>1219.1999999999998</v>
      </c>
      <c r="K90" s="978">
        <f t="shared" si="6"/>
        <v>28.701999999999995</v>
      </c>
      <c r="L90" s="1035">
        <f t="shared" si="7"/>
        <v>174.75199999999998</v>
      </c>
    </row>
    <row r="91" spans="2:12" x14ac:dyDescent="0.15">
      <c r="B91" s="944"/>
      <c r="C91" s="1032">
        <v>0.5</v>
      </c>
      <c r="D91" s="99">
        <v>48</v>
      </c>
      <c r="E91" s="1027">
        <v>1.5</v>
      </c>
      <c r="F91" s="1027">
        <v>7</v>
      </c>
      <c r="H91" s="1009" t="s">
        <v>378</v>
      </c>
      <c r="I91" s="1036">
        <f t="shared" si="4"/>
        <v>12.7</v>
      </c>
      <c r="J91" s="979">
        <f t="shared" si="5"/>
        <v>1219.1999999999998</v>
      </c>
      <c r="K91" s="979">
        <f t="shared" si="6"/>
        <v>38.099999999999994</v>
      </c>
      <c r="L91" s="1037">
        <f t="shared" si="7"/>
        <v>177.79999999999998</v>
      </c>
    </row>
    <row r="92" spans="2:12" x14ac:dyDescent="0.15">
      <c r="B92" s="944"/>
      <c r="C92" s="1032">
        <v>0.63</v>
      </c>
      <c r="D92" s="99">
        <v>48</v>
      </c>
      <c r="E92" s="1027">
        <v>1.88</v>
      </c>
      <c r="F92" s="1027">
        <v>7.19</v>
      </c>
      <c r="H92" s="1016">
        <f>48*25.4</f>
        <v>1219.1999999999998</v>
      </c>
      <c r="I92" s="1036">
        <f t="shared" si="4"/>
        <v>16.001999999999999</v>
      </c>
      <c r="J92" s="979">
        <f t="shared" si="5"/>
        <v>1219.1999999999998</v>
      </c>
      <c r="K92" s="979">
        <f t="shared" si="6"/>
        <v>47.751999999999995</v>
      </c>
      <c r="L92" s="1037">
        <f t="shared" si="7"/>
        <v>182.626</v>
      </c>
    </row>
    <row r="93" spans="2:12" ht="14" thickBot="1" x14ac:dyDescent="0.2">
      <c r="B93" s="929"/>
      <c r="C93" s="1033">
        <v>0.75</v>
      </c>
      <c r="D93" s="1029">
        <v>48</v>
      </c>
      <c r="E93" s="1030">
        <v>2.25</v>
      </c>
      <c r="F93" s="1030">
        <v>7.38</v>
      </c>
      <c r="H93" s="929"/>
      <c r="I93" s="1038">
        <f t="shared" si="4"/>
        <v>19.049999999999997</v>
      </c>
      <c r="J93" s="1039">
        <f t="shared" si="5"/>
        <v>1219.1999999999998</v>
      </c>
      <c r="K93" s="1039">
        <f t="shared" si="6"/>
        <v>57.15</v>
      </c>
      <c r="L93" s="1040">
        <f t="shared" si="7"/>
        <v>187.452</v>
      </c>
    </row>
    <row r="94" spans="2:12" ht="14" thickTop="1" x14ac:dyDescent="0.15">
      <c r="B94" s="928"/>
      <c r="C94" s="1031">
        <v>0.38</v>
      </c>
      <c r="D94" s="1007">
        <v>54</v>
      </c>
      <c r="E94" s="1025">
        <v>1.1299999999999999</v>
      </c>
      <c r="F94" s="1025">
        <v>7.69</v>
      </c>
      <c r="H94" s="928"/>
      <c r="I94" s="1034">
        <f t="shared" si="4"/>
        <v>9.6519999999999992</v>
      </c>
      <c r="J94" s="978">
        <f t="shared" si="5"/>
        <v>1371.6</v>
      </c>
      <c r="K94" s="978">
        <f t="shared" si="6"/>
        <v>28.701999999999995</v>
      </c>
      <c r="L94" s="1035">
        <f t="shared" si="7"/>
        <v>195.32599999999999</v>
      </c>
    </row>
    <row r="95" spans="2:12" x14ac:dyDescent="0.15">
      <c r="B95" s="944"/>
      <c r="C95" s="1032">
        <v>0.5</v>
      </c>
      <c r="D95" s="99">
        <v>54</v>
      </c>
      <c r="E95" s="1027">
        <v>1.5</v>
      </c>
      <c r="F95" s="1027">
        <v>7.81</v>
      </c>
      <c r="H95" s="1009" t="s">
        <v>382</v>
      </c>
      <c r="I95" s="1036">
        <f t="shared" si="4"/>
        <v>12.7</v>
      </c>
      <c r="J95" s="979">
        <f t="shared" si="5"/>
        <v>1371.6</v>
      </c>
      <c r="K95" s="979">
        <f t="shared" si="6"/>
        <v>38.099999999999994</v>
      </c>
      <c r="L95" s="1037">
        <f t="shared" si="7"/>
        <v>198.37399999999997</v>
      </c>
    </row>
    <row r="96" spans="2:12" x14ac:dyDescent="0.15">
      <c r="B96" s="944"/>
      <c r="C96" s="1032">
        <v>0.63</v>
      </c>
      <c r="D96" s="99">
        <v>54</v>
      </c>
      <c r="E96" s="1027">
        <v>1.88</v>
      </c>
      <c r="F96" s="1027">
        <v>8</v>
      </c>
      <c r="H96" s="1016">
        <f>54*25.4</f>
        <v>1371.6</v>
      </c>
      <c r="I96" s="1036">
        <f t="shared" si="4"/>
        <v>16.001999999999999</v>
      </c>
      <c r="J96" s="979">
        <f t="shared" si="5"/>
        <v>1371.6</v>
      </c>
      <c r="K96" s="979">
        <f t="shared" si="6"/>
        <v>47.751999999999995</v>
      </c>
      <c r="L96" s="1037">
        <f t="shared" si="7"/>
        <v>203.2</v>
      </c>
    </row>
    <row r="97" spans="2:12" ht="14" thickBot="1" x14ac:dyDescent="0.2">
      <c r="B97" s="929"/>
      <c r="C97" s="1033">
        <v>0.75</v>
      </c>
      <c r="D97" s="1029">
        <v>54</v>
      </c>
      <c r="E97" s="1030">
        <v>2.25</v>
      </c>
      <c r="F97" s="1030">
        <v>8.19</v>
      </c>
      <c r="H97" s="929"/>
      <c r="I97" s="1038">
        <f t="shared" si="4"/>
        <v>19.049999999999997</v>
      </c>
      <c r="J97" s="1039">
        <f t="shared" si="5"/>
        <v>1371.6</v>
      </c>
      <c r="K97" s="1039">
        <f t="shared" si="6"/>
        <v>57.15</v>
      </c>
      <c r="L97" s="1040">
        <f t="shared" si="7"/>
        <v>208.02599999999998</v>
      </c>
    </row>
    <row r="98" spans="2:12" ht="14" thickTop="1" x14ac:dyDescent="0.15">
      <c r="B98" s="928"/>
      <c r="C98" s="1031">
        <v>0.38</v>
      </c>
      <c r="D98" s="1007">
        <v>60</v>
      </c>
      <c r="E98" s="1025">
        <v>1.1299999999999999</v>
      </c>
      <c r="F98" s="1025">
        <v>8.5</v>
      </c>
      <c r="H98" s="928"/>
      <c r="I98" s="1034">
        <f t="shared" si="4"/>
        <v>9.6519999999999992</v>
      </c>
      <c r="J98" s="978">
        <f t="shared" si="5"/>
        <v>1524</v>
      </c>
      <c r="K98" s="978">
        <f t="shared" si="6"/>
        <v>28.701999999999995</v>
      </c>
      <c r="L98" s="1035">
        <f t="shared" si="7"/>
        <v>215.89999999999998</v>
      </c>
    </row>
    <row r="99" spans="2:12" x14ac:dyDescent="0.15">
      <c r="B99" s="944"/>
      <c r="C99" s="1032">
        <v>0.5</v>
      </c>
      <c r="D99" s="99">
        <v>60</v>
      </c>
      <c r="E99" s="1027">
        <v>1.5</v>
      </c>
      <c r="F99" s="1027">
        <v>8.6300000000000008</v>
      </c>
      <c r="H99" s="1009" t="s">
        <v>379</v>
      </c>
      <c r="I99" s="1036">
        <f t="shared" si="4"/>
        <v>12.7</v>
      </c>
      <c r="J99" s="979">
        <f t="shared" si="5"/>
        <v>1524</v>
      </c>
      <c r="K99" s="979">
        <f t="shared" si="6"/>
        <v>38.099999999999994</v>
      </c>
      <c r="L99" s="1037">
        <f t="shared" si="7"/>
        <v>219.202</v>
      </c>
    </row>
    <row r="100" spans="2:12" x14ac:dyDescent="0.15">
      <c r="B100" s="944"/>
      <c r="C100" s="1032">
        <v>0.63</v>
      </c>
      <c r="D100" s="99">
        <v>60</v>
      </c>
      <c r="E100" s="1027">
        <v>1.88</v>
      </c>
      <c r="F100" s="1027">
        <v>8.81</v>
      </c>
      <c r="H100" s="1016">
        <f>60*25.4</f>
        <v>1524</v>
      </c>
      <c r="I100" s="1036">
        <f t="shared" si="4"/>
        <v>16.001999999999999</v>
      </c>
      <c r="J100" s="979">
        <f t="shared" si="5"/>
        <v>1524</v>
      </c>
      <c r="K100" s="979">
        <f t="shared" si="6"/>
        <v>47.751999999999995</v>
      </c>
      <c r="L100" s="1037">
        <f t="shared" si="7"/>
        <v>223.774</v>
      </c>
    </row>
    <row r="101" spans="2:12" ht="14" thickBot="1" x14ac:dyDescent="0.2">
      <c r="B101" s="929"/>
      <c r="C101" s="1033">
        <v>0.75</v>
      </c>
      <c r="D101" s="1029">
        <v>60</v>
      </c>
      <c r="E101" s="1030">
        <v>2.25</v>
      </c>
      <c r="F101" s="1030">
        <v>8.94</v>
      </c>
      <c r="H101" s="929"/>
      <c r="I101" s="1038">
        <f t="shared" si="4"/>
        <v>19.049999999999997</v>
      </c>
      <c r="J101" s="1039">
        <f t="shared" si="5"/>
        <v>1524</v>
      </c>
      <c r="K101" s="1039">
        <f t="shared" si="6"/>
        <v>57.15</v>
      </c>
      <c r="L101" s="1040">
        <f t="shared" si="7"/>
        <v>227.07599999999996</v>
      </c>
    </row>
    <row r="102" spans="2:12" ht="15" thickTop="1" thickBot="1" x14ac:dyDescent="0.2">
      <c r="B102" s="1013" t="s">
        <v>361</v>
      </c>
      <c r="C102" s="1013" t="s">
        <v>380</v>
      </c>
      <c r="D102" s="1013" t="s">
        <v>362</v>
      </c>
      <c r="E102" s="1013" t="s">
        <v>363</v>
      </c>
      <c r="F102" s="1013" t="s">
        <v>364</v>
      </c>
      <c r="H102" s="1013" t="s">
        <v>361</v>
      </c>
      <c r="I102" s="1013" t="s">
        <v>381</v>
      </c>
      <c r="J102" s="1013" t="s">
        <v>370</v>
      </c>
      <c r="K102" s="1013" t="s">
        <v>371</v>
      </c>
      <c r="L102" s="1013" t="s">
        <v>372</v>
      </c>
    </row>
    <row r="103" spans="2:12" ht="14" thickTop="1" x14ac:dyDescent="0.15">
      <c r="B103" s="928"/>
      <c r="C103" s="1024">
        <v>0.38</v>
      </c>
      <c r="D103" s="1007">
        <v>66</v>
      </c>
      <c r="E103" s="1025">
        <v>1.1299999999999999</v>
      </c>
      <c r="F103" s="1025">
        <v>9.31</v>
      </c>
      <c r="H103" s="928"/>
      <c r="I103" s="1034">
        <f t="shared" ref="I103:I126" si="8">C103*25.4</f>
        <v>9.6519999999999992</v>
      </c>
      <c r="J103" s="978">
        <f t="shared" ref="J103:J126" si="9">D103*25.4</f>
        <v>1676.3999999999999</v>
      </c>
      <c r="K103" s="978">
        <f t="shared" ref="K103:K126" si="10">E103*25.4</f>
        <v>28.701999999999995</v>
      </c>
      <c r="L103" s="1035">
        <f t="shared" ref="L103:L126" si="11">F103*25.4</f>
        <v>236.47399999999999</v>
      </c>
    </row>
    <row r="104" spans="2:12" x14ac:dyDescent="0.15">
      <c r="B104" s="944"/>
      <c r="C104" s="1026">
        <v>0.5</v>
      </c>
      <c r="D104" s="99">
        <v>66</v>
      </c>
      <c r="E104" s="1027">
        <v>1.5</v>
      </c>
      <c r="F104" s="1027">
        <v>9.44</v>
      </c>
      <c r="H104" s="1009" t="s">
        <v>383</v>
      </c>
      <c r="I104" s="1036">
        <f t="shared" si="8"/>
        <v>12.7</v>
      </c>
      <c r="J104" s="979">
        <f t="shared" si="9"/>
        <v>1676.3999999999999</v>
      </c>
      <c r="K104" s="979">
        <f t="shared" si="10"/>
        <v>38.099999999999994</v>
      </c>
      <c r="L104" s="1037">
        <f t="shared" si="11"/>
        <v>239.77599999999998</v>
      </c>
    </row>
    <row r="105" spans="2:12" x14ac:dyDescent="0.15">
      <c r="B105" s="944"/>
      <c r="C105" s="1026">
        <v>0.63</v>
      </c>
      <c r="D105" s="99">
        <v>66</v>
      </c>
      <c r="E105" s="1027">
        <v>1.88</v>
      </c>
      <c r="F105" s="1027">
        <v>9.6300000000000008</v>
      </c>
      <c r="H105" s="1016">
        <f>66*25.4</f>
        <v>1676.3999999999999</v>
      </c>
      <c r="I105" s="1036">
        <f t="shared" si="8"/>
        <v>16.001999999999999</v>
      </c>
      <c r="J105" s="979">
        <f t="shared" si="9"/>
        <v>1676.3999999999999</v>
      </c>
      <c r="K105" s="979">
        <f t="shared" si="10"/>
        <v>47.751999999999995</v>
      </c>
      <c r="L105" s="1037">
        <f t="shared" si="11"/>
        <v>244.602</v>
      </c>
    </row>
    <row r="106" spans="2:12" ht="14" thickBot="1" x14ac:dyDescent="0.2">
      <c r="B106" s="929"/>
      <c r="C106" s="1028">
        <v>0.75</v>
      </c>
      <c r="D106" s="1029">
        <v>66</v>
      </c>
      <c r="E106" s="1030">
        <v>2.25</v>
      </c>
      <c r="F106" s="1030">
        <v>9.75</v>
      </c>
      <c r="H106" s="929"/>
      <c r="I106" s="1038">
        <f t="shared" si="8"/>
        <v>19.049999999999997</v>
      </c>
      <c r="J106" s="1039">
        <f t="shared" si="9"/>
        <v>1676.3999999999999</v>
      </c>
      <c r="K106" s="1039">
        <f t="shared" si="10"/>
        <v>57.15</v>
      </c>
      <c r="L106" s="1040">
        <f t="shared" si="11"/>
        <v>247.64999999999998</v>
      </c>
    </row>
    <row r="107" spans="2:12" ht="14" thickTop="1" x14ac:dyDescent="0.15">
      <c r="B107" s="928"/>
      <c r="C107" s="1031">
        <v>0.38</v>
      </c>
      <c r="D107" s="1007">
        <v>72</v>
      </c>
      <c r="E107" s="1025">
        <v>1.1299999999999999</v>
      </c>
      <c r="F107" s="1025">
        <v>10.06</v>
      </c>
      <c r="H107" s="928"/>
      <c r="I107" s="1034">
        <f t="shared" si="8"/>
        <v>9.6519999999999992</v>
      </c>
      <c r="J107" s="978">
        <f t="shared" si="9"/>
        <v>1828.8</v>
      </c>
      <c r="K107" s="978">
        <f t="shared" si="10"/>
        <v>28.701999999999995</v>
      </c>
      <c r="L107" s="1035">
        <f t="shared" si="11"/>
        <v>255.524</v>
      </c>
    </row>
    <row r="108" spans="2:12" x14ac:dyDescent="0.15">
      <c r="B108" s="944"/>
      <c r="C108" s="1032">
        <v>0.63</v>
      </c>
      <c r="D108" s="99">
        <v>72</v>
      </c>
      <c r="E108" s="1027">
        <v>1.88</v>
      </c>
      <c r="F108" s="1027">
        <v>10.38</v>
      </c>
      <c r="H108" s="1009" t="s">
        <v>384</v>
      </c>
      <c r="I108" s="1036">
        <f t="shared" si="8"/>
        <v>16.001999999999999</v>
      </c>
      <c r="J108" s="979">
        <f t="shared" si="9"/>
        <v>1828.8</v>
      </c>
      <c r="K108" s="979">
        <f t="shared" si="10"/>
        <v>47.751999999999995</v>
      </c>
      <c r="L108" s="1037">
        <f t="shared" si="11"/>
        <v>263.65199999999999</v>
      </c>
    </row>
    <row r="109" spans="2:12" x14ac:dyDescent="0.15">
      <c r="B109" s="944"/>
      <c r="C109" s="1032">
        <v>0.88</v>
      </c>
      <c r="D109" s="99">
        <v>72</v>
      </c>
      <c r="E109" s="1027">
        <v>2.63</v>
      </c>
      <c r="F109" s="1027">
        <v>10.69</v>
      </c>
      <c r="H109" s="1016">
        <f>72*25.4</f>
        <v>1828.8</v>
      </c>
      <c r="I109" s="1036">
        <f t="shared" si="8"/>
        <v>22.352</v>
      </c>
      <c r="J109" s="979">
        <f t="shared" si="9"/>
        <v>1828.8</v>
      </c>
      <c r="K109" s="979">
        <f t="shared" si="10"/>
        <v>66.801999999999992</v>
      </c>
      <c r="L109" s="1037">
        <f t="shared" si="11"/>
        <v>271.52599999999995</v>
      </c>
    </row>
    <row r="110" spans="2:12" ht="14" thickBot="1" x14ac:dyDescent="0.2">
      <c r="B110" s="929"/>
      <c r="C110" s="1033">
        <v>1.1299999999999999</v>
      </c>
      <c r="D110" s="1029">
        <v>72</v>
      </c>
      <c r="E110" s="1030">
        <v>3.38</v>
      </c>
      <c r="F110" s="1030">
        <v>11</v>
      </c>
      <c r="H110" s="929"/>
      <c r="I110" s="1038">
        <f t="shared" si="8"/>
        <v>28.701999999999995</v>
      </c>
      <c r="J110" s="1039">
        <f t="shared" si="9"/>
        <v>1828.8</v>
      </c>
      <c r="K110" s="1039">
        <f t="shared" si="10"/>
        <v>85.85199999999999</v>
      </c>
      <c r="L110" s="1040">
        <f t="shared" si="11"/>
        <v>279.39999999999998</v>
      </c>
    </row>
    <row r="111" spans="2:12" ht="14" thickTop="1" x14ac:dyDescent="0.15">
      <c r="B111" s="928"/>
      <c r="C111" s="1031">
        <v>0.38</v>
      </c>
      <c r="D111" s="1007">
        <v>78</v>
      </c>
      <c r="E111" s="1025">
        <v>1.1299999999999999</v>
      </c>
      <c r="F111" s="1025">
        <v>10.88</v>
      </c>
      <c r="H111" s="928"/>
      <c r="I111" s="1034">
        <f t="shared" si="8"/>
        <v>9.6519999999999992</v>
      </c>
      <c r="J111" s="978">
        <f t="shared" si="9"/>
        <v>1981.1999999999998</v>
      </c>
      <c r="K111" s="978">
        <f t="shared" si="10"/>
        <v>28.701999999999995</v>
      </c>
      <c r="L111" s="1035">
        <f t="shared" si="11"/>
        <v>276.35200000000003</v>
      </c>
    </row>
    <row r="112" spans="2:12" x14ac:dyDescent="0.15">
      <c r="B112" s="944"/>
      <c r="C112" s="1032">
        <v>0.63</v>
      </c>
      <c r="D112" s="99">
        <v>78</v>
      </c>
      <c r="E112" s="1027">
        <v>1.88</v>
      </c>
      <c r="F112" s="1027">
        <v>11.19</v>
      </c>
      <c r="H112" s="1009" t="s">
        <v>385</v>
      </c>
      <c r="I112" s="1036">
        <f t="shared" si="8"/>
        <v>16.001999999999999</v>
      </c>
      <c r="J112" s="979">
        <f t="shared" si="9"/>
        <v>1981.1999999999998</v>
      </c>
      <c r="K112" s="979">
        <f t="shared" si="10"/>
        <v>47.751999999999995</v>
      </c>
      <c r="L112" s="1037">
        <f t="shared" si="11"/>
        <v>284.226</v>
      </c>
    </row>
    <row r="113" spans="2:12" x14ac:dyDescent="0.15">
      <c r="B113" s="944"/>
      <c r="C113" s="1032">
        <v>0.88</v>
      </c>
      <c r="D113" s="99">
        <v>78</v>
      </c>
      <c r="E113" s="1027">
        <v>2.63</v>
      </c>
      <c r="F113" s="1027">
        <v>11.5</v>
      </c>
      <c r="H113" s="1016">
        <f>78*25.4</f>
        <v>1981.1999999999998</v>
      </c>
      <c r="I113" s="1036">
        <f t="shared" si="8"/>
        <v>22.352</v>
      </c>
      <c r="J113" s="979">
        <f t="shared" si="9"/>
        <v>1981.1999999999998</v>
      </c>
      <c r="K113" s="979">
        <f t="shared" si="10"/>
        <v>66.801999999999992</v>
      </c>
      <c r="L113" s="1037">
        <f t="shared" si="11"/>
        <v>292.09999999999997</v>
      </c>
    </row>
    <row r="114" spans="2:12" ht="14" thickBot="1" x14ac:dyDescent="0.2">
      <c r="B114" s="929"/>
      <c r="C114" s="1033">
        <v>1.1299999999999999</v>
      </c>
      <c r="D114" s="1029">
        <v>78</v>
      </c>
      <c r="E114" s="1030">
        <v>3.38</v>
      </c>
      <c r="F114" s="1030">
        <v>11.81</v>
      </c>
      <c r="H114" s="929"/>
      <c r="I114" s="1038">
        <f t="shared" si="8"/>
        <v>28.701999999999995</v>
      </c>
      <c r="J114" s="1039">
        <f t="shared" si="9"/>
        <v>1981.1999999999998</v>
      </c>
      <c r="K114" s="1039">
        <f t="shared" si="10"/>
        <v>85.85199999999999</v>
      </c>
      <c r="L114" s="1040">
        <f t="shared" si="11"/>
        <v>299.97399999999999</v>
      </c>
    </row>
    <row r="115" spans="2:12" ht="14" thickTop="1" x14ac:dyDescent="0.15">
      <c r="B115" s="928"/>
      <c r="C115" s="1031">
        <v>0.38</v>
      </c>
      <c r="D115" s="1007">
        <v>84</v>
      </c>
      <c r="E115" s="1025">
        <v>1.1299999999999999</v>
      </c>
      <c r="F115" s="1025">
        <v>11.69</v>
      </c>
      <c r="H115" s="928"/>
      <c r="I115" s="1034">
        <f t="shared" si="8"/>
        <v>9.6519999999999992</v>
      </c>
      <c r="J115" s="978">
        <f t="shared" si="9"/>
        <v>2133.6</v>
      </c>
      <c r="K115" s="978">
        <f t="shared" si="10"/>
        <v>28.701999999999995</v>
      </c>
      <c r="L115" s="1035">
        <f t="shared" si="11"/>
        <v>296.92599999999999</v>
      </c>
    </row>
    <row r="116" spans="2:12" x14ac:dyDescent="0.15">
      <c r="B116" s="944"/>
      <c r="C116" s="1032">
        <v>0.63</v>
      </c>
      <c r="D116" s="99">
        <v>84</v>
      </c>
      <c r="E116" s="1027">
        <v>1.88</v>
      </c>
      <c r="F116" s="1027">
        <v>11.88</v>
      </c>
      <c r="H116" s="1009" t="s">
        <v>386</v>
      </c>
      <c r="I116" s="1036">
        <f t="shared" si="8"/>
        <v>16.001999999999999</v>
      </c>
      <c r="J116" s="979">
        <f t="shared" si="9"/>
        <v>2133.6</v>
      </c>
      <c r="K116" s="979">
        <f t="shared" si="10"/>
        <v>47.751999999999995</v>
      </c>
      <c r="L116" s="1037">
        <f t="shared" si="11"/>
        <v>301.75200000000001</v>
      </c>
    </row>
    <row r="117" spans="2:12" x14ac:dyDescent="0.15">
      <c r="B117" s="944"/>
      <c r="C117" s="1032">
        <v>0.88</v>
      </c>
      <c r="D117" s="99">
        <v>84</v>
      </c>
      <c r="E117" s="1027">
        <v>2.63</v>
      </c>
      <c r="F117" s="1027">
        <v>12.31</v>
      </c>
      <c r="H117" s="1016">
        <f>84*25.4</f>
        <v>2133.6</v>
      </c>
      <c r="I117" s="1036">
        <f t="shared" si="8"/>
        <v>22.352</v>
      </c>
      <c r="J117" s="979">
        <f t="shared" si="9"/>
        <v>2133.6</v>
      </c>
      <c r="K117" s="979">
        <f t="shared" si="10"/>
        <v>66.801999999999992</v>
      </c>
      <c r="L117" s="1037">
        <f t="shared" si="11"/>
        <v>312.67399999999998</v>
      </c>
    </row>
    <row r="118" spans="2:12" ht="14" thickBot="1" x14ac:dyDescent="0.2">
      <c r="B118" s="929"/>
      <c r="C118" s="1033">
        <v>1.1299999999999999</v>
      </c>
      <c r="D118" s="1029">
        <v>84</v>
      </c>
      <c r="E118" s="1030">
        <v>3.38</v>
      </c>
      <c r="F118" s="1030">
        <v>12.63</v>
      </c>
      <c r="H118" s="929"/>
      <c r="I118" s="1038">
        <f t="shared" si="8"/>
        <v>28.701999999999995</v>
      </c>
      <c r="J118" s="1039">
        <f t="shared" si="9"/>
        <v>2133.6</v>
      </c>
      <c r="K118" s="1039">
        <f t="shared" si="10"/>
        <v>85.85199999999999</v>
      </c>
      <c r="L118" s="1040">
        <f t="shared" si="11"/>
        <v>320.80200000000002</v>
      </c>
    </row>
    <row r="119" spans="2:12" ht="14" thickTop="1" x14ac:dyDescent="0.15">
      <c r="B119" s="928"/>
      <c r="C119" s="1031">
        <v>0.38</v>
      </c>
      <c r="D119" s="1007">
        <v>90</v>
      </c>
      <c r="E119" s="1025">
        <v>1.1299999999999999</v>
      </c>
      <c r="F119" s="1025">
        <v>12.5</v>
      </c>
      <c r="H119" s="928"/>
      <c r="I119" s="1034">
        <f t="shared" si="8"/>
        <v>9.6519999999999992</v>
      </c>
      <c r="J119" s="978">
        <f t="shared" si="9"/>
        <v>2286</v>
      </c>
      <c r="K119" s="978">
        <f t="shared" si="10"/>
        <v>28.701999999999995</v>
      </c>
      <c r="L119" s="1035">
        <f t="shared" si="11"/>
        <v>317.5</v>
      </c>
    </row>
    <row r="120" spans="2:12" x14ac:dyDescent="0.15">
      <c r="B120" s="944"/>
      <c r="C120" s="1032">
        <v>0.63</v>
      </c>
      <c r="D120" s="99">
        <v>84</v>
      </c>
      <c r="E120" s="1027">
        <v>1.88</v>
      </c>
      <c r="F120" s="1027">
        <v>13.75</v>
      </c>
      <c r="H120" s="1009" t="s">
        <v>387</v>
      </c>
      <c r="I120" s="1036">
        <f t="shared" si="8"/>
        <v>16.001999999999999</v>
      </c>
      <c r="J120" s="979">
        <f t="shared" si="9"/>
        <v>2133.6</v>
      </c>
      <c r="K120" s="979">
        <f t="shared" si="10"/>
        <v>47.751999999999995</v>
      </c>
      <c r="L120" s="1037">
        <f t="shared" si="11"/>
        <v>349.25</v>
      </c>
    </row>
    <row r="121" spans="2:12" x14ac:dyDescent="0.15">
      <c r="B121" s="944"/>
      <c r="C121" s="1032">
        <v>0.88</v>
      </c>
      <c r="D121" s="99">
        <v>84</v>
      </c>
      <c r="E121" s="1027">
        <v>2.63</v>
      </c>
      <c r="F121" s="1027">
        <v>14</v>
      </c>
      <c r="H121" s="1016">
        <f>90*25.4</f>
        <v>2286</v>
      </c>
      <c r="I121" s="1036">
        <f t="shared" si="8"/>
        <v>22.352</v>
      </c>
      <c r="J121" s="979">
        <f t="shared" si="9"/>
        <v>2133.6</v>
      </c>
      <c r="K121" s="979">
        <f t="shared" si="10"/>
        <v>66.801999999999992</v>
      </c>
      <c r="L121" s="1037">
        <f t="shared" si="11"/>
        <v>355.59999999999997</v>
      </c>
    </row>
    <row r="122" spans="2:12" ht="14" thickBot="1" x14ac:dyDescent="0.2">
      <c r="B122" s="929"/>
      <c r="C122" s="1033">
        <v>1.1299999999999999</v>
      </c>
      <c r="D122" s="1029">
        <v>84</v>
      </c>
      <c r="E122" s="1030">
        <v>3.38</v>
      </c>
      <c r="F122" s="1030">
        <v>14.31</v>
      </c>
      <c r="H122" s="929"/>
      <c r="I122" s="1038">
        <f t="shared" si="8"/>
        <v>28.701999999999995</v>
      </c>
      <c r="J122" s="1039">
        <f t="shared" si="9"/>
        <v>2133.6</v>
      </c>
      <c r="K122" s="1039">
        <f t="shared" si="10"/>
        <v>85.85199999999999</v>
      </c>
      <c r="L122" s="1040">
        <f t="shared" si="11"/>
        <v>363.47399999999999</v>
      </c>
    </row>
    <row r="123" spans="2:12" ht="14" thickTop="1" x14ac:dyDescent="0.15">
      <c r="B123" s="928"/>
      <c r="C123" s="1031">
        <v>0.5</v>
      </c>
      <c r="D123" s="1007">
        <v>96</v>
      </c>
      <c r="E123" s="1025">
        <v>1.5</v>
      </c>
      <c r="F123" s="1025">
        <v>13.44</v>
      </c>
      <c r="H123" s="928"/>
      <c r="I123" s="1034">
        <f t="shared" si="8"/>
        <v>12.7</v>
      </c>
      <c r="J123" s="978">
        <f t="shared" si="9"/>
        <v>2438.3999999999996</v>
      </c>
      <c r="K123" s="978">
        <f t="shared" si="10"/>
        <v>38.099999999999994</v>
      </c>
      <c r="L123" s="1035">
        <f t="shared" si="11"/>
        <v>341.37599999999998</v>
      </c>
    </row>
    <row r="124" spans="2:12" x14ac:dyDescent="0.15">
      <c r="B124" s="944"/>
      <c r="C124" s="1032">
        <v>0.75</v>
      </c>
      <c r="D124" s="99">
        <v>96</v>
      </c>
      <c r="E124" s="1027">
        <v>2.25</v>
      </c>
      <c r="F124" s="1027">
        <v>13.75</v>
      </c>
      <c r="H124" s="1009" t="s">
        <v>388</v>
      </c>
      <c r="I124" s="1036">
        <f t="shared" si="8"/>
        <v>19.049999999999997</v>
      </c>
      <c r="J124" s="979">
        <f t="shared" si="9"/>
        <v>2438.3999999999996</v>
      </c>
      <c r="K124" s="979">
        <f t="shared" si="10"/>
        <v>57.15</v>
      </c>
      <c r="L124" s="1037">
        <f t="shared" si="11"/>
        <v>349.25</v>
      </c>
    </row>
    <row r="125" spans="2:12" x14ac:dyDescent="0.15">
      <c r="B125" s="944"/>
      <c r="C125" s="1032">
        <v>1</v>
      </c>
      <c r="D125" s="99">
        <v>96</v>
      </c>
      <c r="E125" s="1027">
        <v>3</v>
      </c>
      <c r="F125" s="1027">
        <v>14.06</v>
      </c>
      <c r="H125" s="1016">
        <f>96*25.4</f>
        <v>2438.3999999999996</v>
      </c>
      <c r="I125" s="1036">
        <f t="shared" si="8"/>
        <v>25.4</v>
      </c>
      <c r="J125" s="979">
        <f t="shared" si="9"/>
        <v>2438.3999999999996</v>
      </c>
      <c r="K125" s="979">
        <f t="shared" si="10"/>
        <v>76.199999999999989</v>
      </c>
      <c r="L125" s="1037">
        <f t="shared" si="11"/>
        <v>357.12399999999997</v>
      </c>
    </row>
    <row r="126" spans="2:12" ht="14" thickBot="1" x14ac:dyDescent="0.2">
      <c r="B126" s="929"/>
      <c r="C126" s="1033">
        <v>1.25</v>
      </c>
      <c r="D126" s="1029">
        <v>96</v>
      </c>
      <c r="E126" s="1030">
        <v>3.75</v>
      </c>
      <c r="F126" s="1030">
        <v>14.38</v>
      </c>
      <c r="H126" s="929"/>
      <c r="I126" s="1038">
        <f t="shared" si="8"/>
        <v>31.75</v>
      </c>
      <c r="J126" s="1039">
        <f t="shared" si="9"/>
        <v>2438.3999999999996</v>
      </c>
      <c r="K126" s="1039">
        <f t="shared" si="10"/>
        <v>95.25</v>
      </c>
      <c r="L126" s="1040">
        <f t="shared" si="11"/>
        <v>365.25200000000001</v>
      </c>
    </row>
    <row r="127" spans="2:12" ht="15" thickTop="1" thickBot="1" x14ac:dyDescent="0.2">
      <c r="B127" s="1013" t="s">
        <v>361</v>
      </c>
      <c r="C127" s="1013" t="s">
        <v>380</v>
      </c>
      <c r="D127" s="1013" t="s">
        <v>362</v>
      </c>
      <c r="E127" s="1013" t="s">
        <v>363</v>
      </c>
      <c r="F127" s="1013" t="s">
        <v>364</v>
      </c>
      <c r="H127" s="1013" t="s">
        <v>361</v>
      </c>
      <c r="I127" s="1013" t="s">
        <v>381</v>
      </c>
      <c r="J127" s="1013" t="s">
        <v>370</v>
      </c>
      <c r="K127" s="1013" t="s">
        <v>371</v>
      </c>
      <c r="L127" s="1013" t="s">
        <v>372</v>
      </c>
    </row>
    <row r="128" spans="2:12" ht="14" thickTop="1" x14ac:dyDescent="0.15">
      <c r="B128" s="928"/>
      <c r="C128" s="1024">
        <v>0.5</v>
      </c>
      <c r="D128" s="1007">
        <v>102</v>
      </c>
      <c r="E128" s="1025">
        <v>1.5</v>
      </c>
      <c r="F128" s="1025">
        <v>14.25</v>
      </c>
      <c r="H128" s="928"/>
      <c r="I128" s="1034">
        <f t="shared" ref="I128:I151" si="12">C128*25.4</f>
        <v>12.7</v>
      </c>
      <c r="J128" s="978">
        <f t="shared" ref="J128:J151" si="13">D128*25.4</f>
        <v>2590.7999999999997</v>
      </c>
      <c r="K128" s="978">
        <f t="shared" ref="K128:K151" si="14">E128*25.4</f>
        <v>38.099999999999994</v>
      </c>
      <c r="L128" s="1035">
        <f t="shared" ref="L128:L151" si="15">F128*25.4</f>
        <v>361.95</v>
      </c>
    </row>
    <row r="129" spans="2:12" x14ac:dyDescent="0.15">
      <c r="B129" s="944"/>
      <c r="C129" s="1026">
        <v>0.75</v>
      </c>
      <c r="D129" s="99">
        <v>96</v>
      </c>
      <c r="E129" s="1027">
        <v>2.25</v>
      </c>
      <c r="F129" s="1027">
        <v>15.5</v>
      </c>
      <c r="H129" s="1009" t="s">
        <v>391</v>
      </c>
      <c r="I129" s="1036">
        <f t="shared" si="12"/>
        <v>19.049999999999997</v>
      </c>
      <c r="J129" s="979">
        <f t="shared" si="13"/>
        <v>2438.3999999999996</v>
      </c>
      <c r="K129" s="979">
        <f t="shared" si="14"/>
        <v>57.15</v>
      </c>
      <c r="L129" s="1037">
        <f t="shared" si="15"/>
        <v>393.7</v>
      </c>
    </row>
    <row r="130" spans="2:12" x14ac:dyDescent="0.15">
      <c r="B130" s="944"/>
      <c r="C130" s="1026">
        <v>1</v>
      </c>
      <c r="D130" s="99">
        <v>96</v>
      </c>
      <c r="E130" s="1027">
        <v>3</v>
      </c>
      <c r="F130" s="1027">
        <v>15.75</v>
      </c>
      <c r="H130" s="1016">
        <f>102*25.4</f>
        <v>2590.7999999999997</v>
      </c>
      <c r="I130" s="1036">
        <f t="shared" si="12"/>
        <v>25.4</v>
      </c>
      <c r="J130" s="979">
        <f t="shared" si="13"/>
        <v>2438.3999999999996</v>
      </c>
      <c r="K130" s="979">
        <f t="shared" si="14"/>
        <v>76.199999999999989</v>
      </c>
      <c r="L130" s="1037">
        <f t="shared" si="15"/>
        <v>400.04999999999995</v>
      </c>
    </row>
    <row r="131" spans="2:12" ht="14" thickBot="1" x14ac:dyDescent="0.2">
      <c r="B131" s="929"/>
      <c r="C131" s="1028">
        <v>1.25</v>
      </c>
      <c r="D131" s="1029">
        <v>96</v>
      </c>
      <c r="E131" s="1030">
        <v>3.75</v>
      </c>
      <c r="F131" s="1030">
        <v>16.059999999999999</v>
      </c>
      <c r="H131" s="929"/>
      <c r="I131" s="1038">
        <f t="shared" si="12"/>
        <v>31.75</v>
      </c>
      <c r="J131" s="1039">
        <f t="shared" si="13"/>
        <v>2438.3999999999996</v>
      </c>
      <c r="K131" s="1039">
        <f t="shared" si="14"/>
        <v>95.25</v>
      </c>
      <c r="L131" s="1040">
        <f t="shared" si="15"/>
        <v>407.92399999999992</v>
      </c>
    </row>
    <row r="132" spans="2:12" ht="14" thickTop="1" x14ac:dyDescent="0.15">
      <c r="B132" s="928"/>
      <c r="C132" s="1031">
        <v>0.5</v>
      </c>
      <c r="D132" s="1007">
        <v>108</v>
      </c>
      <c r="E132" s="1025">
        <v>1.5</v>
      </c>
      <c r="F132" s="1025">
        <v>15.06</v>
      </c>
      <c r="H132" s="928"/>
      <c r="I132" s="1034">
        <f t="shared" si="12"/>
        <v>12.7</v>
      </c>
      <c r="J132" s="978">
        <f t="shared" si="13"/>
        <v>2743.2</v>
      </c>
      <c r="K132" s="978">
        <f t="shared" si="14"/>
        <v>38.099999999999994</v>
      </c>
      <c r="L132" s="1035">
        <f t="shared" si="15"/>
        <v>382.524</v>
      </c>
    </row>
    <row r="133" spans="2:12" x14ac:dyDescent="0.15">
      <c r="B133" s="944"/>
      <c r="C133" s="1032">
        <v>0.75</v>
      </c>
      <c r="D133" s="99">
        <v>108</v>
      </c>
      <c r="E133" s="1027">
        <v>2.25</v>
      </c>
      <c r="F133" s="1027">
        <v>15.38</v>
      </c>
      <c r="H133" s="1009" t="s">
        <v>392</v>
      </c>
      <c r="I133" s="1036">
        <f t="shared" si="12"/>
        <v>19.049999999999997</v>
      </c>
      <c r="J133" s="979">
        <f t="shared" si="13"/>
        <v>2743.2</v>
      </c>
      <c r="K133" s="979">
        <f t="shared" si="14"/>
        <v>57.15</v>
      </c>
      <c r="L133" s="1037">
        <f t="shared" si="15"/>
        <v>390.65199999999999</v>
      </c>
    </row>
    <row r="134" spans="2:12" x14ac:dyDescent="0.15">
      <c r="B134" s="944"/>
      <c r="C134" s="1032">
        <v>1</v>
      </c>
      <c r="D134" s="99">
        <v>102</v>
      </c>
      <c r="E134" s="1027">
        <v>3</v>
      </c>
      <c r="F134" s="1027">
        <v>16.559999999999999</v>
      </c>
      <c r="H134" s="1016">
        <f>108*25.4</f>
        <v>2743.2</v>
      </c>
      <c r="I134" s="1036">
        <f t="shared" si="12"/>
        <v>25.4</v>
      </c>
      <c r="J134" s="979">
        <f t="shared" si="13"/>
        <v>2590.7999999999997</v>
      </c>
      <c r="K134" s="979">
        <f t="shared" si="14"/>
        <v>76.199999999999989</v>
      </c>
      <c r="L134" s="1037">
        <f t="shared" si="15"/>
        <v>420.62399999999997</v>
      </c>
    </row>
    <row r="135" spans="2:12" ht="14" thickBot="1" x14ac:dyDescent="0.2">
      <c r="B135" s="929"/>
      <c r="C135" s="1033">
        <v>1.25</v>
      </c>
      <c r="D135" s="1029">
        <v>102</v>
      </c>
      <c r="E135" s="1030">
        <v>3.75</v>
      </c>
      <c r="F135" s="1030">
        <v>16.809999999999999</v>
      </c>
      <c r="H135" s="929"/>
      <c r="I135" s="1038">
        <f t="shared" si="12"/>
        <v>31.75</v>
      </c>
      <c r="J135" s="1039">
        <f t="shared" si="13"/>
        <v>2590.7999999999997</v>
      </c>
      <c r="K135" s="1039">
        <f t="shared" si="14"/>
        <v>95.25</v>
      </c>
      <c r="L135" s="1040">
        <f t="shared" si="15"/>
        <v>426.97399999999993</v>
      </c>
    </row>
    <row r="136" spans="2:12" ht="14" thickTop="1" x14ac:dyDescent="0.15">
      <c r="B136" s="928"/>
      <c r="C136" s="1031">
        <v>0.5</v>
      </c>
      <c r="D136" s="1007">
        <v>114</v>
      </c>
      <c r="E136" s="1025">
        <v>1.5</v>
      </c>
      <c r="F136" s="1025">
        <v>15.88</v>
      </c>
      <c r="H136" s="928"/>
      <c r="I136" s="1034">
        <f t="shared" si="12"/>
        <v>12.7</v>
      </c>
      <c r="J136" s="978">
        <f t="shared" si="13"/>
        <v>2895.6</v>
      </c>
      <c r="K136" s="978">
        <f t="shared" si="14"/>
        <v>38.099999999999994</v>
      </c>
      <c r="L136" s="1035">
        <f t="shared" si="15"/>
        <v>403.35199999999998</v>
      </c>
    </row>
    <row r="137" spans="2:12" x14ac:dyDescent="0.15">
      <c r="B137" s="944"/>
      <c r="C137" s="1032">
        <v>0.75</v>
      </c>
      <c r="D137" s="99">
        <v>114</v>
      </c>
      <c r="E137" s="1027">
        <v>2.25</v>
      </c>
      <c r="F137" s="1027">
        <v>16.190000000000001</v>
      </c>
      <c r="H137" s="1009" t="s">
        <v>394</v>
      </c>
      <c r="I137" s="1036">
        <f t="shared" si="12"/>
        <v>19.049999999999997</v>
      </c>
      <c r="J137" s="979">
        <f t="shared" si="13"/>
        <v>2895.6</v>
      </c>
      <c r="K137" s="979">
        <f t="shared" si="14"/>
        <v>57.15</v>
      </c>
      <c r="L137" s="1037">
        <f t="shared" si="15"/>
        <v>411.226</v>
      </c>
    </row>
    <row r="138" spans="2:12" x14ac:dyDescent="0.15">
      <c r="B138" s="944"/>
      <c r="C138" s="1032">
        <v>1</v>
      </c>
      <c r="D138" s="99">
        <v>108</v>
      </c>
      <c r="E138" s="1027">
        <v>3</v>
      </c>
      <c r="F138" s="1027">
        <v>17.38</v>
      </c>
      <c r="H138" s="1016">
        <f>114*25.4</f>
        <v>2895.6</v>
      </c>
      <c r="I138" s="1036">
        <f t="shared" si="12"/>
        <v>25.4</v>
      </c>
      <c r="J138" s="979">
        <f t="shared" si="13"/>
        <v>2743.2</v>
      </c>
      <c r="K138" s="979">
        <f t="shared" si="14"/>
        <v>76.199999999999989</v>
      </c>
      <c r="L138" s="1037">
        <f t="shared" si="15"/>
        <v>441.45199999999994</v>
      </c>
    </row>
    <row r="139" spans="2:12" ht="14" thickBot="1" x14ac:dyDescent="0.2">
      <c r="B139" s="929"/>
      <c r="C139" s="1033">
        <v>1.25</v>
      </c>
      <c r="D139" s="1029">
        <v>108</v>
      </c>
      <c r="E139" s="1030">
        <v>3.75</v>
      </c>
      <c r="F139" s="1030">
        <v>17.63</v>
      </c>
      <c r="H139" s="929"/>
      <c r="I139" s="1038">
        <f t="shared" si="12"/>
        <v>31.75</v>
      </c>
      <c r="J139" s="1039">
        <f t="shared" si="13"/>
        <v>2743.2</v>
      </c>
      <c r="K139" s="1039">
        <f t="shared" si="14"/>
        <v>95.25</v>
      </c>
      <c r="L139" s="1040">
        <f t="shared" si="15"/>
        <v>447.80199999999996</v>
      </c>
    </row>
    <row r="140" spans="2:12" ht="14" thickTop="1" x14ac:dyDescent="0.15">
      <c r="B140" s="928"/>
      <c r="C140" s="1031">
        <v>0.5</v>
      </c>
      <c r="D140" s="1007">
        <v>120</v>
      </c>
      <c r="E140" s="1025">
        <v>1.5</v>
      </c>
      <c r="F140" s="1025">
        <v>16.690000000000001</v>
      </c>
      <c r="H140" s="928"/>
      <c r="I140" s="1034">
        <f t="shared" si="12"/>
        <v>12.7</v>
      </c>
      <c r="J140" s="978">
        <f t="shared" si="13"/>
        <v>3048</v>
      </c>
      <c r="K140" s="978">
        <f t="shared" si="14"/>
        <v>38.099999999999994</v>
      </c>
      <c r="L140" s="1035">
        <f t="shared" si="15"/>
        <v>423.92599999999999</v>
      </c>
    </row>
    <row r="141" spans="2:12" x14ac:dyDescent="0.15">
      <c r="B141" s="944"/>
      <c r="C141" s="1032">
        <v>0.88</v>
      </c>
      <c r="D141" s="99">
        <v>120</v>
      </c>
      <c r="E141" s="1027">
        <v>2.63</v>
      </c>
      <c r="F141" s="1027">
        <v>17.13</v>
      </c>
      <c r="H141" s="1009" t="s">
        <v>393</v>
      </c>
      <c r="I141" s="1036">
        <f t="shared" si="12"/>
        <v>22.352</v>
      </c>
      <c r="J141" s="979">
        <f t="shared" si="13"/>
        <v>3048</v>
      </c>
      <c r="K141" s="979">
        <f t="shared" si="14"/>
        <v>66.801999999999992</v>
      </c>
      <c r="L141" s="1037">
        <f t="shared" si="15"/>
        <v>435.10199999999998</v>
      </c>
    </row>
    <row r="142" spans="2:12" x14ac:dyDescent="0.15">
      <c r="B142" s="944"/>
      <c r="C142" s="1032">
        <v>1.25</v>
      </c>
      <c r="D142" s="99">
        <v>120</v>
      </c>
      <c r="E142" s="1027">
        <v>3.75</v>
      </c>
      <c r="F142" s="1027">
        <v>17.59</v>
      </c>
      <c r="H142" s="1016">
        <f>120*25.4</f>
        <v>3048</v>
      </c>
      <c r="I142" s="1036">
        <f t="shared" si="12"/>
        <v>31.75</v>
      </c>
      <c r="J142" s="979">
        <f t="shared" si="13"/>
        <v>3048</v>
      </c>
      <c r="K142" s="979">
        <f t="shared" si="14"/>
        <v>95.25</v>
      </c>
      <c r="L142" s="1037">
        <f t="shared" si="15"/>
        <v>446.78599999999994</v>
      </c>
    </row>
    <row r="143" spans="2:12" ht="14" thickBot="1" x14ac:dyDescent="0.2">
      <c r="B143" s="929"/>
      <c r="C143" s="1033">
        <v>1.63</v>
      </c>
      <c r="D143" s="1029">
        <v>120</v>
      </c>
      <c r="E143" s="1030">
        <v>4.88</v>
      </c>
      <c r="F143" s="1030">
        <v>18.059999999999999</v>
      </c>
      <c r="H143" s="929"/>
      <c r="I143" s="1038">
        <f t="shared" si="12"/>
        <v>41.401999999999994</v>
      </c>
      <c r="J143" s="1039">
        <f t="shared" si="13"/>
        <v>3048</v>
      </c>
      <c r="K143" s="1039">
        <f t="shared" si="14"/>
        <v>123.95199999999998</v>
      </c>
      <c r="L143" s="1040">
        <f t="shared" si="15"/>
        <v>458.72399999999993</v>
      </c>
    </row>
    <row r="144" spans="2:12" ht="14" thickTop="1" x14ac:dyDescent="0.15">
      <c r="B144" s="928"/>
      <c r="C144" s="1031">
        <v>0.5</v>
      </c>
      <c r="D144" s="1007">
        <v>126</v>
      </c>
      <c r="E144" s="1025">
        <v>1.5</v>
      </c>
      <c r="F144" s="1025">
        <v>17.5</v>
      </c>
      <c r="H144" s="928"/>
      <c r="I144" s="1034">
        <f t="shared" si="12"/>
        <v>12.7</v>
      </c>
      <c r="J144" s="978">
        <f t="shared" si="13"/>
        <v>3200.3999999999996</v>
      </c>
      <c r="K144" s="978">
        <f t="shared" si="14"/>
        <v>38.099999999999994</v>
      </c>
      <c r="L144" s="1035">
        <f t="shared" si="15"/>
        <v>444.5</v>
      </c>
    </row>
    <row r="145" spans="2:12" x14ac:dyDescent="0.15">
      <c r="B145" s="944"/>
      <c r="C145" s="1032">
        <v>0.88</v>
      </c>
      <c r="D145" s="99">
        <v>120</v>
      </c>
      <c r="E145" s="1027">
        <v>2.63</v>
      </c>
      <c r="F145" s="1027">
        <v>18.809999999999999</v>
      </c>
      <c r="H145" s="1009" t="s">
        <v>395</v>
      </c>
      <c r="I145" s="1036">
        <f t="shared" si="12"/>
        <v>22.352</v>
      </c>
      <c r="J145" s="979">
        <f t="shared" si="13"/>
        <v>3048</v>
      </c>
      <c r="K145" s="979">
        <f t="shared" si="14"/>
        <v>66.801999999999992</v>
      </c>
      <c r="L145" s="1037">
        <f t="shared" si="15"/>
        <v>477.77399999999994</v>
      </c>
    </row>
    <row r="146" spans="2:12" x14ac:dyDescent="0.15">
      <c r="B146" s="944"/>
      <c r="C146" s="1032">
        <v>1.25</v>
      </c>
      <c r="D146" s="99">
        <v>120</v>
      </c>
      <c r="E146" s="1027">
        <v>3.75</v>
      </c>
      <c r="F146" s="1027">
        <v>19.25</v>
      </c>
      <c r="H146" s="1016">
        <f>126*25.4</f>
        <v>3200.3999999999996</v>
      </c>
      <c r="I146" s="1036">
        <f t="shared" si="12"/>
        <v>31.75</v>
      </c>
      <c r="J146" s="979">
        <f t="shared" si="13"/>
        <v>3048</v>
      </c>
      <c r="K146" s="979">
        <f t="shared" si="14"/>
        <v>95.25</v>
      </c>
      <c r="L146" s="1037">
        <f t="shared" si="15"/>
        <v>488.95</v>
      </c>
    </row>
    <row r="147" spans="2:12" ht="14" thickBot="1" x14ac:dyDescent="0.2">
      <c r="B147" s="929"/>
      <c r="C147" s="1033">
        <v>1.63</v>
      </c>
      <c r="D147" s="1029">
        <v>120</v>
      </c>
      <c r="E147" s="1030">
        <v>4.88</v>
      </c>
      <c r="F147" s="1030">
        <v>19.690000000000001</v>
      </c>
      <c r="H147" s="929"/>
      <c r="I147" s="1038">
        <f t="shared" si="12"/>
        <v>41.401999999999994</v>
      </c>
      <c r="J147" s="1039">
        <f t="shared" si="13"/>
        <v>3048</v>
      </c>
      <c r="K147" s="1039">
        <f t="shared" si="14"/>
        <v>123.95199999999998</v>
      </c>
      <c r="L147" s="1040">
        <f t="shared" si="15"/>
        <v>500.12599999999998</v>
      </c>
    </row>
    <row r="148" spans="2:12" ht="14" thickTop="1" x14ac:dyDescent="0.15">
      <c r="B148" s="928"/>
      <c r="C148" s="1031">
        <v>0.63</v>
      </c>
      <c r="D148" s="1007">
        <v>132</v>
      </c>
      <c r="E148" s="1025">
        <v>1.88</v>
      </c>
      <c r="F148" s="1025">
        <v>18.440000000000001</v>
      </c>
      <c r="H148" s="928"/>
      <c r="I148" s="1034">
        <f t="shared" si="12"/>
        <v>16.001999999999999</v>
      </c>
      <c r="J148" s="978">
        <f t="shared" si="13"/>
        <v>3352.7999999999997</v>
      </c>
      <c r="K148" s="978">
        <f t="shared" si="14"/>
        <v>47.751999999999995</v>
      </c>
      <c r="L148" s="1035">
        <f t="shared" si="15"/>
        <v>468.37600000000003</v>
      </c>
    </row>
    <row r="149" spans="2:12" x14ac:dyDescent="0.15">
      <c r="B149" s="944"/>
      <c r="C149" s="1032">
        <v>0.88</v>
      </c>
      <c r="D149" s="99">
        <v>132</v>
      </c>
      <c r="E149" s="1027">
        <v>2.63</v>
      </c>
      <c r="F149" s="1027">
        <v>18.75</v>
      </c>
      <c r="H149" s="1009" t="s">
        <v>396</v>
      </c>
      <c r="I149" s="1036">
        <f t="shared" si="12"/>
        <v>22.352</v>
      </c>
      <c r="J149" s="979">
        <f t="shared" si="13"/>
        <v>3352.7999999999997</v>
      </c>
      <c r="K149" s="979">
        <f t="shared" si="14"/>
        <v>66.801999999999992</v>
      </c>
      <c r="L149" s="1037">
        <f t="shared" si="15"/>
        <v>476.25</v>
      </c>
    </row>
    <row r="150" spans="2:12" x14ac:dyDescent="0.15">
      <c r="B150" s="944"/>
      <c r="C150" s="1032">
        <v>1.1299999999999999</v>
      </c>
      <c r="D150" s="99">
        <v>132</v>
      </c>
      <c r="E150" s="1027">
        <v>3.38</v>
      </c>
      <c r="F150" s="1027">
        <v>19</v>
      </c>
      <c r="H150" s="1016">
        <f>132*25.4</f>
        <v>3352.7999999999997</v>
      </c>
      <c r="I150" s="1036">
        <f t="shared" si="12"/>
        <v>28.701999999999995</v>
      </c>
      <c r="J150" s="979">
        <f t="shared" si="13"/>
        <v>3352.7999999999997</v>
      </c>
      <c r="K150" s="979">
        <f t="shared" si="14"/>
        <v>85.85199999999999</v>
      </c>
      <c r="L150" s="1037">
        <f t="shared" si="15"/>
        <v>482.59999999999997</v>
      </c>
    </row>
    <row r="151" spans="2:12" ht="14" thickBot="1" x14ac:dyDescent="0.2">
      <c r="B151" s="929"/>
      <c r="C151" s="1033">
        <v>1.5</v>
      </c>
      <c r="D151" s="1029">
        <v>132</v>
      </c>
      <c r="E151" s="1030">
        <v>4.5</v>
      </c>
      <c r="F151" s="1030">
        <v>19.5</v>
      </c>
      <c r="H151" s="929"/>
      <c r="I151" s="1038">
        <f t="shared" si="12"/>
        <v>38.099999999999994</v>
      </c>
      <c r="J151" s="1039">
        <f t="shared" si="13"/>
        <v>3352.7999999999997</v>
      </c>
      <c r="K151" s="1039">
        <f t="shared" si="14"/>
        <v>114.3</v>
      </c>
      <c r="L151" s="1040">
        <f t="shared" si="15"/>
        <v>495.29999999999995</v>
      </c>
    </row>
    <row r="152" spans="2:12" ht="15" thickTop="1" thickBot="1" x14ac:dyDescent="0.2">
      <c r="B152" s="1013" t="s">
        <v>361</v>
      </c>
      <c r="C152" s="1013" t="s">
        <v>380</v>
      </c>
      <c r="D152" s="1013" t="s">
        <v>362</v>
      </c>
      <c r="E152" s="1013" t="s">
        <v>363</v>
      </c>
      <c r="F152" s="1013" t="s">
        <v>364</v>
      </c>
      <c r="H152" s="1013" t="s">
        <v>361</v>
      </c>
      <c r="I152" s="1013" t="s">
        <v>381</v>
      </c>
      <c r="J152" s="1013" t="s">
        <v>370</v>
      </c>
      <c r="K152" s="1013" t="s">
        <v>371</v>
      </c>
      <c r="L152" s="1013" t="s">
        <v>372</v>
      </c>
    </row>
    <row r="153" spans="2:12" ht="14" thickTop="1" x14ac:dyDescent="0.15">
      <c r="B153" s="928"/>
      <c r="C153" s="1024">
        <v>0.63</v>
      </c>
      <c r="D153" s="1007">
        <v>132</v>
      </c>
      <c r="E153" s="1025">
        <v>1.88</v>
      </c>
      <c r="F153" s="1025">
        <v>20.13</v>
      </c>
      <c r="H153" s="928"/>
      <c r="I153" s="1034">
        <f t="shared" ref="I153:I176" si="16">C153*25.4</f>
        <v>16.001999999999999</v>
      </c>
      <c r="J153" s="978">
        <f t="shared" ref="J153:J176" si="17">D153*25.4</f>
        <v>3352.7999999999997</v>
      </c>
      <c r="K153" s="978">
        <f t="shared" ref="K153:K176" si="18">E153*25.4</f>
        <v>47.751999999999995</v>
      </c>
      <c r="L153" s="1035">
        <f t="shared" ref="L153:L176" si="19">F153*25.4</f>
        <v>511.30199999999996</v>
      </c>
    </row>
    <row r="154" spans="2:12" x14ac:dyDescent="0.15">
      <c r="B154" s="944"/>
      <c r="C154" s="1026">
        <v>0.88</v>
      </c>
      <c r="D154" s="99">
        <v>132</v>
      </c>
      <c r="E154" s="1027">
        <v>2.63</v>
      </c>
      <c r="F154" s="1027">
        <v>20.440000000000001</v>
      </c>
      <c r="H154" s="1009" t="s">
        <v>397</v>
      </c>
      <c r="I154" s="1036">
        <f t="shared" si="16"/>
        <v>22.352</v>
      </c>
      <c r="J154" s="979">
        <f t="shared" si="17"/>
        <v>3352.7999999999997</v>
      </c>
      <c r="K154" s="979">
        <f t="shared" si="18"/>
        <v>66.801999999999992</v>
      </c>
      <c r="L154" s="1037">
        <f t="shared" si="19"/>
        <v>519.17600000000004</v>
      </c>
    </row>
    <row r="155" spans="2:12" x14ac:dyDescent="0.15">
      <c r="B155" s="944"/>
      <c r="C155" s="1026">
        <v>1.1299999999999999</v>
      </c>
      <c r="D155" s="99">
        <v>132</v>
      </c>
      <c r="E155" s="1027">
        <v>3.38</v>
      </c>
      <c r="F155" s="1027">
        <v>20.69</v>
      </c>
      <c r="H155" s="1016">
        <f>138*25.4</f>
        <v>3505.2</v>
      </c>
      <c r="I155" s="1036">
        <f t="shared" si="16"/>
        <v>28.701999999999995</v>
      </c>
      <c r="J155" s="979">
        <f t="shared" si="17"/>
        <v>3352.7999999999997</v>
      </c>
      <c r="K155" s="979">
        <f t="shared" si="18"/>
        <v>85.85199999999999</v>
      </c>
      <c r="L155" s="1037">
        <f t="shared" si="19"/>
        <v>525.52599999999995</v>
      </c>
    </row>
    <row r="156" spans="2:12" ht="14" thickBot="1" x14ac:dyDescent="0.2">
      <c r="B156" s="929"/>
      <c r="C156" s="1028">
        <v>1.5</v>
      </c>
      <c r="D156" s="1029">
        <v>132</v>
      </c>
      <c r="E156" s="1030">
        <v>4.5</v>
      </c>
      <c r="F156" s="1030">
        <v>21.13</v>
      </c>
      <c r="H156" s="929"/>
      <c r="I156" s="1038">
        <f t="shared" si="16"/>
        <v>38.099999999999994</v>
      </c>
      <c r="J156" s="1039">
        <f t="shared" si="17"/>
        <v>3352.7999999999997</v>
      </c>
      <c r="K156" s="1039">
        <f t="shared" si="18"/>
        <v>114.3</v>
      </c>
      <c r="L156" s="1040">
        <f t="shared" si="19"/>
        <v>536.702</v>
      </c>
    </row>
    <row r="157" spans="2:12" ht="14" thickTop="1" x14ac:dyDescent="0.15">
      <c r="B157" s="928"/>
      <c r="C157" s="1031">
        <v>0.63</v>
      </c>
      <c r="D157" s="1007">
        <v>144</v>
      </c>
      <c r="E157" s="1025">
        <v>1.88</v>
      </c>
      <c r="F157" s="1025">
        <v>20</v>
      </c>
      <c r="H157" s="928"/>
      <c r="I157" s="1034">
        <f t="shared" si="16"/>
        <v>16.001999999999999</v>
      </c>
      <c r="J157" s="978">
        <f t="shared" si="17"/>
        <v>3657.6</v>
      </c>
      <c r="K157" s="978">
        <f t="shared" si="18"/>
        <v>47.751999999999995</v>
      </c>
      <c r="L157" s="1035">
        <f t="shared" si="19"/>
        <v>508</v>
      </c>
    </row>
    <row r="158" spans="2:12" x14ac:dyDescent="0.15">
      <c r="B158" s="944"/>
      <c r="C158" s="1032">
        <v>0.88</v>
      </c>
      <c r="D158" s="99">
        <v>144</v>
      </c>
      <c r="E158" s="1027">
        <v>2.63</v>
      </c>
      <c r="F158" s="1027">
        <v>20.309999999999999</v>
      </c>
      <c r="H158" s="1009" t="s">
        <v>398</v>
      </c>
      <c r="I158" s="1036">
        <f t="shared" si="16"/>
        <v>22.352</v>
      </c>
      <c r="J158" s="979">
        <f t="shared" si="17"/>
        <v>3657.6</v>
      </c>
      <c r="K158" s="979">
        <f t="shared" si="18"/>
        <v>66.801999999999992</v>
      </c>
      <c r="L158" s="1037">
        <f t="shared" si="19"/>
        <v>515.87399999999991</v>
      </c>
    </row>
    <row r="159" spans="2:12" x14ac:dyDescent="0.15">
      <c r="B159" s="944"/>
      <c r="C159" s="1032">
        <v>1.1299999999999999</v>
      </c>
      <c r="D159" s="99">
        <v>144</v>
      </c>
      <c r="E159" s="1027">
        <v>3.38</v>
      </c>
      <c r="F159" s="1027">
        <v>20.63</v>
      </c>
      <c r="H159" s="1016">
        <f>144*25.4</f>
        <v>3657.6</v>
      </c>
      <c r="I159" s="1036">
        <f t="shared" si="16"/>
        <v>28.701999999999995</v>
      </c>
      <c r="J159" s="979">
        <f t="shared" si="17"/>
        <v>3657.6</v>
      </c>
      <c r="K159" s="979">
        <f t="shared" si="18"/>
        <v>85.85199999999999</v>
      </c>
      <c r="L159" s="1037">
        <f t="shared" si="19"/>
        <v>524.00199999999995</v>
      </c>
    </row>
    <row r="160" spans="2:12" ht="14" thickBot="1" x14ac:dyDescent="0.2">
      <c r="B160" s="929"/>
      <c r="C160" s="1033">
        <v>1.5</v>
      </c>
      <c r="D160" s="1029">
        <v>144</v>
      </c>
      <c r="E160" s="1030">
        <v>4.5</v>
      </c>
      <c r="F160" s="1030">
        <v>21.13</v>
      </c>
      <c r="H160" s="929"/>
      <c r="I160" s="1038">
        <f t="shared" si="16"/>
        <v>38.099999999999994</v>
      </c>
      <c r="J160" s="1039">
        <f t="shared" si="17"/>
        <v>3657.6</v>
      </c>
      <c r="K160" s="1039">
        <f t="shared" si="18"/>
        <v>114.3</v>
      </c>
      <c r="L160" s="1040">
        <f t="shared" si="19"/>
        <v>536.702</v>
      </c>
    </row>
    <row r="161" spans="2:12" ht="14" thickTop="1" x14ac:dyDescent="0.15">
      <c r="B161" s="928"/>
      <c r="C161" s="1031">
        <v>0.75</v>
      </c>
      <c r="D161" s="1007">
        <v>144</v>
      </c>
      <c r="E161" s="1025">
        <v>2.25</v>
      </c>
      <c r="F161" s="1025">
        <v>23.69</v>
      </c>
      <c r="H161" s="928"/>
      <c r="I161" s="1034">
        <f t="shared" si="16"/>
        <v>19.049999999999997</v>
      </c>
      <c r="J161" s="978">
        <f t="shared" si="17"/>
        <v>3657.6</v>
      </c>
      <c r="K161" s="978">
        <f t="shared" si="18"/>
        <v>57.15</v>
      </c>
      <c r="L161" s="1035">
        <f t="shared" si="19"/>
        <v>601.726</v>
      </c>
    </row>
    <row r="162" spans="2:12" x14ac:dyDescent="0.15">
      <c r="B162" s="944"/>
      <c r="C162" s="1032">
        <v>1.1299999999999999</v>
      </c>
      <c r="D162" s="99">
        <v>144</v>
      </c>
      <c r="E162" s="1027">
        <v>3.38</v>
      </c>
      <c r="F162" s="1027">
        <v>24.13</v>
      </c>
      <c r="H162" s="1009" t="s">
        <v>399</v>
      </c>
      <c r="I162" s="1036">
        <f t="shared" si="16"/>
        <v>28.701999999999995</v>
      </c>
      <c r="J162" s="979">
        <f t="shared" si="17"/>
        <v>3657.6</v>
      </c>
      <c r="K162" s="979">
        <f t="shared" si="18"/>
        <v>85.85199999999999</v>
      </c>
      <c r="L162" s="1037">
        <f t="shared" si="19"/>
        <v>612.90199999999993</v>
      </c>
    </row>
    <row r="163" spans="2:12" x14ac:dyDescent="0.15">
      <c r="B163" s="944"/>
      <c r="C163" s="1032">
        <v>1.5</v>
      </c>
      <c r="D163" s="99">
        <v>144</v>
      </c>
      <c r="E163" s="1027">
        <v>4.5</v>
      </c>
      <c r="F163" s="1027">
        <v>24.5</v>
      </c>
      <c r="H163" s="1016">
        <f>156*25.4</f>
        <v>3962.3999999999996</v>
      </c>
      <c r="I163" s="1036">
        <f t="shared" si="16"/>
        <v>38.099999999999994</v>
      </c>
      <c r="J163" s="979">
        <f t="shared" si="17"/>
        <v>3657.6</v>
      </c>
      <c r="K163" s="979">
        <f t="shared" si="18"/>
        <v>114.3</v>
      </c>
      <c r="L163" s="1037">
        <f t="shared" si="19"/>
        <v>622.29999999999995</v>
      </c>
    </row>
    <row r="164" spans="2:12" ht="14" thickBot="1" x14ac:dyDescent="0.2">
      <c r="B164" s="929"/>
      <c r="C164" s="1033">
        <v>1.88</v>
      </c>
      <c r="D164" s="1029">
        <v>144</v>
      </c>
      <c r="E164" s="1030">
        <v>5.63</v>
      </c>
      <c r="F164" s="1030">
        <v>24.94</v>
      </c>
      <c r="H164" s="929"/>
      <c r="I164" s="1038">
        <f t="shared" si="16"/>
        <v>47.751999999999995</v>
      </c>
      <c r="J164" s="1039">
        <f t="shared" si="17"/>
        <v>3657.6</v>
      </c>
      <c r="K164" s="1039">
        <f t="shared" si="18"/>
        <v>143.00199999999998</v>
      </c>
      <c r="L164" s="1040">
        <f t="shared" si="19"/>
        <v>633.476</v>
      </c>
    </row>
    <row r="165" spans="2:12" ht="14" thickTop="1" x14ac:dyDescent="0.15">
      <c r="B165" s="928"/>
      <c r="C165" s="1031">
        <v>0.75</v>
      </c>
      <c r="D165" s="1007">
        <v>170</v>
      </c>
      <c r="E165" s="1025">
        <v>2.25</v>
      </c>
      <c r="F165" s="1025">
        <v>23.13</v>
      </c>
      <c r="H165" s="928"/>
      <c r="I165" s="1034">
        <f t="shared" si="16"/>
        <v>19.049999999999997</v>
      </c>
      <c r="J165" s="978">
        <f t="shared" si="17"/>
        <v>4318</v>
      </c>
      <c r="K165" s="978">
        <f t="shared" si="18"/>
        <v>57.15</v>
      </c>
      <c r="L165" s="1035">
        <f t="shared" si="19"/>
        <v>587.50199999999995</v>
      </c>
    </row>
    <row r="166" spans="2:12" x14ac:dyDescent="0.15">
      <c r="B166" s="944"/>
      <c r="C166" s="1032">
        <v>1.1299999999999999</v>
      </c>
      <c r="D166" s="99">
        <v>170</v>
      </c>
      <c r="E166" s="1027">
        <v>3.38</v>
      </c>
      <c r="F166" s="1027">
        <v>23.56</v>
      </c>
      <c r="H166" s="1009" t="s">
        <v>400</v>
      </c>
      <c r="I166" s="1036">
        <f t="shared" si="16"/>
        <v>28.701999999999995</v>
      </c>
      <c r="J166" s="979">
        <f t="shared" si="17"/>
        <v>4318</v>
      </c>
      <c r="K166" s="979">
        <f t="shared" si="18"/>
        <v>85.85199999999999</v>
      </c>
      <c r="L166" s="1037">
        <f t="shared" si="19"/>
        <v>598.42399999999998</v>
      </c>
    </row>
    <row r="167" spans="2:12" x14ac:dyDescent="0.15">
      <c r="B167" s="944"/>
      <c r="C167" s="1032">
        <v>1.5</v>
      </c>
      <c r="D167" s="99">
        <v>170</v>
      </c>
      <c r="E167" s="1027">
        <v>4.5</v>
      </c>
      <c r="F167" s="1027">
        <v>24.06</v>
      </c>
      <c r="H167" s="1016">
        <f>168*25.4</f>
        <v>4267.2</v>
      </c>
      <c r="I167" s="1036">
        <f t="shared" si="16"/>
        <v>38.099999999999994</v>
      </c>
      <c r="J167" s="979">
        <f t="shared" si="17"/>
        <v>4318</v>
      </c>
      <c r="K167" s="979">
        <f t="shared" si="18"/>
        <v>114.3</v>
      </c>
      <c r="L167" s="1037">
        <f t="shared" si="19"/>
        <v>611.12399999999991</v>
      </c>
    </row>
    <row r="168" spans="2:12" ht="14" thickBot="1" x14ac:dyDescent="0.2">
      <c r="B168" s="929"/>
      <c r="C168" s="1033">
        <v>1.88</v>
      </c>
      <c r="D168" s="1029">
        <v>170</v>
      </c>
      <c r="E168" s="1030">
        <v>5.63</v>
      </c>
      <c r="F168" s="1030">
        <v>24.19</v>
      </c>
      <c r="H168" s="929"/>
      <c r="I168" s="1038">
        <f t="shared" si="16"/>
        <v>47.751999999999995</v>
      </c>
      <c r="J168" s="1039">
        <f t="shared" si="17"/>
        <v>4318</v>
      </c>
      <c r="K168" s="1039">
        <f t="shared" si="18"/>
        <v>143.00199999999998</v>
      </c>
      <c r="L168" s="1040">
        <f t="shared" si="19"/>
        <v>614.42600000000004</v>
      </c>
    </row>
    <row r="169" spans="2:12" ht="14" thickTop="1" x14ac:dyDescent="0.15">
      <c r="B169" s="928"/>
      <c r="C169" s="1031">
        <v>0.88</v>
      </c>
      <c r="D169" s="1007">
        <v>170</v>
      </c>
      <c r="E169" s="1025">
        <v>2.63</v>
      </c>
      <c r="F169" s="1025">
        <v>26.69</v>
      </c>
      <c r="H169" s="928"/>
      <c r="I169" s="1034">
        <f t="shared" si="16"/>
        <v>22.352</v>
      </c>
      <c r="J169" s="978">
        <f t="shared" si="17"/>
        <v>4318</v>
      </c>
      <c r="K169" s="978">
        <f t="shared" si="18"/>
        <v>66.801999999999992</v>
      </c>
      <c r="L169" s="1035">
        <f t="shared" si="19"/>
        <v>677.92600000000004</v>
      </c>
    </row>
    <row r="170" spans="2:12" x14ac:dyDescent="0.15">
      <c r="B170" s="944"/>
      <c r="C170" s="1032">
        <v>1.25</v>
      </c>
      <c r="D170" s="99">
        <v>170</v>
      </c>
      <c r="E170" s="1027">
        <v>3.75</v>
      </c>
      <c r="F170" s="1027">
        <v>27.13</v>
      </c>
      <c r="H170" s="1009">
        <v>180</v>
      </c>
      <c r="I170" s="1036">
        <f t="shared" si="16"/>
        <v>31.75</v>
      </c>
      <c r="J170" s="979">
        <f t="shared" si="17"/>
        <v>4318</v>
      </c>
      <c r="K170" s="979">
        <f t="shared" si="18"/>
        <v>95.25</v>
      </c>
      <c r="L170" s="1037">
        <f t="shared" si="19"/>
        <v>689.10199999999998</v>
      </c>
    </row>
    <row r="171" spans="2:12" x14ac:dyDescent="0.15">
      <c r="B171" s="944"/>
      <c r="C171" s="1032">
        <v>1.63</v>
      </c>
      <c r="D171" s="99">
        <v>170</v>
      </c>
      <c r="E171" s="1027">
        <v>4.88</v>
      </c>
      <c r="F171" s="1027">
        <v>27.56</v>
      </c>
      <c r="H171" s="1016">
        <f>180*25.4</f>
        <v>4572</v>
      </c>
      <c r="I171" s="1036">
        <f t="shared" si="16"/>
        <v>41.401999999999994</v>
      </c>
      <c r="J171" s="979">
        <f t="shared" si="17"/>
        <v>4318</v>
      </c>
      <c r="K171" s="979">
        <f t="shared" si="18"/>
        <v>123.95199999999998</v>
      </c>
      <c r="L171" s="1037">
        <f t="shared" si="19"/>
        <v>700.02399999999989</v>
      </c>
    </row>
    <row r="172" spans="2:12" ht="14" thickBot="1" x14ac:dyDescent="0.2">
      <c r="B172" s="929"/>
      <c r="C172" s="1033">
        <v>2</v>
      </c>
      <c r="D172" s="1029">
        <v>170</v>
      </c>
      <c r="E172" s="1030">
        <v>6</v>
      </c>
      <c r="F172" s="1030">
        <v>28</v>
      </c>
      <c r="H172" s="929"/>
      <c r="I172" s="1038">
        <f t="shared" si="16"/>
        <v>50.8</v>
      </c>
      <c r="J172" s="1039">
        <f t="shared" si="17"/>
        <v>4318</v>
      </c>
      <c r="K172" s="1039">
        <f t="shared" si="18"/>
        <v>152.39999999999998</v>
      </c>
      <c r="L172" s="1040">
        <f t="shared" si="19"/>
        <v>711.19999999999993</v>
      </c>
    </row>
    <row r="173" spans="2:12" ht="14" thickTop="1" x14ac:dyDescent="0.15">
      <c r="B173" s="928"/>
      <c r="C173" s="1031">
        <v>0.88</v>
      </c>
      <c r="D173" s="1007">
        <v>170</v>
      </c>
      <c r="E173" s="1025">
        <v>2.63</v>
      </c>
      <c r="F173" s="1025">
        <v>30.5</v>
      </c>
      <c r="H173" s="928"/>
      <c r="I173" s="1034">
        <f t="shared" si="16"/>
        <v>22.352</v>
      </c>
      <c r="J173" s="978">
        <f t="shared" si="17"/>
        <v>4318</v>
      </c>
      <c r="K173" s="978">
        <f t="shared" si="18"/>
        <v>66.801999999999992</v>
      </c>
      <c r="L173" s="1035">
        <f t="shared" si="19"/>
        <v>774.69999999999993</v>
      </c>
    </row>
    <row r="174" spans="2:12" x14ac:dyDescent="0.15">
      <c r="B174" s="944"/>
      <c r="C174" s="1032">
        <v>1.25</v>
      </c>
      <c r="D174" s="99">
        <v>170</v>
      </c>
      <c r="E174" s="1027">
        <v>3.75</v>
      </c>
      <c r="F174" s="1027">
        <v>30.88</v>
      </c>
      <c r="H174" s="1009" t="s">
        <v>401</v>
      </c>
      <c r="I174" s="1036">
        <f t="shared" si="16"/>
        <v>31.75</v>
      </c>
      <c r="J174" s="979">
        <f t="shared" si="17"/>
        <v>4318</v>
      </c>
      <c r="K174" s="979">
        <f t="shared" si="18"/>
        <v>95.25</v>
      </c>
      <c r="L174" s="1037">
        <f t="shared" si="19"/>
        <v>784.35199999999998</v>
      </c>
    </row>
    <row r="175" spans="2:12" x14ac:dyDescent="0.15">
      <c r="B175" s="944"/>
      <c r="C175" s="1032">
        <v>1.63</v>
      </c>
      <c r="D175" s="99">
        <v>170</v>
      </c>
      <c r="E175" s="1027">
        <v>4.88</v>
      </c>
      <c r="F175" s="1027">
        <v>31.25</v>
      </c>
      <c r="H175" s="1016">
        <f>192*25.4</f>
        <v>4876.7999999999993</v>
      </c>
      <c r="I175" s="1036">
        <f t="shared" si="16"/>
        <v>41.401999999999994</v>
      </c>
      <c r="J175" s="979">
        <f t="shared" si="17"/>
        <v>4318</v>
      </c>
      <c r="K175" s="979">
        <f t="shared" si="18"/>
        <v>123.95199999999998</v>
      </c>
      <c r="L175" s="1037">
        <f t="shared" si="19"/>
        <v>793.75</v>
      </c>
    </row>
    <row r="176" spans="2:12" ht="14" thickBot="1" x14ac:dyDescent="0.2">
      <c r="B176" s="929"/>
      <c r="C176" s="1033">
        <v>2</v>
      </c>
      <c r="D176" s="1029">
        <v>170</v>
      </c>
      <c r="E176" s="1030">
        <v>6</v>
      </c>
      <c r="F176" s="1030">
        <v>31.63</v>
      </c>
      <c r="H176" s="929"/>
      <c r="I176" s="1038">
        <f t="shared" si="16"/>
        <v>50.8</v>
      </c>
      <c r="J176" s="1039">
        <f t="shared" si="17"/>
        <v>4318</v>
      </c>
      <c r="K176" s="1039">
        <f t="shared" si="18"/>
        <v>152.39999999999998</v>
      </c>
      <c r="L176" s="1040">
        <f t="shared" si="19"/>
        <v>803.40199999999993</v>
      </c>
    </row>
    <row r="177" spans="2:12" ht="15" thickTop="1" thickBot="1" x14ac:dyDescent="0.2">
      <c r="B177" s="1013" t="s">
        <v>361</v>
      </c>
      <c r="C177" s="1013" t="s">
        <v>380</v>
      </c>
      <c r="D177" s="1013" t="s">
        <v>362</v>
      </c>
      <c r="E177" s="1013" t="s">
        <v>363</v>
      </c>
      <c r="F177" s="1013" t="s">
        <v>364</v>
      </c>
      <c r="H177" s="1013" t="s">
        <v>361</v>
      </c>
      <c r="I177" s="1013" t="s">
        <v>381</v>
      </c>
      <c r="J177" s="1013" t="s">
        <v>370</v>
      </c>
      <c r="K177" s="1013" t="s">
        <v>371</v>
      </c>
      <c r="L177" s="1013" t="s">
        <v>372</v>
      </c>
    </row>
    <row r="178" spans="2:12" ht="14" thickTop="1" x14ac:dyDescent="0.15">
      <c r="B178" s="928"/>
      <c r="C178" s="1024">
        <v>0.88</v>
      </c>
      <c r="D178" s="1007">
        <v>170</v>
      </c>
      <c r="E178" s="1025">
        <v>2.63</v>
      </c>
      <c r="F178" s="1025">
        <v>34.630000000000003</v>
      </c>
      <c r="H178" s="928"/>
      <c r="I178" s="1034">
        <f t="shared" ref="I178:I193" si="20">C178*25.4</f>
        <v>22.352</v>
      </c>
      <c r="J178" s="978">
        <f t="shared" ref="J178:J193" si="21">D178*25.4</f>
        <v>4318</v>
      </c>
      <c r="K178" s="978">
        <f t="shared" ref="K178:K193" si="22">E178*25.4</f>
        <v>66.801999999999992</v>
      </c>
      <c r="L178" s="1035">
        <f t="shared" ref="L178:L193" si="23">F178*25.4</f>
        <v>879.60199999999998</v>
      </c>
    </row>
    <row r="179" spans="2:12" x14ac:dyDescent="0.15">
      <c r="B179" s="944"/>
      <c r="C179" s="1026">
        <v>1.25</v>
      </c>
      <c r="D179" s="99">
        <v>170</v>
      </c>
      <c r="E179" s="1027">
        <v>3.75</v>
      </c>
      <c r="F179" s="1027">
        <v>35</v>
      </c>
      <c r="H179" s="1009" t="s">
        <v>402</v>
      </c>
      <c r="I179" s="1036">
        <f t="shared" si="20"/>
        <v>31.75</v>
      </c>
      <c r="J179" s="979">
        <f t="shared" si="21"/>
        <v>4318</v>
      </c>
      <c r="K179" s="979">
        <f t="shared" si="22"/>
        <v>95.25</v>
      </c>
      <c r="L179" s="1037">
        <f t="shared" si="23"/>
        <v>889</v>
      </c>
    </row>
    <row r="180" spans="2:12" x14ac:dyDescent="0.15">
      <c r="B180" s="944"/>
      <c r="C180" s="1026">
        <v>1.63</v>
      </c>
      <c r="D180" s="99">
        <v>170</v>
      </c>
      <c r="E180" s="1027">
        <v>4.88</v>
      </c>
      <c r="F180" s="1027">
        <v>35.31</v>
      </c>
      <c r="H180" s="1016">
        <f>204*25.4</f>
        <v>5181.5999999999995</v>
      </c>
      <c r="I180" s="1036">
        <f t="shared" si="20"/>
        <v>41.401999999999994</v>
      </c>
      <c r="J180" s="979">
        <f t="shared" si="21"/>
        <v>4318</v>
      </c>
      <c r="K180" s="979">
        <f t="shared" si="22"/>
        <v>123.95199999999998</v>
      </c>
      <c r="L180" s="1037">
        <f t="shared" si="23"/>
        <v>896.87400000000002</v>
      </c>
    </row>
    <row r="181" spans="2:12" ht="14" thickBot="1" x14ac:dyDescent="0.2">
      <c r="B181" s="929"/>
      <c r="C181" s="1028">
        <v>2</v>
      </c>
      <c r="D181" s="1029">
        <v>170</v>
      </c>
      <c r="E181" s="1030">
        <v>6</v>
      </c>
      <c r="F181" s="1030">
        <v>35.630000000000003</v>
      </c>
      <c r="H181" s="929"/>
      <c r="I181" s="1038">
        <f t="shared" si="20"/>
        <v>50.8</v>
      </c>
      <c r="J181" s="1039">
        <f t="shared" si="21"/>
        <v>4318</v>
      </c>
      <c r="K181" s="1039">
        <f t="shared" si="22"/>
        <v>152.39999999999998</v>
      </c>
      <c r="L181" s="1040">
        <f t="shared" si="23"/>
        <v>905.00200000000007</v>
      </c>
    </row>
    <row r="182" spans="2:12" ht="14" thickTop="1" x14ac:dyDescent="0.15">
      <c r="B182" s="928"/>
      <c r="C182" s="1031">
        <v>0.88</v>
      </c>
      <c r="D182" s="1007">
        <v>170</v>
      </c>
      <c r="E182" s="1025">
        <v>2.63</v>
      </c>
      <c r="F182" s="1025">
        <v>39.06</v>
      </c>
      <c r="H182" s="928"/>
      <c r="I182" s="1034">
        <f t="shared" si="20"/>
        <v>22.352</v>
      </c>
      <c r="J182" s="978">
        <f t="shared" si="21"/>
        <v>4318</v>
      </c>
      <c r="K182" s="978">
        <f t="shared" si="22"/>
        <v>66.801999999999992</v>
      </c>
      <c r="L182" s="1035">
        <f t="shared" si="23"/>
        <v>992.12400000000002</v>
      </c>
    </row>
    <row r="183" spans="2:12" x14ac:dyDescent="0.15">
      <c r="B183" s="944"/>
      <c r="C183" s="1032">
        <v>1.25</v>
      </c>
      <c r="D183" s="99">
        <v>170</v>
      </c>
      <c r="E183" s="1027">
        <v>3.75</v>
      </c>
      <c r="F183" s="1027">
        <v>39.5</v>
      </c>
      <c r="H183" s="1009" t="s">
        <v>403</v>
      </c>
      <c r="I183" s="1036">
        <f t="shared" si="20"/>
        <v>31.75</v>
      </c>
      <c r="J183" s="979">
        <f t="shared" si="21"/>
        <v>4318</v>
      </c>
      <c r="K183" s="979">
        <f t="shared" si="22"/>
        <v>95.25</v>
      </c>
      <c r="L183" s="1037">
        <f t="shared" si="23"/>
        <v>1003.3</v>
      </c>
    </row>
    <row r="184" spans="2:12" x14ac:dyDescent="0.15">
      <c r="B184" s="944"/>
      <c r="C184" s="1032">
        <v>1.63</v>
      </c>
      <c r="D184" s="99">
        <v>170</v>
      </c>
      <c r="E184" s="1027">
        <v>4.88</v>
      </c>
      <c r="F184" s="1027">
        <v>39.75</v>
      </c>
      <c r="H184" s="1016">
        <f>216*25.4</f>
        <v>5486.4</v>
      </c>
      <c r="I184" s="1036">
        <f t="shared" si="20"/>
        <v>41.401999999999994</v>
      </c>
      <c r="J184" s="979">
        <f t="shared" si="21"/>
        <v>4318</v>
      </c>
      <c r="K184" s="979">
        <f t="shared" si="22"/>
        <v>123.95199999999998</v>
      </c>
      <c r="L184" s="1037">
        <f t="shared" si="23"/>
        <v>1009.65</v>
      </c>
    </row>
    <row r="185" spans="2:12" ht="14" thickBot="1" x14ac:dyDescent="0.2">
      <c r="B185" s="929"/>
      <c r="C185" s="1033">
        <v>2</v>
      </c>
      <c r="D185" s="1029">
        <v>170</v>
      </c>
      <c r="E185" s="1030">
        <v>6</v>
      </c>
      <c r="F185" s="1030">
        <v>40</v>
      </c>
      <c r="H185" s="929"/>
      <c r="I185" s="1038">
        <f t="shared" si="20"/>
        <v>50.8</v>
      </c>
      <c r="J185" s="1039">
        <f t="shared" si="21"/>
        <v>4318</v>
      </c>
      <c r="K185" s="1039">
        <f t="shared" si="22"/>
        <v>152.39999999999998</v>
      </c>
      <c r="L185" s="1040">
        <f t="shared" si="23"/>
        <v>1016</v>
      </c>
    </row>
    <row r="186" spans="2:12" ht="14" thickTop="1" x14ac:dyDescent="0.15">
      <c r="B186" s="928"/>
      <c r="C186" s="1031">
        <v>0.88</v>
      </c>
      <c r="D186" s="1007">
        <v>180</v>
      </c>
      <c r="E186" s="1025">
        <v>2.63</v>
      </c>
      <c r="F186" s="1025">
        <v>41.25</v>
      </c>
      <c r="H186" s="928"/>
      <c r="I186" s="1034">
        <f t="shared" si="20"/>
        <v>22.352</v>
      </c>
      <c r="J186" s="978">
        <f t="shared" si="21"/>
        <v>4572</v>
      </c>
      <c r="K186" s="978">
        <f t="shared" si="22"/>
        <v>66.801999999999992</v>
      </c>
      <c r="L186" s="1035">
        <f t="shared" si="23"/>
        <v>1047.75</v>
      </c>
    </row>
    <row r="187" spans="2:12" x14ac:dyDescent="0.15">
      <c r="B187" s="944"/>
      <c r="C187" s="1032">
        <v>1.25</v>
      </c>
      <c r="D187" s="99">
        <v>180</v>
      </c>
      <c r="E187" s="1027">
        <v>3.75</v>
      </c>
      <c r="F187" s="1027">
        <v>41.5</v>
      </c>
      <c r="H187" s="1009" t="s">
        <v>404</v>
      </c>
      <c r="I187" s="1036">
        <f t="shared" si="20"/>
        <v>31.75</v>
      </c>
      <c r="J187" s="979">
        <f t="shared" si="21"/>
        <v>4572</v>
      </c>
      <c r="K187" s="979">
        <f t="shared" si="22"/>
        <v>95.25</v>
      </c>
      <c r="L187" s="1037">
        <f t="shared" si="23"/>
        <v>1054.0999999999999</v>
      </c>
    </row>
    <row r="188" spans="2:12" x14ac:dyDescent="0.15">
      <c r="B188" s="944"/>
      <c r="C188" s="1032">
        <v>1.63</v>
      </c>
      <c r="D188" s="99">
        <v>180</v>
      </c>
      <c r="E188" s="1027">
        <v>4.88</v>
      </c>
      <c r="F188" s="1027">
        <v>41.75</v>
      </c>
      <c r="H188" s="1016">
        <f>228*25.4</f>
        <v>5791.2</v>
      </c>
      <c r="I188" s="1036">
        <f t="shared" si="20"/>
        <v>41.401999999999994</v>
      </c>
      <c r="J188" s="979">
        <f t="shared" si="21"/>
        <v>4572</v>
      </c>
      <c r="K188" s="979">
        <f t="shared" si="22"/>
        <v>123.95199999999998</v>
      </c>
      <c r="L188" s="1037">
        <f t="shared" si="23"/>
        <v>1060.45</v>
      </c>
    </row>
    <row r="189" spans="2:12" ht="14" thickBot="1" x14ac:dyDescent="0.2">
      <c r="B189" s="929"/>
      <c r="C189" s="1033">
        <v>2</v>
      </c>
      <c r="D189" s="1029">
        <v>180</v>
      </c>
      <c r="E189" s="1030">
        <v>6</v>
      </c>
      <c r="F189" s="1030">
        <v>42</v>
      </c>
      <c r="H189" s="929"/>
      <c r="I189" s="1038">
        <f t="shared" si="20"/>
        <v>50.8</v>
      </c>
      <c r="J189" s="1039">
        <f t="shared" si="21"/>
        <v>4572</v>
      </c>
      <c r="K189" s="1039">
        <f t="shared" si="22"/>
        <v>152.39999999999998</v>
      </c>
      <c r="L189" s="1040">
        <f t="shared" si="23"/>
        <v>1066.8</v>
      </c>
    </row>
    <row r="190" spans="2:12" ht="14" thickTop="1" x14ac:dyDescent="0.15">
      <c r="B190" s="928"/>
      <c r="C190" s="1031">
        <v>0.88</v>
      </c>
      <c r="D190" s="1007">
        <v>180</v>
      </c>
      <c r="E190" s="1025">
        <v>2.63</v>
      </c>
      <c r="F190" s="1025">
        <v>46.25</v>
      </c>
      <c r="H190" s="928"/>
      <c r="I190" s="1034">
        <f t="shared" si="20"/>
        <v>22.352</v>
      </c>
      <c r="J190" s="978">
        <f t="shared" si="21"/>
        <v>4572</v>
      </c>
      <c r="K190" s="978">
        <f t="shared" si="22"/>
        <v>66.801999999999992</v>
      </c>
      <c r="L190" s="1035">
        <f t="shared" si="23"/>
        <v>1174.75</v>
      </c>
    </row>
    <row r="191" spans="2:12" x14ac:dyDescent="0.15">
      <c r="B191" s="944"/>
      <c r="C191" s="1032">
        <v>1.25</v>
      </c>
      <c r="D191" s="99">
        <v>180</v>
      </c>
      <c r="E191" s="1027">
        <v>3.75</v>
      </c>
      <c r="F191" s="1027">
        <v>46.44</v>
      </c>
      <c r="H191" s="1009" t="s">
        <v>405</v>
      </c>
      <c r="I191" s="1036">
        <f t="shared" si="20"/>
        <v>31.75</v>
      </c>
      <c r="J191" s="979">
        <f t="shared" si="21"/>
        <v>4572</v>
      </c>
      <c r="K191" s="979">
        <f t="shared" si="22"/>
        <v>95.25</v>
      </c>
      <c r="L191" s="1037">
        <f t="shared" si="23"/>
        <v>1179.5759999999998</v>
      </c>
    </row>
    <row r="192" spans="2:12" x14ac:dyDescent="0.15">
      <c r="B192" s="944"/>
      <c r="C192" s="1032">
        <v>1.63</v>
      </c>
      <c r="D192" s="99">
        <v>180</v>
      </c>
      <c r="E192" s="1027">
        <v>4.88</v>
      </c>
      <c r="F192" s="1027">
        <v>46.63</v>
      </c>
      <c r="H192" s="1016">
        <f>240*25.4</f>
        <v>6096</v>
      </c>
      <c r="I192" s="1036">
        <f t="shared" si="20"/>
        <v>41.401999999999994</v>
      </c>
      <c r="J192" s="979">
        <f t="shared" si="21"/>
        <v>4572</v>
      </c>
      <c r="K192" s="979">
        <f t="shared" si="22"/>
        <v>123.95199999999998</v>
      </c>
      <c r="L192" s="1037">
        <f t="shared" si="23"/>
        <v>1184.402</v>
      </c>
    </row>
    <row r="193" spans="2:12" ht="14" thickBot="1" x14ac:dyDescent="0.2">
      <c r="B193" s="929"/>
      <c r="C193" s="1033">
        <v>2</v>
      </c>
      <c r="D193" s="1029">
        <v>180</v>
      </c>
      <c r="E193" s="1030">
        <v>6</v>
      </c>
      <c r="F193" s="1030">
        <v>46.81</v>
      </c>
      <c r="H193" s="929"/>
      <c r="I193" s="1038">
        <f t="shared" si="20"/>
        <v>50.8</v>
      </c>
      <c r="J193" s="1039">
        <f t="shared" si="21"/>
        <v>4572</v>
      </c>
      <c r="K193" s="1039">
        <f t="shared" si="22"/>
        <v>152.39999999999998</v>
      </c>
      <c r="L193" s="1040">
        <f t="shared" si="23"/>
        <v>1188.9739999999999</v>
      </c>
    </row>
    <row r="194" spans="2:12" ht="14" thickTop="1" x14ac:dyDescent="0.15"/>
    <row r="206" spans="2:12" x14ac:dyDescent="0.15">
      <c r="B206" s="187" t="s">
        <v>355</v>
      </c>
    </row>
    <row r="207" spans="2:12" x14ac:dyDescent="0.15">
      <c r="B207" s="187" t="s">
        <v>367</v>
      </c>
    </row>
    <row r="208" spans="2:12" x14ac:dyDescent="0.15">
      <c r="B208" s="189" t="s">
        <v>358</v>
      </c>
    </row>
    <row r="209" spans="1:12" x14ac:dyDescent="0.15">
      <c r="B209" s="189" t="s">
        <v>357</v>
      </c>
    </row>
    <row r="216" spans="1:12" x14ac:dyDescent="0.15">
      <c r="A216" t="s">
        <v>365</v>
      </c>
    </row>
    <row r="217" spans="1:12" x14ac:dyDescent="0.15">
      <c r="A217" t="s">
        <v>366</v>
      </c>
    </row>
    <row r="218" spans="1:12" ht="14" thickBot="1" x14ac:dyDescent="0.2">
      <c r="B218" s="837" t="s">
        <v>407</v>
      </c>
      <c r="H218" s="187" t="s">
        <v>406</v>
      </c>
    </row>
    <row r="219" spans="1:12" ht="15" thickTop="1" thickBot="1" x14ac:dyDescent="0.2">
      <c r="B219" s="1013" t="s">
        <v>361</v>
      </c>
      <c r="C219" s="1013" t="s">
        <v>380</v>
      </c>
      <c r="D219" s="1013" t="s">
        <v>362</v>
      </c>
      <c r="E219" s="1013" t="s">
        <v>363</v>
      </c>
      <c r="F219" s="1013" t="s">
        <v>364</v>
      </c>
      <c r="G219" s="389" t="s">
        <v>408</v>
      </c>
      <c r="H219" s="1013" t="s">
        <v>361</v>
      </c>
      <c r="I219" s="1013" t="s">
        <v>381</v>
      </c>
      <c r="J219" s="1013" t="s">
        <v>370</v>
      </c>
      <c r="K219" s="1013" t="s">
        <v>371</v>
      </c>
      <c r="L219" s="1013" t="s">
        <v>372</v>
      </c>
    </row>
    <row r="220" spans="1:12" ht="14" thickTop="1" x14ac:dyDescent="0.15">
      <c r="B220" s="928"/>
      <c r="C220" s="1024">
        <v>0.38</v>
      </c>
      <c r="D220" s="1007">
        <v>24</v>
      </c>
      <c r="E220" s="1025">
        <v>1.63</v>
      </c>
      <c r="F220" s="1025">
        <v>4.5</v>
      </c>
      <c r="H220" s="928"/>
      <c r="I220" s="1034">
        <f t="shared" ref="I220:I243" si="24">C220*25.4</f>
        <v>9.6519999999999992</v>
      </c>
      <c r="J220" s="978">
        <f t="shared" ref="J220:J243" si="25">D220*25.4</f>
        <v>609.59999999999991</v>
      </c>
      <c r="K220" s="978">
        <f t="shared" ref="K220:K243" si="26">E220*25.4</f>
        <v>41.401999999999994</v>
      </c>
      <c r="L220" s="1035">
        <f t="shared" ref="L220:L243" si="27">F220*25.4</f>
        <v>114.3</v>
      </c>
    </row>
    <row r="221" spans="1:12" x14ac:dyDescent="0.15">
      <c r="B221" s="944"/>
      <c r="C221" s="1026">
        <v>0.5</v>
      </c>
      <c r="D221" s="99">
        <v>24</v>
      </c>
      <c r="E221" s="1027">
        <v>1.63</v>
      </c>
      <c r="F221" s="1027">
        <v>4.4400000000000004</v>
      </c>
      <c r="H221" s="1009" t="s">
        <v>368</v>
      </c>
      <c r="I221" s="1036">
        <f t="shared" si="24"/>
        <v>12.7</v>
      </c>
      <c r="J221" s="979">
        <f t="shared" si="25"/>
        <v>609.59999999999991</v>
      </c>
      <c r="K221" s="979">
        <f t="shared" si="26"/>
        <v>41.401999999999994</v>
      </c>
      <c r="L221" s="1037">
        <f t="shared" si="27"/>
        <v>112.77600000000001</v>
      </c>
    </row>
    <row r="222" spans="1:12" x14ac:dyDescent="0.15">
      <c r="B222" s="944"/>
      <c r="C222" s="1026">
        <v>0.63</v>
      </c>
      <c r="D222" s="99">
        <v>24</v>
      </c>
      <c r="E222" s="1027">
        <v>1.88</v>
      </c>
      <c r="F222" s="1027">
        <v>4.5</v>
      </c>
      <c r="H222" s="1014">
        <v>660</v>
      </c>
      <c r="I222" s="1036">
        <f t="shared" si="24"/>
        <v>16.001999999999999</v>
      </c>
      <c r="J222" s="979">
        <f t="shared" si="25"/>
        <v>609.59999999999991</v>
      </c>
      <c r="K222" s="979">
        <f t="shared" si="26"/>
        <v>47.751999999999995</v>
      </c>
      <c r="L222" s="1037">
        <f t="shared" si="27"/>
        <v>114.3</v>
      </c>
    </row>
    <row r="223" spans="1:12" ht="14" thickBot="1" x14ac:dyDescent="0.2">
      <c r="B223" s="929"/>
      <c r="C223" s="1028">
        <v>0.75</v>
      </c>
      <c r="D223" s="1029">
        <v>24</v>
      </c>
      <c r="E223" s="1030">
        <v>2.25</v>
      </c>
      <c r="F223" s="1030">
        <v>4.6900000000000004</v>
      </c>
      <c r="H223" s="929"/>
      <c r="I223" s="1038">
        <f t="shared" si="24"/>
        <v>19.049999999999997</v>
      </c>
      <c r="J223" s="1039">
        <f t="shared" si="25"/>
        <v>609.59999999999991</v>
      </c>
      <c r="K223" s="1039">
        <f t="shared" si="26"/>
        <v>57.15</v>
      </c>
      <c r="L223" s="1040">
        <f t="shared" si="27"/>
        <v>119.126</v>
      </c>
    </row>
    <row r="224" spans="1:12" ht="14" thickTop="1" x14ac:dyDescent="0.15">
      <c r="B224" s="928"/>
      <c r="C224" s="1031">
        <v>0.38</v>
      </c>
      <c r="D224" s="1007">
        <v>26</v>
      </c>
      <c r="E224" s="1025">
        <v>1.75</v>
      </c>
      <c r="F224" s="1025">
        <v>4.8099999999999996</v>
      </c>
      <c r="H224" s="928"/>
      <c r="I224" s="1034">
        <f t="shared" si="24"/>
        <v>9.6519999999999992</v>
      </c>
      <c r="J224" s="978">
        <f t="shared" si="25"/>
        <v>660.4</v>
      </c>
      <c r="K224" s="978">
        <f t="shared" si="26"/>
        <v>44.449999999999996</v>
      </c>
      <c r="L224" s="1035">
        <f t="shared" si="27"/>
        <v>122.17399999999998</v>
      </c>
    </row>
    <row r="225" spans="2:12" x14ac:dyDescent="0.15">
      <c r="B225" s="944"/>
      <c r="C225" s="1032">
        <v>0.5</v>
      </c>
      <c r="D225" s="99">
        <v>26</v>
      </c>
      <c r="E225" s="1027">
        <v>1.75</v>
      </c>
      <c r="F225" s="1027">
        <v>4.75</v>
      </c>
      <c r="H225" s="1009" t="s">
        <v>369</v>
      </c>
      <c r="I225" s="1036">
        <f t="shared" si="24"/>
        <v>12.7</v>
      </c>
      <c r="J225" s="979">
        <f t="shared" si="25"/>
        <v>660.4</v>
      </c>
      <c r="K225" s="979">
        <f t="shared" si="26"/>
        <v>44.449999999999996</v>
      </c>
      <c r="L225" s="1037">
        <f t="shared" si="27"/>
        <v>120.64999999999999</v>
      </c>
    </row>
    <row r="226" spans="2:12" x14ac:dyDescent="0.15">
      <c r="B226" s="944"/>
      <c r="C226" s="1032">
        <v>0.63</v>
      </c>
      <c r="D226" s="99">
        <v>26</v>
      </c>
      <c r="E226" s="1027">
        <v>1.88</v>
      </c>
      <c r="F226" s="1027">
        <v>4.75</v>
      </c>
      <c r="H226" s="1014">
        <v>711</v>
      </c>
      <c r="I226" s="1036">
        <f t="shared" si="24"/>
        <v>16.001999999999999</v>
      </c>
      <c r="J226" s="979">
        <f t="shared" si="25"/>
        <v>660.4</v>
      </c>
      <c r="K226" s="979">
        <f t="shared" si="26"/>
        <v>47.751999999999995</v>
      </c>
      <c r="L226" s="1037">
        <f t="shared" si="27"/>
        <v>120.64999999999999</v>
      </c>
    </row>
    <row r="227" spans="2:12" ht="14" thickBot="1" x14ac:dyDescent="0.2">
      <c r="B227" s="929"/>
      <c r="C227" s="1033">
        <v>0.75</v>
      </c>
      <c r="D227" s="1029">
        <v>26</v>
      </c>
      <c r="E227" s="1030">
        <v>2.25</v>
      </c>
      <c r="F227" s="1030">
        <v>4.9400000000000004</v>
      </c>
      <c r="H227" s="929"/>
      <c r="I227" s="1038">
        <f t="shared" si="24"/>
        <v>19.049999999999997</v>
      </c>
      <c r="J227" s="1039">
        <f t="shared" si="25"/>
        <v>660.4</v>
      </c>
      <c r="K227" s="1039">
        <f t="shared" si="26"/>
        <v>57.15</v>
      </c>
      <c r="L227" s="1040">
        <f t="shared" si="27"/>
        <v>125.476</v>
      </c>
    </row>
    <row r="228" spans="2:12" ht="14" thickTop="1" x14ac:dyDescent="0.15">
      <c r="B228" s="928"/>
      <c r="C228" s="1031">
        <v>0.38</v>
      </c>
      <c r="D228" s="1007">
        <v>30</v>
      </c>
      <c r="E228" s="1025">
        <v>1.88</v>
      </c>
      <c r="F228" s="1025">
        <v>4.88</v>
      </c>
      <c r="H228" s="928"/>
      <c r="I228" s="1034">
        <f t="shared" si="24"/>
        <v>9.6519999999999992</v>
      </c>
      <c r="J228" s="978">
        <f t="shared" si="25"/>
        <v>762</v>
      </c>
      <c r="K228" s="978">
        <f t="shared" si="26"/>
        <v>47.751999999999995</v>
      </c>
      <c r="L228" s="1035">
        <f t="shared" si="27"/>
        <v>123.95199999999998</v>
      </c>
    </row>
    <row r="229" spans="2:12" x14ac:dyDescent="0.15">
      <c r="B229" s="944"/>
      <c r="C229" s="1032">
        <v>0.5</v>
      </c>
      <c r="D229" s="99">
        <v>30</v>
      </c>
      <c r="E229" s="1027">
        <v>1.88</v>
      </c>
      <c r="F229" s="1027">
        <v>4.8099999999999996</v>
      </c>
      <c r="H229" s="1009" t="s">
        <v>373</v>
      </c>
      <c r="I229" s="1036">
        <f t="shared" si="24"/>
        <v>12.7</v>
      </c>
      <c r="J229" s="979">
        <f t="shared" si="25"/>
        <v>762</v>
      </c>
      <c r="K229" s="979">
        <f t="shared" si="26"/>
        <v>47.751999999999995</v>
      </c>
      <c r="L229" s="1037">
        <f t="shared" si="27"/>
        <v>122.17399999999998</v>
      </c>
    </row>
    <row r="230" spans="2:12" x14ac:dyDescent="0.15">
      <c r="B230" s="944"/>
      <c r="C230" s="1032">
        <v>0.63</v>
      </c>
      <c r="D230" s="99">
        <v>30</v>
      </c>
      <c r="E230" s="1027">
        <v>1.88</v>
      </c>
      <c r="F230" s="1027">
        <v>4.8099999999999996</v>
      </c>
      <c r="H230" s="1014">
        <f>30*25.4</f>
        <v>762</v>
      </c>
      <c r="I230" s="1036">
        <f t="shared" si="24"/>
        <v>16.001999999999999</v>
      </c>
      <c r="J230" s="979">
        <f t="shared" si="25"/>
        <v>762</v>
      </c>
      <c r="K230" s="979">
        <f t="shared" si="26"/>
        <v>47.751999999999995</v>
      </c>
      <c r="L230" s="1037">
        <f t="shared" si="27"/>
        <v>122.17399999999998</v>
      </c>
    </row>
    <row r="231" spans="2:12" ht="14" thickBot="1" x14ac:dyDescent="0.2">
      <c r="B231" s="929"/>
      <c r="C231" s="1033">
        <v>0.75</v>
      </c>
      <c r="D231" s="1029">
        <v>30</v>
      </c>
      <c r="E231" s="1030">
        <v>2.25</v>
      </c>
      <c r="F231" s="1030">
        <v>5</v>
      </c>
      <c r="H231" s="929"/>
      <c r="I231" s="1038">
        <f t="shared" si="24"/>
        <v>19.049999999999997</v>
      </c>
      <c r="J231" s="1039">
        <f t="shared" si="25"/>
        <v>762</v>
      </c>
      <c r="K231" s="1039">
        <f t="shared" si="26"/>
        <v>57.15</v>
      </c>
      <c r="L231" s="1040">
        <f t="shared" si="27"/>
        <v>127</v>
      </c>
    </row>
    <row r="232" spans="2:12" ht="14" thickTop="1" x14ac:dyDescent="0.15">
      <c r="B232" s="928"/>
      <c r="C232" s="1031">
        <v>0.38</v>
      </c>
      <c r="D232" s="1007">
        <v>30</v>
      </c>
      <c r="E232" s="1025">
        <v>2</v>
      </c>
      <c r="F232" s="1025">
        <v>5.56</v>
      </c>
      <c r="H232" s="928"/>
      <c r="I232" s="1034">
        <f t="shared" si="24"/>
        <v>9.6519999999999992</v>
      </c>
      <c r="J232" s="978">
        <f t="shared" si="25"/>
        <v>762</v>
      </c>
      <c r="K232" s="978">
        <f t="shared" si="26"/>
        <v>50.8</v>
      </c>
      <c r="L232" s="1035">
        <f t="shared" si="27"/>
        <v>141.22399999999999</v>
      </c>
    </row>
    <row r="233" spans="2:12" x14ac:dyDescent="0.15">
      <c r="B233" s="944"/>
      <c r="C233" s="1032">
        <v>0.5</v>
      </c>
      <c r="D233" s="99">
        <v>30</v>
      </c>
      <c r="E233" s="1027">
        <v>2</v>
      </c>
      <c r="F233" s="1027">
        <v>5.5</v>
      </c>
      <c r="H233" s="1009" t="s">
        <v>374</v>
      </c>
      <c r="I233" s="1036">
        <f t="shared" si="24"/>
        <v>12.7</v>
      </c>
      <c r="J233" s="979">
        <f t="shared" si="25"/>
        <v>762</v>
      </c>
      <c r="K233" s="979">
        <f t="shared" si="26"/>
        <v>50.8</v>
      </c>
      <c r="L233" s="1037">
        <f t="shared" si="27"/>
        <v>139.69999999999999</v>
      </c>
    </row>
    <row r="234" spans="2:12" x14ac:dyDescent="0.15">
      <c r="B234" s="944"/>
      <c r="C234" s="1032">
        <v>0.63</v>
      </c>
      <c r="D234" s="99">
        <v>30</v>
      </c>
      <c r="E234" s="1027">
        <v>2</v>
      </c>
      <c r="F234" s="1027">
        <v>5.38</v>
      </c>
      <c r="H234" s="1015">
        <f>32*25.4</f>
        <v>812.8</v>
      </c>
      <c r="I234" s="1036">
        <f t="shared" si="24"/>
        <v>16.001999999999999</v>
      </c>
      <c r="J234" s="979">
        <f t="shared" si="25"/>
        <v>762</v>
      </c>
      <c r="K234" s="979">
        <f t="shared" si="26"/>
        <v>50.8</v>
      </c>
      <c r="L234" s="1037">
        <f t="shared" si="27"/>
        <v>136.65199999999999</v>
      </c>
    </row>
    <row r="235" spans="2:12" ht="14" thickBot="1" x14ac:dyDescent="0.2">
      <c r="B235" s="929"/>
      <c r="C235" s="1033">
        <v>0.75</v>
      </c>
      <c r="D235" s="1029">
        <v>30</v>
      </c>
      <c r="E235" s="1030">
        <v>2.25</v>
      </c>
      <c r="F235" s="1030">
        <v>5.5</v>
      </c>
      <c r="H235" s="929"/>
      <c r="I235" s="1038">
        <f t="shared" si="24"/>
        <v>19.049999999999997</v>
      </c>
      <c r="J235" s="1039">
        <f t="shared" si="25"/>
        <v>762</v>
      </c>
      <c r="K235" s="1039">
        <f t="shared" si="26"/>
        <v>57.15</v>
      </c>
      <c r="L235" s="1040">
        <f t="shared" si="27"/>
        <v>139.69999999999999</v>
      </c>
    </row>
    <row r="236" spans="2:12" ht="14" thickTop="1" x14ac:dyDescent="0.15">
      <c r="B236" s="928"/>
      <c r="C236" s="1031">
        <v>0.38</v>
      </c>
      <c r="D236" s="1007">
        <v>34</v>
      </c>
      <c r="E236" s="1025">
        <v>2.13</v>
      </c>
      <c r="F236" s="1025">
        <v>5.56</v>
      </c>
      <c r="H236" s="928"/>
      <c r="I236" s="1034">
        <f t="shared" si="24"/>
        <v>9.6519999999999992</v>
      </c>
      <c r="J236" s="978">
        <f t="shared" si="25"/>
        <v>863.59999999999991</v>
      </c>
      <c r="K236" s="978">
        <f t="shared" si="26"/>
        <v>54.101999999999997</v>
      </c>
      <c r="L236" s="1035">
        <f t="shared" si="27"/>
        <v>141.22399999999999</v>
      </c>
    </row>
    <row r="237" spans="2:12" x14ac:dyDescent="0.15">
      <c r="B237" s="944"/>
      <c r="C237" s="1032">
        <v>0.5</v>
      </c>
      <c r="D237" s="99">
        <v>34</v>
      </c>
      <c r="E237" s="1027">
        <v>2.13</v>
      </c>
      <c r="F237" s="1027">
        <v>5.5</v>
      </c>
      <c r="H237" s="1009">
        <v>34</v>
      </c>
      <c r="I237" s="1036">
        <f t="shared" si="24"/>
        <v>12.7</v>
      </c>
      <c r="J237" s="979">
        <f t="shared" si="25"/>
        <v>863.59999999999991</v>
      </c>
      <c r="K237" s="979">
        <f t="shared" si="26"/>
        <v>54.101999999999997</v>
      </c>
      <c r="L237" s="1037">
        <f t="shared" si="27"/>
        <v>139.69999999999999</v>
      </c>
    </row>
    <row r="238" spans="2:12" x14ac:dyDescent="0.15">
      <c r="B238" s="944"/>
      <c r="C238" s="1032">
        <v>0.63</v>
      </c>
      <c r="D238" s="99">
        <v>30</v>
      </c>
      <c r="E238" s="1027">
        <v>2.13</v>
      </c>
      <c r="F238" s="1027">
        <v>6</v>
      </c>
      <c r="H238" s="1014">
        <v>864</v>
      </c>
      <c r="I238" s="1036">
        <f t="shared" si="24"/>
        <v>16.001999999999999</v>
      </c>
      <c r="J238" s="979">
        <f t="shared" si="25"/>
        <v>762</v>
      </c>
      <c r="K238" s="979">
        <f t="shared" si="26"/>
        <v>54.101999999999997</v>
      </c>
      <c r="L238" s="1037">
        <f t="shared" si="27"/>
        <v>152.39999999999998</v>
      </c>
    </row>
    <row r="239" spans="2:12" ht="14" thickBot="1" x14ac:dyDescent="0.2">
      <c r="B239" s="929"/>
      <c r="C239" s="1033">
        <v>0.75</v>
      </c>
      <c r="D239" s="1029">
        <v>30</v>
      </c>
      <c r="E239" s="1030">
        <v>2.25</v>
      </c>
      <c r="F239" s="1030">
        <v>6.06</v>
      </c>
      <c r="H239" s="929"/>
      <c r="I239" s="1038">
        <f t="shared" si="24"/>
        <v>19.049999999999997</v>
      </c>
      <c r="J239" s="1039">
        <f t="shared" si="25"/>
        <v>762</v>
      </c>
      <c r="K239" s="1039">
        <f t="shared" si="26"/>
        <v>57.15</v>
      </c>
      <c r="L239" s="1040">
        <f t="shared" si="27"/>
        <v>153.92399999999998</v>
      </c>
    </row>
    <row r="240" spans="2:12" ht="14" thickTop="1" x14ac:dyDescent="0.15">
      <c r="B240" s="928"/>
      <c r="C240" s="1031">
        <v>0.38</v>
      </c>
      <c r="D240" s="1007">
        <v>36</v>
      </c>
      <c r="E240" s="1025">
        <v>2.25</v>
      </c>
      <c r="F240" s="1025">
        <v>5.94</v>
      </c>
      <c r="H240" s="928"/>
      <c r="I240" s="1034">
        <f t="shared" si="24"/>
        <v>9.6519999999999992</v>
      </c>
      <c r="J240" s="978">
        <f t="shared" si="25"/>
        <v>914.4</v>
      </c>
      <c r="K240" s="978">
        <f t="shared" si="26"/>
        <v>57.15</v>
      </c>
      <c r="L240" s="1035">
        <f t="shared" si="27"/>
        <v>150.876</v>
      </c>
    </row>
    <row r="241" spans="2:12" x14ac:dyDescent="0.15">
      <c r="B241" s="944"/>
      <c r="C241" s="1032">
        <v>0.5</v>
      </c>
      <c r="D241" s="99">
        <v>36</v>
      </c>
      <c r="E241" s="1027">
        <v>2.25</v>
      </c>
      <c r="F241" s="1027">
        <v>5.88</v>
      </c>
      <c r="H241" s="1009" t="s">
        <v>375</v>
      </c>
      <c r="I241" s="1036">
        <f t="shared" si="24"/>
        <v>12.7</v>
      </c>
      <c r="J241" s="979">
        <f t="shared" si="25"/>
        <v>914.4</v>
      </c>
      <c r="K241" s="979">
        <f t="shared" si="26"/>
        <v>57.15</v>
      </c>
      <c r="L241" s="1037">
        <f t="shared" si="27"/>
        <v>149.35199999999998</v>
      </c>
    </row>
    <row r="242" spans="2:12" x14ac:dyDescent="0.15">
      <c r="B242" s="944"/>
      <c r="C242" s="1032">
        <v>0.63</v>
      </c>
      <c r="D242" s="99">
        <v>36</v>
      </c>
      <c r="E242" s="1027">
        <v>2.25</v>
      </c>
      <c r="F242" s="1027">
        <v>5.81</v>
      </c>
      <c r="H242" s="1015">
        <f>36*25.4</f>
        <v>914.4</v>
      </c>
      <c r="I242" s="1036">
        <f t="shared" si="24"/>
        <v>16.001999999999999</v>
      </c>
      <c r="J242" s="979">
        <f t="shared" si="25"/>
        <v>914.4</v>
      </c>
      <c r="K242" s="979">
        <f t="shared" si="26"/>
        <v>57.15</v>
      </c>
      <c r="L242" s="1037">
        <f t="shared" si="27"/>
        <v>147.57399999999998</v>
      </c>
    </row>
    <row r="243" spans="2:12" ht="14" thickBot="1" x14ac:dyDescent="0.2">
      <c r="B243" s="929"/>
      <c r="C243" s="1033">
        <v>0.75</v>
      </c>
      <c r="D243" s="1029">
        <v>36</v>
      </c>
      <c r="E243" s="1030">
        <v>2.25</v>
      </c>
      <c r="F243" s="1030">
        <v>5.75</v>
      </c>
      <c r="H243" s="929"/>
      <c r="I243" s="1038">
        <f t="shared" si="24"/>
        <v>19.049999999999997</v>
      </c>
      <c r="J243" s="1039">
        <f t="shared" si="25"/>
        <v>914.4</v>
      </c>
      <c r="K243" s="1039">
        <f t="shared" si="26"/>
        <v>57.15</v>
      </c>
      <c r="L243" s="1040">
        <f t="shared" si="27"/>
        <v>146.04999999999998</v>
      </c>
    </row>
    <row r="244" spans="2:12" ht="15" thickTop="1" thickBot="1" x14ac:dyDescent="0.2">
      <c r="B244" s="1013" t="s">
        <v>361</v>
      </c>
      <c r="C244" s="1013" t="s">
        <v>380</v>
      </c>
      <c r="D244" s="1013" t="s">
        <v>362</v>
      </c>
      <c r="E244" s="1013" t="s">
        <v>363</v>
      </c>
      <c r="F244" s="1013" t="s">
        <v>364</v>
      </c>
      <c r="G244" s="389" t="s">
        <v>408</v>
      </c>
      <c r="H244" s="1013" t="s">
        <v>361</v>
      </c>
      <c r="I244" s="1013" t="s">
        <v>381</v>
      </c>
      <c r="J244" s="1013" t="s">
        <v>370</v>
      </c>
      <c r="K244" s="1013" t="s">
        <v>371</v>
      </c>
      <c r="L244" s="1013" t="s">
        <v>372</v>
      </c>
    </row>
    <row r="245" spans="2:12" ht="14" thickTop="1" x14ac:dyDescent="0.15">
      <c r="B245" s="928"/>
      <c r="C245" s="1024">
        <v>0.38</v>
      </c>
      <c r="D245" s="1007">
        <v>36</v>
      </c>
      <c r="E245" s="1025">
        <v>2.38</v>
      </c>
      <c r="F245" s="1025">
        <v>6.5</v>
      </c>
      <c r="H245" s="928"/>
      <c r="I245" s="1034">
        <f t="shared" ref="I245:I268" si="28">C245*25.4</f>
        <v>9.6519999999999992</v>
      </c>
      <c r="J245" s="978">
        <f t="shared" ref="J245:J268" si="29">D245*25.4</f>
        <v>914.4</v>
      </c>
      <c r="K245" s="978">
        <f t="shared" ref="K245:K268" si="30">E245*25.4</f>
        <v>60.451999999999991</v>
      </c>
      <c r="L245" s="1035">
        <f t="shared" ref="L245:L268" si="31">F245*25.4</f>
        <v>165.1</v>
      </c>
    </row>
    <row r="246" spans="2:12" x14ac:dyDescent="0.15">
      <c r="B246" s="944"/>
      <c r="C246" s="1026">
        <v>0.5</v>
      </c>
      <c r="D246" s="99">
        <v>36</v>
      </c>
      <c r="E246" s="1027">
        <v>2.38</v>
      </c>
      <c r="F246" s="1027">
        <v>6.44</v>
      </c>
      <c r="H246" s="1009" t="s">
        <v>376</v>
      </c>
      <c r="I246" s="1036">
        <f t="shared" si="28"/>
        <v>12.7</v>
      </c>
      <c r="J246" s="979">
        <f t="shared" si="29"/>
        <v>914.4</v>
      </c>
      <c r="K246" s="979">
        <f t="shared" si="30"/>
        <v>60.451999999999991</v>
      </c>
      <c r="L246" s="1037">
        <f t="shared" si="31"/>
        <v>163.57599999999999</v>
      </c>
    </row>
    <row r="247" spans="2:12" x14ac:dyDescent="0.15">
      <c r="B247" s="944"/>
      <c r="C247" s="1026">
        <v>0.63</v>
      </c>
      <c r="D247" s="99">
        <v>36</v>
      </c>
      <c r="E247" s="1027">
        <v>2.38</v>
      </c>
      <c r="F247" s="1027">
        <v>6.38</v>
      </c>
      <c r="H247" s="1015">
        <f>38*25.4</f>
        <v>965.19999999999993</v>
      </c>
      <c r="I247" s="1036">
        <f t="shared" si="28"/>
        <v>16.001999999999999</v>
      </c>
      <c r="J247" s="979">
        <f t="shared" si="29"/>
        <v>914.4</v>
      </c>
      <c r="K247" s="979">
        <f t="shared" si="30"/>
        <v>60.451999999999991</v>
      </c>
      <c r="L247" s="1037">
        <f t="shared" si="31"/>
        <v>162.05199999999999</v>
      </c>
    </row>
    <row r="248" spans="2:12" ht="14" thickBot="1" x14ac:dyDescent="0.2">
      <c r="B248" s="929"/>
      <c r="C248" s="1028">
        <v>0.75</v>
      </c>
      <c r="D248" s="1029">
        <v>36</v>
      </c>
      <c r="E248" s="1030">
        <v>2.38</v>
      </c>
      <c r="F248" s="1030">
        <v>6.38</v>
      </c>
      <c r="H248" s="929"/>
      <c r="I248" s="1038">
        <f t="shared" si="28"/>
        <v>19.049999999999997</v>
      </c>
      <c r="J248" s="1039">
        <f t="shared" si="29"/>
        <v>914.4</v>
      </c>
      <c r="K248" s="1039">
        <f t="shared" si="30"/>
        <v>60.451999999999991</v>
      </c>
      <c r="L248" s="1040">
        <f t="shared" si="31"/>
        <v>162.05199999999999</v>
      </c>
    </row>
    <row r="249" spans="2:12" ht="14" thickTop="1" x14ac:dyDescent="0.15">
      <c r="B249" s="928"/>
      <c r="C249" s="1031">
        <v>0.38</v>
      </c>
      <c r="D249" s="1007">
        <v>40</v>
      </c>
      <c r="E249" s="1025">
        <v>2.5</v>
      </c>
      <c r="F249" s="1025">
        <v>6.63</v>
      </c>
      <c r="H249" s="928"/>
      <c r="I249" s="1034">
        <f t="shared" si="28"/>
        <v>9.6519999999999992</v>
      </c>
      <c r="J249" s="978">
        <f t="shared" si="29"/>
        <v>1016</v>
      </c>
      <c r="K249" s="978">
        <f t="shared" si="30"/>
        <v>63.5</v>
      </c>
      <c r="L249" s="1035">
        <f t="shared" si="31"/>
        <v>168.40199999999999</v>
      </c>
    </row>
    <row r="250" spans="2:12" x14ac:dyDescent="0.15">
      <c r="B250" s="944"/>
      <c r="C250" s="1032">
        <v>0.5</v>
      </c>
      <c r="D250" s="99">
        <v>40</v>
      </c>
      <c r="E250" s="1027">
        <v>2.5</v>
      </c>
      <c r="F250" s="1027">
        <v>6.56</v>
      </c>
      <c r="H250" s="1009" t="s">
        <v>377</v>
      </c>
      <c r="I250" s="1036">
        <f t="shared" si="28"/>
        <v>12.7</v>
      </c>
      <c r="J250" s="979">
        <f t="shared" si="29"/>
        <v>1016</v>
      </c>
      <c r="K250" s="979">
        <f t="shared" si="30"/>
        <v>63.5</v>
      </c>
      <c r="L250" s="1037">
        <f t="shared" si="31"/>
        <v>166.62399999999997</v>
      </c>
    </row>
    <row r="251" spans="2:12" x14ac:dyDescent="0.15">
      <c r="B251" s="944"/>
      <c r="C251" s="1032">
        <v>0.63</v>
      </c>
      <c r="D251" s="99">
        <v>36</v>
      </c>
      <c r="E251" s="1027">
        <v>2.5</v>
      </c>
      <c r="F251" s="1027">
        <v>6.94</v>
      </c>
      <c r="H251" s="1016">
        <f>40*25.4</f>
        <v>1016</v>
      </c>
      <c r="I251" s="1036">
        <f t="shared" si="28"/>
        <v>16.001999999999999</v>
      </c>
      <c r="J251" s="979">
        <f t="shared" si="29"/>
        <v>914.4</v>
      </c>
      <c r="K251" s="979">
        <f t="shared" si="30"/>
        <v>63.5</v>
      </c>
      <c r="L251" s="1037">
        <f t="shared" si="31"/>
        <v>176.27600000000001</v>
      </c>
    </row>
    <row r="252" spans="2:12" ht="14" thickBot="1" x14ac:dyDescent="0.2">
      <c r="B252" s="929"/>
      <c r="C252" s="1033">
        <v>0.75</v>
      </c>
      <c r="D252" s="1029">
        <v>36</v>
      </c>
      <c r="E252" s="1030">
        <v>2.5</v>
      </c>
      <c r="F252" s="1030">
        <v>7</v>
      </c>
      <c r="H252" s="929"/>
      <c r="I252" s="1038">
        <f t="shared" si="28"/>
        <v>19.049999999999997</v>
      </c>
      <c r="J252" s="1039">
        <f t="shared" si="29"/>
        <v>914.4</v>
      </c>
      <c r="K252" s="1039">
        <f t="shared" si="30"/>
        <v>63.5</v>
      </c>
      <c r="L252" s="1040">
        <f t="shared" si="31"/>
        <v>177.79999999999998</v>
      </c>
    </row>
    <row r="253" spans="2:12" ht="14" thickTop="1" x14ac:dyDescent="0.15">
      <c r="B253" s="928"/>
      <c r="C253" s="1031">
        <v>0.38</v>
      </c>
      <c r="D253" s="1007">
        <v>40</v>
      </c>
      <c r="E253" s="1025">
        <v>2.63</v>
      </c>
      <c r="F253" s="1025">
        <v>7.19</v>
      </c>
      <c r="H253" s="928"/>
      <c r="I253" s="1034">
        <f t="shared" si="28"/>
        <v>9.6519999999999992</v>
      </c>
      <c r="J253" s="978">
        <f t="shared" si="29"/>
        <v>1016</v>
      </c>
      <c r="K253" s="978">
        <f t="shared" si="30"/>
        <v>66.801999999999992</v>
      </c>
      <c r="L253" s="1035">
        <f t="shared" si="31"/>
        <v>182.626</v>
      </c>
    </row>
    <row r="254" spans="2:12" x14ac:dyDescent="0.15">
      <c r="B254" s="944"/>
      <c r="C254" s="1032">
        <v>0.5</v>
      </c>
      <c r="D254" s="99">
        <v>40</v>
      </c>
      <c r="E254" s="1027">
        <v>2.63</v>
      </c>
      <c r="F254" s="1027">
        <v>7.13</v>
      </c>
      <c r="H254" s="1009" t="s">
        <v>378</v>
      </c>
      <c r="I254" s="1036">
        <f t="shared" si="28"/>
        <v>12.7</v>
      </c>
      <c r="J254" s="979">
        <f t="shared" si="29"/>
        <v>1016</v>
      </c>
      <c r="K254" s="979">
        <f t="shared" si="30"/>
        <v>66.801999999999992</v>
      </c>
      <c r="L254" s="1037">
        <f t="shared" si="31"/>
        <v>181.10199999999998</v>
      </c>
    </row>
    <row r="255" spans="2:12" x14ac:dyDescent="0.15">
      <c r="B255" s="944"/>
      <c r="C255" s="1032">
        <v>0.63</v>
      </c>
      <c r="D255" s="99">
        <v>40</v>
      </c>
      <c r="E255" s="1027">
        <v>2.63</v>
      </c>
      <c r="F255" s="1027">
        <v>7.06</v>
      </c>
      <c r="H255" s="1016">
        <f>42*25.4</f>
        <v>1066.8</v>
      </c>
      <c r="I255" s="1036">
        <f t="shared" si="28"/>
        <v>16.001999999999999</v>
      </c>
      <c r="J255" s="979">
        <f t="shared" si="29"/>
        <v>1016</v>
      </c>
      <c r="K255" s="979">
        <f t="shared" si="30"/>
        <v>66.801999999999992</v>
      </c>
      <c r="L255" s="1037">
        <f t="shared" si="31"/>
        <v>179.32399999999998</v>
      </c>
    </row>
    <row r="256" spans="2:12" ht="14" thickBot="1" x14ac:dyDescent="0.2">
      <c r="B256" s="929"/>
      <c r="C256" s="1033">
        <v>0.75</v>
      </c>
      <c r="D256" s="1029">
        <v>40</v>
      </c>
      <c r="E256" s="1030">
        <v>2.63</v>
      </c>
      <c r="F256" s="1030">
        <v>7</v>
      </c>
      <c r="H256" s="929"/>
      <c r="I256" s="1038">
        <f t="shared" si="28"/>
        <v>19.049999999999997</v>
      </c>
      <c r="J256" s="1039">
        <f t="shared" si="29"/>
        <v>1016</v>
      </c>
      <c r="K256" s="1039">
        <f t="shared" si="30"/>
        <v>66.801999999999992</v>
      </c>
      <c r="L256" s="1040">
        <f t="shared" si="31"/>
        <v>177.79999999999998</v>
      </c>
    </row>
    <row r="257" spans="2:12" ht="14" thickTop="1" x14ac:dyDescent="0.15">
      <c r="B257" s="928"/>
      <c r="C257" s="1031">
        <v>0.38</v>
      </c>
      <c r="D257" s="1007">
        <v>42</v>
      </c>
      <c r="E257" s="1025">
        <v>3</v>
      </c>
      <c r="F257" s="1025">
        <v>8</v>
      </c>
      <c r="H257" s="928"/>
      <c r="I257" s="1034">
        <f t="shared" si="28"/>
        <v>9.6519999999999992</v>
      </c>
      <c r="J257" s="978">
        <f t="shared" si="29"/>
        <v>1066.8</v>
      </c>
      <c r="K257" s="978">
        <f t="shared" si="30"/>
        <v>76.199999999999989</v>
      </c>
      <c r="L257" s="1035">
        <f t="shared" si="31"/>
        <v>203.2</v>
      </c>
    </row>
    <row r="258" spans="2:12" x14ac:dyDescent="0.15">
      <c r="B258" s="944"/>
      <c r="C258" s="1032">
        <v>0.5</v>
      </c>
      <c r="D258" s="99">
        <v>42</v>
      </c>
      <c r="E258" s="1027">
        <v>3</v>
      </c>
      <c r="F258" s="1027">
        <v>8.75</v>
      </c>
      <c r="H258" s="1009" t="s">
        <v>378</v>
      </c>
      <c r="I258" s="1036">
        <f t="shared" si="28"/>
        <v>12.7</v>
      </c>
      <c r="J258" s="979">
        <f t="shared" si="29"/>
        <v>1066.8</v>
      </c>
      <c r="K258" s="979">
        <f t="shared" si="30"/>
        <v>76.199999999999989</v>
      </c>
      <c r="L258" s="1037">
        <f t="shared" si="31"/>
        <v>222.25</v>
      </c>
    </row>
    <row r="259" spans="2:12" x14ac:dyDescent="0.15">
      <c r="B259" s="944"/>
      <c r="C259" s="1032">
        <v>0.63</v>
      </c>
      <c r="D259" s="99">
        <v>42</v>
      </c>
      <c r="E259" s="1027">
        <v>3</v>
      </c>
      <c r="F259" s="1027">
        <v>8.69</v>
      </c>
      <c r="H259" s="1016">
        <f>48*25.4</f>
        <v>1219.1999999999998</v>
      </c>
      <c r="I259" s="1036">
        <f t="shared" si="28"/>
        <v>16.001999999999999</v>
      </c>
      <c r="J259" s="979">
        <f t="shared" si="29"/>
        <v>1066.8</v>
      </c>
      <c r="K259" s="979">
        <f t="shared" si="30"/>
        <v>76.199999999999989</v>
      </c>
      <c r="L259" s="1037">
        <f t="shared" si="31"/>
        <v>220.72599999999997</v>
      </c>
    </row>
    <row r="260" spans="2:12" ht="14" thickBot="1" x14ac:dyDescent="0.2">
      <c r="B260" s="929"/>
      <c r="C260" s="1033">
        <v>0.75</v>
      </c>
      <c r="D260" s="1029">
        <v>42</v>
      </c>
      <c r="E260" s="1030">
        <v>3</v>
      </c>
      <c r="F260" s="1030">
        <v>8.6300000000000008</v>
      </c>
      <c r="H260" s="929"/>
      <c r="I260" s="1038">
        <f t="shared" si="28"/>
        <v>19.049999999999997</v>
      </c>
      <c r="J260" s="1039">
        <f t="shared" si="29"/>
        <v>1066.8</v>
      </c>
      <c r="K260" s="1039">
        <f t="shared" si="30"/>
        <v>76.199999999999989</v>
      </c>
      <c r="L260" s="1040">
        <f t="shared" si="31"/>
        <v>219.202</v>
      </c>
    </row>
    <row r="261" spans="2:12" ht="14" thickTop="1" x14ac:dyDescent="0.15">
      <c r="B261" s="928"/>
      <c r="C261" s="1031">
        <v>0.38</v>
      </c>
      <c r="D261" s="1007">
        <v>54</v>
      </c>
      <c r="E261" s="1025">
        <v>3.25</v>
      </c>
      <c r="F261" s="1025">
        <v>8.94</v>
      </c>
      <c r="H261" s="928"/>
      <c r="I261" s="1034">
        <f t="shared" si="28"/>
        <v>9.6519999999999992</v>
      </c>
      <c r="J261" s="978">
        <f t="shared" si="29"/>
        <v>1371.6</v>
      </c>
      <c r="K261" s="978">
        <f t="shared" si="30"/>
        <v>82.55</v>
      </c>
      <c r="L261" s="1035">
        <f t="shared" si="31"/>
        <v>227.07599999999996</v>
      </c>
    </row>
    <row r="262" spans="2:12" x14ac:dyDescent="0.15">
      <c r="B262" s="944"/>
      <c r="C262" s="1032">
        <v>0.5</v>
      </c>
      <c r="D262" s="99">
        <v>48</v>
      </c>
      <c r="E262" s="1027">
        <v>3.25</v>
      </c>
      <c r="F262" s="1027">
        <v>9.75</v>
      </c>
      <c r="H262" s="1009" t="s">
        <v>382</v>
      </c>
      <c r="I262" s="1036">
        <f t="shared" si="28"/>
        <v>12.7</v>
      </c>
      <c r="J262" s="979">
        <f t="shared" si="29"/>
        <v>1219.1999999999998</v>
      </c>
      <c r="K262" s="979">
        <f t="shared" si="30"/>
        <v>82.55</v>
      </c>
      <c r="L262" s="1037">
        <f t="shared" si="31"/>
        <v>247.64999999999998</v>
      </c>
    </row>
    <row r="263" spans="2:12" x14ac:dyDescent="0.15">
      <c r="B263" s="944"/>
      <c r="C263" s="1032">
        <v>0.63</v>
      </c>
      <c r="D263" s="99">
        <v>48</v>
      </c>
      <c r="E263" s="1027">
        <v>3.25</v>
      </c>
      <c r="F263" s="1027">
        <v>9.75</v>
      </c>
      <c r="H263" s="1016">
        <f>54*25.4</f>
        <v>1371.6</v>
      </c>
      <c r="I263" s="1036">
        <f t="shared" si="28"/>
        <v>16.001999999999999</v>
      </c>
      <c r="J263" s="979">
        <f t="shared" si="29"/>
        <v>1219.1999999999998</v>
      </c>
      <c r="K263" s="979">
        <f t="shared" si="30"/>
        <v>82.55</v>
      </c>
      <c r="L263" s="1037">
        <f t="shared" si="31"/>
        <v>247.64999999999998</v>
      </c>
    </row>
    <row r="264" spans="2:12" ht="14" thickBot="1" x14ac:dyDescent="0.2">
      <c r="B264" s="929"/>
      <c r="C264" s="1033">
        <v>0.75</v>
      </c>
      <c r="D264" s="1029">
        <v>48</v>
      </c>
      <c r="E264" s="1030">
        <v>3.25</v>
      </c>
      <c r="F264" s="1030">
        <v>9.6300000000000008</v>
      </c>
      <c r="H264" s="929"/>
      <c r="I264" s="1038">
        <f t="shared" si="28"/>
        <v>19.049999999999997</v>
      </c>
      <c r="J264" s="1039">
        <f t="shared" si="29"/>
        <v>1219.1999999999998</v>
      </c>
      <c r="K264" s="1039">
        <f t="shared" si="30"/>
        <v>82.55</v>
      </c>
      <c r="L264" s="1040">
        <f t="shared" si="31"/>
        <v>244.602</v>
      </c>
    </row>
    <row r="265" spans="2:12" ht="14" thickTop="1" x14ac:dyDescent="0.15">
      <c r="B265" s="928"/>
      <c r="C265" s="1031">
        <v>0.38</v>
      </c>
      <c r="D265" s="1007">
        <v>60</v>
      </c>
      <c r="E265" s="1025">
        <v>3.63</v>
      </c>
      <c r="F265" s="1025">
        <v>10</v>
      </c>
      <c r="H265" s="928"/>
      <c r="I265" s="1034">
        <f t="shared" si="28"/>
        <v>9.6519999999999992</v>
      </c>
      <c r="J265" s="978">
        <f t="shared" si="29"/>
        <v>1524</v>
      </c>
      <c r="K265" s="978">
        <f t="shared" si="30"/>
        <v>92.201999999999998</v>
      </c>
      <c r="L265" s="1035">
        <f t="shared" si="31"/>
        <v>254</v>
      </c>
    </row>
    <row r="266" spans="2:12" x14ac:dyDescent="0.15">
      <c r="B266" s="944"/>
      <c r="C266" s="1032">
        <v>0.5</v>
      </c>
      <c r="D266" s="99">
        <v>60</v>
      </c>
      <c r="E266" s="1027">
        <v>3.63</v>
      </c>
      <c r="F266" s="1027">
        <v>9.8800000000000008</v>
      </c>
      <c r="H266" s="1009" t="s">
        <v>379</v>
      </c>
      <c r="I266" s="1036">
        <f t="shared" si="28"/>
        <v>12.7</v>
      </c>
      <c r="J266" s="979">
        <f t="shared" si="29"/>
        <v>1524</v>
      </c>
      <c r="K266" s="979">
        <f t="shared" si="30"/>
        <v>92.201999999999998</v>
      </c>
      <c r="L266" s="1037">
        <f t="shared" si="31"/>
        <v>250.952</v>
      </c>
    </row>
    <row r="267" spans="2:12" x14ac:dyDescent="0.15">
      <c r="B267" s="944"/>
      <c r="C267" s="1032">
        <v>0.63</v>
      </c>
      <c r="D267" s="99">
        <v>54</v>
      </c>
      <c r="E267" s="1027">
        <v>3.63</v>
      </c>
      <c r="F267" s="1027">
        <v>10.69</v>
      </c>
      <c r="H267" s="1016">
        <f>60*25.4</f>
        <v>1524</v>
      </c>
      <c r="I267" s="1036">
        <f t="shared" si="28"/>
        <v>16.001999999999999</v>
      </c>
      <c r="J267" s="979">
        <f t="shared" si="29"/>
        <v>1371.6</v>
      </c>
      <c r="K267" s="979">
        <f t="shared" si="30"/>
        <v>92.201999999999998</v>
      </c>
      <c r="L267" s="1037">
        <f t="shared" si="31"/>
        <v>271.52599999999995</v>
      </c>
    </row>
    <row r="268" spans="2:12" ht="14" thickBot="1" x14ac:dyDescent="0.2">
      <c r="B268" s="929"/>
      <c r="C268" s="1033">
        <v>0.75</v>
      </c>
      <c r="D268" s="1029">
        <v>54</v>
      </c>
      <c r="E268" s="1030">
        <v>3.63</v>
      </c>
      <c r="F268" s="1030">
        <v>10.63</v>
      </c>
      <c r="H268" s="929"/>
      <c r="I268" s="1038">
        <f t="shared" si="28"/>
        <v>19.049999999999997</v>
      </c>
      <c r="J268" s="1039">
        <f t="shared" si="29"/>
        <v>1371.6</v>
      </c>
      <c r="K268" s="1039">
        <f t="shared" si="30"/>
        <v>92.201999999999998</v>
      </c>
      <c r="L268" s="1040">
        <f t="shared" si="31"/>
        <v>270.00200000000001</v>
      </c>
    </row>
    <row r="269" spans="2:12" ht="15" thickTop="1" thickBot="1" x14ac:dyDescent="0.2">
      <c r="B269" s="1013" t="s">
        <v>361</v>
      </c>
      <c r="C269" s="1013" t="s">
        <v>380</v>
      </c>
      <c r="D269" s="1013" t="s">
        <v>362</v>
      </c>
      <c r="E269" s="1013" t="s">
        <v>363</v>
      </c>
      <c r="F269" s="1013" t="s">
        <v>364</v>
      </c>
      <c r="G269" s="389" t="s">
        <v>408</v>
      </c>
      <c r="H269" s="1013" t="s">
        <v>361</v>
      </c>
      <c r="I269" s="1013" t="s">
        <v>381</v>
      </c>
      <c r="J269" s="1013" t="s">
        <v>370</v>
      </c>
      <c r="K269" s="1013" t="s">
        <v>371</v>
      </c>
      <c r="L269" s="1013" t="s">
        <v>372</v>
      </c>
    </row>
    <row r="270" spans="2:12" ht="14" thickTop="1" x14ac:dyDescent="0.15">
      <c r="B270" s="928"/>
      <c r="C270" s="1024">
        <v>0.38</v>
      </c>
      <c r="D270" s="1007">
        <v>66</v>
      </c>
      <c r="E270" s="1025">
        <v>4</v>
      </c>
      <c r="F270" s="1025">
        <v>11</v>
      </c>
      <c r="H270" s="928"/>
      <c r="I270" s="1034">
        <f t="shared" ref="I270:I293" si="32">C270*25.4</f>
        <v>9.6519999999999992</v>
      </c>
      <c r="J270" s="978">
        <f t="shared" ref="J270:J293" si="33">D270*25.4</f>
        <v>1676.3999999999999</v>
      </c>
      <c r="K270" s="978">
        <f t="shared" ref="K270:K293" si="34">E270*25.4</f>
        <v>101.6</v>
      </c>
      <c r="L270" s="1035">
        <f t="shared" ref="L270:L293" si="35">F270*25.4</f>
        <v>279.39999999999998</v>
      </c>
    </row>
    <row r="271" spans="2:12" x14ac:dyDescent="0.15">
      <c r="B271" s="944"/>
      <c r="C271" s="1026">
        <v>0.5</v>
      </c>
      <c r="D271" s="99">
        <v>60</v>
      </c>
      <c r="E271" s="1027">
        <v>4</v>
      </c>
      <c r="F271" s="1027">
        <v>10.94</v>
      </c>
      <c r="H271" s="1009" t="s">
        <v>383</v>
      </c>
      <c r="I271" s="1036">
        <f t="shared" si="32"/>
        <v>12.7</v>
      </c>
      <c r="J271" s="979">
        <f t="shared" si="33"/>
        <v>1524</v>
      </c>
      <c r="K271" s="979">
        <f t="shared" si="34"/>
        <v>101.6</v>
      </c>
      <c r="L271" s="1037">
        <f t="shared" si="35"/>
        <v>277.87599999999998</v>
      </c>
    </row>
    <row r="272" spans="2:12" x14ac:dyDescent="0.15">
      <c r="B272" s="944"/>
      <c r="C272" s="1026">
        <v>0.63</v>
      </c>
      <c r="D272" s="99">
        <v>60</v>
      </c>
      <c r="E272" s="1027">
        <v>4</v>
      </c>
      <c r="F272" s="1027">
        <v>11.75</v>
      </c>
      <c r="H272" s="1016">
        <f>66*25.4</f>
        <v>1676.3999999999999</v>
      </c>
      <c r="I272" s="1036">
        <f t="shared" si="32"/>
        <v>16.001999999999999</v>
      </c>
      <c r="J272" s="979">
        <f t="shared" si="33"/>
        <v>1524</v>
      </c>
      <c r="K272" s="979">
        <f t="shared" si="34"/>
        <v>101.6</v>
      </c>
      <c r="L272" s="1037">
        <f t="shared" si="35"/>
        <v>298.45</v>
      </c>
    </row>
    <row r="273" spans="2:12" ht="14" thickBot="1" x14ac:dyDescent="0.2">
      <c r="B273" s="929"/>
      <c r="C273" s="1028">
        <v>0.75</v>
      </c>
      <c r="D273" s="1029">
        <v>60</v>
      </c>
      <c r="E273" s="1030">
        <v>4</v>
      </c>
      <c r="F273" s="1030">
        <v>11.63</v>
      </c>
      <c r="H273" s="929"/>
      <c r="I273" s="1038">
        <f t="shared" si="32"/>
        <v>19.049999999999997</v>
      </c>
      <c r="J273" s="1039">
        <f t="shared" si="33"/>
        <v>1524</v>
      </c>
      <c r="K273" s="1039">
        <f t="shared" si="34"/>
        <v>101.6</v>
      </c>
      <c r="L273" s="1040">
        <f t="shared" si="35"/>
        <v>295.40199999999999</v>
      </c>
    </row>
    <row r="274" spans="2:12" ht="14" thickTop="1" x14ac:dyDescent="0.15">
      <c r="B274" s="928"/>
      <c r="C274" s="1031">
        <v>0.38</v>
      </c>
      <c r="D274" s="1007">
        <v>72</v>
      </c>
      <c r="E274" s="1025">
        <v>4.38</v>
      </c>
      <c r="F274" s="1025">
        <v>12</v>
      </c>
      <c r="H274" s="928"/>
      <c r="I274" s="1034">
        <f t="shared" si="32"/>
        <v>9.6519999999999992</v>
      </c>
      <c r="J274" s="978">
        <f t="shared" si="33"/>
        <v>1828.8</v>
      </c>
      <c r="K274" s="978">
        <f t="shared" si="34"/>
        <v>111.252</v>
      </c>
      <c r="L274" s="1035">
        <f t="shared" si="35"/>
        <v>304.79999999999995</v>
      </c>
    </row>
    <row r="275" spans="2:12" x14ac:dyDescent="0.15">
      <c r="B275" s="944"/>
      <c r="C275" s="1032">
        <v>0.63</v>
      </c>
      <c r="D275" s="99">
        <v>72</v>
      </c>
      <c r="E275" s="1027">
        <v>4.38</v>
      </c>
      <c r="F275" s="1027">
        <v>11.88</v>
      </c>
      <c r="H275" s="1009" t="s">
        <v>384</v>
      </c>
      <c r="I275" s="1036">
        <f t="shared" si="32"/>
        <v>16.001999999999999</v>
      </c>
      <c r="J275" s="979">
        <f t="shared" si="33"/>
        <v>1828.8</v>
      </c>
      <c r="K275" s="979">
        <f t="shared" si="34"/>
        <v>111.252</v>
      </c>
      <c r="L275" s="1037">
        <f t="shared" si="35"/>
        <v>301.75200000000001</v>
      </c>
    </row>
    <row r="276" spans="2:12" x14ac:dyDescent="0.15">
      <c r="B276" s="944"/>
      <c r="C276" s="1032">
        <v>0.75</v>
      </c>
      <c r="D276" s="99">
        <v>72</v>
      </c>
      <c r="E276" s="1027">
        <v>4.38</v>
      </c>
      <c r="F276" s="1027">
        <v>11.88</v>
      </c>
      <c r="H276" s="1016">
        <f>72*25.4</f>
        <v>1828.8</v>
      </c>
      <c r="I276" s="1036">
        <f t="shared" si="32"/>
        <v>19.049999999999997</v>
      </c>
      <c r="J276" s="979">
        <f t="shared" si="33"/>
        <v>1828.8</v>
      </c>
      <c r="K276" s="979">
        <f t="shared" si="34"/>
        <v>111.252</v>
      </c>
      <c r="L276" s="1037">
        <f t="shared" si="35"/>
        <v>301.75200000000001</v>
      </c>
    </row>
    <row r="277" spans="2:12" ht="14" thickBot="1" x14ac:dyDescent="0.2">
      <c r="B277" s="929"/>
      <c r="C277" s="1033">
        <v>0.88</v>
      </c>
      <c r="D277" s="1029">
        <v>66</v>
      </c>
      <c r="E277" s="1030">
        <v>4.38</v>
      </c>
      <c r="F277" s="1030">
        <v>12.63</v>
      </c>
      <c r="H277" s="929"/>
      <c r="I277" s="1038">
        <f t="shared" si="32"/>
        <v>22.352</v>
      </c>
      <c r="J277" s="1039">
        <f t="shared" si="33"/>
        <v>1676.3999999999999</v>
      </c>
      <c r="K277" s="1039">
        <f t="shared" si="34"/>
        <v>111.252</v>
      </c>
      <c r="L277" s="1040">
        <f t="shared" si="35"/>
        <v>320.80200000000002</v>
      </c>
    </row>
    <row r="278" spans="2:12" ht="14" thickTop="1" x14ac:dyDescent="0.15">
      <c r="B278" s="928"/>
      <c r="C278" s="1031">
        <v>0.38</v>
      </c>
      <c r="D278" s="1007">
        <v>78</v>
      </c>
      <c r="E278" s="1025">
        <v>4.75</v>
      </c>
      <c r="F278" s="1025">
        <v>13</v>
      </c>
      <c r="H278" s="928"/>
      <c r="I278" s="1034">
        <f t="shared" si="32"/>
        <v>9.6519999999999992</v>
      </c>
      <c r="J278" s="978">
        <f t="shared" si="33"/>
        <v>1981.1999999999998</v>
      </c>
      <c r="K278" s="978">
        <f t="shared" si="34"/>
        <v>120.64999999999999</v>
      </c>
      <c r="L278" s="1035">
        <f t="shared" si="35"/>
        <v>330.2</v>
      </c>
    </row>
    <row r="279" spans="2:12" x14ac:dyDescent="0.15">
      <c r="B279" s="944"/>
      <c r="C279" s="1032">
        <v>0.5</v>
      </c>
      <c r="D279" s="99">
        <v>72</v>
      </c>
      <c r="E279" s="1027">
        <v>4.75</v>
      </c>
      <c r="F279" s="1027">
        <v>13.81</v>
      </c>
      <c r="H279" s="1009" t="s">
        <v>385</v>
      </c>
      <c r="I279" s="1036">
        <f t="shared" si="32"/>
        <v>12.7</v>
      </c>
      <c r="J279" s="979">
        <f t="shared" si="33"/>
        <v>1828.8</v>
      </c>
      <c r="K279" s="979">
        <f t="shared" si="34"/>
        <v>120.64999999999999</v>
      </c>
      <c r="L279" s="1037">
        <f t="shared" si="35"/>
        <v>350.774</v>
      </c>
    </row>
    <row r="280" spans="2:12" x14ac:dyDescent="0.15">
      <c r="B280" s="944"/>
      <c r="C280" s="1032">
        <v>0.75</v>
      </c>
      <c r="D280" s="99">
        <v>72</v>
      </c>
      <c r="E280" s="1027">
        <v>4.75</v>
      </c>
      <c r="F280" s="1027">
        <v>13.69</v>
      </c>
      <c r="H280" s="1016">
        <f>78*25.4</f>
        <v>1981.1999999999998</v>
      </c>
      <c r="I280" s="1036">
        <f t="shared" si="32"/>
        <v>19.049999999999997</v>
      </c>
      <c r="J280" s="979">
        <f t="shared" si="33"/>
        <v>1828.8</v>
      </c>
      <c r="K280" s="979">
        <f t="shared" si="34"/>
        <v>120.64999999999999</v>
      </c>
      <c r="L280" s="1037">
        <f t="shared" si="35"/>
        <v>347.72599999999994</v>
      </c>
    </row>
    <row r="281" spans="2:12" ht="14" thickBot="1" x14ac:dyDescent="0.2">
      <c r="B281" s="929"/>
      <c r="C281" s="1033">
        <v>1</v>
      </c>
      <c r="D281" s="1029">
        <v>72</v>
      </c>
      <c r="E281" s="1030">
        <v>4.75</v>
      </c>
      <c r="F281" s="1030">
        <v>13.5</v>
      </c>
      <c r="H281" s="929"/>
      <c r="I281" s="1038">
        <f t="shared" si="32"/>
        <v>25.4</v>
      </c>
      <c r="J281" s="1039">
        <f t="shared" si="33"/>
        <v>1828.8</v>
      </c>
      <c r="K281" s="1039">
        <f t="shared" si="34"/>
        <v>120.64999999999999</v>
      </c>
      <c r="L281" s="1040">
        <f t="shared" si="35"/>
        <v>342.9</v>
      </c>
    </row>
    <row r="282" spans="2:12" ht="14" thickTop="1" x14ac:dyDescent="0.15">
      <c r="B282" s="928"/>
      <c r="C282" s="1031">
        <v>0.38</v>
      </c>
      <c r="D282" s="1007">
        <v>84</v>
      </c>
      <c r="E282" s="1025">
        <v>5.13</v>
      </c>
      <c r="F282" s="1025">
        <v>14</v>
      </c>
      <c r="H282" s="928"/>
      <c r="I282" s="1034">
        <f t="shared" si="32"/>
        <v>9.6519999999999992</v>
      </c>
      <c r="J282" s="978">
        <f t="shared" si="33"/>
        <v>2133.6</v>
      </c>
      <c r="K282" s="978">
        <f t="shared" si="34"/>
        <v>130.30199999999999</v>
      </c>
      <c r="L282" s="1035">
        <f t="shared" si="35"/>
        <v>355.59999999999997</v>
      </c>
    </row>
    <row r="283" spans="2:12" x14ac:dyDescent="0.15">
      <c r="B283" s="944"/>
      <c r="C283" s="1032">
        <v>0.63</v>
      </c>
      <c r="D283" s="99">
        <v>84</v>
      </c>
      <c r="E283" s="1027">
        <v>5.13</v>
      </c>
      <c r="F283" s="1027">
        <v>13.88</v>
      </c>
      <c r="H283" s="1009" t="s">
        <v>386</v>
      </c>
      <c r="I283" s="1036">
        <f t="shared" si="32"/>
        <v>16.001999999999999</v>
      </c>
      <c r="J283" s="979">
        <f t="shared" si="33"/>
        <v>2133.6</v>
      </c>
      <c r="K283" s="979">
        <f t="shared" si="34"/>
        <v>130.30199999999999</v>
      </c>
      <c r="L283" s="1037">
        <f t="shared" si="35"/>
        <v>352.55200000000002</v>
      </c>
    </row>
    <row r="284" spans="2:12" x14ac:dyDescent="0.15">
      <c r="B284" s="944"/>
      <c r="C284" s="1032">
        <v>0.88</v>
      </c>
      <c r="D284" s="99">
        <v>84</v>
      </c>
      <c r="E284" s="1027">
        <v>5.13</v>
      </c>
      <c r="F284" s="1027">
        <v>13.75</v>
      </c>
      <c r="H284" s="1016">
        <f>84*25.4</f>
        <v>2133.6</v>
      </c>
      <c r="I284" s="1036">
        <f t="shared" si="32"/>
        <v>22.352</v>
      </c>
      <c r="J284" s="979">
        <f t="shared" si="33"/>
        <v>2133.6</v>
      </c>
      <c r="K284" s="979">
        <f t="shared" si="34"/>
        <v>130.30199999999999</v>
      </c>
      <c r="L284" s="1037">
        <f t="shared" si="35"/>
        <v>349.25</v>
      </c>
    </row>
    <row r="285" spans="2:12" ht="14" thickBot="1" x14ac:dyDescent="0.2">
      <c r="B285" s="929"/>
      <c r="C285" s="1033">
        <v>1</v>
      </c>
      <c r="D285" s="1029">
        <v>84</v>
      </c>
      <c r="E285" s="1030">
        <v>5.13</v>
      </c>
      <c r="F285" s="1030">
        <v>13.69</v>
      </c>
      <c r="H285" s="929"/>
      <c r="I285" s="1038">
        <f t="shared" si="32"/>
        <v>25.4</v>
      </c>
      <c r="J285" s="1039">
        <f t="shared" si="33"/>
        <v>2133.6</v>
      </c>
      <c r="K285" s="1039">
        <f t="shared" si="34"/>
        <v>130.30199999999999</v>
      </c>
      <c r="L285" s="1040">
        <f t="shared" si="35"/>
        <v>347.72599999999994</v>
      </c>
    </row>
    <row r="286" spans="2:12" ht="14" thickTop="1" x14ac:dyDescent="0.15">
      <c r="B286" s="928"/>
      <c r="C286" s="1031">
        <v>0.38</v>
      </c>
      <c r="D286" s="1007">
        <v>90</v>
      </c>
      <c r="E286" s="1025">
        <v>5.5</v>
      </c>
      <c r="F286" s="1025">
        <v>15.13</v>
      </c>
      <c r="H286" s="928"/>
      <c r="I286" s="1034">
        <f t="shared" si="32"/>
        <v>9.6519999999999992</v>
      </c>
      <c r="J286" s="978">
        <f t="shared" si="33"/>
        <v>2286</v>
      </c>
      <c r="K286" s="978">
        <f t="shared" si="34"/>
        <v>139.69999999999999</v>
      </c>
      <c r="L286" s="1035">
        <f t="shared" si="35"/>
        <v>384.30200000000002</v>
      </c>
    </row>
    <row r="287" spans="2:12" x14ac:dyDescent="0.15">
      <c r="B287" s="944"/>
      <c r="C287" s="1032">
        <v>0.5</v>
      </c>
      <c r="D287" s="99">
        <v>84</v>
      </c>
      <c r="E287" s="1027">
        <v>5.5</v>
      </c>
      <c r="F287" s="1027">
        <v>15.81</v>
      </c>
      <c r="H287" s="1009" t="s">
        <v>387</v>
      </c>
      <c r="I287" s="1036">
        <f t="shared" si="32"/>
        <v>12.7</v>
      </c>
      <c r="J287" s="979">
        <f t="shared" si="33"/>
        <v>2133.6</v>
      </c>
      <c r="K287" s="979">
        <f t="shared" si="34"/>
        <v>139.69999999999999</v>
      </c>
      <c r="L287" s="1037">
        <f t="shared" si="35"/>
        <v>401.57400000000001</v>
      </c>
    </row>
    <row r="288" spans="2:12" x14ac:dyDescent="0.15">
      <c r="B288" s="944"/>
      <c r="C288" s="1032">
        <v>0.75</v>
      </c>
      <c r="D288" s="99">
        <v>84</v>
      </c>
      <c r="E288" s="1027">
        <v>5.5</v>
      </c>
      <c r="F288" s="1027">
        <v>15.69</v>
      </c>
      <c r="H288" s="1016">
        <f>90*25.4</f>
        <v>2286</v>
      </c>
      <c r="I288" s="1036">
        <f t="shared" si="32"/>
        <v>19.049999999999997</v>
      </c>
      <c r="J288" s="979">
        <f t="shared" si="33"/>
        <v>2133.6</v>
      </c>
      <c r="K288" s="979">
        <f t="shared" si="34"/>
        <v>139.69999999999999</v>
      </c>
      <c r="L288" s="1037">
        <f t="shared" si="35"/>
        <v>398.52599999999995</v>
      </c>
    </row>
    <row r="289" spans="2:12" ht="14" thickBot="1" x14ac:dyDescent="0.2">
      <c r="B289" s="929"/>
      <c r="C289" s="1033">
        <v>1</v>
      </c>
      <c r="D289" s="1029">
        <v>84</v>
      </c>
      <c r="E289" s="1030">
        <v>5.5</v>
      </c>
      <c r="F289" s="1030">
        <v>15.56</v>
      </c>
      <c r="H289" s="929"/>
      <c r="I289" s="1038">
        <f t="shared" si="32"/>
        <v>25.4</v>
      </c>
      <c r="J289" s="1039">
        <f t="shared" si="33"/>
        <v>2133.6</v>
      </c>
      <c r="K289" s="1039">
        <f t="shared" si="34"/>
        <v>139.69999999999999</v>
      </c>
      <c r="L289" s="1040">
        <f t="shared" si="35"/>
        <v>395.22399999999999</v>
      </c>
    </row>
    <row r="290" spans="2:12" ht="14" thickTop="1" x14ac:dyDescent="0.15">
      <c r="B290" s="928"/>
      <c r="C290" s="1031">
        <v>0.38</v>
      </c>
      <c r="D290" s="1007">
        <v>96</v>
      </c>
      <c r="E290" s="1025">
        <v>5.88</v>
      </c>
      <c r="F290" s="1025">
        <v>16.13</v>
      </c>
      <c r="H290" s="928"/>
      <c r="I290" s="1034">
        <f t="shared" si="32"/>
        <v>9.6519999999999992</v>
      </c>
      <c r="J290" s="978">
        <f t="shared" si="33"/>
        <v>2438.3999999999996</v>
      </c>
      <c r="K290" s="978">
        <f t="shared" si="34"/>
        <v>149.35199999999998</v>
      </c>
      <c r="L290" s="1035">
        <f t="shared" si="35"/>
        <v>409.70199999999994</v>
      </c>
    </row>
    <row r="291" spans="2:12" x14ac:dyDescent="0.15">
      <c r="B291" s="944"/>
      <c r="C291" s="1032">
        <v>0.5</v>
      </c>
      <c r="D291" s="99">
        <v>90</v>
      </c>
      <c r="E291" s="1027">
        <v>5.88</v>
      </c>
      <c r="F291" s="1027">
        <v>16.88</v>
      </c>
      <c r="H291" s="1009" t="s">
        <v>388</v>
      </c>
      <c r="I291" s="1036">
        <f t="shared" si="32"/>
        <v>12.7</v>
      </c>
      <c r="J291" s="979">
        <f t="shared" si="33"/>
        <v>2286</v>
      </c>
      <c r="K291" s="979">
        <f t="shared" si="34"/>
        <v>149.35199999999998</v>
      </c>
      <c r="L291" s="1037">
        <f t="shared" si="35"/>
        <v>428.75199999999995</v>
      </c>
    </row>
    <row r="292" spans="2:12" x14ac:dyDescent="0.15">
      <c r="B292" s="944"/>
      <c r="C292" s="1032">
        <v>0.88</v>
      </c>
      <c r="D292" s="99">
        <v>90</v>
      </c>
      <c r="E292" s="1027">
        <v>5.88</v>
      </c>
      <c r="F292" s="1027">
        <v>16.63</v>
      </c>
      <c r="H292" s="1016">
        <f>96*25.4</f>
        <v>2438.3999999999996</v>
      </c>
      <c r="I292" s="1036">
        <f t="shared" si="32"/>
        <v>22.352</v>
      </c>
      <c r="J292" s="979">
        <f t="shared" si="33"/>
        <v>2286</v>
      </c>
      <c r="K292" s="979">
        <f t="shared" si="34"/>
        <v>149.35199999999998</v>
      </c>
      <c r="L292" s="1037">
        <f t="shared" si="35"/>
        <v>422.40199999999993</v>
      </c>
    </row>
    <row r="293" spans="2:12" ht="14" thickBot="1" x14ac:dyDescent="0.2">
      <c r="B293" s="929"/>
      <c r="C293" s="1033">
        <v>1.25</v>
      </c>
      <c r="D293" s="1029">
        <v>90</v>
      </c>
      <c r="E293" s="1030">
        <v>5.88</v>
      </c>
      <c r="F293" s="1030">
        <v>16.440000000000001</v>
      </c>
      <c r="H293" s="929"/>
      <c r="I293" s="1038">
        <f t="shared" si="32"/>
        <v>31.75</v>
      </c>
      <c r="J293" s="1039">
        <f t="shared" si="33"/>
        <v>2286</v>
      </c>
      <c r="K293" s="1039">
        <f t="shared" si="34"/>
        <v>149.35199999999998</v>
      </c>
      <c r="L293" s="1040">
        <f t="shared" si="35"/>
        <v>417.57600000000002</v>
      </c>
    </row>
    <row r="294" spans="2:12" ht="15" thickTop="1" thickBot="1" x14ac:dyDescent="0.2">
      <c r="B294" s="1013" t="s">
        <v>361</v>
      </c>
      <c r="C294" s="1013" t="s">
        <v>380</v>
      </c>
      <c r="D294" s="1013" t="s">
        <v>362</v>
      </c>
      <c r="E294" s="1013" t="s">
        <v>363</v>
      </c>
      <c r="F294" s="1013" t="s">
        <v>364</v>
      </c>
      <c r="G294" s="389" t="s">
        <v>408</v>
      </c>
      <c r="H294" s="1013" t="s">
        <v>361</v>
      </c>
      <c r="I294" s="1013" t="s">
        <v>381</v>
      </c>
      <c r="J294" s="1013" t="s">
        <v>370</v>
      </c>
      <c r="K294" s="1013" t="s">
        <v>371</v>
      </c>
      <c r="L294" s="1013" t="s">
        <v>372</v>
      </c>
    </row>
    <row r="295" spans="2:12" ht="14" thickTop="1" x14ac:dyDescent="0.15">
      <c r="B295" s="928"/>
      <c r="C295" s="1024">
        <v>0.5</v>
      </c>
      <c r="D295" s="1007">
        <v>96</v>
      </c>
      <c r="E295" s="1025">
        <v>6.13</v>
      </c>
      <c r="F295" s="1025">
        <v>17.88</v>
      </c>
      <c r="H295" s="928"/>
      <c r="I295" s="1034">
        <f t="shared" ref="I295:I318" si="36">C295*25.4</f>
        <v>12.7</v>
      </c>
      <c r="J295" s="978">
        <f t="shared" ref="J295:J318" si="37">D295*25.4</f>
        <v>2438.3999999999996</v>
      </c>
      <c r="K295" s="978">
        <f t="shared" ref="K295:K318" si="38">E295*25.4</f>
        <v>155.702</v>
      </c>
      <c r="L295" s="1035">
        <f t="shared" ref="L295:L318" si="39">F295*25.4</f>
        <v>454.15199999999993</v>
      </c>
    </row>
    <row r="296" spans="2:12" x14ac:dyDescent="0.15">
      <c r="B296" s="944"/>
      <c r="C296" s="1026">
        <v>0.75</v>
      </c>
      <c r="D296" s="99">
        <v>96</v>
      </c>
      <c r="E296" s="1027">
        <v>6.13</v>
      </c>
      <c r="F296" s="1027">
        <v>17.690000000000001</v>
      </c>
      <c r="H296" s="1009" t="s">
        <v>391</v>
      </c>
      <c r="I296" s="1036">
        <f t="shared" si="36"/>
        <v>19.049999999999997</v>
      </c>
      <c r="J296" s="979">
        <f t="shared" si="37"/>
        <v>2438.3999999999996</v>
      </c>
      <c r="K296" s="979">
        <f t="shared" si="38"/>
        <v>155.702</v>
      </c>
      <c r="L296" s="1037">
        <f t="shared" si="39"/>
        <v>449.32600000000002</v>
      </c>
    </row>
    <row r="297" spans="2:12" x14ac:dyDescent="0.15">
      <c r="B297" s="944"/>
      <c r="C297" s="1026">
        <v>1</v>
      </c>
      <c r="D297" s="99">
        <v>96</v>
      </c>
      <c r="E297" s="1027">
        <v>6.13</v>
      </c>
      <c r="F297" s="1027">
        <v>17.559999999999999</v>
      </c>
      <c r="H297" s="1016">
        <f>102*25.4</f>
        <v>2590.7999999999997</v>
      </c>
      <c r="I297" s="1036">
        <f t="shared" si="36"/>
        <v>25.4</v>
      </c>
      <c r="J297" s="979">
        <f t="shared" si="37"/>
        <v>2438.3999999999996</v>
      </c>
      <c r="K297" s="979">
        <f t="shared" si="38"/>
        <v>155.702</v>
      </c>
      <c r="L297" s="1037">
        <f t="shared" si="39"/>
        <v>446.02399999999994</v>
      </c>
    </row>
    <row r="298" spans="2:12" ht="14" thickBot="1" x14ac:dyDescent="0.2">
      <c r="B298" s="929"/>
      <c r="C298" s="1028">
        <v>1.1299999999999999</v>
      </c>
      <c r="D298" s="1029">
        <v>90</v>
      </c>
      <c r="E298" s="1030">
        <v>6.13</v>
      </c>
      <c r="F298" s="1030">
        <v>18.5</v>
      </c>
      <c r="H298" s="929"/>
      <c r="I298" s="1038">
        <f t="shared" si="36"/>
        <v>28.701999999999995</v>
      </c>
      <c r="J298" s="1039">
        <f t="shared" si="37"/>
        <v>2286</v>
      </c>
      <c r="K298" s="1039">
        <f t="shared" si="38"/>
        <v>155.702</v>
      </c>
      <c r="L298" s="1040">
        <f t="shared" si="39"/>
        <v>469.9</v>
      </c>
    </row>
    <row r="299" spans="2:12" ht="14" thickTop="1" x14ac:dyDescent="0.15">
      <c r="B299" s="928"/>
      <c r="C299" s="1031">
        <v>0.5</v>
      </c>
      <c r="D299" s="1007">
        <v>102</v>
      </c>
      <c r="E299" s="1025">
        <v>6.5</v>
      </c>
      <c r="F299" s="1025">
        <v>18.88</v>
      </c>
      <c r="H299" s="928"/>
      <c r="I299" s="1034">
        <f t="shared" si="36"/>
        <v>12.7</v>
      </c>
      <c r="J299" s="978">
        <f t="shared" si="37"/>
        <v>2590.7999999999997</v>
      </c>
      <c r="K299" s="978">
        <f t="shared" si="38"/>
        <v>165.1</v>
      </c>
      <c r="L299" s="1035">
        <f t="shared" si="39"/>
        <v>479.55199999999996</v>
      </c>
    </row>
    <row r="300" spans="2:12" x14ac:dyDescent="0.15">
      <c r="B300" s="944"/>
      <c r="C300" s="1032">
        <v>0.75</v>
      </c>
      <c r="D300" s="99">
        <v>102</v>
      </c>
      <c r="E300" s="1027">
        <v>6.5</v>
      </c>
      <c r="F300" s="1027">
        <v>18.75</v>
      </c>
      <c r="H300" s="1009" t="s">
        <v>392</v>
      </c>
      <c r="I300" s="1036">
        <f t="shared" si="36"/>
        <v>19.049999999999997</v>
      </c>
      <c r="J300" s="979">
        <f t="shared" si="37"/>
        <v>2590.7999999999997</v>
      </c>
      <c r="K300" s="979">
        <f t="shared" si="38"/>
        <v>165.1</v>
      </c>
      <c r="L300" s="1037">
        <f t="shared" si="39"/>
        <v>476.25</v>
      </c>
    </row>
    <row r="301" spans="2:12" x14ac:dyDescent="0.15">
      <c r="B301" s="944"/>
      <c r="C301" s="1032">
        <v>1</v>
      </c>
      <c r="D301" s="99">
        <v>102</v>
      </c>
      <c r="E301" s="1027">
        <v>6.5</v>
      </c>
      <c r="F301" s="1027">
        <v>18.559999999999999</v>
      </c>
      <c r="H301" s="1016">
        <f>108*25.4</f>
        <v>2743.2</v>
      </c>
      <c r="I301" s="1036">
        <f t="shared" si="36"/>
        <v>25.4</v>
      </c>
      <c r="J301" s="979">
        <f t="shared" si="37"/>
        <v>2590.7999999999997</v>
      </c>
      <c r="K301" s="979">
        <f t="shared" si="38"/>
        <v>165.1</v>
      </c>
      <c r="L301" s="1037">
        <f t="shared" si="39"/>
        <v>471.42399999999992</v>
      </c>
    </row>
    <row r="302" spans="2:12" ht="14" thickBot="1" x14ac:dyDescent="0.2">
      <c r="B302" s="929"/>
      <c r="C302" s="1033">
        <v>1.1299999999999999</v>
      </c>
      <c r="D302" s="1029">
        <v>96</v>
      </c>
      <c r="E302" s="1030">
        <v>6.5</v>
      </c>
      <c r="F302" s="1030">
        <v>19.440000000000001</v>
      </c>
      <c r="H302" s="929"/>
      <c r="I302" s="1038">
        <f t="shared" si="36"/>
        <v>28.701999999999995</v>
      </c>
      <c r="J302" s="1039">
        <f t="shared" si="37"/>
        <v>2438.3999999999996</v>
      </c>
      <c r="K302" s="1039">
        <f t="shared" si="38"/>
        <v>165.1</v>
      </c>
      <c r="L302" s="1040">
        <f t="shared" si="39"/>
        <v>493.77600000000001</v>
      </c>
    </row>
    <row r="303" spans="2:12" ht="14" thickTop="1" x14ac:dyDescent="0.15">
      <c r="B303" s="928"/>
      <c r="C303" s="1031">
        <v>0.5</v>
      </c>
      <c r="D303" s="1007">
        <v>108</v>
      </c>
      <c r="E303" s="1025">
        <v>6.88</v>
      </c>
      <c r="F303" s="1025">
        <v>19.88</v>
      </c>
      <c r="H303" s="928"/>
      <c r="I303" s="1034">
        <f t="shared" si="36"/>
        <v>12.7</v>
      </c>
      <c r="J303" s="978">
        <f t="shared" si="37"/>
        <v>2743.2</v>
      </c>
      <c r="K303" s="978">
        <f t="shared" si="38"/>
        <v>174.75199999999998</v>
      </c>
      <c r="L303" s="1035">
        <f t="shared" si="39"/>
        <v>504.95199999999994</v>
      </c>
    </row>
    <row r="304" spans="2:12" x14ac:dyDescent="0.15">
      <c r="B304" s="944"/>
      <c r="C304" s="1032">
        <v>0.75</v>
      </c>
      <c r="D304" s="99">
        <v>108</v>
      </c>
      <c r="E304" s="1027">
        <v>6.88</v>
      </c>
      <c r="F304" s="1027">
        <v>19.75</v>
      </c>
      <c r="H304" s="1009" t="s">
        <v>394</v>
      </c>
      <c r="I304" s="1036">
        <f t="shared" si="36"/>
        <v>19.049999999999997</v>
      </c>
      <c r="J304" s="979">
        <f t="shared" si="37"/>
        <v>2743.2</v>
      </c>
      <c r="K304" s="979">
        <f t="shared" si="38"/>
        <v>174.75199999999998</v>
      </c>
      <c r="L304" s="1037">
        <f t="shared" si="39"/>
        <v>501.65</v>
      </c>
    </row>
    <row r="305" spans="2:12" x14ac:dyDescent="0.15">
      <c r="B305" s="944"/>
      <c r="C305" s="1032">
        <v>1</v>
      </c>
      <c r="D305" s="99">
        <v>108</v>
      </c>
      <c r="E305" s="1027">
        <v>6.88</v>
      </c>
      <c r="F305" s="1027">
        <v>19.63</v>
      </c>
      <c r="H305" s="1016">
        <f>114*25.4</f>
        <v>2895.6</v>
      </c>
      <c r="I305" s="1036">
        <f t="shared" si="36"/>
        <v>25.4</v>
      </c>
      <c r="J305" s="979">
        <f t="shared" si="37"/>
        <v>2743.2</v>
      </c>
      <c r="K305" s="979">
        <f t="shared" si="38"/>
        <v>174.75199999999998</v>
      </c>
      <c r="L305" s="1037">
        <f t="shared" si="39"/>
        <v>498.60199999999992</v>
      </c>
    </row>
    <row r="306" spans="2:12" ht="14" thickBot="1" x14ac:dyDescent="0.2">
      <c r="B306" s="929"/>
      <c r="C306" s="1033">
        <v>1.25</v>
      </c>
      <c r="D306" s="1029">
        <v>108</v>
      </c>
      <c r="E306" s="1030">
        <v>6.88</v>
      </c>
      <c r="F306" s="1030">
        <v>19.5</v>
      </c>
      <c r="H306" s="929"/>
      <c r="I306" s="1038">
        <f t="shared" si="36"/>
        <v>31.75</v>
      </c>
      <c r="J306" s="1039">
        <f t="shared" si="37"/>
        <v>2743.2</v>
      </c>
      <c r="K306" s="1039">
        <f t="shared" si="38"/>
        <v>174.75199999999998</v>
      </c>
      <c r="L306" s="1040">
        <f t="shared" si="39"/>
        <v>495.29999999999995</v>
      </c>
    </row>
    <row r="307" spans="2:12" ht="14" thickTop="1" x14ac:dyDescent="0.15">
      <c r="B307" s="928"/>
      <c r="C307" s="1031">
        <v>0.5</v>
      </c>
      <c r="D307" s="1007">
        <v>114</v>
      </c>
      <c r="E307" s="1025">
        <v>7.25</v>
      </c>
      <c r="F307" s="1025">
        <v>20.88</v>
      </c>
      <c r="H307" s="928"/>
      <c r="I307" s="1034">
        <f t="shared" si="36"/>
        <v>12.7</v>
      </c>
      <c r="J307" s="978">
        <f t="shared" si="37"/>
        <v>2895.6</v>
      </c>
      <c r="K307" s="978">
        <f t="shared" si="38"/>
        <v>184.14999999999998</v>
      </c>
      <c r="L307" s="1035">
        <f t="shared" si="39"/>
        <v>530.35199999999998</v>
      </c>
    </row>
    <row r="308" spans="2:12" x14ac:dyDescent="0.15">
      <c r="B308" s="944"/>
      <c r="C308" s="1032">
        <v>0.88</v>
      </c>
      <c r="D308" s="99">
        <v>114</v>
      </c>
      <c r="E308" s="1027">
        <v>7.25</v>
      </c>
      <c r="F308" s="1027">
        <v>20.69</v>
      </c>
      <c r="H308" s="1009" t="s">
        <v>393</v>
      </c>
      <c r="I308" s="1036">
        <f t="shared" si="36"/>
        <v>22.352</v>
      </c>
      <c r="J308" s="979">
        <f t="shared" si="37"/>
        <v>2895.6</v>
      </c>
      <c r="K308" s="979">
        <f t="shared" si="38"/>
        <v>184.14999999999998</v>
      </c>
      <c r="L308" s="1037">
        <f t="shared" si="39"/>
        <v>525.52599999999995</v>
      </c>
    </row>
    <row r="309" spans="2:12" x14ac:dyDescent="0.15">
      <c r="B309" s="944"/>
      <c r="C309" s="1032">
        <v>1.25</v>
      </c>
      <c r="D309" s="99">
        <v>108</v>
      </c>
      <c r="E309" s="1027">
        <v>7.25</v>
      </c>
      <c r="F309" s="1027">
        <v>21.44</v>
      </c>
      <c r="H309" s="1016">
        <f>120*25.4</f>
        <v>3048</v>
      </c>
      <c r="I309" s="1036">
        <f t="shared" si="36"/>
        <v>31.75</v>
      </c>
      <c r="J309" s="979">
        <f t="shared" si="37"/>
        <v>2743.2</v>
      </c>
      <c r="K309" s="979">
        <f t="shared" si="38"/>
        <v>184.14999999999998</v>
      </c>
      <c r="L309" s="1037">
        <f t="shared" si="39"/>
        <v>544.57600000000002</v>
      </c>
    </row>
    <row r="310" spans="2:12" ht="14" thickBot="1" x14ac:dyDescent="0.2">
      <c r="B310" s="929"/>
      <c r="C310" s="1033">
        <v>1.63</v>
      </c>
      <c r="D310" s="1029">
        <v>108</v>
      </c>
      <c r="E310" s="1030">
        <v>7.25</v>
      </c>
      <c r="F310" s="1030">
        <v>21.25</v>
      </c>
      <c r="H310" s="929"/>
      <c r="I310" s="1038">
        <f t="shared" si="36"/>
        <v>41.401999999999994</v>
      </c>
      <c r="J310" s="1039">
        <f t="shared" si="37"/>
        <v>2743.2</v>
      </c>
      <c r="K310" s="1039">
        <f t="shared" si="38"/>
        <v>184.14999999999998</v>
      </c>
      <c r="L310" s="1040">
        <f t="shared" si="39"/>
        <v>539.75</v>
      </c>
    </row>
    <row r="311" spans="2:12" ht="14" thickTop="1" x14ac:dyDescent="0.15">
      <c r="B311" s="928"/>
      <c r="C311" s="1031">
        <v>0.5</v>
      </c>
      <c r="D311" s="1007">
        <v>120</v>
      </c>
      <c r="E311" s="1025">
        <v>7.63</v>
      </c>
      <c r="F311" s="1025">
        <v>21.88</v>
      </c>
      <c r="H311" s="928"/>
      <c r="I311" s="1034">
        <f t="shared" si="36"/>
        <v>12.7</v>
      </c>
      <c r="J311" s="978">
        <f t="shared" si="37"/>
        <v>3048</v>
      </c>
      <c r="K311" s="978">
        <f t="shared" si="38"/>
        <v>193.80199999999999</v>
      </c>
      <c r="L311" s="1035">
        <f t="shared" si="39"/>
        <v>555.75199999999995</v>
      </c>
    </row>
    <row r="312" spans="2:12" x14ac:dyDescent="0.15">
      <c r="B312" s="944"/>
      <c r="C312" s="1032">
        <v>0.88</v>
      </c>
      <c r="D312" s="99">
        <v>120</v>
      </c>
      <c r="E312" s="1027">
        <v>7.63</v>
      </c>
      <c r="F312" s="1027">
        <v>21.69</v>
      </c>
      <c r="H312" s="1009" t="s">
        <v>395</v>
      </c>
      <c r="I312" s="1036">
        <f t="shared" si="36"/>
        <v>22.352</v>
      </c>
      <c r="J312" s="979">
        <f t="shared" si="37"/>
        <v>3048</v>
      </c>
      <c r="K312" s="979">
        <f t="shared" si="38"/>
        <v>193.80199999999999</v>
      </c>
      <c r="L312" s="1037">
        <f t="shared" si="39"/>
        <v>550.92600000000004</v>
      </c>
    </row>
    <row r="313" spans="2:12" x14ac:dyDescent="0.15">
      <c r="B313" s="944"/>
      <c r="C313" s="1032">
        <v>1.25</v>
      </c>
      <c r="D313" s="99">
        <v>120</v>
      </c>
      <c r="E313" s="1027">
        <v>7.63</v>
      </c>
      <c r="F313" s="1027">
        <v>21.5</v>
      </c>
      <c r="H313" s="1016">
        <f>126*25.4</f>
        <v>3200.3999999999996</v>
      </c>
      <c r="I313" s="1036">
        <f t="shared" si="36"/>
        <v>31.75</v>
      </c>
      <c r="J313" s="979">
        <f t="shared" si="37"/>
        <v>3048</v>
      </c>
      <c r="K313" s="979">
        <f t="shared" si="38"/>
        <v>193.80199999999999</v>
      </c>
      <c r="L313" s="1037">
        <f t="shared" si="39"/>
        <v>546.1</v>
      </c>
    </row>
    <row r="314" spans="2:12" ht="14" thickBot="1" x14ac:dyDescent="0.2">
      <c r="B314" s="929"/>
      <c r="C314" s="1033">
        <v>1.38</v>
      </c>
      <c r="D314" s="1029">
        <v>114</v>
      </c>
      <c r="E314" s="1030">
        <v>7.63</v>
      </c>
      <c r="F314" s="1030">
        <v>22.31</v>
      </c>
      <c r="H314" s="929"/>
      <c r="I314" s="1038">
        <f t="shared" si="36"/>
        <v>35.051999999999992</v>
      </c>
      <c r="J314" s="1039">
        <f t="shared" si="37"/>
        <v>2895.6</v>
      </c>
      <c r="K314" s="1039">
        <f t="shared" si="38"/>
        <v>193.80199999999999</v>
      </c>
      <c r="L314" s="1040">
        <f t="shared" si="39"/>
        <v>566.67399999999998</v>
      </c>
    </row>
    <row r="315" spans="2:12" ht="14" thickTop="1" x14ac:dyDescent="0.15">
      <c r="B315" s="928"/>
      <c r="C315" s="1031">
        <v>0.75</v>
      </c>
      <c r="D315" s="1007">
        <v>126</v>
      </c>
      <c r="E315" s="1025">
        <v>8</v>
      </c>
      <c r="F315" s="1025">
        <v>22.81</v>
      </c>
      <c r="H315" s="928"/>
      <c r="I315" s="1034">
        <f t="shared" si="36"/>
        <v>19.049999999999997</v>
      </c>
      <c r="J315" s="978">
        <f t="shared" si="37"/>
        <v>3200.3999999999996</v>
      </c>
      <c r="K315" s="978">
        <f t="shared" si="38"/>
        <v>203.2</v>
      </c>
      <c r="L315" s="1035">
        <f t="shared" si="39"/>
        <v>579.37399999999991</v>
      </c>
    </row>
    <row r="316" spans="2:12" x14ac:dyDescent="0.15">
      <c r="B316" s="944"/>
      <c r="C316" s="1032">
        <v>0.88</v>
      </c>
      <c r="D316" s="99">
        <v>120</v>
      </c>
      <c r="E316" s="1027">
        <v>8</v>
      </c>
      <c r="F316" s="1027">
        <v>23.69</v>
      </c>
      <c r="H316" s="1009" t="s">
        <v>396</v>
      </c>
      <c r="I316" s="1036">
        <f t="shared" si="36"/>
        <v>22.352</v>
      </c>
      <c r="J316" s="979">
        <f t="shared" si="37"/>
        <v>3048</v>
      </c>
      <c r="K316" s="979">
        <f t="shared" si="38"/>
        <v>203.2</v>
      </c>
      <c r="L316" s="1037">
        <f t="shared" si="39"/>
        <v>601.726</v>
      </c>
    </row>
    <row r="317" spans="2:12" x14ac:dyDescent="0.15">
      <c r="B317" s="944"/>
      <c r="C317" s="1032">
        <v>1.25</v>
      </c>
      <c r="D317" s="99">
        <v>120</v>
      </c>
      <c r="E317" s="1027">
        <v>8</v>
      </c>
      <c r="F317" s="1027">
        <v>23.44</v>
      </c>
      <c r="H317" s="1016">
        <f>132*25.4</f>
        <v>3352.7999999999997</v>
      </c>
      <c r="I317" s="1036">
        <f t="shared" si="36"/>
        <v>31.75</v>
      </c>
      <c r="J317" s="979">
        <f t="shared" si="37"/>
        <v>3048</v>
      </c>
      <c r="K317" s="979">
        <f t="shared" si="38"/>
        <v>203.2</v>
      </c>
      <c r="L317" s="1037">
        <f t="shared" si="39"/>
        <v>595.37599999999998</v>
      </c>
    </row>
    <row r="318" spans="2:12" ht="14" thickBot="1" x14ac:dyDescent="0.2">
      <c r="B318" s="929"/>
      <c r="C318" s="1033">
        <v>1.63</v>
      </c>
      <c r="D318" s="1029">
        <v>120</v>
      </c>
      <c r="E318" s="1030">
        <v>8</v>
      </c>
      <c r="F318" s="1030">
        <v>23.25</v>
      </c>
      <c r="H318" s="929"/>
      <c r="I318" s="1038">
        <f t="shared" si="36"/>
        <v>41.401999999999994</v>
      </c>
      <c r="J318" s="1039">
        <f t="shared" si="37"/>
        <v>3048</v>
      </c>
      <c r="K318" s="1039">
        <f t="shared" si="38"/>
        <v>203.2</v>
      </c>
      <c r="L318" s="1040">
        <f t="shared" si="39"/>
        <v>590.54999999999995</v>
      </c>
    </row>
    <row r="319" spans="2:12" ht="15" thickTop="1" thickBot="1" x14ac:dyDescent="0.2">
      <c r="B319" s="1013" t="s">
        <v>361</v>
      </c>
      <c r="C319" s="1013" t="s">
        <v>380</v>
      </c>
      <c r="D319" s="1013" t="s">
        <v>362</v>
      </c>
      <c r="E319" s="1013" t="s">
        <v>363</v>
      </c>
      <c r="F319" s="1013" t="s">
        <v>364</v>
      </c>
      <c r="G319" s="389" t="s">
        <v>408</v>
      </c>
      <c r="H319" s="1013" t="s">
        <v>361</v>
      </c>
      <c r="I319" s="1013" t="s">
        <v>381</v>
      </c>
      <c r="J319" s="1013" t="s">
        <v>370</v>
      </c>
      <c r="K319" s="1013" t="s">
        <v>371</v>
      </c>
      <c r="L319" s="1013" t="s">
        <v>372</v>
      </c>
    </row>
    <row r="320" spans="2:12" ht="14" thickTop="1" x14ac:dyDescent="0.15">
      <c r="B320" s="928"/>
      <c r="C320" s="1024">
        <v>0.63</v>
      </c>
      <c r="D320" s="1007">
        <v>132</v>
      </c>
      <c r="E320" s="1025">
        <v>8.3800000000000008</v>
      </c>
      <c r="F320" s="1025">
        <v>23.94</v>
      </c>
      <c r="H320" s="928"/>
      <c r="I320" s="1034">
        <f t="shared" ref="I320:I343" si="40">C320*25.4</f>
        <v>16.001999999999999</v>
      </c>
      <c r="J320" s="978">
        <f t="shared" ref="J320:J343" si="41">D320*25.4</f>
        <v>3352.7999999999997</v>
      </c>
      <c r="K320" s="978">
        <f t="shared" ref="K320:K343" si="42">E320*25.4</f>
        <v>212.852</v>
      </c>
      <c r="L320" s="1035">
        <f t="shared" ref="L320:L343" si="43">F320*25.4</f>
        <v>608.07600000000002</v>
      </c>
    </row>
    <row r="321" spans="2:12" x14ac:dyDescent="0.15">
      <c r="B321" s="944"/>
      <c r="C321" s="1026">
        <v>1</v>
      </c>
      <c r="D321" s="99">
        <v>132</v>
      </c>
      <c r="E321" s="1027">
        <v>8.3800000000000008</v>
      </c>
      <c r="F321" s="1027">
        <v>23.75</v>
      </c>
      <c r="H321" s="1009" t="s">
        <v>397</v>
      </c>
      <c r="I321" s="1036">
        <f t="shared" si="40"/>
        <v>25.4</v>
      </c>
      <c r="J321" s="979">
        <f t="shared" si="41"/>
        <v>3352.7999999999997</v>
      </c>
      <c r="K321" s="979">
        <f t="shared" si="42"/>
        <v>212.852</v>
      </c>
      <c r="L321" s="1037">
        <f t="shared" si="43"/>
        <v>603.25</v>
      </c>
    </row>
    <row r="322" spans="2:12" x14ac:dyDescent="0.15">
      <c r="B322" s="944"/>
      <c r="C322" s="1026">
        <v>1.38</v>
      </c>
      <c r="D322" s="99">
        <v>132</v>
      </c>
      <c r="E322" s="1027">
        <v>8.3800000000000008</v>
      </c>
      <c r="F322" s="1027">
        <v>23.56</v>
      </c>
      <c r="H322" s="1016">
        <f>138*25.4</f>
        <v>3505.2</v>
      </c>
      <c r="I322" s="1036">
        <f t="shared" si="40"/>
        <v>35.051999999999992</v>
      </c>
      <c r="J322" s="979">
        <f t="shared" si="41"/>
        <v>3352.7999999999997</v>
      </c>
      <c r="K322" s="979">
        <f t="shared" si="42"/>
        <v>212.852</v>
      </c>
      <c r="L322" s="1037">
        <f t="shared" si="43"/>
        <v>598.42399999999998</v>
      </c>
    </row>
    <row r="323" spans="2:12" ht="14" thickBot="1" x14ac:dyDescent="0.2">
      <c r="B323" s="929"/>
      <c r="C323" s="1028">
        <v>1.75</v>
      </c>
      <c r="D323" s="1029">
        <v>132</v>
      </c>
      <c r="E323" s="1030">
        <v>8.3800000000000008</v>
      </c>
      <c r="F323" s="1030">
        <v>23.38</v>
      </c>
      <c r="H323" s="929"/>
      <c r="I323" s="1038">
        <f t="shared" si="40"/>
        <v>44.449999999999996</v>
      </c>
      <c r="J323" s="1039">
        <f t="shared" si="41"/>
        <v>3352.7999999999997</v>
      </c>
      <c r="K323" s="1039">
        <f t="shared" si="42"/>
        <v>212.852</v>
      </c>
      <c r="L323" s="1040">
        <f t="shared" si="43"/>
        <v>593.85199999999998</v>
      </c>
    </row>
    <row r="324" spans="2:12" ht="14" thickTop="1" x14ac:dyDescent="0.15">
      <c r="B324" s="928"/>
      <c r="C324" s="1031">
        <v>0.63</v>
      </c>
      <c r="D324" s="1007">
        <v>132</v>
      </c>
      <c r="E324" s="1025">
        <v>8.75</v>
      </c>
      <c r="F324" s="1025">
        <v>25.88</v>
      </c>
      <c r="H324" s="928"/>
      <c r="I324" s="1034">
        <f t="shared" si="40"/>
        <v>16.001999999999999</v>
      </c>
      <c r="J324" s="978">
        <f t="shared" si="41"/>
        <v>3352.7999999999997</v>
      </c>
      <c r="K324" s="978">
        <f t="shared" si="42"/>
        <v>222.25</v>
      </c>
      <c r="L324" s="1035">
        <f t="shared" si="43"/>
        <v>657.35199999999998</v>
      </c>
    </row>
    <row r="325" spans="2:12" x14ac:dyDescent="0.15">
      <c r="B325" s="944"/>
      <c r="C325" s="1032">
        <v>1</v>
      </c>
      <c r="D325" s="99">
        <v>132</v>
      </c>
      <c r="E325" s="1027">
        <v>8.75</v>
      </c>
      <c r="F325" s="1027">
        <v>25.63</v>
      </c>
      <c r="H325" s="1009" t="s">
        <v>398</v>
      </c>
      <c r="I325" s="1036">
        <f t="shared" si="40"/>
        <v>25.4</v>
      </c>
      <c r="J325" s="979">
        <f t="shared" si="41"/>
        <v>3352.7999999999997</v>
      </c>
      <c r="K325" s="979">
        <f t="shared" si="42"/>
        <v>222.25</v>
      </c>
      <c r="L325" s="1037">
        <f t="shared" si="43"/>
        <v>651.00199999999995</v>
      </c>
    </row>
    <row r="326" spans="2:12" x14ac:dyDescent="0.15">
      <c r="B326" s="944"/>
      <c r="C326" s="1032">
        <v>1.38</v>
      </c>
      <c r="D326" s="99">
        <v>132</v>
      </c>
      <c r="E326" s="1027">
        <v>8.75</v>
      </c>
      <c r="F326" s="1027">
        <v>25.44</v>
      </c>
      <c r="H326" s="1016">
        <f>144*25.4</f>
        <v>3657.6</v>
      </c>
      <c r="I326" s="1036">
        <f t="shared" si="40"/>
        <v>35.051999999999992</v>
      </c>
      <c r="J326" s="979">
        <f t="shared" si="41"/>
        <v>3352.7999999999997</v>
      </c>
      <c r="K326" s="979">
        <f t="shared" si="42"/>
        <v>222.25</v>
      </c>
      <c r="L326" s="1037">
        <f t="shared" si="43"/>
        <v>646.17600000000004</v>
      </c>
    </row>
    <row r="327" spans="2:12" ht="14" thickBot="1" x14ac:dyDescent="0.2">
      <c r="B327" s="929"/>
      <c r="C327" s="1033">
        <v>1.75</v>
      </c>
      <c r="D327" s="1029">
        <v>132</v>
      </c>
      <c r="E327" s="1030">
        <v>8.75</v>
      </c>
      <c r="F327" s="1030">
        <v>25.19</v>
      </c>
      <c r="H327" s="929"/>
      <c r="I327" s="1038">
        <f t="shared" si="40"/>
        <v>44.449999999999996</v>
      </c>
      <c r="J327" s="1039">
        <f t="shared" si="41"/>
        <v>3352.7999999999997</v>
      </c>
      <c r="K327" s="1039">
        <f t="shared" si="42"/>
        <v>222.25</v>
      </c>
      <c r="L327" s="1040">
        <f t="shared" si="43"/>
        <v>639.82600000000002</v>
      </c>
    </row>
    <row r="328" spans="2:12" ht="14" thickTop="1" x14ac:dyDescent="0.15">
      <c r="B328" s="928"/>
      <c r="C328" s="1031">
        <v>0.75</v>
      </c>
      <c r="D328" s="1007">
        <v>144</v>
      </c>
      <c r="E328" s="1025">
        <v>9.3800000000000008</v>
      </c>
      <c r="F328" s="1025">
        <v>27.75</v>
      </c>
      <c r="H328" s="928"/>
      <c r="I328" s="1034">
        <f t="shared" si="40"/>
        <v>19.049999999999997</v>
      </c>
      <c r="J328" s="978">
        <f t="shared" si="41"/>
        <v>3657.6</v>
      </c>
      <c r="K328" s="978">
        <f t="shared" si="42"/>
        <v>238.25200000000001</v>
      </c>
      <c r="L328" s="1035">
        <f t="shared" si="43"/>
        <v>704.84999999999991</v>
      </c>
    </row>
    <row r="329" spans="2:12" x14ac:dyDescent="0.15">
      <c r="B329" s="944"/>
      <c r="C329" s="1032">
        <v>1.1299999999999999</v>
      </c>
      <c r="D329" s="99">
        <v>144</v>
      </c>
      <c r="E329" s="1027">
        <v>9.3800000000000008</v>
      </c>
      <c r="F329" s="1027">
        <v>27.5</v>
      </c>
      <c r="H329" s="1009" t="s">
        <v>399</v>
      </c>
      <c r="I329" s="1036">
        <f t="shared" si="40"/>
        <v>28.701999999999995</v>
      </c>
      <c r="J329" s="979">
        <f t="shared" si="41"/>
        <v>3657.6</v>
      </c>
      <c r="K329" s="979">
        <f t="shared" si="42"/>
        <v>238.25200000000001</v>
      </c>
      <c r="L329" s="1037">
        <f t="shared" si="43"/>
        <v>698.5</v>
      </c>
    </row>
    <row r="330" spans="2:12" x14ac:dyDescent="0.15">
      <c r="B330" s="944"/>
      <c r="C330" s="1032">
        <v>1.5</v>
      </c>
      <c r="D330" s="99">
        <v>144</v>
      </c>
      <c r="E330" s="1027">
        <v>9.3800000000000008</v>
      </c>
      <c r="F330" s="1027">
        <v>27.31</v>
      </c>
      <c r="H330" s="1016">
        <f>156*25.4</f>
        <v>3962.3999999999996</v>
      </c>
      <c r="I330" s="1036">
        <f t="shared" si="40"/>
        <v>38.099999999999994</v>
      </c>
      <c r="J330" s="979">
        <f t="shared" si="41"/>
        <v>3657.6</v>
      </c>
      <c r="K330" s="979">
        <f t="shared" si="42"/>
        <v>238.25200000000001</v>
      </c>
      <c r="L330" s="1037">
        <f t="shared" si="43"/>
        <v>693.67399999999998</v>
      </c>
    </row>
    <row r="331" spans="2:12" ht="14" thickBot="1" x14ac:dyDescent="0.2">
      <c r="B331" s="929"/>
      <c r="C331" s="1033">
        <v>1.88</v>
      </c>
      <c r="D331" s="1029">
        <v>144</v>
      </c>
      <c r="E331" s="1030">
        <v>9.3800000000000008</v>
      </c>
      <c r="F331" s="1030">
        <v>27.06</v>
      </c>
      <c r="H331" s="929"/>
      <c r="I331" s="1038">
        <f t="shared" si="40"/>
        <v>47.751999999999995</v>
      </c>
      <c r="J331" s="1039">
        <f t="shared" si="41"/>
        <v>3657.6</v>
      </c>
      <c r="K331" s="1039">
        <f t="shared" si="42"/>
        <v>238.25200000000001</v>
      </c>
      <c r="L331" s="1040">
        <f t="shared" si="43"/>
        <v>687.32399999999996</v>
      </c>
    </row>
    <row r="332" spans="2:12" ht="14" thickTop="1" x14ac:dyDescent="0.15">
      <c r="B332" s="928"/>
      <c r="C332" s="1031">
        <v>0.75</v>
      </c>
      <c r="D332" s="1007">
        <v>144</v>
      </c>
      <c r="E332" s="1025">
        <v>10.130000000000001</v>
      </c>
      <c r="F332" s="1025">
        <v>31.81</v>
      </c>
      <c r="H332" s="928"/>
      <c r="I332" s="1034">
        <f t="shared" si="40"/>
        <v>19.049999999999997</v>
      </c>
      <c r="J332" s="978">
        <f t="shared" si="41"/>
        <v>3657.6</v>
      </c>
      <c r="K332" s="978">
        <f t="shared" si="42"/>
        <v>257.30200000000002</v>
      </c>
      <c r="L332" s="1035">
        <f t="shared" si="43"/>
        <v>807.97399999999993</v>
      </c>
    </row>
    <row r="333" spans="2:12" x14ac:dyDescent="0.15">
      <c r="B333" s="944"/>
      <c r="C333" s="1032">
        <v>1.1299999999999999</v>
      </c>
      <c r="D333" s="99">
        <v>144</v>
      </c>
      <c r="E333" s="1027">
        <v>10.130000000000001</v>
      </c>
      <c r="F333" s="1027">
        <v>31.5</v>
      </c>
      <c r="H333" s="1009" t="s">
        <v>400</v>
      </c>
      <c r="I333" s="1036">
        <f t="shared" si="40"/>
        <v>28.701999999999995</v>
      </c>
      <c r="J333" s="979">
        <f t="shared" si="41"/>
        <v>3657.6</v>
      </c>
      <c r="K333" s="979">
        <f t="shared" si="42"/>
        <v>257.30200000000002</v>
      </c>
      <c r="L333" s="1037">
        <f t="shared" si="43"/>
        <v>800.09999999999991</v>
      </c>
    </row>
    <row r="334" spans="2:12" x14ac:dyDescent="0.15">
      <c r="B334" s="944"/>
      <c r="C334" s="1032">
        <v>1.5</v>
      </c>
      <c r="D334" s="99">
        <v>144</v>
      </c>
      <c r="E334" s="1027">
        <v>10.130000000000001</v>
      </c>
      <c r="F334" s="1027">
        <v>31.31</v>
      </c>
      <c r="H334" s="1016">
        <f>168*25.4</f>
        <v>4267.2</v>
      </c>
      <c r="I334" s="1036">
        <f t="shared" si="40"/>
        <v>38.099999999999994</v>
      </c>
      <c r="J334" s="979">
        <f t="shared" si="41"/>
        <v>3657.6</v>
      </c>
      <c r="K334" s="979">
        <f t="shared" si="42"/>
        <v>257.30200000000002</v>
      </c>
      <c r="L334" s="1037">
        <f t="shared" si="43"/>
        <v>795.27399999999989</v>
      </c>
    </row>
    <row r="335" spans="2:12" ht="14" thickBot="1" x14ac:dyDescent="0.2">
      <c r="B335" s="929"/>
      <c r="C335" s="1033">
        <v>1.88</v>
      </c>
      <c r="D335" s="1029">
        <v>144</v>
      </c>
      <c r="E335" s="1030">
        <v>10.130000000000001</v>
      </c>
      <c r="F335" s="1030">
        <v>31.13</v>
      </c>
      <c r="H335" s="929"/>
      <c r="I335" s="1038">
        <f t="shared" si="40"/>
        <v>47.751999999999995</v>
      </c>
      <c r="J335" s="1039">
        <f t="shared" si="41"/>
        <v>3657.6</v>
      </c>
      <c r="K335" s="1039">
        <f t="shared" si="42"/>
        <v>257.30200000000002</v>
      </c>
      <c r="L335" s="1040">
        <f t="shared" si="43"/>
        <v>790.70199999999988</v>
      </c>
    </row>
    <row r="336" spans="2:12" ht="14" thickTop="1" x14ac:dyDescent="0.15">
      <c r="B336" s="928"/>
      <c r="C336" s="1031">
        <v>0.88</v>
      </c>
      <c r="D336" s="1007">
        <v>170</v>
      </c>
      <c r="E336" s="1025">
        <v>10.88</v>
      </c>
      <c r="F336" s="1025">
        <v>31.44</v>
      </c>
      <c r="H336" s="928"/>
      <c r="I336" s="1034">
        <f t="shared" si="40"/>
        <v>22.352</v>
      </c>
      <c r="J336" s="978">
        <f t="shared" si="41"/>
        <v>4318</v>
      </c>
      <c r="K336" s="978">
        <f t="shared" si="42"/>
        <v>276.35200000000003</v>
      </c>
      <c r="L336" s="1035">
        <f t="shared" si="43"/>
        <v>798.57600000000002</v>
      </c>
    </row>
    <row r="337" spans="2:12" x14ac:dyDescent="0.15">
      <c r="B337" s="944"/>
      <c r="C337" s="1032">
        <v>1.25</v>
      </c>
      <c r="D337" s="99">
        <v>170</v>
      </c>
      <c r="E337" s="1027">
        <v>10.88</v>
      </c>
      <c r="F337" s="1027">
        <v>31.25</v>
      </c>
      <c r="H337" s="1009">
        <v>180</v>
      </c>
      <c r="I337" s="1036">
        <f t="shared" si="40"/>
        <v>31.75</v>
      </c>
      <c r="J337" s="979">
        <f t="shared" si="41"/>
        <v>4318</v>
      </c>
      <c r="K337" s="979">
        <f t="shared" si="42"/>
        <v>276.35200000000003</v>
      </c>
      <c r="L337" s="1037">
        <f t="shared" si="43"/>
        <v>793.75</v>
      </c>
    </row>
    <row r="338" spans="2:12" x14ac:dyDescent="0.15">
      <c r="B338" s="944"/>
      <c r="C338" s="1032">
        <v>1.63</v>
      </c>
      <c r="D338" s="99">
        <v>170</v>
      </c>
      <c r="E338" s="1027">
        <v>10.88</v>
      </c>
      <c r="F338" s="1027">
        <v>31</v>
      </c>
      <c r="H338" s="1016">
        <f>180*25.4</f>
        <v>4572</v>
      </c>
      <c r="I338" s="1036">
        <f t="shared" si="40"/>
        <v>41.401999999999994</v>
      </c>
      <c r="J338" s="979">
        <f t="shared" si="41"/>
        <v>4318</v>
      </c>
      <c r="K338" s="979">
        <f t="shared" si="42"/>
        <v>276.35200000000003</v>
      </c>
      <c r="L338" s="1037">
        <f t="shared" si="43"/>
        <v>787.4</v>
      </c>
    </row>
    <row r="339" spans="2:12" ht="14" thickBot="1" x14ac:dyDescent="0.2">
      <c r="B339" s="929"/>
      <c r="C339" s="1033">
        <v>2</v>
      </c>
      <c r="D339" s="1029">
        <v>170</v>
      </c>
      <c r="E339" s="1030">
        <v>10.88</v>
      </c>
      <c r="F339" s="1030">
        <v>30.81</v>
      </c>
      <c r="H339" s="929"/>
      <c r="I339" s="1038">
        <f t="shared" si="40"/>
        <v>50.8</v>
      </c>
      <c r="J339" s="1039">
        <f t="shared" si="41"/>
        <v>4318</v>
      </c>
      <c r="K339" s="1039">
        <f t="shared" si="42"/>
        <v>276.35200000000003</v>
      </c>
      <c r="L339" s="1040">
        <f t="shared" si="43"/>
        <v>782.57399999999996</v>
      </c>
    </row>
    <row r="340" spans="2:12" ht="14" thickTop="1" x14ac:dyDescent="0.15">
      <c r="B340" s="928"/>
      <c r="C340" s="1031">
        <v>0.88</v>
      </c>
      <c r="D340" s="1007">
        <v>170</v>
      </c>
      <c r="E340" s="1025">
        <v>11.63</v>
      </c>
      <c r="F340" s="1025">
        <v>35.44</v>
      </c>
      <c r="H340" s="928"/>
      <c r="I340" s="1034">
        <f t="shared" si="40"/>
        <v>22.352</v>
      </c>
      <c r="J340" s="978">
        <f t="shared" si="41"/>
        <v>4318</v>
      </c>
      <c r="K340" s="978">
        <f t="shared" si="42"/>
        <v>295.40199999999999</v>
      </c>
      <c r="L340" s="1035">
        <f t="shared" si="43"/>
        <v>900.17599999999993</v>
      </c>
    </row>
    <row r="341" spans="2:12" x14ac:dyDescent="0.15">
      <c r="B341" s="944"/>
      <c r="C341" s="1032">
        <v>1.25</v>
      </c>
      <c r="D341" s="99">
        <v>170</v>
      </c>
      <c r="E341" s="1027">
        <v>11.63</v>
      </c>
      <c r="F341" s="1027">
        <v>35.19</v>
      </c>
      <c r="H341" s="1009" t="s">
        <v>401</v>
      </c>
      <c r="I341" s="1036">
        <f t="shared" si="40"/>
        <v>31.75</v>
      </c>
      <c r="J341" s="979">
        <f t="shared" si="41"/>
        <v>4318</v>
      </c>
      <c r="K341" s="979">
        <f t="shared" si="42"/>
        <v>295.40199999999999</v>
      </c>
      <c r="L341" s="1037">
        <f t="shared" si="43"/>
        <v>893.82599999999991</v>
      </c>
    </row>
    <row r="342" spans="2:12" x14ac:dyDescent="0.15">
      <c r="B342" s="944"/>
      <c r="C342" s="1032">
        <v>1.63</v>
      </c>
      <c r="D342" s="99">
        <v>170</v>
      </c>
      <c r="E342" s="1027">
        <v>11.63</v>
      </c>
      <c r="F342" s="1027">
        <v>34.94</v>
      </c>
      <c r="H342" s="1016">
        <f>192*25.4</f>
        <v>4876.7999999999993</v>
      </c>
      <c r="I342" s="1036">
        <f t="shared" si="40"/>
        <v>41.401999999999994</v>
      </c>
      <c r="J342" s="979">
        <f t="shared" si="41"/>
        <v>4318</v>
      </c>
      <c r="K342" s="979">
        <f t="shared" si="42"/>
        <v>295.40199999999999</v>
      </c>
      <c r="L342" s="1037">
        <f t="shared" si="43"/>
        <v>887.47599999999989</v>
      </c>
    </row>
    <row r="343" spans="2:12" ht="14" thickBot="1" x14ac:dyDescent="0.2">
      <c r="B343" s="929"/>
      <c r="C343" s="1033">
        <v>2</v>
      </c>
      <c r="D343" s="1029">
        <v>170</v>
      </c>
      <c r="E343" s="1030">
        <v>11.63</v>
      </c>
      <c r="F343" s="1030">
        <v>34.75</v>
      </c>
      <c r="H343" s="929"/>
      <c r="I343" s="1038">
        <f t="shared" si="40"/>
        <v>50.8</v>
      </c>
      <c r="J343" s="1039">
        <f t="shared" si="41"/>
        <v>4318</v>
      </c>
      <c r="K343" s="1039">
        <f t="shared" si="42"/>
        <v>295.40199999999999</v>
      </c>
      <c r="L343" s="1040">
        <f t="shared" si="43"/>
        <v>882.65</v>
      </c>
    </row>
    <row r="344" spans="2:12" ht="15" thickTop="1" thickBot="1" x14ac:dyDescent="0.2">
      <c r="B344" s="1013" t="s">
        <v>361</v>
      </c>
      <c r="C344" s="1013" t="s">
        <v>380</v>
      </c>
      <c r="D344" s="1013" t="s">
        <v>362</v>
      </c>
      <c r="E344" s="1013" t="s">
        <v>363</v>
      </c>
      <c r="F344" s="1013" t="s">
        <v>364</v>
      </c>
      <c r="G344" s="389" t="s">
        <v>408</v>
      </c>
      <c r="H344" s="1013" t="s">
        <v>361</v>
      </c>
      <c r="I344" s="1013" t="s">
        <v>381</v>
      </c>
      <c r="J344" s="1013" t="s">
        <v>370</v>
      </c>
      <c r="K344" s="1013" t="s">
        <v>371</v>
      </c>
      <c r="L344" s="1013" t="s">
        <v>372</v>
      </c>
    </row>
    <row r="345" spans="2:12" ht="14" thickTop="1" x14ac:dyDescent="0.15">
      <c r="B345" s="928"/>
      <c r="C345" s="1024">
        <v>0.88</v>
      </c>
      <c r="D345" s="1007">
        <v>170</v>
      </c>
      <c r="E345" s="1025">
        <v>12.25</v>
      </c>
      <c r="F345" s="1025">
        <v>39.56</v>
      </c>
      <c r="H345" s="928"/>
      <c r="I345" s="1034">
        <f t="shared" ref="I345:I360" si="44">C345*25.4</f>
        <v>22.352</v>
      </c>
      <c r="J345" s="978">
        <f t="shared" ref="J345:J360" si="45">D345*25.4</f>
        <v>4318</v>
      </c>
      <c r="K345" s="978">
        <f t="shared" ref="K345:K360" si="46">E345*25.4</f>
        <v>311.14999999999998</v>
      </c>
      <c r="L345" s="1035">
        <f t="shared" ref="L345:L360" si="47">F345*25.4</f>
        <v>1004.824</v>
      </c>
    </row>
    <row r="346" spans="2:12" x14ac:dyDescent="0.15">
      <c r="B346" s="944"/>
      <c r="C346" s="1026">
        <v>1.25</v>
      </c>
      <c r="D346" s="99">
        <v>170</v>
      </c>
      <c r="E346" s="1027">
        <v>12.25</v>
      </c>
      <c r="F346" s="1027">
        <v>39.380000000000003</v>
      </c>
      <c r="H346" s="1009" t="s">
        <v>402</v>
      </c>
      <c r="I346" s="1036">
        <f t="shared" si="44"/>
        <v>31.75</v>
      </c>
      <c r="J346" s="979">
        <f t="shared" si="45"/>
        <v>4318</v>
      </c>
      <c r="K346" s="979">
        <f t="shared" si="46"/>
        <v>311.14999999999998</v>
      </c>
      <c r="L346" s="1037">
        <f t="shared" si="47"/>
        <v>1000.252</v>
      </c>
    </row>
    <row r="347" spans="2:12" x14ac:dyDescent="0.15">
      <c r="B347" s="944"/>
      <c r="C347" s="1026">
        <v>1.63</v>
      </c>
      <c r="D347" s="99">
        <v>170</v>
      </c>
      <c r="E347" s="1027">
        <v>12.25</v>
      </c>
      <c r="F347" s="1027">
        <v>39.19</v>
      </c>
      <c r="H347" s="1016">
        <f>204*25.4</f>
        <v>5181.5999999999995</v>
      </c>
      <c r="I347" s="1036">
        <f t="shared" si="44"/>
        <v>41.401999999999994</v>
      </c>
      <c r="J347" s="979">
        <f t="shared" si="45"/>
        <v>4318</v>
      </c>
      <c r="K347" s="979">
        <f t="shared" si="46"/>
        <v>311.14999999999998</v>
      </c>
      <c r="L347" s="1037">
        <f t="shared" si="47"/>
        <v>995.42599999999993</v>
      </c>
    </row>
    <row r="348" spans="2:12" ht="14" thickBot="1" x14ac:dyDescent="0.2">
      <c r="B348" s="929"/>
      <c r="C348" s="1028">
        <v>2</v>
      </c>
      <c r="D348" s="1029">
        <v>170</v>
      </c>
      <c r="E348" s="1030">
        <v>12.25</v>
      </c>
      <c r="F348" s="1030">
        <v>38.94</v>
      </c>
      <c r="H348" s="929"/>
      <c r="I348" s="1038">
        <f t="shared" si="44"/>
        <v>50.8</v>
      </c>
      <c r="J348" s="1039">
        <f t="shared" si="45"/>
        <v>4318</v>
      </c>
      <c r="K348" s="1039">
        <f t="shared" si="46"/>
        <v>311.14999999999998</v>
      </c>
      <c r="L348" s="1040">
        <f t="shared" si="47"/>
        <v>989.07599999999991</v>
      </c>
    </row>
    <row r="349" spans="2:12" ht="14" thickTop="1" x14ac:dyDescent="0.15">
      <c r="B349" s="928"/>
      <c r="C349" s="1024">
        <v>1</v>
      </c>
      <c r="D349" s="1007">
        <v>170</v>
      </c>
      <c r="E349" s="1025">
        <v>12.63</v>
      </c>
      <c r="F349" s="1025">
        <v>41.81</v>
      </c>
      <c r="H349" s="928"/>
      <c r="I349" s="1034">
        <f t="shared" si="44"/>
        <v>25.4</v>
      </c>
      <c r="J349" s="978">
        <f t="shared" si="45"/>
        <v>4318</v>
      </c>
      <c r="K349" s="978">
        <f t="shared" si="46"/>
        <v>320.80200000000002</v>
      </c>
      <c r="L349" s="1035">
        <f t="shared" si="47"/>
        <v>1061.9739999999999</v>
      </c>
    </row>
    <row r="350" spans="2:12" x14ac:dyDescent="0.15">
      <c r="B350" s="944"/>
      <c r="C350" s="1026">
        <v>1.38</v>
      </c>
      <c r="D350" s="99">
        <v>170</v>
      </c>
      <c r="E350" s="1027">
        <v>12.63</v>
      </c>
      <c r="F350" s="1027">
        <v>41.63</v>
      </c>
      <c r="H350" s="1009" t="s">
        <v>409</v>
      </c>
      <c r="I350" s="1036">
        <f t="shared" si="44"/>
        <v>35.051999999999992</v>
      </c>
      <c r="J350" s="979">
        <f t="shared" si="45"/>
        <v>4318</v>
      </c>
      <c r="K350" s="979">
        <f t="shared" si="46"/>
        <v>320.80200000000002</v>
      </c>
      <c r="L350" s="1037">
        <f t="shared" si="47"/>
        <v>1057.402</v>
      </c>
    </row>
    <row r="351" spans="2:12" x14ac:dyDescent="0.15">
      <c r="B351" s="944"/>
      <c r="C351" s="1026">
        <v>1.75</v>
      </c>
      <c r="D351" s="99">
        <v>170</v>
      </c>
      <c r="E351" s="1027">
        <v>12.63</v>
      </c>
      <c r="F351" s="1027">
        <v>41.31</v>
      </c>
      <c r="H351" s="1016">
        <f>210*25.4</f>
        <v>5334</v>
      </c>
      <c r="I351" s="1036">
        <f t="shared" si="44"/>
        <v>44.449999999999996</v>
      </c>
      <c r="J351" s="979">
        <f t="shared" si="45"/>
        <v>4318</v>
      </c>
      <c r="K351" s="979">
        <f t="shared" si="46"/>
        <v>320.80200000000002</v>
      </c>
      <c r="L351" s="1037">
        <f t="shared" si="47"/>
        <v>1049.2739999999999</v>
      </c>
    </row>
    <row r="352" spans="2:12" ht="14" thickBot="1" x14ac:dyDescent="0.2">
      <c r="B352" s="929"/>
      <c r="C352" s="1028">
        <v>2.25</v>
      </c>
      <c r="D352" s="1029">
        <v>170</v>
      </c>
      <c r="E352" s="1030">
        <v>12.63</v>
      </c>
      <c r="F352" s="1030">
        <v>41</v>
      </c>
      <c r="H352" s="929"/>
      <c r="I352" s="1038">
        <f t="shared" si="44"/>
        <v>57.15</v>
      </c>
      <c r="J352" s="1039">
        <f t="shared" si="45"/>
        <v>4318</v>
      </c>
      <c r="K352" s="1039">
        <f t="shared" si="46"/>
        <v>320.80200000000002</v>
      </c>
      <c r="L352" s="1040">
        <f t="shared" si="47"/>
        <v>1041.3999999999999</v>
      </c>
    </row>
    <row r="353" spans="2:12" ht="14" thickTop="1" x14ac:dyDescent="0.15">
      <c r="B353" s="928"/>
      <c r="C353" s="1024">
        <v>1</v>
      </c>
      <c r="D353" s="1007">
        <v>170</v>
      </c>
      <c r="E353" s="1025">
        <v>13</v>
      </c>
      <c r="F353" s="1025">
        <v>44.25</v>
      </c>
      <c r="H353" s="928"/>
      <c r="I353" s="1034">
        <f t="shared" si="44"/>
        <v>25.4</v>
      </c>
      <c r="J353" s="978">
        <f t="shared" si="45"/>
        <v>4318</v>
      </c>
      <c r="K353" s="978">
        <f t="shared" si="46"/>
        <v>330.2</v>
      </c>
      <c r="L353" s="1035">
        <f t="shared" si="47"/>
        <v>1123.95</v>
      </c>
    </row>
    <row r="354" spans="2:12" x14ac:dyDescent="0.15">
      <c r="B354" s="944"/>
      <c r="C354" s="1026">
        <v>1.38</v>
      </c>
      <c r="D354" s="99">
        <v>170</v>
      </c>
      <c r="E354" s="1027">
        <v>13</v>
      </c>
      <c r="F354" s="1027">
        <v>44</v>
      </c>
      <c r="H354" s="1009" t="s">
        <v>403</v>
      </c>
      <c r="I354" s="1036">
        <f t="shared" si="44"/>
        <v>35.051999999999992</v>
      </c>
      <c r="J354" s="979">
        <f t="shared" si="45"/>
        <v>4318</v>
      </c>
      <c r="K354" s="979">
        <f t="shared" si="46"/>
        <v>330.2</v>
      </c>
      <c r="L354" s="1037">
        <f t="shared" si="47"/>
        <v>1117.5999999999999</v>
      </c>
    </row>
    <row r="355" spans="2:12" x14ac:dyDescent="0.15">
      <c r="B355" s="944"/>
      <c r="C355" s="1026">
        <v>1.75</v>
      </c>
      <c r="D355" s="99">
        <v>170</v>
      </c>
      <c r="E355" s="1027">
        <v>13</v>
      </c>
      <c r="F355" s="1027">
        <v>43.69</v>
      </c>
      <c r="H355" s="1016">
        <f>216*25.4</f>
        <v>5486.4</v>
      </c>
      <c r="I355" s="1036">
        <f t="shared" si="44"/>
        <v>44.449999999999996</v>
      </c>
      <c r="J355" s="979">
        <f t="shared" si="45"/>
        <v>4318</v>
      </c>
      <c r="K355" s="979">
        <f t="shared" si="46"/>
        <v>330.2</v>
      </c>
      <c r="L355" s="1037">
        <f t="shared" si="47"/>
        <v>1109.7259999999999</v>
      </c>
    </row>
    <row r="356" spans="2:12" ht="14" thickBot="1" x14ac:dyDescent="0.2">
      <c r="B356" s="929"/>
      <c r="C356" s="1028">
        <v>2</v>
      </c>
      <c r="D356" s="1029">
        <v>170</v>
      </c>
      <c r="E356" s="1030">
        <v>13</v>
      </c>
      <c r="F356" s="1030">
        <v>43.5</v>
      </c>
      <c r="H356" s="929"/>
      <c r="I356" s="1038">
        <f t="shared" si="44"/>
        <v>50.8</v>
      </c>
      <c r="J356" s="1039">
        <f t="shared" si="45"/>
        <v>4318</v>
      </c>
      <c r="K356" s="1039">
        <f t="shared" si="46"/>
        <v>330.2</v>
      </c>
      <c r="L356" s="1040">
        <f t="shared" si="47"/>
        <v>1104.8999999999999</v>
      </c>
    </row>
    <row r="357" spans="2:12" ht="14" thickTop="1" x14ac:dyDescent="0.15">
      <c r="B357" s="928"/>
      <c r="C357" s="1024">
        <v>1</v>
      </c>
      <c r="D357" s="1007">
        <v>180</v>
      </c>
      <c r="E357" s="1025">
        <v>13.75</v>
      </c>
      <c r="F357" s="1025">
        <v>46.56</v>
      </c>
      <c r="H357" s="928"/>
      <c r="I357" s="1034">
        <f t="shared" si="44"/>
        <v>25.4</v>
      </c>
      <c r="J357" s="978">
        <f t="shared" si="45"/>
        <v>4572</v>
      </c>
      <c r="K357" s="978">
        <f t="shared" si="46"/>
        <v>349.25</v>
      </c>
      <c r="L357" s="1035">
        <f t="shared" si="47"/>
        <v>1182.624</v>
      </c>
    </row>
    <row r="358" spans="2:12" x14ac:dyDescent="0.15">
      <c r="B358" s="944"/>
      <c r="C358" s="1026">
        <v>1.38</v>
      </c>
      <c r="D358" s="99">
        <v>180</v>
      </c>
      <c r="E358" s="1027">
        <v>13.75</v>
      </c>
      <c r="F358" s="1027">
        <v>46.31</v>
      </c>
      <c r="H358" s="1009" t="s">
        <v>404</v>
      </c>
      <c r="I358" s="1036">
        <f t="shared" si="44"/>
        <v>35.051999999999992</v>
      </c>
      <c r="J358" s="979">
        <f t="shared" si="45"/>
        <v>4572</v>
      </c>
      <c r="K358" s="979">
        <f t="shared" si="46"/>
        <v>349.25</v>
      </c>
      <c r="L358" s="1037">
        <f t="shared" si="47"/>
        <v>1176.2739999999999</v>
      </c>
    </row>
    <row r="359" spans="2:12" x14ac:dyDescent="0.15">
      <c r="B359" s="944"/>
      <c r="C359" s="1026">
        <v>1.75</v>
      </c>
      <c r="D359" s="99">
        <v>180</v>
      </c>
      <c r="E359" s="1027">
        <v>13.75</v>
      </c>
      <c r="F359" s="1027">
        <v>46.06</v>
      </c>
      <c r="H359" s="1016">
        <f>228*25.4</f>
        <v>5791.2</v>
      </c>
      <c r="I359" s="1036">
        <f t="shared" si="44"/>
        <v>44.449999999999996</v>
      </c>
      <c r="J359" s="979">
        <f t="shared" si="45"/>
        <v>4572</v>
      </c>
      <c r="K359" s="979">
        <f t="shared" si="46"/>
        <v>349.25</v>
      </c>
      <c r="L359" s="1037">
        <f t="shared" si="47"/>
        <v>1169.924</v>
      </c>
    </row>
    <row r="360" spans="2:12" ht="14" thickBot="1" x14ac:dyDescent="0.2">
      <c r="B360" s="929"/>
      <c r="C360" s="1028">
        <v>2</v>
      </c>
      <c r="D360" s="1029">
        <v>180</v>
      </c>
      <c r="E360" s="1030">
        <v>13.75</v>
      </c>
      <c r="F360" s="1030">
        <v>45.69</v>
      </c>
      <c r="H360" s="929"/>
      <c r="I360" s="1038">
        <f t="shared" si="44"/>
        <v>50.8</v>
      </c>
      <c r="J360" s="1039">
        <f t="shared" si="45"/>
        <v>4572</v>
      </c>
      <c r="K360" s="1039">
        <f t="shared" si="46"/>
        <v>349.25</v>
      </c>
      <c r="L360" s="1040">
        <f t="shared" si="47"/>
        <v>1160.5259999999998</v>
      </c>
    </row>
    <row r="361" spans="2:12" ht="14" thickTop="1" x14ac:dyDescent="0.15"/>
  </sheetData>
  <phoneticPr fontId="80" type="noConversion"/>
  <pageMargins left="0.75" right="0.75" top="1" bottom="1" header="0.5" footer="0.5"/>
  <pageSetup orientation="portrait"/>
  <headerFooter alignWithMargins="0"/>
  <drawing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A84A6-CDBA-C945-AAC1-C0578544AC7E}">
  <dimension ref="B1:J34"/>
  <sheetViews>
    <sheetView showGridLines="0" workbookViewId="0">
      <pane ySplit="11" topLeftCell="A12" activePane="bottomLeft" state="frozen"/>
      <selection pane="bottomLeft"/>
    </sheetView>
  </sheetViews>
  <sheetFormatPr baseColWidth="10" defaultColWidth="8.83203125" defaultRowHeight="13" x14ac:dyDescent="0.15"/>
  <cols>
    <col min="1" max="1" width="5.6640625" customWidth="1"/>
    <col min="2" max="4" width="8.83203125" customWidth="1"/>
    <col min="5" max="5" width="12.5" customWidth="1"/>
    <col min="6" max="6" width="12" customWidth="1"/>
    <col min="7" max="7" width="22.5" customWidth="1"/>
    <col min="8" max="8" width="27" customWidth="1"/>
  </cols>
  <sheetData>
    <row r="1" spans="2:10" x14ac:dyDescent="0.15">
      <c r="F1" s="1006" t="s">
        <v>349</v>
      </c>
    </row>
    <row r="2" spans="2:10" ht="14" thickBot="1" x14ac:dyDescent="0.2">
      <c r="F2" s="1006" t="s">
        <v>350</v>
      </c>
    </row>
    <row r="3" spans="2:10" ht="14" thickTop="1" x14ac:dyDescent="0.15">
      <c r="B3" s="1002"/>
      <c r="C3" s="1002"/>
      <c r="D3" s="1002"/>
      <c r="E3" s="857"/>
      <c r="F3" s="859"/>
      <c r="G3" s="1002"/>
      <c r="H3" s="1002"/>
    </row>
    <row r="4" spans="2:10" x14ac:dyDescent="0.15">
      <c r="B4" s="1003"/>
      <c r="C4" s="1003"/>
      <c r="D4" s="1003"/>
      <c r="F4" s="861"/>
      <c r="G4" s="1003"/>
      <c r="H4" s="1003"/>
    </row>
    <row r="5" spans="2:10" x14ac:dyDescent="0.15">
      <c r="B5" s="1003"/>
      <c r="C5" s="1003"/>
      <c r="D5" s="1003"/>
      <c r="F5" s="861"/>
      <c r="G5" s="1003"/>
      <c r="H5" s="1003"/>
    </row>
    <row r="6" spans="2:10" ht="14" thickBot="1" x14ac:dyDescent="0.2">
      <c r="B6" s="1003"/>
      <c r="C6" s="1003"/>
      <c r="D6" s="1003"/>
      <c r="E6" s="865"/>
      <c r="F6" s="867"/>
      <c r="G6" s="1003"/>
      <c r="H6" s="1003"/>
    </row>
    <row r="7" spans="2:10" ht="14" thickTop="1" x14ac:dyDescent="0.15">
      <c r="B7" s="1004"/>
      <c r="C7" s="1004"/>
      <c r="D7" s="1004"/>
      <c r="E7" s="1005"/>
      <c r="F7" s="1005"/>
      <c r="G7" s="1003"/>
      <c r="H7" s="1003"/>
    </row>
    <row r="8" spans="2:10" x14ac:dyDescent="0.15">
      <c r="B8" s="1004"/>
      <c r="C8" s="1004"/>
      <c r="D8" s="1004"/>
      <c r="E8" s="1004"/>
      <c r="F8" s="1004"/>
      <c r="G8" s="1003"/>
      <c r="H8" s="1003"/>
    </row>
    <row r="9" spans="2:10" x14ac:dyDescent="0.15">
      <c r="B9" s="1009" t="s">
        <v>1818</v>
      </c>
      <c r="C9" s="1004"/>
      <c r="D9" s="944" t="s">
        <v>1433</v>
      </c>
      <c r="E9" s="944" t="s">
        <v>339</v>
      </c>
      <c r="F9" s="1004"/>
      <c r="G9" s="1003"/>
      <c r="H9" s="1003"/>
      <c r="J9" s="1041"/>
    </row>
    <row r="10" spans="2:10" ht="14" thickBot="1" x14ac:dyDescent="0.2">
      <c r="B10" s="1009" t="s">
        <v>1507</v>
      </c>
      <c r="C10" s="944" t="s">
        <v>1507</v>
      </c>
      <c r="D10" s="944" t="s">
        <v>1490</v>
      </c>
      <c r="E10" s="929" t="s">
        <v>1706</v>
      </c>
      <c r="F10" s="944" t="s">
        <v>340</v>
      </c>
      <c r="G10" s="1003"/>
      <c r="H10" s="1003"/>
    </row>
    <row r="11" spans="2:10" ht="15" thickTop="1" thickBot="1" x14ac:dyDescent="0.2">
      <c r="B11" s="930" t="s">
        <v>845</v>
      </c>
      <c r="C11" s="929" t="s">
        <v>1822</v>
      </c>
      <c r="D11" s="929" t="s">
        <v>1753</v>
      </c>
      <c r="E11" s="929" t="s">
        <v>410</v>
      </c>
      <c r="F11" s="929" t="s">
        <v>412</v>
      </c>
      <c r="G11" s="929" t="s">
        <v>410</v>
      </c>
      <c r="H11" s="929" t="s">
        <v>410</v>
      </c>
    </row>
    <row r="12" spans="2:10" ht="14" thickTop="1" x14ac:dyDescent="0.15">
      <c r="B12" s="1007" t="s">
        <v>180</v>
      </c>
      <c r="C12" s="907">
        <v>80</v>
      </c>
      <c r="D12" s="1008">
        <v>0.154</v>
      </c>
      <c r="E12" s="907" t="s">
        <v>411</v>
      </c>
      <c r="F12" s="907" t="s">
        <v>413</v>
      </c>
      <c r="G12" s="907" t="s">
        <v>421</v>
      </c>
      <c r="H12" s="907" t="s">
        <v>422</v>
      </c>
    </row>
    <row r="13" spans="2:10" x14ac:dyDescent="0.15">
      <c r="B13" s="528" t="s">
        <v>182</v>
      </c>
      <c r="C13" s="1010">
        <v>80</v>
      </c>
      <c r="D13" s="1011">
        <v>0.17899999999999999</v>
      </c>
      <c r="E13" s="1010" t="s">
        <v>418</v>
      </c>
      <c r="F13" s="1010" t="s">
        <v>415</v>
      </c>
      <c r="G13" s="1010" t="s">
        <v>423</v>
      </c>
      <c r="H13" s="1010" t="s">
        <v>411</v>
      </c>
    </row>
    <row r="14" spans="2:10" x14ac:dyDescent="0.15">
      <c r="B14" s="99" t="s">
        <v>186</v>
      </c>
      <c r="C14" s="75">
        <v>80</v>
      </c>
      <c r="D14" s="78">
        <v>0.2</v>
      </c>
      <c r="E14" s="75" t="s">
        <v>419</v>
      </c>
      <c r="F14" s="75" t="s">
        <v>416</v>
      </c>
      <c r="G14" s="75" t="s">
        <v>424</v>
      </c>
      <c r="H14" s="75" t="s">
        <v>418</v>
      </c>
    </row>
    <row r="15" spans="2:10" x14ac:dyDescent="0.15">
      <c r="B15" s="528" t="s">
        <v>252</v>
      </c>
      <c r="C15" s="1010">
        <v>40</v>
      </c>
      <c r="D15" s="1011">
        <v>0.154</v>
      </c>
      <c r="E15" s="1010" t="s">
        <v>420</v>
      </c>
      <c r="F15" s="1010" t="s">
        <v>417</v>
      </c>
      <c r="G15" s="1010" t="s">
        <v>425</v>
      </c>
      <c r="H15" s="1010" t="s">
        <v>426</v>
      </c>
    </row>
    <row r="16" spans="2:10" x14ac:dyDescent="0.15">
      <c r="B16" s="99" t="s">
        <v>252</v>
      </c>
      <c r="C16" s="75">
        <v>80</v>
      </c>
      <c r="D16" s="78">
        <v>0.218</v>
      </c>
      <c r="E16" s="75" t="s">
        <v>427</v>
      </c>
      <c r="F16" s="75" t="s">
        <v>417</v>
      </c>
      <c r="G16" s="75" t="s">
        <v>418</v>
      </c>
      <c r="H16" s="75" t="s">
        <v>428</v>
      </c>
    </row>
    <row r="17" spans="2:8" x14ac:dyDescent="0.15">
      <c r="B17" s="528" t="s">
        <v>304</v>
      </c>
      <c r="C17" s="1010">
        <v>40</v>
      </c>
      <c r="D17" s="1011">
        <v>0.216</v>
      </c>
      <c r="E17" s="1010" t="s">
        <v>429</v>
      </c>
      <c r="F17" s="1010" t="s">
        <v>417</v>
      </c>
      <c r="G17" s="1010" t="s">
        <v>430</v>
      </c>
      <c r="H17" s="1010" t="s">
        <v>431</v>
      </c>
    </row>
    <row r="18" spans="2:8" x14ac:dyDescent="0.15">
      <c r="B18" s="99" t="s">
        <v>316</v>
      </c>
      <c r="C18" s="75">
        <v>40</v>
      </c>
      <c r="D18" s="78">
        <v>0.23699999999999999</v>
      </c>
      <c r="E18" s="75" t="s">
        <v>432</v>
      </c>
      <c r="F18" s="75" t="s">
        <v>417</v>
      </c>
      <c r="G18" s="75" t="s">
        <v>431</v>
      </c>
      <c r="H18" s="75" t="s">
        <v>427</v>
      </c>
    </row>
    <row r="19" spans="2:8" x14ac:dyDescent="0.15">
      <c r="B19" s="528" t="s">
        <v>317</v>
      </c>
      <c r="C19" s="1010">
        <v>40</v>
      </c>
      <c r="D19" s="1011">
        <v>0.28000000000000003</v>
      </c>
      <c r="E19" s="1010" t="s">
        <v>433</v>
      </c>
      <c r="F19" s="1010" t="s">
        <v>417</v>
      </c>
      <c r="G19" s="1010" t="s">
        <v>434</v>
      </c>
      <c r="H19" s="1010" t="s">
        <v>429</v>
      </c>
    </row>
    <row r="20" spans="2:8" x14ac:dyDescent="0.15">
      <c r="B20" s="99" t="s">
        <v>341</v>
      </c>
      <c r="C20" s="75">
        <v>30</v>
      </c>
      <c r="D20" s="78">
        <v>0.27700000000000002</v>
      </c>
      <c r="E20" s="75" t="s">
        <v>435</v>
      </c>
      <c r="F20" s="75" t="s">
        <v>417</v>
      </c>
      <c r="G20" s="75" t="s">
        <v>436</v>
      </c>
      <c r="H20" s="75" t="s">
        <v>432</v>
      </c>
    </row>
    <row r="21" spans="2:8" x14ac:dyDescent="0.15">
      <c r="B21" s="528" t="s">
        <v>342</v>
      </c>
      <c r="C21" s="1010">
        <v>20</v>
      </c>
      <c r="D21" s="1011">
        <v>0.25</v>
      </c>
      <c r="E21" s="1010" t="s">
        <v>437</v>
      </c>
      <c r="F21" s="1010" t="s">
        <v>417</v>
      </c>
      <c r="G21" s="1010" t="s">
        <v>429</v>
      </c>
      <c r="H21" s="1010" t="s">
        <v>438</v>
      </c>
    </row>
    <row r="22" spans="2:8" x14ac:dyDescent="0.15">
      <c r="B22" s="99" t="s">
        <v>342</v>
      </c>
      <c r="C22" s="75">
        <v>40</v>
      </c>
      <c r="D22" s="78">
        <v>0.36499999999999999</v>
      </c>
      <c r="E22" s="75" t="s">
        <v>439</v>
      </c>
      <c r="F22" s="75" t="s">
        <v>417</v>
      </c>
      <c r="G22" s="75" t="s">
        <v>432</v>
      </c>
      <c r="H22" s="75" t="s">
        <v>440</v>
      </c>
    </row>
    <row r="23" spans="2:8" x14ac:dyDescent="0.15">
      <c r="B23" s="528" t="s">
        <v>343</v>
      </c>
      <c r="C23" s="1010">
        <v>20</v>
      </c>
      <c r="D23" s="1011">
        <v>0.25</v>
      </c>
      <c r="E23" s="1010" t="s">
        <v>441</v>
      </c>
      <c r="F23" s="1010" t="s">
        <v>417</v>
      </c>
      <c r="G23" s="1010" t="s">
        <v>442</v>
      </c>
      <c r="H23" s="1010" t="s">
        <v>443</v>
      </c>
    </row>
    <row r="24" spans="2:8" x14ac:dyDescent="0.15">
      <c r="B24" s="99" t="s">
        <v>343</v>
      </c>
      <c r="C24" s="75" t="s">
        <v>1829</v>
      </c>
      <c r="D24" s="78">
        <v>0.375</v>
      </c>
      <c r="E24" s="75" t="s">
        <v>444</v>
      </c>
      <c r="F24" s="75" t="s">
        <v>417</v>
      </c>
      <c r="G24" s="75" t="s">
        <v>438</v>
      </c>
      <c r="H24" s="75" t="s">
        <v>433</v>
      </c>
    </row>
    <row r="25" spans="2:8" x14ac:dyDescent="0.15">
      <c r="B25" s="528" t="s">
        <v>344</v>
      </c>
      <c r="C25" s="1010">
        <v>10</v>
      </c>
      <c r="D25" s="1011">
        <v>0.25</v>
      </c>
      <c r="E25" s="1010" t="s">
        <v>445</v>
      </c>
      <c r="F25" s="1010" t="s">
        <v>417</v>
      </c>
      <c r="G25" s="1010" t="s">
        <v>432</v>
      </c>
      <c r="H25" s="1010" t="s">
        <v>440</v>
      </c>
    </row>
    <row r="26" spans="2:8" x14ac:dyDescent="0.15">
      <c r="B26" s="99" t="s">
        <v>344</v>
      </c>
      <c r="C26" s="75" t="s">
        <v>1829</v>
      </c>
      <c r="D26" s="78">
        <v>0.375</v>
      </c>
      <c r="E26" s="75" t="s">
        <v>446</v>
      </c>
      <c r="F26" s="75" t="s">
        <v>417</v>
      </c>
      <c r="G26" s="75" t="s">
        <v>443</v>
      </c>
      <c r="H26" s="75" t="s">
        <v>447</v>
      </c>
    </row>
    <row r="27" spans="2:8" x14ac:dyDescent="0.15">
      <c r="B27" s="528" t="s">
        <v>345</v>
      </c>
      <c r="C27" s="1010">
        <v>10</v>
      </c>
      <c r="D27" s="1011">
        <v>0.25</v>
      </c>
      <c r="E27" s="1010" t="s">
        <v>444</v>
      </c>
      <c r="F27" s="1010" t="s">
        <v>417</v>
      </c>
      <c r="G27" s="1010" t="s">
        <v>448</v>
      </c>
      <c r="H27" s="1010" t="s">
        <v>433</v>
      </c>
    </row>
    <row r="28" spans="2:8" x14ac:dyDescent="0.15">
      <c r="B28" s="99" t="s">
        <v>345</v>
      </c>
      <c r="C28" s="75" t="s">
        <v>1829</v>
      </c>
      <c r="D28" s="78">
        <v>0.375</v>
      </c>
      <c r="E28" s="75" t="s">
        <v>449</v>
      </c>
      <c r="F28" s="75" t="s">
        <v>417</v>
      </c>
      <c r="G28" s="75" t="s">
        <v>440</v>
      </c>
      <c r="H28" s="75" t="s">
        <v>435</v>
      </c>
    </row>
    <row r="29" spans="2:8" x14ac:dyDescent="0.15">
      <c r="B29" s="528" t="s">
        <v>346</v>
      </c>
      <c r="C29" s="1010">
        <v>10</v>
      </c>
      <c r="D29" s="1011">
        <v>0.25</v>
      </c>
      <c r="E29" s="1010" t="s">
        <v>450</v>
      </c>
      <c r="F29" s="1010" t="s">
        <v>417</v>
      </c>
      <c r="G29" s="1010" t="s">
        <v>438</v>
      </c>
      <c r="H29" s="1010" t="s">
        <v>447</v>
      </c>
    </row>
    <row r="30" spans="2:8" x14ac:dyDescent="0.15">
      <c r="B30" s="99" t="s">
        <v>346</v>
      </c>
      <c r="C30" s="75" t="s">
        <v>1829</v>
      </c>
      <c r="D30" s="78">
        <v>0.375</v>
      </c>
      <c r="E30" s="75" t="s">
        <v>451</v>
      </c>
      <c r="F30" s="75" t="s">
        <v>417</v>
      </c>
      <c r="G30" s="75" t="s">
        <v>433</v>
      </c>
      <c r="H30" s="75" t="s">
        <v>437</v>
      </c>
    </row>
    <row r="31" spans="2:8" x14ac:dyDescent="0.15">
      <c r="B31" s="528" t="s">
        <v>347</v>
      </c>
      <c r="C31" s="1010">
        <v>10</v>
      </c>
      <c r="D31" s="1011">
        <v>0.25</v>
      </c>
      <c r="E31" s="1010" t="s">
        <v>452</v>
      </c>
      <c r="F31" s="1010" t="s">
        <v>417</v>
      </c>
      <c r="G31" s="1010" t="s">
        <v>440</v>
      </c>
      <c r="H31" s="1010" t="s">
        <v>435</v>
      </c>
    </row>
    <row r="32" spans="2:8" x14ac:dyDescent="0.15">
      <c r="B32" s="99" t="s">
        <v>347</v>
      </c>
      <c r="C32" s="75">
        <v>20</v>
      </c>
      <c r="D32" s="78">
        <v>0.375</v>
      </c>
      <c r="E32" s="75" t="s">
        <v>453</v>
      </c>
      <c r="F32" s="75" t="s">
        <v>417</v>
      </c>
      <c r="G32" s="75" t="s">
        <v>447</v>
      </c>
      <c r="H32" s="75" t="s">
        <v>454</v>
      </c>
    </row>
    <row r="33" spans="2:8" x14ac:dyDescent="0.15">
      <c r="B33" s="528" t="s">
        <v>348</v>
      </c>
      <c r="C33" s="1010">
        <v>10</v>
      </c>
      <c r="D33" s="1011">
        <v>0.25</v>
      </c>
      <c r="E33" s="1010" t="s">
        <v>455</v>
      </c>
      <c r="F33" s="1010" t="s">
        <v>417</v>
      </c>
      <c r="G33" s="1010" t="s">
        <v>456</v>
      </c>
      <c r="H33" s="1010" t="s">
        <v>457</v>
      </c>
    </row>
    <row r="34" spans="2:8" x14ac:dyDescent="0.15">
      <c r="B34" s="99" t="s">
        <v>348</v>
      </c>
      <c r="C34" s="75">
        <v>20</v>
      </c>
      <c r="D34" s="78">
        <v>0.375</v>
      </c>
      <c r="E34" s="75" t="s">
        <v>414</v>
      </c>
      <c r="F34" s="75" t="s">
        <v>417</v>
      </c>
      <c r="G34" s="75" t="s">
        <v>435</v>
      </c>
      <c r="H34" s="75" t="s">
        <v>439</v>
      </c>
    </row>
  </sheetData>
  <phoneticPr fontId="80" type="noConversion"/>
  <pageMargins left="0.75" right="0.75" top="1" bottom="1" header="0.5" footer="0.5"/>
  <pageSetup orientation="portrait"/>
  <headerFooter alignWithMargins="0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18B89-666A-7740-85BE-4A708D9B84B7}">
  <dimension ref="A8:X68"/>
  <sheetViews>
    <sheetView showGridLines="0" zoomScale="90" workbookViewId="0"/>
  </sheetViews>
  <sheetFormatPr baseColWidth="10" defaultColWidth="8.83203125" defaultRowHeight="13" x14ac:dyDescent="0.15"/>
  <cols>
    <col min="1" max="1" width="7.33203125" customWidth="1"/>
    <col min="2" max="2" width="6.6640625" customWidth="1"/>
    <col min="3" max="3" width="5.6640625" customWidth="1"/>
    <col min="4" max="4" width="5.1640625" customWidth="1"/>
    <col min="5" max="5" width="5.5" customWidth="1"/>
    <col min="6" max="6" width="5.33203125" customWidth="1"/>
    <col min="7" max="7" width="4.83203125" customWidth="1"/>
    <col min="8" max="8" width="5.1640625" customWidth="1"/>
    <col min="9" max="9" width="5.33203125" customWidth="1"/>
    <col min="10" max="10" width="5.1640625" customWidth="1"/>
    <col min="11" max="13" width="5.5" customWidth="1"/>
    <col min="14" max="14" width="5" customWidth="1"/>
    <col min="15" max="15" width="5.83203125" customWidth="1"/>
    <col min="16" max="16" width="6.1640625" customWidth="1"/>
    <col min="17" max="17" width="6.33203125" customWidth="1"/>
    <col min="18" max="18" width="7.5" customWidth="1"/>
    <col min="19" max="19" width="6.1640625" customWidth="1"/>
    <col min="20" max="20" width="6.5" customWidth="1"/>
    <col min="21" max="21" width="6" customWidth="1"/>
    <col min="22" max="22" width="5.33203125" customWidth="1"/>
    <col min="23" max="23" width="5.1640625" customWidth="1"/>
    <col min="24" max="24" width="7.1640625" customWidth="1"/>
  </cols>
  <sheetData>
    <row r="8" spans="1:24" x14ac:dyDescent="0.15">
      <c r="S8" s="15"/>
    </row>
    <row r="9" spans="1:24" x14ac:dyDescent="0.15">
      <c r="Q9" s="15"/>
    </row>
    <row r="12" spans="1:24" ht="19" thickBot="1" x14ac:dyDescent="0.25">
      <c r="B12" s="380" t="s">
        <v>1843</v>
      </c>
    </row>
    <row r="13" spans="1:24" ht="18" thickTop="1" thickBot="1" x14ac:dyDescent="0.25">
      <c r="A13" s="490" t="s">
        <v>1818</v>
      </c>
      <c r="B13" s="491"/>
      <c r="C13" s="492"/>
      <c r="D13" s="492"/>
      <c r="E13" s="492"/>
      <c r="F13" s="493" t="s">
        <v>1819</v>
      </c>
      <c r="G13" s="492"/>
      <c r="H13" s="492"/>
      <c r="I13" s="492"/>
      <c r="J13" s="492"/>
      <c r="K13" s="492"/>
      <c r="L13" s="492"/>
      <c r="M13" s="492"/>
      <c r="N13" s="492"/>
      <c r="O13" s="494"/>
      <c r="P13" s="495"/>
      <c r="Q13" s="496"/>
      <c r="R13" s="496"/>
      <c r="S13" s="496"/>
      <c r="T13" s="496"/>
      <c r="U13" s="496"/>
      <c r="V13" s="497" t="s">
        <v>1820</v>
      </c>
      <c r="W13" s="495"/>
      <c r="X13" s="496"/>
    </row>
    <row r="14" spans="1:24" ht="15" thickTop="1" thickBot="1" x14ac:dyDescent="0.2">
      <c r="A14" s="498" t="s">
        <v>1507</v>
      </c>
      <c r="B14" s="499" t="s">
        <v>1507</v>
      </c>
      <c r="C14" s="499" t="s">
        <v>1821</v>
      </c>
      <c r="D14" s="499" t="s">
        <v>1822</v>
      </c>
      <c r="E14" s="499" t="s">
        <v>1822</v>
      </c>
      <c r="F14" s="499" t="s">
        <v>1822</v>
      </c>
      <c r="G14" s="499" t="s">
        <v>1822</v>
      </c>
      <c r="H14" s="499" t="s">
        <v>1822</v>
      </c>
      <c r="I14" s="499" t="s">
        <v>1822</v>
      </c>
      <c r="J14" s="499" t="s">
        <v>1822</v>
      </c>
      <c r="K14" s="499" t="s">
        <v>1822</v>
      </c>
      <c r="L14" s="499" t="s">
        <v>1822</v>
      </c>
      <c r="M14" s="499" t="s">
        <v>1822</v>
      </c>
      <c r="N14" s="499" t="s">
        <v>1822</v>
      </c>
      <c r="O14" s="499" t="s">
        <v>1822</v>
      </c>
      <c r="P14" s="498" t="s">
        <v>1823</v>
      </c>
      <c r="Q14" s="500" t="s">
        <v>1824</v>
      </c>
      <c r="R14" s="501" t="s">
        <v>1825</v>
      </c>
      <c r="S14" s="502" t="s">
        <v>1720</v>
      </c>
      <c r="T14" s="503" t="s">
        <v>1826</v>
      </c>
      <c r="U14" s="501" t="s">
        <v>1827</v>
      </c>
      <c r="V14" s="581" t="s">
        <v>93</v>
      </c>
      <c r="W14" s="504"/>
      <c r="X14" s="501" t="s">
        <v>1828</v>
      </c>
    </row>
    <row r="15" spans="1:24" ht="15" thickTop="1" thickBot="1" x14ac:dyDescent="0.2">
      <c r="A15" s="505" t="s">
        <v>845</v>
      </c>
      <c r="B15" s="506" t="s">
        <v>1485</v>
      </c>
      <c r="C15" s="506" t="s">
        <v>1433</v>
      </c>
      <c r="D15" s="506">
        <v>20</v>
      </c>
      <c r="E15" s="506">
        <v>30</v>
      </c>
      <c r="F15" s="507" t="s">
        <v>1829</v>
      </c>
      <c r="G15" s="506">
        <v>40</v>
      </c>
      <c r="H15" s="506">
        <v>60</v>
      </c>
      <c r="I15" s="506" t="s">
        <v>1492</v>
      </c>
      <c r="J15" s="506">
        <v>80</v>
      </c>
      <c r="K15" s="506">
        <v>100</v>
      </c>
      <c r="L15" s="506">
        <v>120</v>
      </c>
      <c r="M15" s="506">
        <v>140</v>
      </c>
      <c r="N15" s="506">
        <v>160</v>
      </c>
      <c r="O15" s="506" t="s">
        <v>1830</v>
      </c>
      <c r="P15" s="507" t="s">
        <v>1831</v>
      </c>
      <c r="Q15" s="751" t="s">
        <v>1831</v>
      </c>
      <c r="R15" s="506" t="s">
        <v>1831</v>
      </c>
      <c r="S15" s="753" t="s">
        <v>1831</v>
      </c>
      <c r="T15" s="752" t="s">
        <v>1831</v>
      </c>
      <c r="U15" s="506" t="s">
        <v>1831</v>
      </c>
      <c r="V15" s="508" t="s">
        <v>1832</v>
      </c>
      <c r="W15" s="508" t="s">
        <v>1833</v>
      </c>
      <c r="X15" s="506" t="s">
        <v>1831</v>
      </c>
    </row>
    <row r="16" spans="1:24" ht="14" thickTop="1" x14ac:dyDescent="0.15">
      <c r="A16" s="509">
        <v>0.5</v>
      </c>
      <c r="B16" s="513">
        <v>0.84</v>
      </c>
      <c r="C16" s="510">
        <v>8.3000000000000004E-2</v>
      </c>
      <c r="D16" s="511"/>
      <c r="E16" s="511"/>
      <c r="F16" s="512">
        <v>0.109</v>
      </c>
      <c r="G16" s="512">
        <v>0.109</v>
      </c>
      <c r="H16" s="511"/>
      <c r="I16" s="513">
        <v>0.14699999999999999</v>
      </c>
      <c r="J16" s="512">
        <v>0.14699999999999999</v>
      </c>
      <c r="K16" s="511"/>
      <c r="L16" s="511"/>
      <c r="M16" s="511"/>
      <c r="N16" s="512">
        <v>0.188</v>
      </c>
      <c r="O16" s="512">
        <v>0.29399999999999998</v>
      </c>
      <c r="P16" s="514">
        <v>1.5</v>
      </c>
      <c r="Q16" s="515">
        <v>0.625</v>
      </c>
      <c r="R16" s="516">
        <v>1.875</v>
      </c>
      <c r="S16" s="517"/>
      <c r="T16" s="517"/>
      <c r="U16" s="518">
        <v>1</v>
      </c>
      <c r="V16" s="518">
        <v>3</v>
      </c>
      <c r="W16" s="518">
        <v>2</v>
      </c>
      <c r="X16" s="516">
        <v>1.375</v>
      </c>
    </row>
    <row r="17" spans="1:24" x14ac:dyDescent="0.15">
      <c r="A17" s="519">
        <v>0.75</v>
      </c>
      <c r="B17" s="522">
        <v>1.05</v>
      </c>
      <c r="C17" s="520">
        <v>8.3000000000000004E-2</v>
      </c>
      <c r="D17" s="521"/>
      <c r="E17" s="521"/>
      <c r="F17" s="522">
        <v>0.113</v>
      </c>
      <c r="G17" s="522">
        <v>0.113</v>
      </c>
      <c r="H17" s="521"/>
      <c r="I17" s="522">
        <v>0.154</v>
      </c>
      <c r="J17" s="522">
        <v>0.154</v>
      </c>
      <c r="K17" s="521"/>
      <c r="L17" s="521"/>
      <c r="M17" s="521"/>
      <c r="N17" s="522">
        <v>0.219</v>
      </c>
      <c r="O17" s="522">
        <v>0.308</v>
      </c>
      <c r="P17" s="523">
        <v>1.125</v>
      </c>
      <c r="Q17" s="524">
        <v>0.4375</v>
      </c>
      <c r="R17" s="525">
        <v>1.6875</v>
      </c>
      <c r="S17" s="526"/>
      <c r="T17" s="526"/>
      <c r="U17" s="527">
        <v>1</v>
      </c>
      <c r="V17" s="527">
        <v>3</v>
      </c>
      <c r="W17" s="527">
        <v>2</v>
      </c>
      <c r="X17" s="525">
        <v>1.6875</v>
      </c>
    </row>
    <row r="18" spans="1:24" x14ac:dyDescent="0.15">
      <c r="A18" s="528">
        <v>1</v>
      </c>
      <c r="B18" s="522">
        <v>1.3149999999999999</v>
      </c>
      <c r="C18" s="520">
        <v>0.109</v>
      </c>
      <c r="D18" s="521"/>
      <c r="E18" s="521"/>
      <c r="F18" s="522">
        <v>0.13300000000000001</v>
      </c>
      <c r="G18" s="522">
        <v>0.13300000000000001</v>
      </c>
      <c r="H18" s="521"/>
      <c r="I18" s="522">
        <v>0.17899999999999999</v>
      </c>
      <c r="J18" s="522">
        <v>0.17899999999999999</v>
      </c>
      <c r="K18" s="521"/>
      <c r="L18" s="521"/>
      <c r="M18" s="521"/>
      <c r="N18" s="522">
        <v>0.25</v>
      </c>
      <c r="O18" s="522">
        <v>0.35799999999999998</v>
      </c>
      <c r="P18" s="523">
        <v>1.5</v>
      </c>
      <c r="Q18" s="524">
        <v>0.875</v>
      </c>
      <c r="R18" s="525">
        <v>2.1875</v>
      </c>
      <c r="S18" s="529">
        <v>1</v>
      </c>
      <c r="T18" s="530">
        <v>1.625</v>
      </c>
      <c r="U18" s="531">
        <v>1.5</v>
      </c>
      <c r="V18" s="527">
        <v>4</v>
      </c>
      <c r="W18" s="527">
        <v>2</v>
      </c>
      <c r="X18" s="527">
        <v>2</v>
      </c>
    </row>
    <row r="19" spans="1:24" x14ac:dyDescent="0.15">
      <c r="A19" s="519">
        <v>1.25</v>
      </c>
      <c r="B19" s="522">
        <v>1.66</v>
      </c>
      <c r="C19" s="520">
        <v>0.109</v>
      </c>
      <c r="D19" s="521"/>
      <c r="E19" s="521"/>
      <c r="F19" s="522">
        <v>0.14000000000000001</v>
      </c>
      <c r="G19" s="522">
        <v>0.14000000000000001</v>
      </c>
      <c r="H19" s="521"/>
      <c r="I19" s="522">
        <v>0.191</v>
      </c>
      <c r="J19" s="522">
        <v>0.191</v>
      </c>
      <c r="K19" s="521"/>
      <c r="L19" s="521"/>
      <c r="M19" s="521"/>
      <c r="N19" s="522">
        <v>0.25</v>
      </c>
      <c r="O19" s="522">
        <v>0.38200000000000001</v>
      </c>
      <c r="P19" s="523">
        <v>1.875</v>
      </c>
      <c r="Q19" s="532">
        <v>1</v>
      </c>
      <c r="R19" s="531">
        <v>2.75</v>
      </c>
      <c r="S19" s="533">
        <v>1.25</v>
      </c>
      <c r="T19" s="534" t="s">
        <v>1834</v>
      </c>
      <c r="U19" s="531">
        <v>1.5</v>
      </c>
      <c r="V19" s="527">
        <v>4</v>
      </c>
      <c r="W19" s="527">
        <v>2</v>
      </c>
      <c r="X19" s="531">
        <v>2.5</v>
      </c>
    </row>
    <row r="20" spans="1:24" ht="14" thickBot="1" x14ac:dyDescent="0.2">
      <c r="A20" s="535">
        <v>1.5</v>
      </c>
      <c r="B20" s="539">
        <v>1.9</v>
      </c>
      <c r="C20" s="536">
        <v>0.109</v>
      </c>
      <c r="D20" s="537"/>
      <c r="E20" s="537"/>
      <c r="F20" s="538">
        <v>0.14499999999999999</v>
      </c>
      <c r="G20" s="538">
        <v>0.14499999999999999</v>
      </c>
      <c r="H20" s="537"/>
      <c r="I20" s="539">
        <v>0.2</v>
      </c>
      <c r="J20" s="538">
        <v>0.2</v>
      </c>
      <c r="K20" s="537"/>
      <c r="L20" s="537"/>
      <c r="M20" s="537"/>
      <c r="N20" s="538">
        <v>0.28100000000000003</v>
      </c>
      <c r="O20" s="538">
        <v>0.4</v>
      </c>
      <c r="P20" s="540">
        <v>2.25</v>
      </c>
      <c r="Q20" s="541">
        <v>1.125</v>
      </c>
      <c r="R20" s="542">
        <v>3.25</v>
      </c>
      <c r="S20" s="543">
        <v>1.5</v>
      </c>
      <c r="T20" s="544" t="s">
        <v>1835</v>
      </c>
      <c r="U20" s="542">
        <v>1.5</v>
      </c>
      <c r="V20" s="545">
        <v>4</v>
      </c>
      <c r="W20" s="545">
        <v>2</v>
      </c>
      <c r="X20" s="542">
        <v>2.875</v>
      </c>
    </row>
    <row r="21" spans="1:24" ht="14" thickTop="1" x14ac:dyDescent="0.15">
      <c r="A21" s="546">
        <v>2</v>
      </c>
      <c r="B21" s="513">
        <v>2.375</v>
      </c>
      <c r="C21" s="510">
        <v>0.109</v>
      </c>
      <c r="D21" s="511"/>
      <c r="E21" s="511"/>
      <c r="F21" s="547">
        <v>0.154</v>
      </c>
      <c r="G21" s="547">
        <v>0.154</v>
      </c>
      <c r="H21" s="511"/>
      <c r="I21" s="513">
        <v>0.218</v>
      </c>
      <c r="J21" s="547">
        <v>0.218</v>
      </c>
      <c r="K21" s="511"/>
      <c r="L21" s="511"/>
      <c r="M21" s="511"/>
      <c r="N21" s="547">
        <v>0.34399999999999997</v>
      </c>
      <c r="O21" s="547">
        <v>0.436</v>
      </c>
      <c r="P21" s="548">
        <v>3</v>
      </c>
      <c r="Q21" s="549">
        <v>1.375</v>
      </c>
      <c r="R21" s="550">
        <v>4.1875</v>
      </c>
      <c r="S21" s="551">
        <v>2</v>
      </c>
      <c r="T21" s="552" t="s">
        <v>1836</v>
      </c>
      <c r="U21" s="553">
        <v>1.5</v>
      </c>
      <c r="V21" s="554">
        <v>6</v>
      </c>
      <c r="W21" s="553">
        <v>2.5</v>
      </c>
      <c r="X21" s="553">
        <v>3.625</v>
      </c>
    </row>
    <row r="22" spans="1:24" x14ac:dyDescent="0.15">
      <c r="A22" s="519">
        <v>2.5</v>
      </c>
      <c r="B22" s="522">
        <v>2.875</v>
      </c>
      <c r="C22" s="522">
        <v>0.12</v>
      </c>
      <c r="D22" s="521"/>
      <c r="E22" s="521"/>
      <c r="F22" s="522">
        <v>0.20300000000000001</v>
      </c>
      <c r="G22" s="522">
        <v>0.20300000000000001</v>
      </c>
      <c r="H22" s="521"/>
      <c r="I22" s="522">
        <v>0.27600000000000002</v>
      </c>
      <c r="J22" s="522">
        <v>0.27600000000000002</v>
      </c>
      <c r="K22" s="521"/>
      <c r="L22" s="521"/>
      <c r="M22" s="521"/>
      <c r="N22" s="522">
        <v>0.375</v>
      </c>
      <c r="O22" s="522">
        <v>0.55200000000000005</v>
      </c>
      <c r="P22" s="523">
        <v>3.75</v>
      </c>
      <c r="Q22" s="555">
        <v>1.75</v>
      </c>
      <c r="R22" s="525">
        <v>5.1875</v>
      </c>
      <c r="S22" s="533">
        <v>2.5</v>
      </c>
      <c r="T22" s="534" t="s">
        <v>1837</v>
      </c>
      <c r="U22" s="531">
        <v>1.5</v>
      </c>
      <c r="V22" s="527">
        <v>6</v>
      </c>
      <c r="W22" s="531">
        <v>2.5</v>
      </c>
      <c r="X22" s="531">
        <v>4.125</v>
      </c>
    </row>
    <row r="23" spans="1:24" x14ac:dyDescent="0.15">
      <c r="A23" s="528">
        <v>3</v>
      </c>
      <c r="B23" s="522">
        <v>3.5</v>
      </c>
      <c r="C23" s="521"/>
      <c r="D23" s="521"/>
      <c r="E23" s="521"/>
      <c r="F23" s="522">
        <v>0.216</v>
      </c>
      <c r="G23" s="522">
        <v>0.216</v>
      </c>
      <c r="H23" s="521"/>
      <c r="I23" s="522">
        <v>0.3</v>
      </c>
      <c r="J23" s="522">
        <v>0.3</v>
      </c>
      <c r="K23" s="521"/>
      <c r="L23" s="521"/>
      <c r="M23" s="521"/>
      <c r="N23" s="522">
        <v>0.438</v>
      </c>
      <c r="O23" s="522">
        <v>0.6</v>
      </c>
      <c r="P23" s="523">
        <v>4.5</v>
      </c>
      <c r="Q23" s="532">
        <v>2</v>
      </c>
      <c r="R23" s="531">
        <v>6.25</v>
      </c>
      <c r="S23" s="529">
        <v>3</v>
      </c>
      <c r="T23" s="530">
        <v>4.75</v>
      </c>
      <c r="U23" s="527">
        <v>2</v>
      </c>
      <c r="V23" s="527">
        <v>6</v>
      </c>
      <c r="W23" s="531">
        <v>2.5</v>
      </c>
      <c r="X23" s="527">
        <v>5</v>
      </c>
    </row>
    <row r="24" spans="1:24" ht="14" thickBot="1" x14ac:dyDescent="0.2">
      <c r="A24" s="535">
        <v>3.5</v>
      </c>
      <c r="B24" s="539">
        <v>4</v>
      </c>
      <c r="C24" s="537"/>
      <c r="D24" s="537"/>
      <c r="E24" s="537"/>
      <c r="F24" s="538">
        <v>0.22600000000000001</v>
      </c>
      <c r="G24" s="538">
        <v>0.22600000000000001</v>
      </c>
      <c r="H24" s="537"/>
      <c r="I24" s="539">
        <v>0.318</v>
      </c>
      <c r="J24" s="538">
        <v>0.318</v>
      </c>
      <c r="K24" s="537"/>
      <c r="L24" s="537"/>
      <c r="M24" s="537"/>
      <c r="N24" s="537"/>
      <c r="O24" s="538">
        <v>0.63600000000000001</v>
      </c>
      <c r="P24" s="540">
        <v>5.25</v>
      </c>
      <c r="Q24" s="541">
        <v>2.25</v>
      </c>
      <c r="R24" s="542">
        <v>7.25</v>
      </c>
      <c r="S24" s="543">
        <v>3.5</v>
      </c>
      <c r="T24" s="556">
        <v>5.5</v>
      </c>
      <c r="U24" s="542">
        <v>2.5</v>
      </c>
      <c r="V24" s="545">
        <v>6</v>
      </c>
      <c r="W24" s="545">
        <v>3</v>
      </c>
      <c r="X24" s="542">
        <v>5.5</v>
      </c>
    </row>
    <row r="25" spans="1:24" ht="14" thickTop="1" x14ac:dyDescent="0.15">
      <c r="A25" s="546">
        <v>4</v>
      </c>
      <c r="B25" s="513">
        <v>4.5</v>
      </c>
      <c r="C25" s="511"/>
      <c r="D25" s="511"/>
      <c r="E25" s="511"/>
      <c r="F25" s="547">
        <v>0.23699999999999999</v>
      </c>
      <c r="G25" s="547">
        <v>0.23699999999999999</v>
      </c>
      <c r="H25" s="511"/>
      <c r="I25" s="513">
        <v>0.33700000000000002</v>
      </c>
      <c r="J25" s="547">
        <v>0.33700000000000002</v>
      </c>
      <c r="K25" s="511"/>
      <c r="L25" s="547">
        <v>0.438</v>
      </c>
      <c r="M25" s="511"/>
      <c r="N25" s="547">
        <v>0.53100000000000003</v>
      </c>
      <c r="O25" s="547">
        <v>0.67400000000000004</v>
      </c>
      <c r="P25" s="548">
        <v>6</v>
      </c>
      <c r="Q25" s="549">
        <v>2.5</v>
      </c>
      <c r="R25" s="553">
        <v>8.25</v>
      </c>
      <c r="S25" s="551">
        <v>4</v>
      </c>
      <c r="T25" s="557">
        <v>6.25</v>
      </c>
      <c r="U25" s="553">
        <v>2.5</v>
      </c>
      <c r="V25" s="554">
        <v>6</v>
      </c>
      <c r="W25" s="554">
        <v>3</v>
      </c>
      <c r="X25" s="558" t="s">
        <v>1838</v>
      </c>
    </row>
    <row r="26" spans="1:24" x14ac:dyDescent="0.15">
      <c r="A26" s="528">
        <v>5</v>
      </c>
      <c r="B26" s="522">
        <v>5.5629999999999997</v>
      </c>
      <c r="C26" s="521"/>
      <c r="D26" s="521"/>
      <c r="E26" s="521"/>
      <c r="F26" s="522">
        <v>0.25800000000000001</v>
      </c>
      <c r="G26" s="522">
        <v>0.25800000000000001</v>
      </c>
      <c r="H26" s="521"/>
      <c r="I26" s="522">
        <v>0.375</v>
      </c>
      <c r="J26" s="522">
        <v>0.375</v>
      </c>
      <c r="K26" s="521"/>
      <c r="L26" s="522">
        <v>0.5</v>
      </c>
      <c r="M26" s="521"/>
      <c r="N26" s="522">
        <v>0.625</v>
      </c>
      <c r="O26" s="522">
        <v>0.75</v>
      </c>
      <c r="P26" s="523">
        <v>7.5</v>
      </c>
      <c r="Q26" s="555">
        <v>3.125</v>
      </c>
      <c r="R26" s="525">
        <v>10.3125</v>
      </c>
      <c r="S26" s="529">
        <v>5</v>
      </c>
      <c r="T26" s="530">
        <v>7.75</v>
      </c>
      <c r="U26" s="527">
        <v>3</v>
      </c>
      <c r="V26" s="527">
        <v>8</v>
      </c>
      <c r="W26" s="527">
        <v>3</v>
      </c>
      <c r="X26" s="559" t="s">
        <v>1839</v>
      </c>
    </row>
    <row r="27" spans="1:24" x14ac:dyDescent="0.15">
      <c r="A27" s="528">
        <v>6</v>
      </c>
      <c r="B27" s="522">
        <v>6.625</v>
      </c>
      <c r="C27" s="521"/>
      <c r="D27" s="521"/>
      <c r="E27" s="521"/>
      <c r="F27" s="522">
        <v>0.28000000000000003</v>
      </c>
      <c r="G27" s="522">
        <v>0.28000000000000003</v>
      </c>
      <c r="H27" s="521"/>
      <c r="I27" s="522">
        <v>0.432</v>
      </c>
      <c r="J27" s="522">
        <v>0.432</v>
      </c>
      <c r="K27" s="521"/>
      <c r="L27" s="522">
        <v>0.56200000000000006</v>
      </c>
      <c r="M27" s="521"/>
      <c r="N27" s="522">
        <v>0.71899999999999997</v>
      </c>
      <c r="O27" s="522">
        <v>0.86399999999999999</v>
      </c>
      <c r="P27" s="560">
        <v>9</v>
      </c>
      <c r="Q27" s="555">
        <v>3.75</v>
      </c>
      <c r="R27" s="525">
        <v>12.3125</v>
      </c>
      <c r="S27" s="529">
        <v>6</v>
      </c>
      <c r="T27" s="534" t="s">
        <v>1840</v>
      </c>
      <c r="U27" s="531">
        <v>3.5</v>
      </c>
      <c r="V27" s="527">
        <v>8</v>
      </c>
      <c r="W27" s="531">
        <v>3.5</v>
      </c>
      <c r="X27" s="531">
        <v>8.5</v>
      </c>
    </row>
    <row r="28" spans="1:24" ht="14" thickBot="1" x14ac:dyDescent="0.2">
      <c r="A28" s="561">
        <v>8</v>
      </c>
      <c r="B28" s="539">
        <v>8.625</v>
      </c>
      <c r="C28" s="537"/>
      <c r="D28" s="538">
        <v>0.25</v>
      </c>
      <c r="E28" s="539">
        <v>0.27700000000000002</v>
      </c>
      <c r="F28" s="538">
        <v>0.32200000000000001</v>
      </c>
      <c r="G28" s="538">
        <v>0.32200000000000001</v>
      </c>
      <c r="H28" s="538">
        <v>0.40600000000000003</v>
      </c>
      <c r="I28" s="539">
        <v>0.5</v>
      </c>
      <c r="J28" s="538">
        <v>0.5</v>
      </c>
      <c r="K28" s="539">
        <v>0.59399999999999997</v>
      </c>
      <c r="L28" s="538">
        <v>0.71899999999999997</v>
      </c>
      <c r="M28" s="538">
        <v>0.81200000000000006</v>
      </c>
      <c r="N28" s="538">
        <v>0.90600000000000003</v>
      </c>
      <c r="O28" s="538">
        <v>0.875</v>
      </c>
      <c r="P28" s="562">
        <v>12</v>
      </c>
      <c r="Q28" s="563">
        <v>5</v>
      </c>
      <c r="R28" s="564">
        <v>16.3125</v>
      </c>
      <c r="S28" s="565">
        <v>8</v>
      </c>
      <c r="T28" s="544" t="s">
        <v>1841</v>
      </c>
      <c r="U28" s="545">
        <v>4</v>
      </c>
      <c r="V28" s="545">
        <v>8</v>
      </c>
      <c r="W28" s="545">
        <v>4</v>
      </c>
      <c r="X28" s="542">
        <v>10.625</v>
      </c>
    </row>
    <row r="29" spans="1:24" ht="14" thickTop="1" x14ac:dyDescent="0.15">
      <c r="A29" s="546">
        <v>10</v>
      </c>
      <c r="B29" s="513">
        <v>10.75</v>
      </c>
      <c r="C29" s="511"/>
      <c r="D29" s="547">
        <v>0.25</v>
      </c>
      <c r="E29" s="513">
        <v>0.307</v>
      </c>
      <c r="F29" s="547">
        <v>0.36499999999999999</v>
      </c>
      <c r="G29" s="513">
        <v>0.36499999999999999</v>
      </c>
      <c r="H29" s="547">
        <v>0.5</v>
      </c>
      <c r="I29" s="513">
        <v>0.5</v>
      </c>
      <c r="J29" s="547">
        <v>0.59399999999999997</v>
      </c>
      <c r="K29" s="513">
        <v>0.71899999999999997</v>
      </c>
      <c r="L29" s="547">
        <v>0.84399999999999997</v>
      </c>
      <c r="M29" s="547">
        <v>1</v>
      </c>
      <c r="N29" s="547">
        <v>1.125</v>
      </c>
      <c r="O29" s="547">
        <v>1</v>
      </c>
      <c r="P29" s="548">
        <v>15</v>
      </c>
      <c r="Q29" s="549">
        <v>6.25</v>
      </c>
      <c r="R29" s="553">
        <v>20.375</v>
      </c>
      <c r="S29" s="551">
        <v>10</v>
      </c>
      <c r="T29" s="557">
        <v>15.375</v>
      </c>
      <c r="U29" s="554">
        <v>5</v>
      </c>
      <c r="V29" s="554">
        <v>10</v>
      </c>
      <c r="W29" s="554">
        <v>5</v>
      </c>
      <c r="X29" s="553">
        <v>12.75</v>
      </c>
    </row>
    <row r="30" spans="1:24" x14ac:dyDescent="0.15">
      <c r="A30" s="528">
        <v>12</v>
      </c>
      <c r="B30" s="522">
        <v>12.75</v>
      </c>
      <c r="C30" s="521"/>
      <c r="D30" s="522">
        <v>0.25</v>
      </c>
      <c r="E30" s="522">
        <v>0.33</v>
      </c>
      <c r="F30" s="522">
        <v>0.375</v>
      </c>
      <c r="G30" s="522">
        <v>0.40600000000000003</v>
      </c>
      <c r="H30" s="522">
        <v>0.56200000000000006</v>
      </c>
      <c r="I30" s="522">
        <v>0.5</v>
      </c>
      <c r="J30" s="522">
        <v>0.68799999999999994</v>
      </c>
      <c r="K30" s="522">
        <v>0.84399999999999997</v>
      </c>
      <c r="L30" s="522">
        <v>1</v>
      </c>
      <c r="M30" s="522">
        <v>1.125</v>
      </c>
      <c r="N30" s="522">
        <v>1.3120000000000001</v>
      </c>
      <c r="O30" s="522">
        <v>1</v>
      </c>
      <c r="P30" s="560">
        <v>18</v>
      </c>
      <c r="Q30" s="555">
        <v>7.5</v>
      </c>
      <c r="R30" s="531">
        <v>24.375</v>
      </c>
      <c r="S30" s="529">
        <v>12</v>
      </c>
      <c r="T30" s="530">
        <v>18.375</v>
      </c>
      <c r="U30" s="527">
        <v>6</v>
      </c>
      <c r="V30" s="527">
        <v>10</v>
      </c>
      <c r="W30" s="527">
        <v>6</v>
      </c>
      <c r="X30" s="527">
        <v>15</v>
      </c>
    </row>
    <row r="31" spans="1:24" x14ac:dyDescent="0.15">
      <c r="A31" s="528">
        <v>14</v>
      </c>
      <c r="B31" s="522">
        <v>14</v>
      </c>
      <c r="C31" s="521"/>
      <c r="D31" s="522">
        <v>0.312</v>
      </c>
      <c r="E31" s="522">
        <v>0.375</v>
      </c>
      <c r="F31" s="522">
        <v>0.375</v>
      </c>
      <c r="G31" s="522">
        <v>0.438</v>
      </c>
      <c r="H31" s="522">
        <v>0.59399999999999997</v>
      </c>
      <c r="I31" s="522">
        <v>0.5</v>
      </c>
      <c r="J31" s="522">
        <v>0.75</v>
      </c>
      <c r="K31" s="522">
        <v>0.93799999999999994</v>
      </c>
      <c r="L31" s="522">
        <v>1.0940000000000001</v>
      </c>
      <c r="M31" s="522">
        <v>1.25</v>
      </c>
      <c r="N31" s="522">
        <v>1.4059999999999999</v>
      </c>
      <c r="O31" s="521"/>
      <c r="P31" s="560">
        <v>21</v>
      </c>
      <c r="Q31" s="555">
        <v>8.75</v>
      </c>
      <c r="R31" s="527">
        <v>28</v>
      </c>
      <c r="S31" s="529">
        <v>14</v>
      </c>
      <c r="T31" s="566">
        <v>21</v>
      </c>
      <c r="U31" s="531">
        <v>6.5</v>
      </c>
      <c r="V31" s="527">
        <v>12</v>
      </c>
      <c r="W31" s="526"/>
      <c r="X31" s="531">
        <v>16.25</v>
      </c>
    </row>
    <row r="32" spans="1:24" ht="14" thickBot="1" x14ac:dyDescent="0.2">
      <c r="A32" s="561">
        <v>16</v>
      </c>
      <c r="B32" s="539">
        <v>16</v>
      </c>
      <c r="C32" s="537"/>
      <c r="D32" s="538">
        <v>0.312</v>
      </c>
      <c r="E32" s="539">
        <v>0.375</v>
      </c>
      <c r="F32" s="538">
        <v>0.375</v>
      </c>
      <c r="G32" s="539">
        <v>0.5</v>
      </c>
      <c r="H32" s="538">
        <v>0.65600000000000003</v>
      </c>
      <c r="I32" s="539">
        <v>0.5</v>
      </c>
      <c r="J32" s="538">
        <v>0.84399999999999997</v>
      </c>
      <c r="K32" s="539">
        <v>1.0309999999999999</v>
      </c>
      <c r="L32" s="538">
        <v>1.2190000000000001</v>
      </c>
      <c r="M32" s="538">
        <v>1.4379999999999999</v>
      </c>
      <c r="N32" s="538">
        <v>1.5940000000000001</v>
      </c>
      <c r="O32" s="537"/>
      <c r="P32" s="562">
        <v>24</v>
      </c>
      <c r="Q32" s="563">
        <v>10</v>
      </c>
      <c r="R32" s="545">
        <v>32</v>
      </c>
      <c r="S32" s="565">
        <v>16</v>
      </c>
      <c r="T32" s="567">
        <v>24</v>
      </c>
      <c r="U32" s="545">
        <v>7</v>
      </c>
      <c r="V32" s="545">
        <v>12</v>
      </c>
      <c r="W32" s="568"/>
      <c r="X32" s="542">
        <v>18.5</v>
      </c>
    </row>
    <row r="33" spans="1:24" ht="14" thickTop="1" x14ac:dyDescent="0.15">
      <c r="A33" s="546">
        <v>18</v>
      </c>
      <c r="B33" s="513">
        <v>18</v>
      </c>
      <c r="C33" s="511"/>
      <c r="D33" s="547">
        <v>0.312</v>
      </c>
      <c r="E33" s="513">
        <v>0.438</v>
      </c>
      <c r="F33" s="547">
        <v>0.375</v>
      </c>
      <c r="G33" s="513">
        <v>0.56200000000000006</v>
      </c>
      <c r="H33" s="547">
        <v>0.75</v>
      </c>
      <c r="I33" s="513">
        <v>0.5</v>
      </c>
      <c r="J33" s="547">
        <v>0.93799999999999994</v>
      </c>
      <c r="K33" s="513">
        <v>1.1559999999999999</v>
      </c>
      <c r="L33" s="547">
        <v>1.375</v>
      </c>
      <c r="M33" s="547">
        <v>1.5620000000000001</v>
      </c>
      <c r="N33" s="547">
        <v>1.7809999999999999</v>
      </c>
      <c r="O33" s="511"/>
      <c r="P33" s="548">
        <v>27</v>
      </c>
      <c r="Q33" s="549">
        <v>11.25</v>
      </c>
      <c r="R33" s="554">
        <v>36</v>
      </c>
      <c r="S33" s="551">
        <v>18</v>
      </c>
      <c r="T33" s="569">
        <v>27</v>
      </c>
      <c r="U33" s="554">
        <v>8</v>
      </c>
      <c r="V33" s="554">
        <v>12</v>
      </c>
      <c r="W33" s="517"/>
      <c r="X33" s="554">
        <v>21</v>
      </c>
    </row>
    <row r="34" spans="1:24" x14ac:dyDescent="0.15">
      <c r="A34" s="528">
        <v>20</v>
      </c>
      <c r="B34" s="522">
        <v>20</v>
      </c>
      <c r="C34" s="521"/>
      <c r="D34" s="522">
        <v>0.375</v>
      </c>
      <c r="E34" s="522">
        <v>0.5</v>
      </c>
      <c r="F34" s="522">
        <v>0.375</v>
      </c>
      <c r="G34" s="522">
        <v>0.59399999999999997</v>
      </c>
      <c r="H34" s="522">
        <v>0.81200000000000006</v>
      </c>
      <c r="I34" s="522">
        <v>0.5</v>
      </c>
      <c r="J34" s="522">
        <v>1.0309999999999999</v>
      </c>
      <c r="K34" s="522">
        <v>1.2809999999999999</v>
      </c>
      <c r="L34" s="522">
        <v>1.5</v>
      </c>
      <c r="M34" s="522">
        <v>1.75</v>
      </c>
      <c r="N34" s="522">
        <v>1.9690000000000001</v>
      </c>
      <c r="O34" s="521"/>
      <c r="P34" s="560">
        <v>30</v>
      </c>
      <c r="Q34" s="555">
        <v>12.5</v>
      </c>
      <c r="R34" s="527">
        <v>40</v>
      </c>
      <c r="S34" s="529">
        <v>20</v>
      </c>
      <c r="T34" s="566">
        <v>30</v>
      </c>
      <c r="U34" s="527">
        <v>9</v>
      </c>
      <c r="V34" s="527">
        <v>12</v>
      </c>
      <c r="W34" s="526"/>
      <c r="X34" s="527">
        <v>23</v>
      </c>
    </row>
    <row r="35" spans="1:24" x14ac:dyDescent="0.15">
      <c r="A35" s="528">
        <v>24</v>
      </c>
      <c r="B35" s="522">
        <v>24</v>
      </c>
      <c r="C35" s="521"/>
      <c r="D35" s="522">
        <v>0.375</v>
      </c>
      <c r="E35" s="522">
        <v>0.56200000000000006</v>
      </c>
      <c r="F35" s="522">
        <v>0.375</v>
      </c>
      <c r="G35" s="522">
        <v>0.68799999999999994</v>
      </c>
      <c r="H35" s="522">
        <v>0.96899999999999997</v>
      </c>
      <c r="I35" s="522">
        <v>0.5</v>
      </c>
      <c r="J35" s="522">
        <v>1.2190000000000001</v>
      </c>
      <c r="K35" s="522">
        <v>1.5309999999999999</v>
      </c>
      <c r="L35" s="522">
        <v>1.8120000000000001</v>
      </c>
      <c r="M35" s="522">
        <v>2.0619999999999998</v>
      </c>
      <c r="N35" s="522">
        <v>2.3439999999999999</v>
      </c>
      <c r="O35" s="521"/>
      <c r="P35" s="560">
        <v>36</v>
      </c>
      <c r="Q35" s="532">
        <v>15</v>
      </c>
      <c r="R35" s="527">
        <v>48</v>
      </c>
      <c r="S35" s="529">
        <v>24</v>
      </c>
      <c r="T35" s="566">
        <v>36</v>
      </c>
      <c r="U35" s="531">
        <v>10.5</v>
      </c>
      <c r="V35" s="527">
        <v>12</v>
      </c>
      <c r="W35" s="526"/>
      <c r="X35" s="531">
        <v>27.25</v>
      </c>
    </row>
    <row r="36" spans="1:24" ht="14" thickBot="1" x14ac:dyDescent="0.2">
      <c r="A36" s="561">
        <v>30</v>
      </c>
      <c r="B36" s="539">
        <v>30</v>
      </c>
      <c r="C36" s="537"/>
      <c r="D36" s="538">
        <v>0.5</v>
      </c>
      <c r="E36" s="539">
        <v>0.625</v>
      </c>
      <c r="F36" s="538">
        <v>0.375</v>
      </c>
      <c r="G36" s="537"/>
      <c r="H36" s="537"/>
      <c r="I36" s="539">
        <v>0.5</v>
      </c>
      <c r="J36" s="537"/>
      <c r="K36" s="537"/>
      <c r="L36" s="537"/>
      <c r="M36" s="537"/>
      <c r="N36" s="537"/>
      <c r="O36" s="537"/>
      <c r="P36" s="562">
        <v>45</v>
      </c>
      <c r="Q36" s="541">
        <v>18.5</v>
      </c>
      <c r="R36" s="545">
        <v>60</v>
      </c>
      <c r="S36" s="565">
        <v>30</v>
      </c>
      <c r="T36" s="567">
        <v>45</v>
      </c>
      <c r="U36" s="542">
        <v>10.5</v>
      </c>
      <c r="V36" s="568"/>
      <c r="W36" s="568"/>
      <c r="X36" s="568"/>
    </row>
    <row r="37" spans="1:24" ht="14" thickTop="1" x14ac:dyDescent="0.15">
      <c r="A37" s="546">
        <v>36</v>
      </c>
      <c r="B37" s="513">
        <v>36</v>
      </c>
      <c r="C37" s="511"/>
      <c r="D37" s="547">
        <v>0.5</v>
      </c>
      <c r="E37" s="513">
        <v>0.625</v>
      </c>
      <c r="F37" s="547">
        <v>0.375</v>
      </c>
      <c r="G37" s="513">
        <v>0.75</v>
      </c>
      <c r="H37" s="511"/>
      <c r="I37" s="513">
        <v>0.5</v>
      </c>
      <c r="J37" s="511"/>
      <c r="K37" s="511"/>
      <c r="L37" s="511"/>
      <c r="M37" s="511"/>
      <c r="N37" s="511"/>
      <c r="O37" s="511"/>
      <c r="P37" s="548">
        <v>54</v>
      </c>
      <c r="Q37" s="549">
        <v>22.25</v>
      </c>
      <c r="R37" s="517"/>
      <c r="S37" s="551">
        <v>36</v>
      </c>
      <c r="T37" s="569">
        <v>54</v>
      </c>
      <c r="U37" s="553">
        <v>10.5</v>
      </c>
      <c r="V37" s="517"/>
      <c r="W37" s="517"/>
      <c r="X37" s="517"/>
    </row>
    <row r="38" spans="1:24" x14ac:dyDescent="0.15">
      <c r="A38" s="528">
        <v>42</v>
      </c>
      <c r="B38" s="522">
        <v>42</v>
      </c>
      <c r="C38" s="521"/>
      <c r="D38" s="521"/>
      <c r="E38" s="521"/>
      <c r="F38" s="522">
        <v>0.375</v>
      </c>
      <c r="G38" s="521"/>
      <c r="H38" s="521"/>
      <c r="I38" s="522">
        <v>0.5</v>
      </c>
      <c r="J38" s="521"/>
      <c r="K38" s="521"/>
      <c r="L38" s="521"/>
      <c r="M38" s="521"/>
      <c r="N38" s="521"/>
      <c r="O38" s="521"/>
      <c r="P38" s="560">
        <v>63</v>
      </c>
      <c r="Q38" s="532">
        <v>26</v>
      </c>
      <c r="R38" s="526"/>
      <c r="S38" s="529">
        <v>42</v>
      </c>
      <c r="T38" s="526"/>
      <c r="U38" s="527">
        <v>12</v>
      </c>
      <c r="V38" s="526"/>
      <c r="W38" s="526"/>
      <c r="X38" s="526"/>
    </row>
    <row r="39" spans="1:24" x14ac:dyDescent="0.15">
      <c r="A39" s="570">
        <v>48</v>
      </c>
      <c r="B39" s="573">
        <v>48</v>
      </c>
      <c r="C39" s="571"/>
      <c r="D39" s="571"/>
      <c r="E39" s="571"/>
      <c r="F39" s="572">
        <v>0.375</v>
      </c>
      <c r="G39" s="571"/>
      <c r="H39" s="571"/>
      <c r="I39" s="573">
        <v>0.5</v>
      </c>
      <c r="J39" s="571"/>
      <c r="K39" s="571"/>
      <c r="L39" s="571"/>
      <c r="M39" s="571"/>
      <c r="N39" s="571"/>
      <c r="O39" s="571"/>
      <c r="P39" s="574">
        <v>72</v>
      </c>
      <c r="Q39" s="575">
        <v>29.75</v>
      </c>
      <c r="R39" s="576"/>
      <c r="S39" s="577">
        <v>48</v>
      </c>
      <c r="T39" s="576"/>
      <c r="U39" s="578">
        <v>13.5</v>
      </c>
      <c r="V39" s="576"/>
      <c r="W39" s="576"/>
      <c r="X39" s="576"/>
    </row>
    <row r="40" spans="1:24" x14ac:dyDescent="0.15">
      <c r="A40" s="579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</row>
    <row r="41" spans="1:24" ht="19" thickBot="1" x14ac:dyDescent="0.25">
      <c r="A41" s="579"/>
      <c r="B41" s="380" t="s">
        <v>1848</v>
      </c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</row>
    <row r="42" spans="1:24" ht="18" thickTop="1" thickBot="1" x14ac:dyDescent="0.25">
      <c r="A42" s="490" t="s">
        <v>1818</v>
      </c>
      <c r="B42" s="491"/>
      <c r="C42" s="492"/>
      <c r="D42" s="492"/>
      <c r="E42" s="492"/>
      <c r="F42" s="493" t="s">
        <v>1842</v>
      </c>
      <c r="G42" s="492"/>
      <c r="H42" s="492"/>
      <c r="I42" s="492"/>
      <c r="J42" s="492"/>
      <c r="K42" s="492"/>
      <c r="L42" s="492"/>
      <c r="M42" s="492"/>
      <c r="N42" s="492"/>
      <c r="O42" s="494"/>
      <c r="P42" s="495"/>
      <c r="Q42" s="496"/>
      <c r="R42" s="496"/>
      <c r="S42" s="496"/>
      <c r="T42" s="496"/>
      <c r="U42" s="496"/>
      <c r="V42" s="497" t="s">
        <v>1820</v>
      </c>
      <c r="W42" s="495"/>
      <c r="X42" s="496"/>
    </row>
    <row r="43" spans="1:24" ht="15" thickTop="1" thickBot="1" x14ac:dyDescent="0.2">
      <c r="A43" s="498" t="s">
        <v>1507</v>
      </c>
      <c r="B43" s="499" t="s">
        <v>1507</v>
      </c>
      <c r="C43" s="499" t="s">
        <v>1821</v>
      </c>
      <c r="D43" s="499" t="s">
        <v>1822</v>
      </c>
      <c r="E43" s="499" t="s">
        <v>1822</v>
      </c>
      <c r="F43" s="499" t="s">
        <v>1822</v>
      </c>
      <c r="G43" s="499" t="s">
        <v>1822</v>
      </c>
      <c r="H43" s="499" t="s">
        <v>1822</v>
      </c>
      <c r="I43" s="499" t="s">
        <v>1822</v>
      </c>
      <c r="J43" s="499" t="s">
        <v>1822</v>
      </c>
      <c r="K43" s="499" t="s">
        <v>1822</v>
      </c>
      <c r="L43" s="499" t="s">
        <v>1822</v>
      </c>
      <c r="M43" s="499" t="s">
        <v>1822</v>
      </c>
      <c r="N43" s="499" t="s">
        <v>1822</v>
      </c>
      <c r="O43" s="499" t="s">
        <v>1822</v>
      </c>
      <c r="P43" s="498" t="s">
        <v>1823</v>
      </c>
      <c r="Q43" s="500" t="s">
        <v>1824</v>
      </c>
      <c r="R43" s="501" t="s">
        <v>1825</v>
      </c>
      <c r="S43" s="580" t="s">
        <v>1720</v>
      </c>
      <c r="T43" s="503" t="s">
        <v>1826</v>
      </c>
      <c r="U43" s="501" t="s">
        <v>1827</v>
      </c>
      <c r="V43" s="581" t="s">
        <v>92</v>
      </c>
      <c r="W43" s="504"/>
      <c r="X43" s="501" t="s">
        <v>1828</v>
      </c>
    </row>
    <row r="44" spans="1:24" ht="15" thickTop="1" thickBot="1" x14ac:dyDescent="0.2">
      <c r="A44" s="505" t="s">
        <v>845</v>
      </c>
      <c r="B44" s="506" t="s">
        <v>1485</v>
      </c>
      <c r="C44" s="506" t="s">
        <v>1433</v>
      </c>
      <c r="D44" s="506">
        <v>20</v>
      </c>
      <c r="E44" s="506">
        <v>30</v>
      </c>
      <c r="F44" s="507" t="s">
        <v>1829</v>
      </c>
      <c r="G44" s="506">
        <v>40</v>
      </c>
      <c r="H44" s="506">
        <v>60</v>
      </c>
      <c r="I44" s="506" t="s">
        <v>1492</v>
      </c>
      <c r="J44" s="506">
        <v>80</v>
      </c>
      <c r="K44" s="506">
        <v>100</v>
      </c>
      <c r="L44" s="506">
        <v>120</v>
      </c>
      <c r="M44" s="506">
        <v>140</v>
      </c>
      <c r="N44" s="506">
        <v>160</v>
      </c>
      <c r="O44" s="506" t="s">
        <v>1830</v>
      </c>
      <c r="P44" s="507" t="s">
        <v>1754</v>
      </c>
      <c r="Q44" s="751" t="s">
        <v>1754</v>
      </c>
      <c r="R44" s="506" t="s">
        <v>1754</v>
      </c>
      <c r="S44" s="754" t="s">
        <v>1754</v>
      </c>
      <c r="T44" s="752" t="s">
        <v>1754</v>
      </c>
      <c r="U44" s="506" t="s">
        <v>1754</v>
      </c>
      <c r="V44" s="508" t="s">
        <v>1832</v>
      </c>
      <c r="W44" s="508" t="s">
        <v>1833</v>
      </c>
      <c r="X44" s="506" t="s">
        <v>1754</v>
      </c>
    </row>
    <row r="45" spans="1:24" ht="14" thickTop="1" x14ac:dyDescent="0.15">
      <c r="A45" s="582">
        <f t="shared" ref="A45:P60" si="0">A16*25.4</f>
        <v>12.7</v>
      </c>
      <c r="B45" s="583">
        <f t="shared" si="0"/>
        <v>21.335999999999999</v>
      </c>
      <c r="C45" s="584">
        <f t="shared" si="0"/>
        <v>2.1082000000000001</v>
      </c>
      <c r="D45" s="511"/>
      <c r="E45" s="511"/>
      <c r="F45" s="583">
        <f>F16*25.4</f>
        <v>2.7685999999999997</v>
      </c>
      <c r="G45" s="584">
        <f>G16*25.4</f>
        <v>2.7685999999999997</v>
      </c>
      <c r="H45" s="511"/>
      <c r="I45" s="583">
        <f>I16*25.4</f>
        <v>3.7337999999999996</v>
      </c>
      <c r="J45" s="584">
        <f>J16*25.4</f>
        <v>3.7337999999999996</v>
      </c>
      <c r="K45" s="511"/>
      <c r="L45" s="511"/>
      <c r="M45" s="511"/>
      <c r="N45" s="583">
        <f t="shared" ref="N45:T60" si="1">N16*25.4</f>
        <v>4.7751999999999999</v>
      </c>
      <c r="O45" s="584">
        <f t="shared" si="1"/>
        <v>7.4675999999999991</v>
      </c>
      <c r="P45" s="585">
        <f t="shared" si="1"/>
        <v>38.099999999999994</v>
      </c>
      <c r="Q45" s="586">
        <f t="shared" si="1"/>
        <v>15.875</v>
      </c>
      <c r="R45" s="587">
        <f t="shared" si="1"/>
        <v>47.625</v>
      </c>
      <c r="S45" s="517"/>
      <c r="T45" s="517"/>
      <c r="U45" s="587">
        <f t="shared" ref="U45:X60" si="2">U16*25.4</f>
        <v>25.4</v>
      </c>
      <c r="V45" s="587">
        <f t="shared" si="2"/>
        <v>76.199999999999989</v>
      </c>
      <c r="W45" s="587">
        <f t="shared" si="2"/>
        <v>50.8</v>
      </c>
      <c r="X45" s="587">
        <f t="shared" si="2"/>
        <v>34.924999999999997</v>
      </c>
    </row>
    <row r="46" spans="1:24" x14ac:dyDescent="0.15">
      <c r="A46" s="588">
        <f t="shared" si="0"/>
        <v>19.049999999999997</v>
      </c>
      <c r="B46" s="589">
        <f t="shared" si="0"/>
        <v>26.669999999999998</v>
      </c>
      <c r="C46" s="589">
        <f t="shared" si="0"/>
        <v>2.1082000000000001</v>
      </c>
      <c r="D46" s="521"/>
      <c r="E46" s="521"/>
      <c r="F46" s="589">
        <f>F17*25.4</f>
        <v>2.8702000000000001</v>
      </c>
      <c r="G46" s="589">
        <f>G17*25.4</f>
        <v>2.8702000000000001</v>
      </c>
      <c r="H46" s="521"/>
      <c r="I46" s="589">
        <f>I17*25.4</f>
        <v>3.9115999999999995</v>
      </c>
      <c r="J46" s="589">
        <f>J17*25.4</f>
        <v>3.9115999999999995</v>
      </c>
      <c r="K46" s="521"/>
      <c r="L46" s="521"/>
      <c r="M46" s="521"/>
      <c r="N46" s="589">
        <f t="shared" si="1"/>
        <v>5.5625999999999998</v>
      </c>
      <c r="O46" s="589">
        <f t="shared" si="1"/>
        <v>7.823199999999999</v>
      </c>
      <c r="P46" s="590">
        <f t="shared" si="1"/>
        <v>28.574999999999999</v>
      </c>
      <c r="Q46" s="591">
        <f t="shared" si="1"/>
        <v>11.112499999999999</v>
      </c>
      <c r="R46" s="592">
        <f t="shared" si="1"/>
        <v>42.862499999999997</v>
      </c>
      <c r="S46" s="526"/>
      <c r="T46" s="526"/>
      <c r="U46" s="592">
        <f t="shared" si="2"/>
        <v>25.4</v>
      </c>
      <c r="V46" s="592">
        <f t="shared" si="2"/>
        <v>76.199999999999989</v>
      </c>
      <c r="W46" s="592">
        <f t="shared" si="2"/>
        <v>50.8</v>
      </c>
      <c r="X46" s="592">
        <f t="shared" si="2"/>
        <v>42.862499999999997</v>
      </c>
    </row>
    <row r="47" spans="1:24" x14ac:dyDescent="0.15">
      <c r="A47" s="588">
        <f t="shared" si="0"/>
        <v>25.4</v>
      </c>
      <c r="B47" s="589">
        <f t="shared" si="0"/>
        <v>33.400999999999996</v>
      </c>
      <c r="C47" s="589">
        <f t="shared" si="0"/>
        <v>2.7685999999999997</v>
      </c>
      <c r="D47" s="521"/>
      <c r="E47" s="521"/>
      <c r="F47" s="589">
        <f t="shared" si="0"/>
        <v>3.3782000000000001</v>
      </c>
      <c r="G47" s="589">
        <f t="shared" si="0"/>
        <v>3.3782000000000001</v>
      </c>
      <c r="H47" s="521"/>
      <c r="I47" s="589">
        <f t="shared" si="0"/>
        <v>4.5465999999999998</v>
      </c>
      <c r="J47" s="589">
        <f t="shared" si="0"/>
        <v>4.5465999999999998</v>
      </c>
      <c r="K47" s="521"/>
      <c r="L47" s="521"/>
      <c r="M47" s="521"/>
      <c r="N47" s="589">
        <f t="shared" si="0"/>
        <v>6.35</v>
      </c>
      <c r="O47" s="589">
        <f t="shared" si="0"/>
        <v>9.0931999999999995</v>
      </c>
      <c r="P47" s="590">
        <f t="shared" si="0"/>
        <v>38.099999999999994</v>
      </c>
      <c r="Q47" s="591">
        <f t="shared" si="1"/>
        <v>22.224999999999998</v>
      </c>
      <c r="R47" s="592">
        <f t="shared" si="1"/>
        <v>55.5625</v>
      </c>
      <c r="S47" s="593">
        <f t="shared" si="1"/>
        <v>25.4</v>
      </c>
      <c r="T47" s="594">
        <f t="shared" si="1"/>
        <v>41.274999999999999</v>
      </c>
      <c r="U47" s="592">
        <f t="shared" si="2"/>
        <v>38.099999999999994</v>
      </c>
      <c r="V47" s="592">
        <f t="shared" si="2"/>
        <v>101.6</v>
      </c>
      <c r="W47" s="592">
        <f t="shared" si="2"/>
        <v>50.8</v>
      </c>
      <c r="X47" s="592">
        <f t="shared" si="2"/>
        <v>50.8</v>
      </c>
    </row>
    <row r="48" spans="1:24" x14ac:dyDescent="0.15">
      <c r="A48" s="588">
        <f t="shared" si="0"/>
        <v>31.75</v>
      </c>
      <c r="B48" s="589">
        <f t="shared" si="0"/>
        <v>42.163999999999994</v>
      </c>
      <c r="C48" s="589">
        <f t="shared" si="0"/>
        <v>2.7685999999999997</v>
      </c>
      <c r="D48" s="521"/>
      <c r="E48" s="521"/>
      <c r="F48" s="589">
        <f t="shared" si="0"/>
        <v>3.556</v>
      </c>
      <c r="G48" s="589">
        <f t="shared" si="0"/>
        <v>3.556</v>
      </c>
      <c r="H48" s="521"/>
      <c r="I48" s="589">
        <f t="shared" si="0"/>
        <v>4.8513999999999999</v>
      </c>
      <c r="J48" s="589">
        <f t="shared" si="0"/>
        <v>4.8513999999999999</v>
      </c>
      <c r="K48" s="521"/>
      <c r="L48" s="521"/>
      <c r="M48" s="521"/>
      <c r="N48" s="589">
        <f t="shared" si="0"/>
        <v>6.35</v>
      </c>
      <c r="O48" s="589">
        <f t="shared" si="0"/>
        <v>9.7027999999999999</v>
      </c>
      <c r="P48" s="590">
        <f t="shared" si="0"/>
        <v>47.625</v>
      </c>
      <c r="Q48" s="591">
        <f t="shared" si="1"/>
        <v>25.4</v>
      </c>
      <c r="R48" s="592">
        <f t="shared" si="1"/>
        <v>69.849999999999994</v>
      </c>
      <c r="S48" s="593">
        <f t="shared" si="1"/>
        <v>31.75</v>
      </c>
      <c r="T48" s="594">
        <f t="shared" si="1"/>
        <v>52.387499999999996</v>
      </c>
      <c r="U48" s="592">
        <f t="shared" si="2"/>
        <v>38.099999999999994</v>
      </c>
      <c r="V48" s="592">
        <f t="shared" si="2"/>
        <v>101.6</v>
      </c>
      <c r="W48" s="592">
        <f t="shared" si="2"/>
        <v>50.8</v>
      </c>
      <c r="X48" s="592">
        <f t="shared" si="2"/>
        <v>63.5</v>
      </c>
    </row>
    <row r="49" spans="1:24" ht="14" thickBot="1" x14ac:dyDescent="0.2">
      <c r="A49" s="595">
        <f t="shared" si="0"/>
        <v>38.099999999999994</v>
      </c>
      <c r="B49" s="596">
        <f t="shared" si="0"/>
        <v>48.26</v>
      </c>
      <c r="C49" s="596">
        <f t="shared" si="0"/>
        <v>2.7685999999999997</v>
      </c>
      <c r="D49" s="537"/>
      <c r="E49" s="537"/>
      <c r="F49" s="596">
        <f t="shared" si="0"/>
        <v>3.6829999999999994</v>
      </c>
      <c r="G49" s="596">
        <f t="shared" si="0"/>
        <v>3.6829999999999994</v>
      </c>
      <c r="H49" s="537"/>
      <c r="I49" s="596">
        <f t="shared" si="0"/>
        <v>5.08</v>
      </c>
      <c r="J49" s="596">
        <f t="shared" si="0"/>
        <v>5.08</v>
      </c>
      <c r="K49" s="537"/>
      <c r="L49" s="537"/>
      <c r="M49" s="537"/>
      <c r="N49" s="596">
        <f t="shared" si="0"/>
        <v>7.1374000000000004</v>
      </c>
      <c r="O49" s="596">
        <f t="shared" si="0"/>
        <v>10.16</v>
      </c>
      <c r="P49" s="597">
        <f t="shared" si="0"/>
        <v>57.15</v>
      </c>
      <c r="Q49" s="598">
        <f t="shared" si="1"/>
        <v>28.574999999999999</v>
      </c>
      <c r="R49" s="599">
        <f t="shared" si="1"/>
        <v>82.55</v>
      </c>
      <c r="S49" s="600">
        <f t="shared" si="1"/>
        <v>38.099999999999994</v>
      </c>
      <c r="T49" s="601">
        <f t="shared" si="1"/>
        <v>61.912499999999994</v>
      </c>
      <c r="U49" s="599">
        <f t="shared" si="2"/>
        <v>38.099999999999994</v>
      </c>
      <c r="V49" s="599">
        <f t="shared" si="2"/>
        <v>101.6</v>
      </c>
      <c r="W49" s="599">
        <f t="shared" si="2"/>
        <v>50.8</v>
      </c>
      <c r="X49" s="599">
        <f t="shared" si="2"/>
        <v>73.024999999999991</v>
      </c>
    </row>
    <row r="50" spans="1:24" ht="14" thickTop="1" x14ac:dyDescent="0.15">
      <c r="A50" s="602">
        <f t="shared" si="0"/>
        <v>50.8</v>
      </c>
      <c r="B50" s="603">
        <f t="shared" si="0"/>
        <v>60.324999999999996</v>
      </c>
      <c r="C50" s="603">
        <f t="shared" si="0"/>
        <v>2.7685999999999997</v>
      </c>
      <c r="D50" s="511"/>
      <c r="E50" s="511"/>
      <c r="F50" s="603">
        <f t="shared" si="0"/>
        <v>3.9115999999999995</v>
      </c>
      <c r="G50" s="603">
        <f t="shared" si="0"/>
        <v>3.9115999999999995</v>
      </c>
      <c r="H50" s="511"/>
      <c r="I50" s="603">
        <f t="shared" si="0"/>
        <v>5.5371999999999995</v>
      </c>
      <c r="J50" s="603">
        <f t="shared" si="0"/>
        <v>5.5371999999999995</v>
      </c>
      <c r="K50" s="511"/>
      <c r="L50" s="511"/>
      <c r="M50" s="511"/>
      <c r="N50" s="603">
        <f t="shared" si="0"/>
        <v>8.7375999999999987</v>
      </c>
      <c r="O50" s="603">
        <f t="shared" si="0"/>
        <v>11.074399999999999</v>
      </c>
      <c r="P50" s="585">
        <f t="shared" si="0"/>
        <v>76.199999999999989</v>
      </c>
      <c r="Q50" s="586">
        <f t="shared" si="1"/>
        <v>34.924999999999997</v>
      </c>
      <c r="R50" s="587">
        <f t="shared" si="1"/>
        <v>106.3625</v>
      </c>
      <c r="S50" s="604">
        <f t="shared" si="1"/>
        <v>50.8</v>
      </c>
      <c r="T50" s="605">
        <f t="shared" si="1"/>
        <v>80.962499999999991</v>
      </c>
      <c r="U50" s="587">
        <f t="shared" si="2"/>
        <v>38.099999999999994</v>
      </c>
      <c r="V50" s="587">
        <f t="shared" si="2"/>
        <v>152.39999999999998</v>
      </c>
      <c r="W50" s="587">
        <f t="shared" si="2"/>
        <v>63.5</v>
      </c>
      <c r="X50" s="587">
        <f t="shared" si="2"/>
        <v>92.074999999999989</v>
      </c>
    </row>
    <row r="51" spans="1:24" x14ac:dyDescent="0.15">
      <c r="A51" s="588">
        <f t="shared" si="0"/>
        <v>63.5</v>
      </c>
      <c r="B51" s="589">
        <f t="shared" si="0"/>
        <v>73.024999999999991</v>
      </c>
      <c r="C51" s="589">
        <f t="shared" si="0"/>
        <v>3.0479999999999996</v>
      </c>
      <c r="D51" s="521"/>
      <c r="E51" s="521"/>
      <c r="F51" s="589">
        <f t="shared" si="0"/>
        <v>5.1562000000000001</v>
      </c>
      <c r="G51" s="589">
        <f t="shared" si="0"/>
        <v>5.1562000000000001</v>
      </c>
      <c r="H51" s="521"/>
      <c r="I51" s="589">
        <f t="shared" si="0"/>
        <v>7.0104000000000006</v>
      </c>
      <c r="J51" s="589">
        <f t="shared" si="0"/>
        <v>7.0104000000000006</v>
      </c>
      <c r="K51" s="521"/>
      <c r="L51" s="521"/>
      <c r="M51" s="521"/>
      <c r="N51" s="589">
        <f t="shared" si="0"/>
        <v>9.5249999999999986</v>
      </c>
      <c r="O51" s="589">
        <f t="shared" si="0"/>
        <v>14.020800000000001</v>
      </c>
      <c r="P51" s="590">
        <f t="shared" si="0"/>
        <v>95.25</v>
      </c>
      <c r="Q51" s="591">
        <f t="shared" si="1"/>
        <v>44.449999999999996</v>
      </c>
      <c r="R51" s="592">
        <f t="shared" si="1"/>
        <v>131.76249999999999</v>
      </c>
      <c r="S51" s="593">
        <f t="shared" si="1"/>
        <v>63.5</v>
      </c>
      <c r="T51" s="594">
        <f t="shared" si="1"/>
        <v>100.01249999999999</v>
      </c>
      <c r="U51" s="592">
        <f t="shared" si="2"/>
        <v>38.099999999999994</v>
      </c>
      <c r="V51" s="592">
        <f t="shared" si="2"/>
        <v>152.39999999999998</v>
      </c>
      <c r="W51" s="592">
        <f t="shared" si="2"/>
        <v>63.5</v>
      </c>
      <c r="X51" s="592">
        <f t="shared" si="2"/>
        <v>104.77499999999999</v>
      </c>
    </row>
    <row r="52" spans="1:24" x14ac:dyDescent="0.15">
      <c r="A52" s="588">
        <f t="shared" si="0"/>
        <v>76.199999999999989</v>
      </c>
      <c r="B52" s="589">
        <f t="shared" si="0"/>
        <v>88.899999999999991</v>
      </c>
      <c r="C52" s="521"/>
      <c r="D52" s="521"/>
      <c r="E52" s="521"/>
      <c r="F52" s="589">
        <f t="shared" si="0"/>
        <v>5.4863999999999997</v>
      </c>
      <c r="G52" s="589">
        <f t="shared" si="0"/>
        <v>5.4863999999999997</v>
      </c>
      <c r="H52" s="521"/>
      <c r="I52" s="589">
        <f t="shared" si="0"/>
        <v>7.6199999999999992</v>
      </c>
      <c r="J52" s="589">
        <f t="shared" si="0"/>
        <v>7.6199999999999992</v>
      </c>
      <c r="K52" s="521"/>
      <c r="L52" s="521"/>
      <c r="M52" s="521"/>
      <c r="N52" s="589">
        <f t="shared" si="0"/>
        <v>11.1252</v>
      </c>
      <c r="O52" s="589">
        <f t="shared" si="0"/>
        <v>15.239999999999998</v>
      </c>
      <c r="P52" s="590">
        <f t="shared" si="0"/>
        <v>114.3</v>
      </c>
      <c r="Q52" s="591">
        <f t="shared" si="1"/>
        <v>50.8</v>
      </c>
      <c r="R52" s="592">
        <f t="shared" si="1"/>
        <v>158.75</v>
      </c>
      <c r="S52" s="593">
        <f t="shared" si="1"/>
        <v>76.199999999999989</v>
      </c>
      <c r="T52" s="594">
        <f t="shared" si="1"/>
        <v>120.64999999999999</v>
      </c>
      <c r="U52" s="592">
        <f t="shared" si="2"/>
        <v>50.8</v>
      </c>
      <c r="V52" s="592">
        <f t="shared" si="2"/>
        <v>152.39999999999998</v>
      </c>
      <c r="W52" s="592">
        <f t="shared" si="2"/>
        <v>63.5</v>
      </c>
      <c r="X52" s="592">
        <f t="shared" si="2"/>
        <v>127</v>
      </c>
    </row>
    <row r="53" spans="1:24" ht="14" thickBot="1" x14ac:dyDescent="0.2">
      <c r="A53" s="606">
        <f t="shared" si="0"/>
        <v>88.899999999999991</v>
      </c>
      <c r="B53" s="607">
        <f t="shared" si="0"/>
        <v>101.6</v>
      </c>
      <c r="C53" s="537"/>
      <c r="D53" s="537"/>
      <c r="E53" s="537"/>
      <c r="F53" s="607">
        <f t="shared" si="0"/>
        <v>5.7404000000000002</v>
      </c>
      <c r="G53" s="607">
        <f t="shared" si="0"/>
        <v>5.7404000000000002</v>
      </c>
      <c r="H53" s="537"/>
      <c r="I53" s="607">
        <f t="shared" si="0"/>
        <v>8.0771999999999995</v>
      </c>
      <c r="J53" s="607">
        <f t="shared" si="0"/>
        <v>8.0771999999999995</v>
      </c>
      <c r="K53" s="537"/>
      <c r="L53" s="537"/>
      <c r="M53" s="537"/>
      <c r="N53" s="537"/>
      <c r="O53" s="607">
        <f t="shared" si="0"/>
        <v>16.154399999999999</v>
      </c>
      <c r="P53" s="597">
        <f t="shared" si="0"/>
        <v>133.35</v>
      </c>
      <c r="Q53" s="598">
        <f t="shared" si="1"/>
        <v>57.15</v>
      </c>
      <c r="R53" s="599">
        <f t="shared" si="1"/>
        <v>184.14999999999998</v>
      </c>
      <c r="S53" s="600">
        <f t="shared" si="1"/>
        <v>88.899999999999991</v>
      </c>
      <c r="T53" s="601">
        <f t="shared" si="1"/>
        <v>139.69999999999999</v>
      </c>
      <c r="U53" s="599">
        <f t="shared" si="2"/>
        <v>63.5</v>
      </c>
      <c r="V53" s="599">
        <f t="shared" si="2"/>
        <v>152.39999999999998</v>
      </c>
      <c r="W53" s="599">
        <f t="shared" si="2"/>
        <v>76.199999999999989</v>
      </c>
      <c r="X53" s="599">
        <f t="shared" si="2"/>
        <v>139.69999999999999</v>
      </c>
    </row>
    <row r="54" spans="1:24" ht="14" thickTop="1" x14ac:dyDescent="0.15">
      <c r="A54" s="608">
        <f t="shared" si="0"/>
        <v>101.6</v>
      </c>
      <c r="B54" s="603">
        <f t="shared" si="0"/>
        <v>114.3</v>
      </c>
      <c r="C54" s="511"/>
      <c r="D54" s="511"/>
      <c r="E54" s="511"/>
      <c r="F54" s="603">
        <f t="shared" si="0"/>
        <v>6.0197999999999992</v>
      </c>
      <c r="G54" s="603">
        <f t="shared" si="0"/>
        <v>6.0197999999999992</v>
      </c>
      <c r="H54" s="511"/>
      <c r="I54" s="603">
        <f t="shared" si="0"/>
        <v>8.5597999999999992</v>
      </c>
      <c r="J54" s="603">
        <f t="shared" si="0"/>
        <v>8.5597999999999992</v>
      </c>
      <c r="K54" s="511"/>
      <c r="L54" s="603">
        <f t="shared" si="0"/>
        <v>11.1252</v>
      </c>
      <c r="M54" s="511"/>
      <c r="N54" s="603">
        <f t="shared" si="0"/>
        <v>13.487399999999999</v>
      </c>
      <c r="O54" s="603">
        <f t="shared" si="0"/>
        <v>17.119599999999998</v>
      </c>
      <c r="P54" s="585">
        <f t="shared" si="0"/>
        <v>152.39999999999998</v>
      </c>
      <c r="Q54" s="586">
        <f t="shared" si="1"/>
        <v>63.5</v>
      </c>
      <c r="R54" s="587">
        <f t="shared" si="1"/>
        <v>209.54999999999998</v>
      </c>
      <c r="S54" s="604">
        <f t="shared" si="1"/>
        <v>101.6</v>
      </c>
      <c r="T54" s="605">
        <f t="shared" si="1"/>
        <v>158.75</v>
      </c>
      <c r="U54" s="587">
        <f t="shared" si="2"/>
        <v>63.5</v>
      </c>
      <c r="V54" s="587">
        <f t="shared" si="2"/>
        <v>152.39999999999998</v>
      </c>
      <c r="W54" s="587">
        <f t="shared" si="2"/>
        <v>76.199999999999989</v>
      </c>
      <c r="X54" s="587">
        <f t="shared" si="2"/>
        <v>157.16249999999999</v>
      </c>
    </row>
    <row r="55" spans="1:24" x14ac:dyDescent="0.15">
      <c r="A55" s="588">
        <f t="shared" si="0"/>
        <v>127</v>
      </c>
      <c r="B55" s="589">
        <f t="shared" si="0"/>
        <v>141.30019999999999</v>
      </c>
      <c r="C55" s="521"/>
      <c r="D55" s="521"/>
      <c r="E55" s="521"/>
      <c r="F55" s="589">
        <f t="shared" si="0"/>
        <v>6.5531999999999995</v>
      </c>
      <c r="G55" s="589">
        <f t="shared" si="0"/>
        <v>6.5531999999999995</v>
      </c>
      <c r="H55" s="521"/>
      <c r="I55" s="589">
        <f t="shared" si="0"/>
        <v>9.5249999999999986</v>
      </c>
      <c r="J55" s="589">
        <f t="shared" si="0"/>
        <v>9.5249999999999986</v>
      </c>
      <c r="K55" s="521"/>
      <c r="L55" s="589">
        <f t="shared" si="0"/>
        <v>12.7</v>
      </c>
      <c r="M55" s="521"/>
      <c r="N55" s="589">
        <f t="shared" si="0"/>
        <v>15.875</v>
      </c>
      <c r="O55" s="589">
        <f t="shared" si="0"/>
        <v>19.049999999999997</v>
      </c>
      <c r="P55" s="590">
        <f t="shared" si="0"/>
        <v>190.5</v>
      </c>
      <c r="Q55" s="591">
        <f t="shared" si="1"/>
        <v>79.375</v>
      </c>
      <c r="R55" s="592">
        <f t="shared" si="1"/>
        <v>261.9375</v>
      </c>
      <c r="S55" s="593">
        <f t="shared" si="1"/>
        <v>127</v>
      </c>
      <c r="T55" s="594">
        <f t="shared" si="1"/>
        <v>196.85</v>
      </c>
      <c r="U55" s="592">
        <f t="shared" si="2"/>
        <v>76.199999999999989</v>
      </c>
      <c r="V55" s="592">
        <f t="shared" si="2"/>
        <v>203.2</v>
      </c>
      <c r="W55" s="592">
        <f t="shared" si="2"/>
        <v>76.199999999999989</v>
      </c>
      <c r="X55" s="592">
        <f t="shared" si="2"/>
        <v>185.73749999999998</v>
      </c>
    </row>
    <row r="56" spans="1:24" x14ac:dyDescent="0.15">
      <c r="A56" s="588">
        <f t="shared" si="0"/>
        <v>152.39999999999998</v>
      </c>
      <c r="B56" s="589">
        <f t="shared" si="0"/>
        <v>168.27499999999998</v>
      </c>
      <c r="C56" s="521"/>
      <c r="D56" s="521"/>
      <c r="E56" s="521"/>
      <c r="F56" s="589">
        <f t="shared" si="0"/>
        <v>7.1120000000000001</v>
      </c>
      <c r="G56" s="589">
        <f t="shared" si="0"/>
        <v>7.1120000000000001</v>
      </c>
      <c r="H56" s="521"/>
      <c r="I56" s="589">
        <f t="shared" si="0"/>
        <v>10.972799999999999</v>
      </c>
      <c r="J56" s="589">
        <f t="shared" si="0"/>
        <v>10.972799999999999</v>
      </c>
      <c r="K56" s="521"/>
      <c r="L56" s="589">
        <f t="shared" si="0"/>
        <v>14.274800000000001</v>
      </c>
      <c r="M56" s="521"/>
      <c r="N56" s="589">
        <f t="shared" si="0"/>
        <v>18.262599999999999</v>
      </c>
      <c r="O56" s="589">
        <f t="shared" si="0"/>
        <v>21.945599999999999</v>
      </c>
      <c r="P56" s="590">
        <f t="shared" si="0"/>
        <v>228.6</v>
      </c>
      <c r="Q56" s="591">
        <f t="shared" si="1"/>
        <v>95.25</v>
      </c>
      <c r="R56" s="592">
        <f t="shared" si="1"/>
        <v>312.73749999999995</v>
      </c>
      <c r="S56" s="593">
        <f t="shared" si="1"/>
        <v>152.39999999999998</v>
      </c>
      <c r="T56" s="594">
        <f t="shared" si="1"/>
        <v>236.53749999999999</v>
      </c>
      <c r="U56" s="592">
        <f t="shared" si="2"/>
        <v>88.899999999999991</v>
      </c>
      <c r="V56" s="592">
        <f t="shared" si="2"/>
        <v>203.2</v>
      </c>
      <c r="W56" s="592">
        <f t="shared" si="2"/>
        <v>88.899999999999991</v>
      </c>
      <c r="X56" s="592">
        <f t="shared" si="2"/>
        <v>215.89999999999998</v>
      </c>
    </row>
    <row r="57" spans="1:24" ht="14" thickBot="1" x14ac:dyDescent="0.2">
      <c r="A57" s="606">
        <f t="shared" si="0"/>
        <v>203.2</v>
      </c>
      <c r="B57" s="607">
        <f t="shared" si="0"/>
        <v>219.07499999999999</v>
      </c>
      <c r="C57" s="537"/>
      <c r="D57" s="607">
        <f t="shared" si="0"/>
        <v>6.35</v>
      </c>
      <c r="E57" s="607">
        <f t="shared" si="0"/>
        <v>7.0358000000000001</v>
      </c>
      <c r="F57" s="607">
        <f t="shared" si="0"/>
        <v>8.178799999999999</v>
      </c>
      <c r="G57" s="607">
        <f t="shared" si="0"/>
        <v>8.178799999999999</v>
      </c>
      <c r="H57" s="607">
        <f t="shared" si="0"/>
        <v>10.3124</v>
      </c>
      <c r="I57" s="607">
        <f t="shared" si="0"/>
        <v>12.7</v>
      </c>
      <c r="J57" s="607">
        <f t="shared" si="0"/>
        <v>12.7</v>
      </c>
      <c r="K57" s="607">
        <f t="shared" si="0"/>
        <v>15.087599999999998</v>
      </c>
      <c r="L57" s="607">
        <f t="shared" si="0"/>
        <v>18.262599999999999</v>
      </c>
      <c r="M57" s="607">
        <f t="shared" si="0"/>
        <v>20.6248</v>
      </c>
      <c r="N57" s="607">
        <f t="shared" si="0"/>
        <v>23.0124</v>
      </c>
      <c r="O57" s="607">
        <f t="shared" si="0"/>
        <v>22.224999999999998</v>
      </c>
      <c r="P57" s="597">
        <f t="shared" si="0"/>
        <v>304.79999999999995</v>
      </c>
      <c r="Q57" s="598">
        <f t="shared" si="1"/>
        <v>127</v>
      </c>
      <c r="R57" s="599">
        <f t="shared" si="1"/>
        <v>414.33749999999998</v>
      </c>
      <c r="S57" s="600">
        <f t="shared" si="1"/>
        <v>203.2</v>
      </c>
      <c r="T57" s="601">
        <f t="shared" si="1"/>
        <v>312.73749999999995</v>
      </c>
      <c r="U57" s="599">
        <f t="shared" si="2"/>
        <v>101.6</v>
      </c>
      <c r="V57" s="599">
        <f t="shared" si="2"/>
        <v>203.2</v>
      </c>
      <c r="W57" s="599">
        <f t="shared" si="2"/>
        <v>101.6</v>
      </c>
      <c r="X57" s="599">
        <f t="shared" si="2"/>
        <v>269.875</v>
      </c>
    </row>
    <row r="58" spans="1:24" ht="14" thickTop="1" x14ac:dyDescent="0.15">
      <c r="A58" s="608">
        <f t="shared" si="0"/>
        <v>254</v>
      </c>
      <c r="B58" s="603">
        <f t="shared" si="0"/>
        <v>273.05</v>
      </c>
      <c r="C58" s="511"/>
      <c r="D58" s="603">
        <f t="shared" si="0"/>
        <v>6.35</v>
      </c>
      <c r="E58" s="603">
        <f t="shared" si="0"/>
        <v>7.7977999999999996</v>
      </c>
      <c r="F58" s="603">
        <f t="shared" si="0"/>
        <v>9.270999999999999</v>
      </c>
      <c r="G58" s="603">
        <f t="shared" si="0"/>
        <v>9.270999999999999</v>
      </c>
      <c r="H58" s="603">
        <f t="shared" si="0"/>
        <v>12.7</v>
      </c>
      <c r="I58" s="603">
        <f t="shared" si="0"/>
        <v>12.7</v>
      </c>
      <c r="J58" s="603">
        <f t="shared" si="0"/>
        <v>15.087599999999998</v>
      </c>
      <c r="K58" s="603">
        <f t="shared" si="0"/>
        <v>18.262599999999999</v>
      </c>
      <c r="L58" s="603">
        <f t="shared" si="0"/>
        <v>21.4376</v>
      </c>
      <c r="M58" s="603">
        <f t="shared" si="0"/>
        <v>25.4</v>
      </c>
      <c r="N58" s="603">
        <f t="shared" si="0"/>
        <v>28.574999999999999</v>
      </c>
      <c r="O58" s="603">
        <f t="shared" si="0"/>
        <v>25.4</v>
      </c>
      <c r="P58" s="585">
        <f t="shared" si="0"/>
        <v>381</v>
      </c>
      <c r="Q58" s="586">
        <f t="shared" si="1"/>
        <v>158.75</v>
      </c>
      <c r="R58" s="587">
        <f t="shared" si="1"/>
        <v>517.52499999999998</v>
      </c>
      <c r="S58" s="604">
        <f t="shared" si="1"/>
        <v>254</v>
      </c>
      <c r="T58" s="605">
        <f t="shared" si="1"/>
        <v>390.52499999999998</v>
      </c>
      <c r="U58" s="587">
        <f t="shared" si="2"/>
        <v>127</v>
      </c>
      <c r="V58" s="587">
        <f t="shared" si="2"/>
        <v>254</v>
      </c>
      <c r="W58" s="587">
        <f t="shared" si="2"/>
        <v>127</v>
      </c>
      <c r="X58" s="587">
        <f t="shared" si="2"/>
        <v>323.84999999999997</v>
      </c>
    </row>
    <row r="59" spans="1:24" x14ac:dyDescent="0.15">
      <c r="A59" s="588">
        <f t="shared" si="0"/>
        <v>304.79999999999995</v>
      </c>
      <c r="B59" s="589">
        <f t="shared" si="0"/>
        <v>323.84999999999997</v>
      </c>
      <c r="C59" s="521"/>
      <c r="D59" s="589">
        <f t="shared" si="0"/>
        <v>6.35</v>
      </c>
      <c r="E59" s="589">
        <f t="shared" si="0"/>
        <v>8.3819999999999997</v>
      </c>
      <c r="F59" s="589">
        <f t="shared" si="0"/>
        <v>9.5249999999999986</v>
      </c>
      <c r="G59" s="589">
        <f t="shared" si="0"/>
        <v>10.3124</v>
      </c>
      <c r="H59" s="589">
        <f t="shared" si="0"/>
        <v>14.274800000000001</v>
      </c>
      <c r="I59" s="589">
        <f t="shared" si="0"/>
        <v>12.7</v>
      </c>
      <c r="J59" s="589">
        <f t="shared" si="0"/>
        <v>17.475199999999997</v>
      </c>
      <c r="K59" s="589">
        <f t="shared" si="0"/>
        <v>21.4376</v>
      </c>
      <c r="L59" s="589">
        <f t="shared" si="0"/>
        <v>25.4</v>
      </c>
      <c r="M59" s="589">
        <f t="shared" si="0"/>
        <v>28.574999999999999</v>
      </c>
      <c r="N59" s="589">
        <f t="shared" si="0"/>
        <v>33.324799999999996</v>
      </c>
      <c r="O59" s="589">
        <f t="shared" si="0"/>
        <v>25.4</v>
      </c>
      <c r="P59" s="590">
        <f t="shared" si="0"/>
        <v>457.2</v>
      </c>
      <c r="Q59" s="591">
        <f t="shared" si="1"/>
        <v>190.5</v>
      </c>
      <c r="R59" s="592">
        <f t="shared" si="1"/>
        <v>619.125</v>
      </c>
      <c r="S59" s="593">
        <f t="shared" si="1"/>
        <v>304.79999999999995</v>
      </c>
      <c r="T59" s="594">
        <f t="shared" si="1"/>
        <v>466.72499999999997</v>
      </c>
      <c r="U59" s="592">
        <f t="shared" si="2"/>
        <v>152.39999999999998</v>
      </c>
      <c r="V59" s="592">
        <f t="shared" si="2"/>
        <v>254</v>
      </c>
      <c r="W59" s="592">
        <f t="shared" si="2"/>
        <v>152.39999999999998</v>
      </c>
      <c r="X59" s="592">
        <f t="shared" si="2"/>
        <v>381</v>
      </c>
    </row>
    <row r="60" spans="1:24" x14ac:dyDescent="0.15">
      <c r="A60" s="588">
        <f t="shared" si="0"/>
        <v>355.59999999999997</v>
      </c>
      <c r="B60" s="589">
        <f t="shared" si="0"/>
        <v>355.59999999999997</v>
      </c>
      <c r="C60" s="521"/>
      <c r="D60" s="589">
        <f t="shared" si="0"/>
        <v>7.9247999999999994</v>
      </c>
      <c r="E60" s="589">
        <f t="shared" si="0"/>
        <v>9.5249999999999986</v>
      </c>
      <c r="F60" s="589">
        <f t="shared" si="0"/>
        <v>9.5249999999999986</v>
      </c>
      <c r="G60" s="589">
        <f t="shared" si="0"/>
        <v>11.1252</v>
      </c>
      <c r="H60" s="589">
        <f t="shared" si="0"/>
        <v>15.087599999999998</v>
      </c>
      <c r="I60" s="589">
        <f t="shared" si="0"/>
        <v>12.7</v>
      </c>
      <c r="J60" s="589">
        <f t="shared" si="0"/>
        <v>19.049999999999997</v>
      </c>
      <c r="K60" s="589">
        <f t="shared" si="0"/>
        <v>23.825199999999999</v>
      </c>
      <c r="L60" s="589">
        <f t="shared" si="0"/>
        <v>27.787600000000001</v>
      </c>
      <c r="M60" s="589">
        <f t="shared" si="0"/>
        <v>31.75</v>
      </c>
      <c r="N60" s="589">
        <f t="shared" si="0"/>
        <v>35.712399999999995</v>
      </c>
      <c r="O60" s="521"/>
      <c r="P60" s="590">
        <f t="shared" si="0"/>
        <v>533.4</v>
      </c>
      <c r="Q60" s="591">
        <f t="shared" si="1"/>
        <v>222.25</v>
      </c>
      <c r="R60" s="592">
        <f t="shared" si="1"/>
        <v>711.19999999999993</v>
      </c>
      <c r="S60" s="593">
        <f t="shared" si="1"/>
        <v>355.59999999999997</v>
      </c>
      <c r="T60" s="594">
        <f t="shared" si="1"/>
        <v>533.4</v>
      </c>
      <c r="U60" s="592">
        <f t="shared" si="2"/>
        <v>165.1</v>
      </c>
      <c r="V60" s="592">
        <f t="shared" si="2"/>
        <v>304.79999999999995</v>
      </c>
      <c r="W60" s="526"/>
      <c r="X60" s="592">
        <f>X31*25.4</f>
        <v>412.75</v>
      </c>
    </row>
    <row r="61" spans="1:24" ht="14" thickBot="1" x14ac:dyDescent="0.2">
      <c r="A61" s="606">
        <f t="shared" ref="A61:N68" si="3">A32*25.4</f>
        <v>406.4</v>
      </c>
      <c r="B61" s="607">
        <f t="shared" si="3"/>
        <v>406.4</v>
      </c>
      <c r="C61" s="537"/>
      <c r="D61" s="607">
        <f t="shared" si="3"/>
        <v>7.9247999999999994</v>
      </c>
      <c r="E61" s="607">
        <f t="shared" si="3"/>
        <v>9.5249999999999986</v>
      </c>
      <c r="F61" s="607">
        <f t="shared" si="3"/>
        <v>9.5249999999999986</v>
      </c>
      <c r="G61" s="607">
        <f t="shared" si="3"/>
        <v>12.7</v>
      </c>
      <c r="H61" s="607">
        <f t="shared" si="3"/>
        <v>16.662399999999998</v>
      </c>
      <c r="I61" s="607">
        <f t="shared" si="3"/>
        <v>12.7</v>
      </c>
      <c r="J61" s="607">
        <f t="shared" si="3"/>
        <v>21.4376</v>
      </c>
      <c r="K61" s="607">
        <f t="shared" si="3"/>
        <v>26.187399999999997</v>
      </c>
      <c r="L61" s="607">
        <f t="shared" si="3"/>
        <v>30.962600000000002</v>
      </c>
      <c r="M61" s="607">
        <f t="shared" si="3"/>
        <v>36.525199999999998</v>
      </c>
      <c r="N61" s="607">
        <f t="shared" si="3"/>
        <v>40.4876</v>
      </c>
      <c r="O61" s="537"/>
      <c r="P61" s="597">
        <f t="shared" ref="P61:V68" si="4">P32*25.4</f>
        <v>609.59999999999991</v>
      </c>
      <c r="Q61" s="598">
        <f t="shared" si="4"/>
        <v>254</v>
      </c>
      <c r="R61" s="599">
        <f t="shared" si="4"/>
        <v>812.8</v>
      </c>
      <c r="S61" s="600">
        <f t="shared" si="4"/>
        <v>406.4</v>
      </c>
      <c r="T61" s="601">
        <f t="shared" si="4"/>
        <v>609.59999999999991</v>
      </c>
      <c r="U61" s="599">
        <f t="shared" si="4"/>
        <v>177.79999999999998</v>
      </c>
      <c r="V61" s="599">
        <f t="shared" si="4"/>
        <v>304.79999999999995</v>
      </c>
      <c r="W61" s="568"/>
      <c r="X61" s="599">
        <f>X32*25.4</f>
        <v>469.9</v>
      </c>
    </row>
    <row r="62" spans="1:24" ht="14" thickTop="1" x14ac:dyDescent="0.15">
      <c r="A62" s="608">
        <f t="shared" si="3"/>
        <v>457.2</v>
      </c>
      <c r="B62" s="603">
        <f t="shared" si="3"/>
        <v>457.2</v>
      </c>
      <c r="C62" s="511"/>
      <c r="D62" s="603">
        <f t="shared" si="3"/>
        <v>7.9247999999999994</v>
      </c>
      <c r="E62" s="603">
        <f t="shared" si="3"/>
        <v>11.1252</v>
      </c>
      <c r="F62" s="603">
        <f t="shared" si="3"/>
        <v>9.5249999999999986</v>
      </c>
      <c r="G62" s="603">
        <f t="shared" si="3"/>
        <v>14.274800000000001</v>
      </c>
      <c r="H62" s="603">
        <f t="shared" si="3"/>
        <v>19.049999999999997</v>
      </c>
      <c r="I62" s="603">
        <f t="shared" si="3"/>
        <v>12.7</v>
      </c>
      <c r="J62" s="603">
        <f t="shared" si="3"/>
        <v>23.825199999999999</v>
      </c>
      <c r="K62" s="603">
        <f t="shared" si="3"/>
        <v>29.362399999999997</v>
      </c>
      <c r="L62" s="603">
        <f t="shared" si="3"/>
        <v>34.924999999999997</v>
      </c>
      <c r="M62" s="603">
        <f t="shared" si="3"/>
        <v>39.674799999999998</v>
      </c>
      <c r="N62" s="603">
        <f t="shared" si="3"/>
        <v>45.237399999999994</v>
      </c>
      <c r="O62" s="511"/>
      <c r="P62" s="585">
        <f t="shared" si="4"/>
        <v>685.8</v>
      </c>
      <c r="Q62" s="586">
        <f t="shared" si="4"/>
        <v>285.75</v>
      </c>
      <c r="R62" s="587">
        <f t="shared" si="4"/>
        <v>914.4</v>
      </c>
      <c r="S62" s="604">
        <f t="shared" si="4"/>
        <v>457.2</v>
      </c>
      <c r="T62" s="605">
        <f t="shared" si="4"/>
        <v>685.8</v>
      </c>
      <c r="U62" s="587">
        <f t="shared" si="4"/>
        <v>203.2</v>
      </c>
      <c r="V62" s="587">
        <f t="shared" si="4"/>
        <v>304.79999999999995</v>
      </c>
      <c r="W62" s="517"/>
      <c r="X62" s="587">
        <f>X33*25.4</f>
        <v>533.4</v>
      </c>
    </row>
    <row r="63" spans="1:24" x14ac:dyDescent="0.15">
      <c r="A63" s="588">
        <f t="shared" si="3"/>
        <v>508</v>
      </c>
      <c r="B63" s="589">
        <f t="shared" si="3"/>
        <v>508</v>
      </c>
      <c r="C63" s="521"/>
      <c r="D63" s="589">
        <f t="shared" si="3"/>
        <v>9.5249999999999986</v>
      </c>
      <c r="E63" s="589">
        <f t="shared" si="3"/>
        <v>12.7</v>
      </c>
      <c r="F63" s="589">
        <f t="shared" si="3"/>
        <v>9.5249999999999986</v>
      </c>
      <c r="G63" s="589">
        <f t="shared" si="3"/>
        <v>15.087599999999998</v>
      </c>
      <c r="H63" s="589">
        <f t="shared" si="3"/>
        <v>20.6248</v>
      </c>
      <c r="I63" s="589">
        <f t="shared" si="3"/>
        <v>12.7</v>
      </c>
      <c r="J63" s="589">
        <f t="shared" si="3"/>
        <v>26.187399999999997</v>
      </c>
      <c r="K63" s="589">
        <f t="shared" si="3"/>
        <v>32.537399999999998</v>
      </c>
      <c r="L63" s="589">
        <f t="shared" si="3"/>
        <v>38.099999999999994</v>
      </c>
      <c r="M63" s="589">
        <f t="shared" si="3"/>
        <v>44.449999999999996</v>
      </c>
      <c r="N63" s="589">
        <f t="shared" si="3"/>
        <v>50.012599999999999</v>
      </c>
      <c r="O63" s="521"/>
      <c r="P63" s="590">
        <f t="shared" si="4"/>
        <v>762</v>
      </c>
      <c r="Q63" s="591">
        <f t="shared" si="4"/>
        <v>317.5</v>
      </c>
      <c r="R63" s="592">
        <f t="shared" si="4"/>
        <v>1016</v>
      </c>
      <c r="S63" s="593">
        <f t="shared" si="4"/>
        <v>508</v>
      </c>
      <c r="T63" s="594">
        <f t="shared" si="4"/>
        <v>762</v>
      </c>
      <c r="U63" s="592">
        <f t="shared" si="4"/>
        <v>228.6</v>
      </c>
      <c r="V63" s="592">
        <f t="shared" si="4"/>
        <v>304.79999999999995</v>
      </c>
      <c r="W63" s="526"/>
      <c r="X63" s="592">
        <f>X34*25.4</f>
        <v>584.19999999999993</v>
      </c>
    </row>
    <row r="64" spans="1:24" x14ac:dyDescent="0.15">
      <c r="A64" s="588">
        <f t="shared" si="3"/>
        <v>609.59999999999991</v>
      </c>
      <c r="B64" s="589">
        <f t="shared" si="3"/>
        <v>609.59999999999991</v>
      </c>
      <c r="C64" s="521"/>
      <c r="D64" s="589">
        <f t="shared" si="3"/>
        <v>9.5249999999999986</v>
      </c>
      <c r="E64" s="589">
        <f t="shared" si="3"/>
        <v>14.274800000000001</v>
      </c>
      <c r="F64" s="589">
        <f t="shared" si="3"/>
        <v>9.5249999999999986</v>
      </c>
      <c r="G64" s="589">
        <f t="shared" si="3"/>
        <v>17.475199999999997</v>
      </c>
      <c r="H64" s="589">
        <f t="shared" si="3"/>
        <v>24.612599999999997</v>
      </c>
      <c r="I64" s="589">
        <f t="shared" si="3"/>
        <v>12.7</v>
      </c>
      <c r="J64" s="589">
        <f t="shared" si="3"/>
        <v>30.962600000000002</v>
      </c>
      <c r="K64" s="589">
        <f t="shared" si="3"/>
        <v>38.887399999999992</v>
      </c>
      <c r="L64" s="589">
        <f t="shared" si="3"/>
        <v>46.024799999999999</v>
      </c>
      <c r="M64" s="589">
        <f t="shared" si="3"/>
        <v>52.374799999999993</v>
      </c>
      <c r="N64" s="589">
        <f t="shared" si="3"/>
        <v>59.537599999999991</v>
      </c>
      <c r="O64" s="521"/>
      <c r="P64" s="590">
        <f t="shared" si="4"/>
        <v>914.4</v>
      </c>
      <c r="Q64" s="591">
        <f t="shared" si="4"/>
        <v>381</v>
      </c>
      <c r="R64" s="592">
        <f t="shared" si="4"/>
        <v>1219.1999999999998</v>
      </c>
      <c r="S64" s="593">
        <f t="shared" si="4"/>
        <v>609.59999999999991</v>
      </c>
      <c r="T64" s="594">
        <f t="shared" si="4"/>
        <v>914.4</v>
      </c>
      <c r="U64" s="592">
        <f t="shared" si="4"/>
        <v>266.7</v>
      </c>
      <c r="V64" s="592">
        <f t="shared" si="4"/>
        <v>304.79999999999995</v>
      </c>
      <c r="W64" s="526"/>
      <c r="X64" s="592">
        <f>X35*25.4</f>
        <v>692.15</v>
      </c>
    </row>
    <row r="65" spans="1:24" ht="14" thickBot="1" x14ac:dyDescent="0.2">
      <c r="A65" s="606">
        <f t="shared" si="3"/>
        <v>762</v>
      </c>
      <c r="B65" s="607">
        <f t="shared" si="3"/>
        <v>762</v>
      </c>
      <c r="C65" s="537"/>
      <c r="D65" s="607">
        <f t="shared" si="3"/>
        <v>12.7</v>
      </c>
      <c r="E65" s="607">
        <f t="shared" si="3"/>
        <v>15.875</v>
      </c>
      <c r="F65" s="607">
        <f t="shared" si="3"/>
        <v>9.5249999999999986</v>
      </c>
      <c r="G65" s="537"/>
      <c r="H65" s="537"/>
      <c r="I65" s="607">
        <f t="shared" si="3"/>
        <v>12.7</v>
      </c>
      <c r="J65" s="537"/>
      <c r="K65" s="537"/>
      <c r="L65" s="537"/>
      <c r="M65" s="537"/>
      <c r="N65" s="537"/>
      <c r="O65" s="537"/>
      <c r="P65" s="597">
        <f t="shared" si="4"/>
        <v>1143</v>
      </c>
      <c r="Q65" s="598">
        <f t="shared" si="4"/>
        <v>469.9</v>
      </c>
      <c r="R65" s="609">
        <f t="shared" si="4"/>
        <v>1524</v>
      </c>
      <c r="S65" s="600">
        <f t="shared" si="4"/>
        <v>762</v>
      </c>
      <c r="T65" s="601">
        <f t="shared" si="4"/>
        <v>1143</v>
      </c>
      <c r="U65" s="599">
        <f>U36*25.4</f>
        <v>266.7</v>
      </c>
      <c r="V65" s="568"/>
      <c r="W65" s="568"/>
      <c r="X65" s="568"/>
    </row>
    <row r="66" spans="1:24" ht="14" thickTop="1" x14ac:dyDescent="0.15">
      <c r="A66" s="608">
        <f t="shared" si="3"/>
        <v>914.4</v>
      </c>
      <c r="B66" s="603">
        <f t="shared" si="3"/>
        <v>914.4</v>
      </c>
      <c r="C66" s="511"/>
      <c r="D66" s="603">
        <f t="shared" si="3"/>
        <v>12.7</v>
      </c>
      <c r="E66" s="603">
        <f t="shared" si="3"/>
        <v>15.875</v>
      </c>
      <c r="F66" s="603">
        <f t="shared" si="3"/>
        <v>9.5249999999999986</v>
      </c>
      <c r="G66" s="603">
        <f t="shared" si="3"/>
        <v>19.049999999999997</v>
      </c>
      <c r="H66" s="511"/>
      <c r="I66" s="603">
        <f t="shared" si="3"/>
        <v>12.7</v>
      </c>
      <c r="J66" s="511"/>
      <c r="K66" s="511"/>
      <c r="L66" s="511"/>
      <c r="M66" s="511"/>
      <c r="N66" s="511"/>
      <c r="O66" s="511"/>
      <c r="P66" s="585">
        <f t="shared" si="4"/>
        <v>1371.6</v>
      </c>
      <c r="Q66" s="586">
        <f>Q37*25.4</f>
        <v>565.15</v>
      </c>
      <c r="R66" s="517"/>
      <c r="S66" s="604">
        <f>S37*25.4</f>
        <v>914.4</v>
      </c>
      <c r="T66" s="605">
        <f>T37*25.4</f>
        <v>1371.6</v>
      </c>
      <c r="U66" s="587">
        <f>U37*25.4</f>
        <v>266.7</v>
      </c>
      <c r="V66" s="517"/>
      <c r="W66" s="517"/>
      <c r="X66" s="517"/>
    </row>
    <row r="67" spans="1:24" x14ac:dyDescent="0.15">
      <c r="A67" s="588">
        <f t="shared" si="3"/>
        <v>1066.8</v>
      </c>
      <c r="B67" s="589">
        <f t="shared" si="3"/>
        <v>1066.8</v>
      </c>
      <c r="C67" s="521"/>
      <c r="D67" s="521"/>
      <c r="E67" s="521"/>
      <c r="F67" s="589">
        <f>F38*25.4</f>
        <v>9.5249999999999986</v>
      </c>
      <c r="G67" s="521"/>
      <c r="H67" s="521"/>
      <c r="I67" s="589">
        <f>I38*25.4</f>
        <v>12.7</v>
      </c>
      <c r="J67" s="521"/>
      <c r="K67" s="521"/>
      <c r="L67" s="521"/>
      <c r="M67" s="521"/>
      <c r="N67" s="521"/>
      <c r="O67" s="521"/>
      <c r="P67" s="590">
        <f t="shared" si="4"/>
        <v>1600.1999999999998</v>
      </c>
      <c r="Q67" s="591">
        <f>Q38*25.4</f>
        <v>660.4</v>
      </c>
      <c r="R67" s="526"/>
      <c r="S67" s="593">
        <f>S38*25.4</f>
        <v>1066.8</v>
      </c>
      <c r="T67" s="526"/>
      <c r="U67" s="592">
        <f>U38*25.4</f>
        <v>304.79999999999995</v>
      </c>
      <c r="V67" s="526"/>
      <c r="W67" s="526"/>
      <c r="X67" s="526"/>
    </row>
    <row r="68" spans="1:24" x14ac:dyDescent="0.15">
      <c r="A68" s="588">
        <f t="shared" si="3"/>
        <v>1219.1999999999998</v>
      </c>
      <c r="B68" s="589">
        <f t="shared" si="3"/>
        <v>1219.1999999999998</v>
      </c>
      <c r="C68" s="521"/>
      <c r="D68" s="521"/>
      <c r="E68" s="521"/>
      <c r="F68" s="589">
        <f>F39*25.4</f>
        <v>9.5249999999999986</v>
      </c>
      <c r="G68" s="521"/>
      <c r="H68" s="521"/>
      <c r="I68" s="589">
        <f>I39*25.4</f>
        <v>12.7</v>
      </c>
      <c r="J68" s="521"/>
      <c r="K68" s="521"/>
      <c r="L68" s="521"/>
      <c r="M68" s="521"/>
      <c r="N68" s="521"/>
      <c r="O68" s="571"/>
      <c r="P68" s="590">
        <f t="shared" si="4"/>
        <v>1828.8</v>
      </c>
      <c r="Q68" s="591">
        <f>Q39*25.4</f>
        <v>755.65</v>
      </c>
      <c r="R68" s="576"/>
      <c r="S68" s="593">
        <f>S39*25.4</f>
        <v>1219.1999999999998</v>
      </c>
      <c r="T68" s="576"/>
      <c r="U68" s="592">
        <f>U39*25.4</f>
        <v>342.9</v>
      </c>
      <c r="V68" s="576"/>
      <c r="W68" s="576"/>
      <c r="X68" s="576"/>
    </row>
  </sheetData>
  <phoneticPr fontId="80" type="noConversion"/>
  <pageMargins left="0.75" right="0.75" top="1" bottom="1" header="0.5" footer="0.5"/>
  <headerFooter alignWithMargins="0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70309-CA8D-624F-95C4-4337A4399337}">
  <dimension ref="A10:T101"/>
  <sheetViews>
    <sheetView showGridLines="0" workbookViewId="0"/>
  </sheetViews>
  <sheetFormatPr baseColWidth="10" defaultColWidth="8.83203125" defaultRowHeight="13" x14ac:dyDescent="0.15"/>
  <cols>
    <col min="1" max="1" width="6.5" customWidth="1"/>
    <col min="2" max="2" width="6.1640625" customWidth="1"/>
    <col min="3" max="6" width="5.5" customWidth="1"/>
    <col min="7" max="7" width="5.33203125" customWidth="1"/>
    <col min="8" max="8" width="5" customWidth="1"/>
    <col min="9" max="9" width="5.5" customWidth="1"/>
    <col min="10" max="10" width="6.5" customWidth="1"/>
    <col min="11" max="11" width="5.83203125" customWidth="1"/>
    <col min="12" max="12" width="5.6640625" customWidth="1"/>
    <col min="13" max="13" width="6.6640625" customWidth="1"/>
    <col min="14" max="14" width="6.83203125" customWidth="1"/>
    <col min="15" max="15" width="5.1640625" customWidth="1"/>
    <col min="16" max="16" width="7.33203125" customWidth="1"/>
    <col min="17" max="17" width="6.83203125" customWidth="1"/>
    <col min="18" max="20" width="6.5" customWidth="1"/>
  </cols>
  <sheetData>
    <row r="10" spans="1:20" ht="19" thickBot="1" x14ac:dyDescent="0.25">
      <c r="B10" s="380" t="s">
        <v>1843</v>
      </c>
    </row>
    <row r="11" spans="1:20" ht="14" thickTop="1" x14ac:dyDescent="0.15">
      <c r="A11" s="687" t="s">
        <v>1818</v>
      </c>
      <c r="B11" s="610"/>
      <c r="C11" s="610"/>
      <c r="D11" s="610"/>
      <c r="E11" s="610"/>
      <c r="F11" s="687" t="s">
        <v>1818</v>
      </c>
      <c r="G11" s="610"/>
      <c r="H11" s="610"/>
      <c r="I11" s="610"/>
      <c r="J11" s="610"/>
      <c r="K11" s="687" t="s">
        <v>1818</v>
      </c>
      <c r="L11" s="610"/>
      <c r="M11" s="610"/>
      <c r="N11" s="610"/>
      <c r="O11" s="610"/>
      <c r="P11" s="687" t="s">
        <v>1818</v>
      </c>
      <c r="Q11" s="610"/>
      <c r="R11" s="610"/>
      <c r="S11" s="610"/>
      <c r="T11" s="610"/>
    </row>
    <row r="12" spans="1:20" ht="18" x14ac:dyDescent="0.2">
      <c r="A12" s="500" t="s">
        <v>1507</v>
      </c>
      <c r="B12" s="611" t="s">
        <v>1844</v>
      </c>
      <c r="C12" s="645" t="s">
        <v>1730</v>
      </c>
      <c r="D12" s="656" t="s">
        <v>1845</v>
      </c>
      <c r="E12" s="671" t="s">
        <v>1846</v>
      </c>
      <c r="F12" s="500" t="s">
        <v>1507</v>
      </c>
      <c r="G12" s="611" t="s">
        <v>1844</v>
      </c>
      <c r="H12" s="645" t="s">
        <v>1730</v>
      </c>
      <c r="I12" s="656" t="s">
        <v>1845</v>
      </c>
      <c r="J12" s="671" t="s">
        <v>1846</v>
      </c>
      <c r="K12" s="500" t="s">
        <v>1507</v>
      </c>
      <c r="L12" s="611" t="s">
        <v>1844</v>
      </c>
      <c r="M12" s="645" t="s">
        <v>1730</v>
      </c>
      <c r="N12" s="656" t="s">
        <v>1845</v>
      </c>
      <c r="O12" s="671" t="s">
        <v>1846</v>
      </c>
      <c r="P12" s="500" t="s">
        <v>1507</v>
      </c>
      <c r="Q12" s="611" t="s">
        <v>1844</v>
      </c>
      <c r="R12" s="645" t="s">
        <v>1730</v>
      </c>
      <c r="S12" s="656" t="s">
        <v>1845</v>
      </c>
      <c r="T12" s="671" t="s">
        <v>1846</v>
      </c>
    </row>
    <row r="13" spans="1:20" ht="18" x14ac:dyDescent="0.2">
      <c r="A13" s="500" t="s">
        <v>845</v>
      </c>
      <c r="B13" s="611"/>
      <c r="C13" s="612"/>
      <c r="D13" s="612"/>
      <c r="E13" s="612"/>
      <c r="F13" s="500" t="s">
        <v>845</v>
      </c>
      <c r="G13" s="611"/>
      <c r="H13" s="612"/>
      <c r="I13" s="612"/>
      <c r="J13" s="612"/>
      <c r="K13" s="500" t="s">
        <v>845</v>
      </c>
      <c r="L13" s="611"/>
      <c r="M13" s="612"/>
      <c r="N13" s="612"/>
      <c r="O13" s="612"/>
      <c r="P13" s="500" t="s">
        <v>845</v>
      </c>
      <c r="Q13" s="611"/>
      <c r="R13" s="612"/>
      <c r="S13" s="612"/>
      <c r="T13" s="612"/>
    </row>
    <row r="14" spans="1:20" ht="14" thickBot="1" x14ac:dyDescent="0.2">
      <c r="A14" s="686" t="s">
        <v>1831</v>
      </c>
      <c r="B14" s="688" t="s">
        <v>1831</v>
      </c>
      <c r="C14" s="685" t="s">
        <v>1831</v>
      </c>
      <c r="D14" s="686" t="s">
        <v>1831</v>
      </c>
      <c r="E14" s="505" t="s">
        <v>1831</v>
      </c>
      <c r="F14" s="686" t="s">
        <v>1831</v>
      </c>
      <c r="G14" s="688" t="s">
        <v>1831</v>
      </c>
      <c r="H14" s="505" t="s">
        <v>1831</v>
      </c>
      <c r="I14" s="686" t="s">
        <v>1831</v>
      </c>
      <c r="J14" s="505" t="s">
        <v>1831</v>
      </c>
      <c r="K14" s="686" t="s">
        <v>1831</v>
      </c>
      <c r="L14" s="688" t="s">
        <v>1831</v>
      </c>
      <c r="M14" s="505" t="s">
        <v>1831</v>
      </c>
      <c r="N14" s="686" t="s">
        <v>1831</v>
      </c>
      <c r="O14" s="505" t="s">
        <v>1831</v>
      </c>
      <c r="P14" s="686" t="s">
        <v>1831</v>
      </c>
      <c r="Q14" s="688" t="s">
        <v>1831</v>
      </c>
      <c r="R14" s="505" t="s">
        <v>1831</v>
      </c>
      <c r="S14" s="686" t="s">
        <v>1831</v>
      </c>
      <c r="T14" s="505" t="s">
        <v>1831</v>
      </c>
    </row>
    <row r="15" spans="1:20" ht="14" thickTop="1" x14ac:dyDescent="0.15">
      <c r="A15" s="613">
        <v>0.75</v>
      </c>
      <c r="B15" s="614">
        <v>0.75</v>
      </c>
      <c r="C15" s="646">
        <v>1.125</v>
      </c>
      <c r="D15" s="657"/>
      <c r="E15" s="617"/>
      <c r="F15" s="618">
        <v>3.5</v>
      </c>
      <c r="G15" s="615">
        <v>3.5</v>
      </c>
      <c r="H15" s="668">
        <v>3.75</v>
      </c>
      <c r="I15" s="616"/>
      <c r="J15" s="617"/>
      <c r="K15" s="619">
        <v>10</v>
      </c>
      <c r="L15" s="620">
        <v>10</v>
      </c>
      <c r="M15" s="646">
        <v>8.5</v>
      </c>
      <c r="N15" s="657"/>
      <c r="O15" s="617"/>
      <c r="P15" s="619">
        <v>20</v>
      </c>
      <c r="Q15" s="620">
        <v>20</v>
      </c>
      <c r="R15" s="649">
        <v>15</v>
      </c>
      <c r="S15" s="616"/>
      <c r="T15" s="617"/>
    </row>
    <row r="16" spans="1:20" ht="14" thickBot="1" x14ac:dyDescent="0.2">
      <c r="A16" s="621">
        <v>0.75</v>
      </c>
      <c r="B16" s="622">
        <v>0.5</v>
      </c>
      <c r="C16" s="647">
        <v>1.125</v>
      </c>
      <c r="D16" s="658">
        <v>1.125</v>
      </c>
      <c r="E16" s="672">
        <v>1.5</v>
      </c>
      <c r="F16" s="624" t="s">
        <v>1847</v>
      </c>
      <c r="G16" s="75">
        <v>3</v>
      </c>
      <c r="H16" s="648">
        <v>3.75</v>
      </c>
      <c r="I16" s="659">
        <v>3.625</v>
      </c>
      <c r="J16" s="674">
        <v>4</v>
      </c>
      <c r="K16" s="624" t="s">
        <v>1847</v>
      </c>
      <c r="L16" s="75">
        <v>8</v>
      </c>
      <c r="M16" s="648">
        <v>8.5</v>
      </c>
      <c r="N16" s="99">
        <v>8</v>
      </c>
      <c r="O16" s="674">
        <v>7</v>
      </c>
      <c r="P16" s="624" t="s">
        <v>1847</v>
      </c>
      <c r="Q16" s="75">
        <v>18</v>
      </c>
      <c r="R16" s="650">
        <v>15</v>
      </c>
      <c r="S16" s="659">
        <v>14.5</v>
      </c>
      <c r="T16" s="674">
        <v>20</v>
      </c>
    </row>
    <row r="17" spans="1:20" ht="14" thickTop="1" x14ac:dyDescent="0.15">
      <c r="A17" s="619">
        <v>1</v>
      </c>
      <c r="B17" s="620">
        <v>1</v>
      </c>
      <c r="C17" s="646">
        <v>1.5</v>
      </c>
      <c r="D17" s="657"/>
      <c r="E17" s="673"/>
      <c r="F17" s="624" t="s">
        <v>1847</v>
      </c>
      <c r="G17" s="625">
        <v>2.5</v>
      </c>
      <c r="H17" s="648">
        <v>3.75</v>
      </c>
      <c r="I17" s="659">
        <v>3.5</v>
      </c>
      <c r="J17" s="674">
        <v>4</v>
      </c>
      <c r="K17" s="624" t="s">
        <v>1847</v>
      </c>
      <c r="L17" s="75">
        <v>6</v>
      </c>
      <c r="M17" s="648">
        <v>8.5</v>
      </c>
      <c r="N17" s="659">
        <v>7.625</v>
      </c>
      <c r="O17" s="674">
        <v>7</v>
      </c>
      <c r="P17" s="624" t="s">
        <v>1847</v>
      </c>
      <c r="Q17" s="75">
        <v>16</v>
      </c>
      <c r="R17" s="650">
        <v>15</v>
      </c>
      <c r="S17" s="99">
        <v>14</v>
      </c>
      <c r="T17" s="674">
        <v>20</v>
      </c>
    </row>
    <row r="18" spans="1:20" x14ac:dyDescent="0.15">
      <c r="A18" s="624">
        <v>1</v>
      </c>
      <c r="B18" s="165">
        <v>0.75</v>
      </c>
      <c r="C18" s="648">
        <v>1.5</v>
      </c>
      <c r="D18" s="659">
        <v>1.5</v>
      </c>
      <c r="E18" s="674">
        <v>2</v>
      </c>
      <c r="F18" s="624" t="s">
        <v>1847</v>
      </c>
      <c r="G18" s="75">
        <v>2</v>
      </c>
      <c r="H18" s="648">
        <v>3.75</v>
      </c>
      <c r="I18" s="659">
        <v>3.25</v>
      </c>
      <c r="J18" s="674">
        <v>4</v>
      </c>
      <c r="K18" s="624" t="s">
        <v>1847</v>
      </c>
      <c r="L18" s="75">
        <v>5</v>
      </c>
      <c r="M18" s="648">
        <v>8.5</v>
      </c>
      <c r="N18" s="659">
        <v>7.5</v>
      </c>
      <c r="O18" s="674">
        <v>7</v>
      </c>
      <c r="P18" s="624" t="s">
        <v>1847</v>
      </c>
      <c r="Q18" s="75">
        <v>14</v>
      </c>
      <c r="R18" s="650">
        <v>15</v>
      </c>
      <c r="S18" s="99">
        <v>14</v>
      </c>
      <c r="T18" s="674">
        <v>20</v>
      </c>
    </row>
    <row r="19" spans="1:20" ht="14" thickBot="1" x14ac:dyDescent="0.2">
      <c r="A19" s="626">
        <v>1</v>
      </c>
      <c r="B19" s="622">
        <v>0.5</v>
      </c>
      <c r="C19" s="647">
        <v>1.5</v>
      </c>
      <c r="D19" s="658">
        <v>1.5</v>
      </c>
      <c r="E19" s="675">
        <v>2</v>
      </c>
      <c r="F19" s="627">
        <v>3.5</v>
      </c>
      <c r="G19" s="623">
        <v>1.5</v>
      </c>
      <c r="H19" s="647">
        <v>3.75</v>
      </c>
      <c r="I19" s="658">
        <v>3.125</v>
      </c>
      <c r="J19" s="675">
        <v>4</v>
      </c>
      <c r="K19" s="626">
        <v>10</v>
      </c>
      <c r="L19" s="628">
        <v>4</v>
      </c>
      <c r="M19" s="647">
        <v>8.5</v>
      </c>
      <c r="N19" s="658">
        <v>7.25</v>
      </c>
      <c r="O19" s="675">
        <v>7</v>
      </c>
      <c r="P19" s="624" t="s">
        <v>1847</v>
      </c>
      <c r="Q19" s="75">
        <v>12</v>
      </c>
      <c r="R19" s="650">
        <v>15</v>
      </c>
      <c r="S19" s="659">
        <v>13.625</v>
      </c>
      <c r="T19" s="674">
        <v>20</v>
      </c>
    </row>
    <row r="20" spans="1:20" ht="14" thickTop="1" x14ac:dyDescent="0.15">
      <c r="A20" s="618">
        <v>1.25</v>
      </c>
      <c r="B20" s="615">
        <v>1.25</v>
      </c>
      <c r="C20" s="646">
        <v>1.875</v>
      </c>
      <c r="D20" s="657"/>
      <c r="E20" s="673"/>
      <c r="F20" s="619">
        <v>4</v>
      </c>
      <c r="G20" s="620">
        <v>4</v>
      </c>
      <c r="H20" s="646">
        <v>4.125</v>
      </c>
      <c r="I20" s="657"/>
      <c r="J20" s="673"/>
      <c r="K20" s="619">
        <v>12</v>
      </c>
      <c r="L20" s="620">
        <v>12</v>
      </c>
      <c r="M20" s="649">
        <v>10</v>
      </c>
      <c r="N20" s="657"/>
      <c r="O20" s="673"/>
      <c r="P20" s="624" t="s">
        <v>1847</v>
      </c>
      <c r="Q20" s="75">
        <v>10</v>
      </c>
      <c r="R20" s="650">
        <v>15</v>
      </c>
      <c r="S20" s="659">
        <v>13.125</v>
      </c>
      <c r="T20" s="674">
        <v>20</v>
      </c>
    </row>
    <row r="21" spans="1:20" ht="14" thickBot="1" x14ac:dyDescent="0.2">
      <c r="A21" s="629" t="s">
        <v>1847</v>
      </c>
      <c r="B21" s="630">
        <v>1</v>
      </c>
      <c r="C21" s="648">
        <v>1.875</v>
      </c>
      <c r="D21" s="659">
        <v>1.875</v>
      </c>
      <c r="E21" s="674">
        <v>2</v>
      </c>
      <c r="F21" s="624" t="s">
        <v>1847</v>
      </c>
      <c r="G21" s="625">
        <v>3.5</v>
      </c>
      <c r="H21" s="648">
        <v>4.125</v>
      </c>
      <c r="I21" s="99">
        <v>4</v>
      </c>
      <c r="J21" s="674">
        <v>4</v>
      </c>
      <c r="K21" s="624" t="s">
        <v>1847</v>
      </c>
      <c r="L21" s="75">
        <v>10</v>
      </c>
      <c r="M21" s="650">
        <v>10</v>
      </c>
      <c r="N21" s="659">
        <v>9.5</v>
      </c>
      <c r="O21" s="674">
        <v>8</v>
      </c>
      <c r="P21" s="626">
        <v>20</v>
      </c>
      <c r="Q21" s="628">
        <v>8</v>
      </c>
      <c r="R21" s="651">
        <v>15</v>
      </c>
      <c r="S21" s="658">
        <v>12.75</v>
      </c>
      <c r="T21" s="675">
        <v>20</v>
      </c>
    </row>
    <row r="22" spans="1:20" ht="14" thickTop="1" x14ac:dyDescent="0.15">
      <c r="A22" s="629" t="s">
        <v>1847</v>
      </c>
      <c r="B22" s="16">
        <v>0.75</v>
      </c>
      <c r="C22" s="648">
        <v>1.875</v>
      </c>
      <c r="D22" s="659">
        <v>1.875</v>
      </c>
      <c r="E22" s="674">
        <v>2</v>
      </c>
      <c r="F22" s="624" t="s">
        <v>1847</v>
      </c>
      <c r="G22" s="75">
        <v>3</v>
      </c>
      <c r="H22" s="648">
        <v>4.125</v>
      </c>
      <c r="I22" s="659">
        <v>3.875</v>
      </c>
      <c r="J22" s="674">
        <v>4</v>
      </c>
      <c r="K22" s="624" t="s">
        <v>1847</v>
      </c>
      <c r="L22" s="75">
        <v>8</v>
      </c>
      <c r="M22" s="650">
        <v>10</v>
      </c>
      <c r="N22" s="99">
        <v>9</v>
      </c>
      <c r="O22" s="674">
        <v>8</v>
      </c>
      <c r="P22" s="619">
        <v>24</v>
      </c>
      <c r="Q22" s="620">
        <v>24</v>
      </c>
      <c r="R22" s="649">
        <v>17</v>
      </c>
      <c r="S22" s="657"/>
      <c r="T22" s="673"/>
    </row>
    <row r="23" spans="1:20" ht="14" thickBot="1" x14ac:dyDescent="0.2">
      <c r="A23" s="627">
        <v>1.25</v>
      </c>
      <c r="B23" s="622">
        <v>0.5</v>
      </c>
      <c r="C23" s="647">
        <v>1.875</v>
      </c>
      <c r="D23" s="658">
        <v>1.875</v>
      </c>
      <c r="E23" s="675">
        <v>2</v>
      </c>
      <c r="F23" s="624" t="s">
        <v>1847</v>
      </c>
      <c r="G23" s="625">
        <v>2.5</v>
      </c>
      <c r="H23" s="648">
        <v>4.125</v>
      </c>
      <c r="I23" s="659">
        <v>3.75</v>
      </c>
      <c r="J23" s="674">
        <v>4</v>
      </c>
      <c r="K23" s="624" t="s">
        <v>1847</v>
      </c>
      <c r="L23" s="75">
        <v>6</v>
      </c>
      <c r="M23" s="650">
        <v>10</v>
      </c>
      <c r="N23" s="659">
        <v>8.625</v>
      </c>
      <c r="O23" s="674">
        <v>8</v>
      </c>
      <c r="P23" s="624" t="s">
        <v>1847</v>
      </c>
      <c r="Q23" s="75">
        <v>20</v>
      </c>
      <c r="R23" s="650">
        <v>17</v>
      </c>
      <c r="S23" s="99">
        <v>17</v>
      </c>
      <c r="T23" s="674">
        <v>20</v>
      </c>
    </row>
    <row r="24" spans="1:20" ht="15" thickTop="1" thickBot="1" x14ac:dyDescent="0.2">
      <c r="A24" s="618">
        <v>1.5</v>
      </c>
      <c r="B24" s="615">
        <v>1.5</v>
      </c>
      <c r="C24" s="646">
        <v>2.25</v>
      </c>
      <c r="D24" s="660"/>
      <c r="E24" s="673"/>
      <c r="F24" s="624" t="s">
        <v>1847</v>
      </c>
      <c r="G24" s="75">
        <v>2</v>
      </c>
      <c r="H24" s="648">
        <v>4.125</v>
      </c>
      <c r="I24" s="659">
        <v>3.5</v>
      </c>
      <c r="J24" s="674">
        <v>4</v>
      </c>
      <c r="K24" s="626">
        <v>12</v>
      </c>
      <c r="L24" s="628">
        <v>5</v>
      </c>
      <c r="M24" s="651">
        <v>10</v>
      </c>
      <c r="N24" s="658">
        <v>8.5</v>
      </c>
      <c r="O24" s="675">
        <v>8</v>
      </c>
      <c r="P24" s="624" t="s">
        <v>1847</v>
      </c>
      <c r="Q24" s="75">
        <v>18</v>
      </c>
      <c r="R24" s="650">
        <v>17</v>
      </c>
      <c r="S24" s="659">
        <v>16.5</v>
      </c>
      <c r="T24" s="674">
        <v>20</v>
      </c>
    </row>
    <row r="25" spans="1:20" ht="15" thickTop="1" thickBot="1" x14ac:dyDescent="0.2">
      <c r="A25" s="629" t="s">
        <v>1847</v>
      </c>
      <c r="B25" s="625">
        <v>1.25</v>
      </c>
      <c r="C25" s="648">
        <v>2.25</v>
      </c>
      <c r="D25" s="659">
        <v>2.25</v>
      </c>
      <c r="E25" s="676">
        <v>2.5</v>
      </c>
      <c r="F25" s="626">
        <v>4</v>
      </c>
      <c r="G25" s="623">
        <v>1.5</v>
      </c>
      <c r="H25" s="647">
        <v>4.125</v>
      </c>
      <c r="I25" s="658">
        <v>3.375</v>
      </c>
      <c r="J25" s="675">
        <v>4</v>
      </c>
      <c r="K25" s="619">
        <v>14</v>
      </c>
      <c r="L25" s="620">
        <v>14</v>
      </c>
      <c r="M25" s="649">
        <v>11</v>
      </c>
      <c r="N25" s="657"/>
      <c r="O25" s="673"/>
      <c r="P25" s="624" t="s">
        <v>1847</v>
      </c>
      <c r="Q25" s="75">
        <v>16</v>
      </c>
      <c r="R25" s="650">
        <v>17</v>
      </c>
      <c r="S25" s="99">
        <v>16</v>
      </c>
      <c r="T25" s="674">
        <v>20</v>
      </c>
    </row>
    <row r="26" spans="1:20" ht="14" thickTop="1" x14ac:dyDescent="0.15">
      <c r="A26" s="629" t="s">
        <v>1847</v>
      </c>
      <c r="B26" s="75">
        <v>1</v>
      </c>
      <c r="C26" s="648">
        <v>2.25</v>
      </c>
      <c r="D26" s="659">
        <v>2.25</v>
      </c>
      <c r="E26" s="676">
        <v>2.5</v>
      </c>
      <c r="F26" s="619">
        <v>5</v>
      </c>
      <c r="G26" s="620">
        <v>5</v>
      </c>
      <c r="H26" s="668">
        <v>4.875</v>
      </c>
      <c r="I26" s="657"/>
      <c r="J26" s="673"/>
      <c r="K26" s="624" t="s">
        <v>1847</v>
      </c>
      <c r="L26" s="75">
        <v>12</v>
      </c>
      <c r="M26" s="650">
        <v>11</v>
      </c>
      <c r="N26" s="659">
        <v>10.625</v>
      </c>
      <c r="O26" s="674">
        <v>13</v>
      </c>
      <c r="P26" s="624" t="s">
        <v>1847</v>
      </c>
      <c r="Q26" s="75">
        <v>14</v>
      </c>
      <c r="R26" s="650">
        <v>17</v>
      </c>
      <c r="S26" s="99">
        <v>16</v>
      </c>
      <c r="T26" s="674">
        <v>20</v>
      </c>
    </row>
    <row r="27" spans="1:20" x14ac:dyDescent="0.15">
      <c r="A27" s="629" t="s">
        <v>1847</v>
      </c>
      <c r="B27" s="625">
        <v>0.75</v>
      </c>
      <c r="C27" s="648">
        <v>2.25</v>
      </c>
      <c r="D27" s="659">
        <v>2.25</v>
      </c>
      <c r="E27" s="676">
        <v>2.5</v>
      </c>
      <c r="F27" s="629" t="s">
        <v>1847</v>
      </c>
      <c r="G27" s="75">
        <v>4</v>
      </c>
      <c r="H27" s="648">
        <v>4.875</v>
      </c>
      <c r="I27" s="659">
        <v>4.625</v>
      </c>
      <c r="J27" s="674">
        <v>5</v>
      </c>
      <c r="K27" s="624" t="s">
        <v>1847</v>
      </c>
      <c r="L27" s="75">
        <v>10</v>
      </c>
      <c r="M27" s="650">
        <v>11</v>
      </c>
      <c r="N27" s="659">
        <v>10.125</v>
      </c>
      <c r="O27" s="674">
        <v>13</v>
      </c>
      <c r="P27" s="624" t="s">
        <v>1847</v>
      </c>
      <c r="Q27" s="75">
        <v>12</v>
      </c>
      <c r="R27" s="650">
        <v>17</v>
      </c>
      <c r="S27" s="659">
        <v>15.625</v>
      </c>
      <c r="T27" s="674">
        <v>20</v>
      </c>
    </row>
    <row r="28" spans="1:20" ht="14" thickBot="1" x14ac:dyDescent="0.2">
      <c r="A28" s="627">
        <v>1.5</v>
      </c>
      <c r="B28" s="623">
        <v>0.5</v>
      </c>
      <c r="C28" s="647">
        <v>2.25</v>
      </c>
      <c r="D28" s="658">
        <v>2.25</v>
      </c>
      <c r="E28" s="672">
        <v>2.5</v>
      </c>
      <c r="F28" s="624" t="s">
        <v>1847</v>
      </c>
      <c r="G28" s="625">
        <v>3.5</v>
      </c>
      <c r="H28" s="648">
        <v>4.875</v>
      </c>
      <c r="I28" s="659">
        <v>4.5</v>
      </c>
      <c r="J28" s="674">
        <v>5</v>
      </c>
      <c r="K28" s="624" t="s">
        <v>1847</v>
      </c>
      <c r="L28" s="75">
        <v>8</v>
      </c>
      <c r="M28" s="650">
        <v>11</v>
      </c>
      <c r="N28" s="659">
        <v>9.75</v>
      </c>
      <c r="O28" s="674">
        <v>13</v>
      </c>
      <c r="P28" s="626">
        <v>24</v>
      </c>
      <c r="Q28" s="628">
        <v>10</v>
      </c>
      <c r="R28" s="651">
        <v>17</v>
      </c>
      <c r="S28" s="658">
        <v>15.125</v>
      </c>
      <c r="T28" s="675">
        <v>20</v>
      </c>
    </row>
    <row r="29" spans="1:20" ht="15" thickTop="1" thickBot="1" x14ac:dyDescent="0.2">
      <c r="A29" s="619">
        <v>2</v>
      </c>
      <c r="B29" s="620">
        <v>2</v>
      </c>
      <c r="C29" s="646">
        <v>2.5</v>
      </c>
      <c r="D29" s="657"/>
      <c r="E29" s="673"/>
      <c r="F29" s="629" t="s">
        <v>1847</v>
      </c>
      <c r="G29" s="75">
        <v>3</v>
      </c>
      <c r="H29" s="648">
        <v>4.875</v>
      </c>
      <c r="I29" s="659">
        <v>4.375</v>
      </c>
      <c r="J29" s="674">
        <v>5</v>
      </c>
      <c r="K29" s="626">
        <v>14</v>
      </c>
      <c r="L29" s="628">
        <v>6</v>
      </c>
      <c r="M29" s="651">
        <v>11</v>
      </c>
      <c r="N29" s="658">
        <v>9.375</v>
      </c>
      <c r="O29" s="675">
        <v>13</v>
      </c>
      <c r="P29" s="619">
        <v>30</v>
      </c>
      <c r="Q29" s="620">
        <v>30</v>
      </c>
      <c r="R29" s="670">
        <v>22</v>
      </c>
      <c r="S29" s="657"/>
      <c r="T29" s="673"/>
    </row>
    <row r="30" spans="1:20" ht="14" thickTop="1" x14ac:dyDescent="0.15">
      <c r="A30" s="624" t="s">
        <v>1847</v>
      </c>
      <c r="B30" s="625">
        <v>1.5</v>
      </c>
      <c r="C30" s="648">
        <v>2.5</v>
      </c>
      <c r="D30" s="659">
        <v>2.375</v>
      </c>
      <c r="E30" s="674">
        <v>3</v>
      </c>
      <c r="F30" s="624" t="s">
        <v>1847</v>
      </c>
      <c r="G30" s="625">
        <v>2.5</v>
      </c>
      <c r="H30" s="648">
        <v>4.875</v>
      </c>
      <c r="I30" s="659">
        <v>4.25</v>
      </c>
      <c r="J30" s="674">
        <v>5</v>
      </c>
      <c r="K30" s="619">
        <v>16</v>
      </c>
      <c r="L30" s="620">
        <v>16</v>
      </c>
      <c r="M30" s="649">
        <v>12</v>
      </c>
      <c r="N30" s="657"/>
      <c r="O30" s="673"/>
      <c r="P30" s="624" t="s">
        <v>1847</v>
      </c>
      <c r="Q30" s="75">
        <v>24</v>
      </c>
      <c r="R30" s="650">
        <v>22</v>
      </c>
      <c r="S30" s="99">
        <v>21</v>
      </c>
      <c r="T30" s="674">
        <v>24</v>
      </c>
    </row>
    <row r="31" spans="1:20" ht="14" thickBot="1" x14ac:dyDescent="0.2">
      <c r="A31" s="624" t="s">
        <v>1847</v>
      </c>
      <c r="B31" s="625">
        <v>1.25</v>
      </c>
      <c r="C31" s="648">
        <v>2.5</v>
      </c>
      <c r="D31" s="659">
        <v>2.25</v>
      </c>
      <c r="E31" s="674">
        <v>3</v>
      </c>
      <c r="F31" s="631">
        <v>5</v>
      </c>
      <c r="G31" s="630">
        <v>2</v>
      </c>
      <c r="H31" s="669">
        <v>4.875</v>
      </c>
      <c r="I31" s="661">
        <v>4.125</v>
      </c>
      <c r="J31" s="677">
        <v>5</v>
      </c>
      <c r="K31" s="624" t="s">
        <v>1847</v>
      </c>
      <c r="L31" s="75">
        <v>14</v>
      </c>
      <c r="M31" s="650">
        <v>12</v>
      </c>
      <c r="N31" s="99">
        <v>12</v>
      </c>
      <c r="O31" s="674">
        <v>14</v>
      </c>
      <c r="P31" s="624" t="s">
        <v>1847</v>
      </c>
      <c r="Q31" s="75">
        <v>20</v>
      </c>
      <c r="R31" s="650">
        <v>22</v>
      </c>
      <c r="S31" s="99">
        <v>20</v>
      </c>
      <c r="T31" s="674">
        <v>24</v>
      </c>
    </row>
    <row r="32" spans="1:20" ht="14" thickTop="1" x14ac:dyDescent="0.15">
      <c r="A32" s="624" t="s">
        <v>1847</v>
      </c>
      <c r="B32" s="75">
        <v>1</v>
      </c>
      <c r="C32" s="648">
        <v>2.5</v>
      </c>
      <c r="D32" s="99">
        <v>2</v>
      </c>
      <c r="E32" s="674">
        <v>3</v>
      </c>
      <c r="F32" s="619">
        <v>6</v>
      </c>
      <c r="G32" s="620">
        <v>6</v>
      </c>
      <c r="H32" s="668">
        <v>5.625</v>
      </c>
      <c r="I32" s="657"/>
      <c r="J32" s="673"/>
      <c r="K32" s="624" t="s">
        <v>1847</v>
      </c>
      <c r="L32" s="75">
        <v>12</v>
      </c>
      <c r="M32" s="650">
        <v>12</v>
      </c>
      <c r="N32" s="659">
        <v>11.625</v>
      </c>
      <c r="O32" s="674">
        <v>14</v>
      </c>
      <c r="P32" s="624" t="s">
        <v>1847</v>
      </c>
      <c r="Q32" s="75">
        <v>18</v>
      </c>
      <c r="R32" s="650">
        <v>22</v>
      </c>
      <c r="S32" s="659">
        <v>19.5</v>
      </c>
      <c r="T32" s="674">
        <v>24</v>
      </c>
    </row>
    <row r="33" spans="1:20" ht="14" thickBot="1" x14ac:dyDescent="0.2">
      <c r="A33" s="626">
        <v>2</v>
      </c>
      <c r="B33" s="622">
        <v>0.75</v>
      </c>
      <c r="C33" s="647">
        <v>2.5</v>
      </c>
      <c r="D33" s="658">
        <v>1.75</v>
      </c>
      <c r="E33" s="675">
        <v>3</v>
      </c>
      <c r="F33" s="624" t="s">
        <v>1847</v>
      </c>
      <c r="G33" s="75">
        <v>5</v>
      </c>
      <c r="H33" s="648">
        <v>5.625</v>
      </c>
      <c r="I33" s="659">
        <v>5.375</v>
      </c>
      <c r="J33" s="676">
        <v>5.5</v>
      </c>
      <c r="K33" s="624" t="s">
        <v>1847</v>
      </c>
      <c r="L33" s="75">
        <v>10</v>
      </c>
      <c r="M33" s="650">
        <v>12</v>
      </c>
      <c r="N33" s="659">
        <v>11.125</v>
      </c>
      <c r="O33" s="674">
        <v>14</v>
      </c>
      <c r="P33" s="624" t="s">
        <v>1847</v>
      </c>
      <c r="Q33" s="75">
        <v>16</v>
      </c>
      <c r="R33" s="650">
        <v>22</v>
      </c>
      <c r="S33" s="99">
        <v>19</v>
      </c>
      <c r="T33" s="674">
        <v>24</v>
      </c>
    </row>
    <row r="34" spans="1:20" ht="15" thickTop="1" thickBot="1" x14ac:dyDescent="0.2">
      <c r="A34" s="618">
        <v>2.5</v>
      </c>
      <c r="B34" s="615">
        <v>2.5</v>
      </c>
      <c r="C34" s="649">
        <v>3</v>
      </c>
      <c r="D34" s="657"/>
      <c r="E34" s="673"/>
      <c r="F34" s="624" t="s">
        <v>1847</v>
      </c>
      <c r="G34" s="75">
        <v>4</v>
      </c>
      <c r="H34" s="648">
        <v>5.625</v>
      </c>
      <c r="I34" s="659">
        <v>5.125</v>
      </c>
      <c r="J34" s="676">
        <v>5.5</v>
      </c>
      <c r="K34" s="624" t="s">
        <v>1847</v>
      </c>
      <c r="L34" s="75">
        <v>8</v>
      </c>
      <c r="M34" s="650">
        <v>12</v>
      </c>
      <c r="N34" s="659">
        <v>10.75</v>
      </c>
      <c r="O34" s="674">
        <v>14</v>
      </c>
      <c r="P34" s="626">
        <v>30</v>
      </c>
      <c r="Q34" s="628">
        <v>14</v>
      </c>
      <c r="R34" s="651">
        <v>22</v>
      </c>
      <c r="S34" s="662">
        <v>19</v>
      </c>
      <c r="T34" s="675">
        <v>24</v>
      </c>
    </row>
    <row r="35" spans="1:20" ht="15" thickTop="1" thickBot="1" x14ac:dyDescent="0.2">
      <c r="A35" s="624" t="s">
        <v>1847</v>
      </c>
      <c r="B35" s="75">
        <v>2</v>
      </c>
      <c r="C35" s="650">
        <v>3</v>
      </c>
      <c r="D35" s="659">
        <v>2.75</v>
      </c>
      <c r="E35" s="676">
        <v>3.5</v>
      </c>
      <c r="F35" s="624" t="s">
        <v>1847</v>
      </c>
      <c r="G35" s="625">
        <v>3.5</v>
      </c>
      <c r="H35" s="648">
        <v>5.625</v>
      </c>
      <c r="I35" s="99">
        <v>5</v>
      </c>
      <c r="J35" s="676">
        <v>5.5</v>
      </c>
      <c r="K35" s="626">
        <v>16</v>
      </c>
      <c r="L35" s="628">
        <v>6</v>
      </c>
      <c r="M35" s="651">
        <v>12</v>
      </c>
      <c r="N35" s="658">
        <v>10.375</v>
      </c>
      <c r="O35" s="675">
        <v>14</v>
      </c>
      <c r="P35" s="619">
        <v>36</v>
      </c>
      <c r="Q35" s="620">
        <v>36</v>
      </c>
      <c r="R35" s="646">
        <v>26.5</v>
      </c>
      <c r="S35" s="657"/>
      <c r="T35" s="673"/>
    </row>
    <row r="36" spans="1:20" ht="14" thickTop="1" x14ac:dyDescent="0.15">
      <c r="A36" s="624" t="s">
        <v>1847</v>
      </c>
      <c r="B36" s="625">
        <v>1.5</v>
      </c>
      <c r="C36" s="650">
        <v>3</v>
      </c>
      <c r="D36" s="659">
        <v>2.625</v>
      </c>
      <c r="E36" s="676">
        <v>3.5</v>
      </c>
      <c r="F36" s="624" t="s">
        <v>1847</v>
      </c>
      <c r="G36" s="75">
        <v>3</v>
      </c>
      <c r="H36" s="648">
        <v>5.625</v>
      </c>
      <c r="I36" s="659">
        <v>4.875</v>
      </c>
      <c r="J36" s="676">
        <v>5.5</v>
      </c>
      <c r="K36" s="619">
        <v>18</v>
      </c>
      <c r="L36" s="620">
        <v>18</v>
      </c>
      <c r="M36" s="646">
        <v>13.5</v>
      </c>
      <c r="N36" s="657"/>
      <c r="O36" s="673"/>
      <c r="P36" s="624" t="s">
        <v>1847</v>
      </c>
      <c r="Q36" s="75">
        <v>30</v>
      </c>
      <c r="R36" s="648">
        <v>26.5</v>
      </c>
      <c r="S36" s="99">
        <v>25</v>
      </c>
      <c r="T36" s="674">
        <v>24</v>
      </c>
    </row>
    <row r="37" spans="1:20" ht="14" thickBot="1" x14ac:dyDescent="0.2">
      <c r="A37" s="624" t="s">
        <v>1847</v>
      </c>
      <c r="B37" s="625">
        <v>1.25</v>
      </c>
      <c r="C37" s="650">
        <v>3</v>
      </c>
      <c r="D37" s="659">
        <v>2.5</v>
      </c>
      <c r="E37" s="676">
        <v>3.5</v>
      </c>
      <c r="F37" s="626">
        <v>6</v>
      </c>
      <c r="G37" s="623">
        <v>2.5</v>
      </c>
      <c r="H37" s="647">
        <v>5.625</v>
      </c>
      <c r="I37" s="658">
        <v>4.75</v>
      </c>
      <c r="J37" s="672">
        <v>5.5</v>
      </c>
      <c r="K37" s="624" t="s">
        <v>1847</v>
      </c>
      <c r="L37" s="75">
        <v>16</v>
      </c>
      <c r="M37" s="648">
        <v>13.5</v>
      </c>
      <c r="N37" s="99">
        <v>13</v>
      </c>
      <c r="O37" s="674">
        <v>15</v>
      </c>
      <c r="P37" s="624" t="s">
        <v>1847</v>
      </c>
      <c r="Q37" s="75">
        <v>24</v>
      </c>
      <c r="R37" s="648">
        <v>26.5</v>
      </c>
      <c r="S37" s="99">
        <v>24</v>
      </c>
      <c r="T37" s="674">
        <v>24</v>
      </c>
    </row>
    <row r="38" spans="1:20" ht="15" thickTop="1" thickBot="1" x14ac:dyDescent="0.2">
      <c r="A38" s="627">
        <v>2.5</v>
      </c>
      <c r="B38" s="628">
        <v>1</v>
      </c>
      <c r="C38" s="651">
        <v>3</v>
      </c>
      <c r="D38" s="658">
        <v>2.25</v>
      </c>
      <c r="E38" s="672">
        <v>3.5</v>
      </c>
      <c r="F38" s="619">
        <v>8</v>
      </c>
      <c r="G38" s="620">
        <v>8</v>
      </c>
      <c r="H38" s="649">
        <v>7</v>
      </c>
      <c r="I38" s="657"/>
      <c r="J38" s="673"/>
      <c r="K38" s="624" t="s">
        <v>1847</v>
      </c>
      <c r="L38" s="75">
        <v>14</v>
      </c>
      <c r="M38" s="648">
        <v>13.5</v>
      </c>
      <c r="N38" s="99">
        <v>13</v>
      </c>
      <c r="O38" s="674">
        <v>15</v>
      </c>
      <c r="P38" s="624" t="s">
        <v>1847</v>
      </c>
      <c r="Q38" s="75">
        <v>20</v>
      </c>
      <c r="R38" s="648">
        <v>26.5</v>
      </c>
      <c r="S38" s="99">
        <v>23</v>
      </c>
      <c r="T38" s="674">
        <v>24</v>
      </c>
    </row>
    <row r="39" spans="1:20" ht="14" thickTop="1" x14ac:dyDescent="0.15">
      <c r="A39" s="619">
        <v>3</v>
      </c>
      <c r="B39" s="620">
        <v>3</v>
      </c>
      <c r="C39" s="646">
        <v>3.375</v>
      </c>
      <c r="D39" s="657"/>
      <c r="E39" s="673"/>
      <c r="F39" s="624" t="s">
        <v>1847</v>
      </c>
      <c r="G39" s="75">
        <v>6</v>
      </c>
      <c r="H39" s="650">
        <v>7</v>
      </c>
      <c r="I39" s="659">
        <v>6.625</v>
      </c>
      <c r="J39" s="674">
        <v>6</v>
      </c>
      <c r="K39" s="624" t="s">
        <v>1847</v>
      </c>
      <c r="L39" s="75">
        <v>12</v>
      </c>
      <c r="M39" s="648">
        <v>13.5</v>
      </c>
      <c r="N39" s="659">
        <v>12.625</v>
      </c>
      <c r="O39" s="674">
        <v>15</v>
      </c>
      <c r="P39" s="624" t="s">
        <v>1847</v>
      </c>
      <c r="Q39" s="75">
        <v>18</v>
      </c>
      <c r="R39" s="648">
        <v>26.5</v>
      </c>
      <c r="S39" s="659">
        <v>22.5</v>
      </c>
      <c r="T39" s="674">
        <v>24</v>
      </c>
    </row>
    <row r="40" spans="1:20" ht="14" thickBot="1" x14ac:dyDescent="0.2">
      <c r="A40" s="624" t="s">
        <v>1847</v>
      </c>
      <c r="B40" s="625">
        <v>2.5</v>
      </c>
      <c r="C40" s="648">
        <v>3.375</v>
      </c>
      <c r="D40" s="659">
        <v>3.25</v>
      </c>
      <c r="E40" s="676">
        <v>3.5</v>
      </c>
      <c r="F40" s="624" t="s">
        <v>1847</v>
      </c>
      <c r="G40" s="75">
        <v>5</v>
      </c>
      <c r="H40" s="650">
        <v>7</v>
      </c>
      <c r="I40" s="659">
        <v>6.375</v>
      </c>
      <c r="J40" s="674">
        <v>6</v>
      </c>
      <c r="K40" s="624" t="s">
        <v>1847</v>
      </c>
      <c r="L40" s="75">
        <v>10</v>
      </c>
      <c r="M40" s="648">
        <v>13.5</v>
      </c>
      <c r="N40" s="659">
        <v>12.125</v>
      </c>
      <c r="O40" s="674">
        <v>15</v>
      </c>
      <c r="P40" s="626">
        <v>36</v>
      </c>
      <c r="Q40" s="628">
        <v>16</v>
      </c>
      <c r="R40" s="647">
        <v>26.5</v>
      </c>
      <c r="S40" s="662">
        <v>22</v>
      </c>
      <c r="T40" s="675">
        <v>24</v>
      </c>
    </row>
    <row r="41" spans="1:20" ht="15" thickTop="1" thickBot="1" x14ac:dyDescent="0.2">
      <c r="A41" s="624" t="s">
        <v>1847</v>
      </c>
      <c r="B41" s="75">
        <v>2</v>
      </c>
      <c r="C41" s="648">
        <v>3.375</v>
      </c>
      <c r="D41" s="99">
        <v>3</v>
      </c>
      <c r="E41" s="676">
        <v>3.5</v>
      </c>
      <c r="F41" s="624" t="s">
        <v>1847</v>
      </c>
      <c r="G41" s="75">
        <v>4</v>
      </c>
      <c r="H41" s="650">
        <v>7</v>
      </c>
      <c r="I41" s="659">
        <v>6.125</v>
      </c>
      <c r="J41" s="674">
        <v>6</v>
      </c>
      <c r="K41" s="626">
        <v>18</v>
      </c>
      <c r="L41" s="628">
        <v>8</v>
      </c>
      <c r="M41" s="647">
        <v>13.5</v>
      </c>
      <c r="N41" s="658">
        <v>11.75</v>
      </c>
      <c r="O41" s="678">
        <v>15</v>
      </c>
      <c r="P41" s="619">
        <v>42</v>
      </c>
      <c r="Q41" s="620">
        <v>42</v>
      </c>
      <c r="R41" s="649">
        <v>30</v>
      </c>
      <c r="S41" s="663">
        <v>28</v>
      </c>
      <c r="T41" s="673"/>
    </row>
    <row r="42" spans="1:20" ht="15" thickTop="1" thickBot="1" x14ac:dyDescent="0.2">
      <c r="A42" s="624" t="s">
        <v>1847</v>
      </c>
      <c r="B42" s="625">
        <v>1.5</v>
      </c>
      <c r="C42" s="648">
        <v>3.375</v>
      </c>
      <c r="D42" s="659">
        <v>2.875</v>
      </c>
      <c r="E42" s="676">
        <v>3.5</v>
      </c>
      <c r="F42" s="626">
        <v>8</v>
      </c>
      <c r="G42" s="623">
        <v>3.5</v>
      </c>
      <c r="H42" s="651">
        <v>7</v>
      </c>
      <c r="I42" s="662">
        <v>6</v>
      </c>
      <c r="J42" s="675">
        <v>6</v>
      </c>
      <c r="K42" s="632"/>
      <c r="L42" s="28"/>
      <c r="M42" s="28"/>
      <c r="N42" s="28"/>
      <c r="O42" s="28"/>
      <c r="P42" s="624" t="s">
        <v>1847</v>
      </c>
      <c r="Q42" s="75">
        <v>36</v>
      </c>
      <c r="R42" s="650">
        <v>30</v>
      </c>
      <c r="S42" s="99">
        <v>28</v>
      </c>
      <c r="T42" s="674">
        <v>24</v>
      </c>
    </row>
    <row r="43" spans="1:20" ht="15" thickTop="1" thickBot="1" x14ac:dyDescent="0.2">
      <c r="A43" s="626">
        <v>3</v>
      </c>
      <c r="B43" s="623">
        <v>1.25</v>
      </c>
      <c r="C43" s="647">
        <v>3.375</v>
      </c>
      <c r="D43" s="658">
        <v>2.75</v>
      </c>
      <c r="E43" s="672">
        <v>3.5</v>
      </c>
      <c r="F43" s="632"/>
      <c r="G43" s="28"/>
      <c r="H43" s="28"/>
      <c r="I43" s="28"/>
      <c r="J43" s="28"/>
      <c r="K43" s="632"/>
      <c r="L43" s="28"/>
      <c r="M43" s="28"/>
      <c r="N43" s="28"/>
      <c r="O43" s="28"/>
      <c r="P43" s="624" t="s">
        <v>1847</v>
      </c>
      <c r="Q43" s="75">
        <v>30</v>
      </c>
      <c r="R43" s="650">
        <v>30</v>
      </c>
      <c r="S43" s="99">
        <v>28</v>
      </c>
      <c r="T43" s="674">
        <v>24</v>
      </c>
    </row>
    <row r="44" spans="1:20" ht="14" thickTop="1" x14ac:dyDescent="0.15">
      <c r="A44" s="579"/>
      <c r="B44" s="579"/>
      <c r="C44" s="579"/>
      <c r="D44" s="579"/>
      <c r="E44" s="579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624" t="s">
        <v>1847</v>
      </c>
      <c r="Q44" s="75">
        <v>24</v>
      </c>
      <c r="R44" s="650">
        <v>30</v>
      </c>
      <c r="S44" s="99">
        <v>26</v>
      </c>
      <c r="T44" s="674">
        <v>24</v>
      </c>
    </row>
    <row r="45" spans="1:20" ht="14" thickBot="1" x14ac:dyDescent="0.2">
      <c r="A45" s="579"/>
      <c r="B45" s="579"/>
      <c r="C45" s="579"/>
      <c r="D45" s="579"/>
      <c r="E45" s="579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626">
        <v>42</v>
      </c>
      <c r="Q45" s="628">
        <v>20</v>
      </c>
      <c r="R45" s="651">
        <v>30</v>
      </c>
      <c r="S45" s="662">
        <v>26</v>
      </c>
      <c r="T45" s="675">
        <v>24</v>
      </c>
    </row>
    <row r="46" spans="1:20" ht="14" thickTop="1" x14ac:dyDescent="0.15">
      <c r="A46" s="579"/>
      <c r="B46" s="579"/>
      <c r="C46" s="579"/>
      <c r="D46" s="579"/>
      <c r="E46" s="579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619">
        <v>48</v>
      </c>
      <c r="Q46" s="620">
        <v>48</v>
      </c>
      <c r="R46" s="649">
        <v>35</v>
      </c>
      <c r="S46" s="663">
        <v>33</v>
      </c>
      <c r="T46" s="673"/>
    </row>
    <row r="47" spans="1:20" x14ac:dyDescent="0.15">
      <c r="A47" s="579"/>
      <c r="B47" s="579"/>
      <c r="C47" s="579"/>
      <c r="D47" s="579"/>
      <c r="E47" s="579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624" t="s">
        <v>1847</v>
      </c>
      <c r="Q47" s="75">
        <v>42</v>
      </c>
      <c r="R47" s="650">
        <v>35</v>
      </c>
      <c r="S47" s="99">
        <v>32</v>
      </c>
      <c r="T47" s="674">
        <v>28</v>
      </c>
    </row>
    <row r="48" spans="1:20" x14ac:dyDescent="0.15">
      <c r="A48" s="579"/>
      <c r="B48" s="579"/>
      <c r="C48" s="579"/>
      <c r="D48" s="579"/>
      <c r="E48" s="579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624" t="s">
        <v>1847</v>
      </c>
      <c r="Q48" s="75">
        <v>36</v>
      </c>
      <c r="R48" s="650">
        <v>35</v>
      </c>
      <c r="S48" s="99">
        <v>31</v>
      </c>
      <c r="T48" s="674">
        <v>28</v>
      </c>
    </row>
    <row r="49" spans="1:20" ht="14" thickBot="1" x14ac:dyDescent="0.2">
      <c r="A49" s="579"/>
      <c r="B49" s="579"/>
      <c r="C49" s="579"/>
      <c r="D49" s="579"/>
      <c r="E49" s="579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626">
        <v>48</v>
      </c>
      <c r="Q49" s="628">
        <v>30</v>
      </c>
      <c r="R49" s="651">
        <v>35</v>
      </c>
      <c r="S49" s="662">
        <v>30</v>
      </c>
      <c r="T49" s="675">
        <v>28</v>
      </c>
    </row>
    <row r="50" spans="1:20" ht="14" thickTop="1" x14ac:dyDescent="0.15">
      <c r="A50" s="579"/>
      <c r="B50" s="579"/>
      <c r="C50" s="579"/>
      <c r="D50" s="579"/>
      <c r="E50" s="579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632"/>
      <c r="Q50" s="31"/>
      <c r="R50" s="31"/>
      <c r="S50" s="31"/>
      <c r="T50" s="31"/>
    </row>
    <row r="51" spans="1:20" x14ac:dyDescent="0.15">
      <c r="A51" s="31"/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632"/>
      <c r="Q51" s="31"/>
      <c r="R51" s="31"/>
      <c r="S51" s="31"/>
      <c r="T51" s="31"/>
    </row>
    <row r="61" spans="1:20" ht="19" thickBot="1" x14ac:dyDescent="0.25">
      <c r="B61" s="380" t="s">
        <v>1848</v>
      </c>
    </row>
    <row r="62" spans="1:20" ht="14" thickTop="1" x14ac:dyDescent="0.15">
      <c r="A62" s="687" t="s">
        <v>1818</v>
      </c>
      <c r="B62" s="610"/>
      <c r="C62" s="610"/>
      <c r="D62" s="610"/>
      <c r="E62" s="610"/>
      <c r="F62" s="687" t="s">
        <v>1818</v>
      </c>
      <c r="G62" s="610"/>
      <c r="H62" s="610"/>
      <c r="I62" s="610"/>
      <c r="J62" s="610"/>
      <c r="K62" s="687" t="s">
        <v>1818</v>
      </c>
      <c r="L62" s="610"/>
      <c r="M62" s="610"/>
      <c r="N62" s="610"/>
      <c r="O62" s="610"/>
      <c r="P62" s="687" t="s">
        <v>1818</v>
      </c>
      <c r="Q62" s="610"/>
      <c r="R62" s="610"/>
      <c r="S62" s="610"/>
      <c r="T62" s="610"/>
    </row>
    <row r="63" spans="1:20" ht="18" x14ac:dyDescent="0.2">
      <c r="A63" s="500" t="s">
        <v>1507</v>
      </c>
      <c r="B63" s="611" t="s">
        <v>1844</v>
      </c>
      <c r="C63" s="645" t="s">
        <v>1730</v>
      </c>
      <c r="D63" s="656" t="s">
        <v>1845</v>
      </c>
      <c r="E63" s="671" t="s">
        <v>1846</v>
      </c>
      <c r="F63" s="500" t="s">
        <v>1507</v>
      </c>
      <c r="G63" s="611" t="s">
        <v>1844</v>
      </c>
      <c r="H63" s="645" t="s">
        <v>1730</v>
      </c>
      <c r="I63" s="656" t="s">
        <v>1845</v>
      </c>
      <c r="J63" s="671" t="s">
        <v>1846</v>
      </c>
      <c r="K63" s="500" t="s">
        <v>1507</v>
      </c>
      <c r="L63" s="611" t="s">
        <v>1844</v>
      </c>
      <c r="M63" s="645" t="s">
        <v>1730</v>
      </c>
      <c r="N63" s="656" t="s">
        <v>1845</v>
      </c>
      <c r="O63" s="671" t="s">
        <v>1846</v>
      </c>
      <c r="P63" s="500" t="s">
        <v>1507</v>
      </c>
      <c r="Q63" s="611" t="s">
        <v>1844</v>
      </c>
      <c r="R63" s="645" t="s">
        <v>1730</v>
      </c>
      <c r="S63" s="656" t="s">
        <v>1845</v>
      </c>
      <c r="T63" s="671" t="s">
        <v>1846</v>
      </c>
    </row>
    <row r="64" spans="1:20" ht="18" x14ac:dyDescent="0.2">
      <c r="A64" s="500" t="s">
        <v>845</v>
      </c>
      <c r="B64" s="611"/>
      <c r="C64" s="612"/>
      <c r="D64" s="612"/>
      <c r="E64" s="612"/>
      <c r="F64" s="500" t="s">
        <v>845</v>
      </c>
      <c r="G64" s="611"/>
      <c r="H64" s="612"/>
      <c r="I64" s="612"/>
      <c r="J64" s="612"/>
      <c r="K64" s="500" t="s">
        <v>845</v>
      </c>
      <c r="L64" s="611"/>
      <c r="M64" s="612"/>
      <c r="N64" s="612"/>
      <c r="O64" s="612"/>
      <c r="P64" s="500" t="s">
        <v>845</v>
      </c>
      <c r="Q64" s="611"/>
      <c r="R64" s="612"/>
      <c r="S64" s="612"/>
      <c r="T64" s="612"/>
    </row>
    <row r="65" spans="1:20" ht="14" thickBot="1" x14ac:dyDescent="0.2">
      <c r="A65" s="686" t="s">
        <v>1754</v>
      </c>
      <c r="B65" s="688" t="s">
        <v>1754</v>
      </c>
      <c r="C65" s="685" t="s">
        <v>1754</v>
      </c>
      <c r="D65" s="686" t="s">
        <v>1754</v>
      </c>
      <c r="E65" s="684" t="s">
        <v>1754</v>
      </c>
      <c r="F65" s="686" t="s">
        <v>1754</v>
      </c>
      <c r="G65" s="688" t="s">
        <v>1754</v>
      </c>
      <c r="H65" s="685" t="s">
        <v>1754</v>
      </c>
      <c r="I65" s="686" t="s">
        <v>1754</v>
      </c>
      <c r="J65" s="684" t="s">
        <v>1754</v>
      </c>
      <c r="K65" s="686" t="s">
        <v>1754</v>
      </c>
      <c r="L65" s="688" t="s">
        <v>1754</v>
      </c>
      <c r="M65" s="685" t="s">
        <v>1754</v>
      </c>
      <c r="N65" s="686" t="s">
        <v>1754</v>
      </c>
      <c r="O65" s="684" t="s">
        <v>1754</v>
      </c>
      <c r="P65" s="686" t="s">
        <v>1754</v>
      </c>
      <c r="Q65" s="688" t="s">
        <v>1754</v>
      </c>
      <c r="R65" s="505" t="s">
        <v>1754</v>
      </c>
      <c r="S65" s="686" t="s">
        <v>1754</v>
      </c>
      <c r="T65" s="684" t="s">
        <v>1754</v>
      </c>
    </row>
    <row r="66" spans="1:20" ht="14" thickTop="1" x14ac:dyDescent="0.15">
      <c r="A66" s="633">
        <f t="shared" ref="A66:C71" si="0">A15*25.4</f>
        <v>19.049999999999997</v>
      </c>
      <c r="B66" s="634">
        <f t="shared" si="0"/>
        <v>19.049999999999997</v>
      </c>
      <c r="C66" s="652">
        <f t="shared" si="0"/>
        <v>28.574999999999999</v>
      </c>
      <c r="D66" s="616"/>
      <c r="E66" s="616"/>
      <c r="F66" s="635">
        <f>F15*25.4</f>
        <v>88.899999999999991</v>
      </c>
      <c r="G66" s="636">
        <f>G15*25.4</f>
        <v>88.899999999999991</v>
      </c>
      <c r="H66" s="654">
        <f>H15*25.4</f>
        <v>95.25</v>
      </c>
      <c r="I66" s="616"/>
      <c r="J66" s="617"/>
      <c r="K66" s="635">
        <f>K15*25.4</f>
        <v>254</v>
      </c>
      <c r="L66" s="636">
        <f>L15*25.4</f>
        <v>254</v>
      </c>
      <c r="M66" s="654">
        <f>M15*25.4</f>
        <v>215.89999999999998</v>
      </c>
      <c r="N66" s="616"/>
      <c r="O66" s="617"/>
      <c r="P66" s="635">
        <f>P15*25.4</f>
        <v>508</v>
      </c>
      <c r="Q66" s="636">
        <f>Q15*25.4</f>
        <v>508</v>
      </c>
      <c r="R66" s="654">
        <f>R15*25.4</f>
        <v>381</v>
      </c>
      <c r="S66" s="657"/>
      <c r="T66" s="617"/>
    </row>
    <row r="67" spans="1:20" ht="14" thickBot="1" x14ac:dyDescent="0.2">
      <c r="A67" s="637">
        <f t="shared" si="0"/>
        <v>19.049999999999997</v>
      </c>
      <c r="B67" s="638">
        <f t="shared" si="0"/>
        <v>12.7</v>
      </c>
      <c r="C67" s="653">
        <f t="shared" si="0"/>
        <v>28.574999999999999</v>
      </c>
      <c r="D67" s="664">
        <f>D16*25.4</f>
        <v>28.574999999999999</v>
      </c>
      <c r="E67" s="679">
        <f>E16*25.4</f>
        <v>38.099999999999994</v>
      </c>
      <c r="F67" s="639" t="s">
        <v>1847</v>
      </c>
      <c r="G67" s="640">
        <f t="shared" ref="G67:J69" si="1">G16*25.4</f>
        <v>76.199999999999989</v>
      </c>
      <c r="H67" s="655">
        <f t="shared" si="1"/>
        <v>95.25</v>
      </c>
      <c r="I67" s="666">
        <f t="shared" si="1"/>
        <v>92.074999999999989</v>
      </c>
      <c r="J67" s="681">
        <f t="shared" si="1"/>
        <v>101.6</v>
      </c>
      <c r="K67" s="624" t="s">
        <v>1847</v>
      </c>
      <c r="L67" s="640">
        <f t="shared" ref="L67:O70" si="2">L16*25.4</f>
        <v>203.2</v>
      </c>
      <c r="M67" s="655">
        <f t="shared" si="2"/>
        <v>215.89999999999998</v>
      </c>
      <c r="N67" s="666">
        <f t="shared" si="2"/>
        <v>203.2</v>
      </c>
      <c r="O67" s="681">
        <f t="shared" si="2"/>
        <v>177.79999999999998</v>
      </c>
      <c r="P67" s="624" t="s">
        <v>1847</v>
      </c>
      <c r="Q67" s="640">
        <f t="shared" ref="Q67:T72" si="3">Q16*25.4</f>
        <v>457.2</v>
      </c>
      <c r="R67" s="655">
        <f t="shared" si="3"/>
        <v>381</v>
      </c>
      <c r="S67" s="666">
        <f t="shared" si="3"/>
        <v>368.29999999999995</v>
      </c>
      <c r="T67" s="682">
        <f t="shared" si="3"/>
        <v>508</v>
      </c>
    </row>
    <row r="68" spans="1:20" ht="14" thickTop="1" x14ac:dyDescent="0.15">
      <c r="A68" s="641">
        <f t="shared" si="0"/>
        <v>25.4</v>
      </c>
      <c r="B68" s="636">
        <f t="shared" si="0"/>
        <v>25.4</v>
      </c>
      <c r="C68" s="654">
        <f t="shared" si="0"/>
        <v>38.099999999999994</v>
      </c>
      <c r="D68" s="665"/>
      <c r="E68" s="680"/>
      <c r="F68" s="624" t="s">
        <v>1847</v>
      </c>
      <c r="G68" s="640">
        <f t="shared" si="1"/>
        <v>63.5</v>
      </c>
      <c r="H68" s="655">
        <f t="shared" si="1"/>
        <v>95.25</v>
      </c>
      <c r="I68" s="666">
        <f t="shared" si="1"/>
        <v>88.899999999999991</v>
      </c>
      <c r="J68" s="681">
        <f t="shared" si="1"/>
        <v>101.6</v>
      </c>
      <c r="K68" s="624" t="s">
        <v>1847</v>
      </c>
      <c r="L68" s="640">
        <f t="shared" si="2"/>
        <v>152.39999999999998</v>
      </c>
      <c r="M68" s="655">
        <f t="shared" si="2"/>
        <v>215.89999999999998</v>
      </c>
      <c r="N68" s="666">
        <f t="shared" si="2"/>
        <v>193.67499999999998</v>
      </c>
      <c r="O68" s="681">
        <f t="shared" si="2"/>
        <v>177.79999999999998</v>
      </c>
      <c r="P68" s="624" t="s">
        <v>1847</v>
      </c>
      <c r="Q68" s="640">
        <f t="shared" si="3"/>
        <v>406.4</v>
      </c>
      <c r="R68" s="655">
        <f t="shared" si="3"/>
        <v>381</v>
      </c>
      <c r="S68" s="666">
        <f t="shared" si="3"/>
        <v>355.59999999999997</v>
      </c>
      <c r="T68" s="682">
        <f t="shared" si="3"/>
        <v>508</v>
      </c>
    </row>
    <row r="69" spans="1:20" x14ac:dyDescent="0.15">
      <c r="A69" s="642">
        <f t="shared" si="0"/>
        <v>25.4</v>
      </c>
      <c r="B69" s="640">
        <f t="shared" si="0"/>
        <v>19.049999999999997</v>
      </c>
      <c r="C69" s="655">
        <f t="shared" si="0"/>
        <v>38.099999999999994</v>
      </c>
      <c r="D69" s="666">
        <f>D18*25.4</f>
        <v>38.099999999999994</v>
      </c>
      <c r="E69" s="681">
        <f>E18*25.4</f>
        <v>50.8</v>
      </c>
      <c r="F69" s="624" t="s">
        <v>1847</v>
      </c>
      <c r="G69" s="640">
        <f t="shared" si="1"/>
        <v>50.8</v>
      </c>
      <c r="H69" s="655">
        <f t="shared" si="1"/>
        <v>95.25</v>
      </c>
      <c r="I69" s="666">
        <f t="shared" si="1"/>
        <v>82.55</v>
      </c>
      <c r="J69" s="681">
        <f t="shared" si="1"/>
        <v>101.6</v>
      </c>
      <c r="K69" s="624" t="s">
        <v>1847</v>
      </c>
      <c r="L69" s="640">
        <f t="shared" si="2"/>
        <v>127</v>
      </c>
      <c r="M69" s="655">
        <f t="shared" si="2"/>
        <v>215.89999999999998</v>
      </c>
      <c r="N69" s="666">
        <f t="shared" si="2"/>
        <v>190.5</v>
      </c>
      <c r="O69" s="681">
        <f t="shared" si="2"/>
        <v>177.79999999999998</v>
      </c>
      <c r="P69" s="624" t="s">
        <v>1847</v>
      </c>
      <c r="Q69" s="640">
        <f t="shared" si="3"/>
        <v>355.59999999999997</v>
      </c>
      <c r="R69" s="655">
        <f t="shared" si="3"/>
        <v>381</v>
      </c>
      <c r="S69" s="666">
        <f t="shared" si="3"/>
        <v>355.59999999999997</v>
      </c>
      <c r="T69" s="682">
        <f t="shared" si="3"/>
        <v>508</v>
      </c>
    </row>
    <row r="70" spans="1:20" ht="14" thickBot="1" x14ac:dyDescent="0.2">
      <c r="A70" s="643">
        <f t="shared" si="0"/>
        <v>25.4</v>
      </c>
      <c r="B70" s="638">
        <f t="shared" si="0"/>
        <v>12.7</v>
      </c>
      <c r="C70" s="653">
        <f t="shared" si="0"/>
        <v>38.099999999999994</v>
      </c>
      <c r="D70" s="664">
        <f>D19*25.4</f>
        <v>38.099999999999994</v>
      </c>
      <c r="E70" s="679">
        <f>E19*25.4</f>
        <v>50.8</v>
      </c>
      <c r="F70" s="644">
        <f t="shared" ref="F70:K70" si="4">F19*25.4</f>
        <v>88.899999999999991</v>
      </c>
      <c r="G70" s="638">
        <f t="shared" si="4"/>
        <v>38.099999999999994</v>
      </c>
      <c r="H70" s="653">
        <f t="shared" si="4"/>
        <v>95.25</v>
      </c>
      <c r="I70" s="664">
        <f t="shared" si="4"/>
        <v>79.375</v>
      </c>
      <c r="J70" s="679">
        <f t="shared" si="4"/>
        <v>101.6</v>
      </c>
      <c r="K70" s="644">
        <f t="shared" si="4"/>
        <v>254</v>
      </c>
      <c r="L70" s="638">
        <f t="shared" si="2"/>
        <v>101.6</v>
      </c>
      <c r="M70" s="653">
        <f t="shared" si="2"/>
        <v>215.89999999999998</v>
      </c>
      <c r="N70" s="664">
        <f t="shared" si="2"/>
        <v>184.14999999999998</v>
      </c>
      <c r="O70" s="679">
        <f t="shared" si="2"/>
        <v>177.79999999999998</v>
      </c>
      <c r="P70" s="624" t="s">
        <v>1847</v>
      </c>
      <c r="Q70" s="640">
        <f t="shared" si="3"/>
        <v>304.79999999999995</v>
      </c>
      <c r="R70" s="655">
        <f t="shared" si="3"/>
        <v>381</v>
      </c>
      <c r="S70" s="666">
        <f t="shared" si="3"/>
        <v>346.07499999999999</v>
      </c>
      <c r="T70" s="682">
        <f t="shared" si="3"/>
        <v>508</v>
      </c>
    </row>
    <row r="71" spans="1:20" ht="14" thickTop="1" x14ac:dyDescent="0.15">
      <c r="A71" s="641">
        <f t="shared" si="0"/>
        <v>31.75</v>
      </c>
      <c r="B71" s="636">
        <f t="shared" si="0"/>
        <v>31.75</v>
      </c>
      <c r="C71" s="654">
        <f t="shared" si="0"/>
        <v>47.625</v>
      </c>
      <c r="D71" s="657"/>
      <c r="E71" s="673"/>
      <c r="F71" s="635">
        <f>F20*25.4</f>
        <v>101.6</v>
      </c>
      <c r="G71" s="636">
        <f>G20*25.4</f>
        <v>101.6</v>
      </c>
      <c r="H71" s="654">
        <f>H20*25.4</f>
        <v>104.77499999999999</v>
      </c>
      <c r="I71" s="657"/>
      <c r="J71" s="673"/>
      <c r="K71" s="635">
        <f>K20*25.4</f>
        <v>304.79999999999995</v>
      </c>
      <c r="L71" s="636">
        <f>L20*25.4</f>
        <v>304.79999999999995</v>
      </c>
      <c r="M71" s="654">
        <f>M20*25.4</f>
        <v>254</v>
      </c>
      <c r="N71" s="657"/>
      <c r="O71" s="673"/>
      <c r="P71" s="624" t="s">
        <v>1847</v>
      </c>
      <c r="Q71" s="640">
        <f t="shared" si="3"/>
        <v>254</v>
      </c>
      <c r="R71" s="655">
        <f t="shared" si="3"/>
        <v>381</v>
      </c>
      <c r="S71" s="666">
        <f t="shared" si="3"/>
        <v>333.375</v>
      </c>
      <c r="T71" s="682">
        <f t="shared" si="3"/>
        <v>508</v>
      </c>
    </row>
    <row r="72" spans="1:20" ht="14" thickBot="1" x14ac:dyDescent="0.2">
      <c r="A72" s="624" t="s">
        <v>1847</v>
      </c>
      <c r="B72" s="640">
        <f t="shared" ref="B72:E74" si="5">B21*25.4</f>
        <v>25.4</v>
      </c>
      <c r="C72" s="655">
        <f t="shared" si="5"/>
        <v>47.625</v>
      </c>
      <c r="D72" s="666">
        <f t="shared" si="5"/>
        <v>47.625</v>
      </c>
      <c r="E72" s="681">
        <f t="shared" si="5"/>
        <v>50.8</v>
      </c>
      <c r="F72" s="624" t="s">
        <v>1847</v>
      </c>
      <c r="G72" s="640">
        <f t="shared" ref="G72:J75" si="6">G21*25.4</f>
        <v>88.899999999999991</v>
      </c>
      <c r="H72" s="655">
        <f t="shared" si="6"/>
        <v>104.77499999999999</v>
      </c>
      <c r="I72" s="666">
        <f t="shared" si="6"/>
        <v>101.6</v>
      </c>
      <c r="J72" s="681">
        <f t="shared" si="6"/>
        <v>101.6</v>
      </c>
      <c r="K72" s="624" t="s">
        <v>1847</v>
      </c>
      <c r="L72" s="640">
        <f t="shared" ref="L72:O74" si="7">L21*25.4</f>
        <v>254</v>
      </c>
      <c r="M72" s="655">
        <f t="shared" si="7"/>
        <v>254</v>
      </c>
      <c r="N72" s="666">
        <f t="shared" si="7"/>
        <v>241.29999999999998</v>
      </c>
      <c r="O72" s="681">
        <f t="shared" si="7"/>
        <v>203.2</v>
      </c>
      <c r="P72" s="644">
        <f>P21*25.4</f>
        <v>508</v>
      </c>
      <c r="Q72" s="638">
        <f t="shared" si="3"/>
        <v>203.2</v>
      </c>
      <c r="R72" s="653">
        <f t="shared" si="3"/>
        <v>381</v>
      </c>
      <c r="S72" s="664">
        <f t="shared" si="3"/>
        <v>323.84999999999997</v>
      </c>
      <c r="T72" s="683">
        <f t="shared" si="3"/>
        <v>508</v>
      </c>
    </row>
    <row r="73" spans="1:20" ht="14" thickTop="1" x14ac:dyDescent="0.15">
      <c r="A73" s="624" t="s">
        <v>1847</v>
      </c>
      <c r="B73" s="640">
        <f t="shared" si="5"/>
        <v>19.049999999999997</v>
      </c>
      <c r="C73" s="655">
        <f t="shared" si="5"/>
        <v>47.625</v>
      </c>
      <c r="D73" s="666">
        <f t="shared" si="5"/>
        <v>47.625</v>
      </c>
      <c r="E73" s="681">
        <f t="shared" si="5"/>
        <v>50.8</v>
      </c>
      <c r="F73" s="624" t="s">
        <v>1847</v>
      </c>
      <c r="G73" s="640">
        <f t="shared" si="6"/>
        <v>76.199999999999989</v>
      </c>
      <c r="H73" s="655">
        <f t="shared" si="6"/>
        <v>104.77499999999999</v>
      </c>
      <c r="I73" s="666">
        <f t="shared" si="6"/>
        <v>98.424999999999997</v>
      </c>
      <c r="J73" s="681">
        <f t="shared" si="6"/>
        <v>101.6</v>
      </c>
      <c r="K73" s="624" t="s">
        <v>1847</v>
      </c>
      <c r="L73" s="640">
        <f t="shared" si="7"/>
        <v>203.2</v>
      </c>
      <c r="M73" s="655">
        <f t="shared" si="7"/>
        <v>254</v>
      </c>
      <c r="N73" s="666">
        <f t="shared" si="7"/>
        <v>228.6</v>
      </c>
      <c r="O73" s="681">
        <f t="shared" si="7"/>
        <v>203.2</v>
      </c>
      <c r="P73" s="635">
        <f>P22*25.4</f>
        <v>609.59999999999991</v>
      </c>
      <c r="Q73" s="636">
        <f>Q22*25.4</f>
        <v>609.59999999999991</v>
      </c>
      <c r="R73" s="654">
        <f>R22*25.4</f>
        <v>431.79999999999995</v>
      </c>
      <c r="S73" s="657"/>
      <c r="T73" s="673"/>
    </row>
    <row r="74" spans="1:20" ht="14" thickBot="1" x14ac:dyDescent="0.2">
      <c r="A74" s="643">
        <f>A23*25.4</f>
        <v>31.75</v>
      </c>
      <c r="B74" s="638">
        <f t="shared" si="5"/>
        <v>12.7</v>
      </c>
      <c r="C74" s="653">
        <f t="shared" si="5"/>
        <v>47.625</v>
      </c>
      <c r="D74" s="664">
        <f t="shared" si="5"/>
        <v>47.625</v>
      </c>
      <c r="E74" s="679">
        <f t="shared" si="5"/>
        <v>50.8</v>
      </c>
      <c r="F74" s="624" t="s">
        <v>1847</v>
      </c>
      <c r="G74" s="640">
        <f t="shared" si="6"/>
        <v>63.5</v>
      </c>
      <c r="H74" s="655">
        <f t="shared" si="6"/>
        <v>104.77499999999999</v>
      </c>
      <c r="I74" s="666">
        <f t="shared" si="6"/>
        <v>95.25</v>
      </c>
      <c r="J74" s="681">
        <f t="shared" si="6"/>
        <v>101.6</v>
      </c>
      <c r="K74" s="624" t="s">
        <v>1847</v>
      </c>
      <c r="L74" s="640">
        <f t="shared" si="7"/>
        <v>152.39999999999998</v>
      </c>
      <c r="M74" s="655">
        <f t="shared" si="7"/>
        <v>254</v>
      </c>
      <c r="N74" s="666">
        <f t="shared" si="7"/>
        <v>219.07499999999999</v>
      </c>
      <c r="O74" s="681">
        <f t="shared" si="7"/>
        <v>203.2</v>
      </c>
      <c r="P74" s="624" t="s">
        <v>1847</v>
      </c>
      <c r="Q74" s="640">
        <f t="shared" ref="Q74:T79" si="8">Q23*25.4</f>
        <v>508</v>
      </c>
      <c r="R74" s="655">
        <f t="shared" si="8"/>
        <v>431.79999999999995</v>
      </c>
      <c r="S74" s="666">
        <f t="shared" si="8"/>
        <v>431.79999999999995</v>
      </c>
      <c r="T74" s="682">
        <f t="shared" si="8"/>
        <v>508</v>
      </c>
    </row>
    <row r="75" spans="1:20" ht="15" thickTop="1" thickBot="1" x14ac:dyDescent="0.2">
      <c r="A75" s="635">
        <f>A24*25.4</f>
        <v>38.099999999999994</v>
      </c>
      <c r="B75" s="636">
        <f>B24*25.4</f>
        <v>38.099999999999994</v>
      </c>
      <c r="C75" s="654">
        <f>C24*25.4</f>
        <v>57.15</v>
      </c>
      <c r="D75" s="660"/>
      <c r="E75" s="673"/>
      <c r="F75" s="624" t="s">
        <v>1847</v>
      </c>
      <c r="G75" s="640">
        <f t="shared" si="6"/>
        <v>50.8</v>
      </c>
      <c r="H75" s="655">
        <f t="shared" si="6"/>
        <v>104.77499999999999</v>
      </c>
      <c r="I75" s="666">
        <f t="shared" si="6"/>
        <v>88.899999999999991</v>
      </c>
      <c r="J75" s="681">
        <f t="shared" si="6"/>
        <v>101.6</v>
      </c>
      <c r="K75" s="644">
        <f>K24*25.4</f>
        <v>304.79999999999995</v>
      </c>
      <c r="L75" s="638">
        <f>L24*25.4</f>
        <v>127</v>
      </c>
      <c r="M75" s="653">
        <f>M24*25.4</f>
        <v>254</v>
      </c>
      <c r="N75" s="664">
        <f>N24*25.4</f>
        <v>215.89999999999998</v>
      </c>
      <c r="O75" s="679">
        <f>O24*25.4</f>
        <v>203.2</v>
      </c>
      <c r="P75" s="624" t="s">
        <v>1847</v>
      </c>
      <c r="Q75" s="640">
        <f t="shared" si="8"/>
        <v>457.2</v>
      </c>
      <c r="R75" s="655">
        <f t="shared" si="8"/>
        <v>431.79999999999995</v>
      </c>
      <c r="S75" s="666">
        <f t="shared" si="8"/>
        <v>419.09999999999997</v>
      </c>
      <c r="T75" s="682">
        <f t="shared" si="8"/>
        <v>508</v>
      </c>
    </row>
    <row r="76" spans="1:20" ht="15" thickTop="1" thickBot="1" x14ac:dyDescent="0.2">
      <c r="A76" s="624" t="s">
        <v>1847</v>
      </c>
      <c r="B76" s="640">
        <f t="shared" ref="B76:E78" si="9">B25*25.4</f>
        <v>31.75</v>
      </c>
      <c r="C76" s="655">
        <f t="shared" si="9"/>
        <v>57.15</v>
      </c>
      <c r="D76" s="666">
        <f t="shared" si="9"/>
        <v>57.15</v>
      </c>
      <c r="E76" s="681">
        <f t="shared" si="9"/>
        <v>63.5</v>
      </c>
      <c r="F76" s="644">
        <f t="shared" ref="F76:M76" si="10">F25*25.4</f>
        <v>101.6</v>
      </c>
      <c r="G76" s="638">
        <f t="shared" si="10"/>
        <v>38.099999999999994</v>
      </c>
      <c r="H76" s="653">
        <f t="shared" si="10"/>
        <v>104.77499999999999</v>
      </c>
      <c r="I76" s="664">
        <f t="shared" si="10"/>
        <v>85.724999999999994</v>
      </c>
      <c r="J76" s="679">
        <f t="shared" si="10"/>
        <v>101.6</v>
      </c>
      <c r="K76" s="635">
        <f t="shared" si="10"/>
        <v>355.59999999999997</v>
      </c>
      <c r="L76" s="636">
        <f t="shared" si="10"/>
        <v>355.59999999999997</v>
      </c>
      <c r="M76" s="654">
        <f t="shared" si="10"/>
        <v>279.39999999999998</v>
      </c>
      <c r="N76" s="657"/>
      <c r="O76" s="673"/>
      <c r="P76" s="624" t="s">
        <v>1847</v>
      </c>
      <c r="Q76" s="640">
        <f t="shared" si="8"/>
        <v>406.4</v>
      </c>
      <c r="R76" s="655">
        <f t="shared" si="8"/>
        <v>431.79999999999995</v>
      </c>
      <c r="S76" s="666">
        <f t="shared" si="8"/>
        <v>406.4</v>
      </c>
      <c r="T76" s="682">
        <f t="shared" si="8"/>
        <v>508</v>
      </c>
    </row>
    <row r="77" spans="1:20" ht="14" thickTop="1" x14ac:dyDescent="0.15">
      <c r="A77" s="624" t="s">
        <v>1847</v>
      </c>
      <c r="B77" s="640">
        <f t="shared" si="9"/>
        <v>25.4</v>
      </c>
      <c r="C77" s="655">
        <f t="shared" si="9"/>
        <v>57.15</v>
      </c>
      <c r="D77" s="666">
        <f t="shared" si="9"/>
        <v>57.15</v>
      </c>
      <c r="E77" s="681">
        <f t="shared" si="9"/>
        <v>63.5</v>
      </c>
      <c r="F77" s="635">
        <f>F26*25.4</f>
        <v>127</v>
      </c>
      <c r="G77" s="636">
        <f>G26*25.4</f>
        <v>127</v>
      </c>
      <c r="H77" s="654">
        <f>H26*25.4</f>
        <v>123.82499999999999</v>
      </c>
      <c r="I77" s="657"/>
      <c r="J77" s="673"/>
      <c r="K77" s="624" t="s">
        <v>1847</v>
      </c>
      <c r="L77" s="640">
        <f t="shared" ref="L77:O79" si="11">L26*25.4</f>
        <v>304.79999999999995</v>
      </c>
      <c r="M77" s="655">
        <f t="shared" si="11"/>
        <v>279.39999999999998</v>
      </c>
      <c r="N77" s="666">
        <f t="shared" si="11"/>
        <v>269.875</v>
      </c>
      <c r="O77" s="681">
        <f t="shared" si="11"/>
        <v>330.2</v>
      </c>
      <c r="P77" s="624" t="s">
        <v>1847</v>
      </c>
      <c r="Q77" s="640">
        <f t="shared" si="8"/>
        <v>355.59999999999997</v>
      </c>
      <c r="R77" s="655">
        <f t="shared" si="8"/>
        <v>431.79999999999995</v>
      </c>
      <c r="S77" s="666">
        <f t="shared" si="8"/>
        <v>406.4</v>
      </c>
      <c r="T77" s="682">
        <f t="shared" si="8"/>
        <v>508</v>
      </c>
    </row>
    <row r="78" spans="1:20" x14ac:dyDescent="0.15">
      <c r="A78" s="624" t="s">
        <v>1847</v>
      </c>
      <c r="B78" s="640">
        <f t="shared" si="9"/>
        <v>19.049999999999997</v>
      </c>
      <c r="C78" s="655">
        <f t="shared" si="9"/>
        <v>57.15</v>
      </c>
      <c r="D78" s="666">
        <f t="shared" si="9"/>
        <v>57.15</v>
      </c>
      <c r="E78" s="681">
        <f t="shared" si="9"/>
        <v>63.5</v>
      </c>
      <c r="F78" s="629" t="s">
        <v>1847</v>
      </c>
      <c r="G78" s="640">
        <f t="shared" ref="G78:J81" si="12">G27*25.4</f>
        <v>101.6</v>
      </c>
      <c r="H78" s="655">
        <f t="shared" si="12"/>
        <v>123.82499999999999</v>
      </c>
      <c r="I78" s="666">
        <f t="shared" si="12"/>
        <v>117.47499999999999</v>
      </c>
      <c r="J78" s="681">
        <f t="shared" si="12"/>
        <v>127</v>
      </c>
      <c r="K78" s="624" t="s">
        <v>1847</v>
      </c>
      <c r="L78" s="640">
        <f t="shared" si="11"/>
        <v>254</v>
      </c>
      <c r="M78" s="655">
        <f t="shared" si="11"/>
        <v>279.39999999999998</v>
      </c>
      <c r="N78" s="666">
        <f t="shared" si="11"/>
        <v>257.17500000000001</v>
      </c>
      <c r="O78" s="681">
        <f t="shared" si="11"/>
        <v>330.2</v>
      </c>
      <c r="P78" s="624" t="s">
        <v>1847</v>
      </c>
      <c r="Q78" s="640">
        <f t="shared" si="8"/>
        <v>304.79999999999995</v>
      </c>
      <c r="R78" s="655">
        <f t="shared" si="8"/>
        <v>431.79999999999995</v>
      </c>
      <c r="S78" s="666">
        <f t="shared" si="8"/>
        <v>396.875</v>
      </c>
      <c r="T78" s="682">
        <f t="shared" si="8"/>
        <v>508</v>
      </c>
    </row>
    <row r="79" spans="1:20" ht="14" thickBot="1" x14ac:dyDescent="0.2">
      <c r="A79" s="643">
        <f>A28*25.4</f>
        <v>38.099999999999994</v>
      </c>
      <c r="B79" s="638">
        <f>B28*25.4</f>
        <v>12.7</v>
      </c>
      <c r="C79" s="653">
        <f>C28*25.4</f>
        <v>57.15</v>
      </c>
      <c r="D79" s="664">
        <f>D28*25.4</f>
        <v>57.15</v>
      </c>
      <c r="E79" s="679">
        <f>E28*25.4</f>
        <v>63.5</v>
      </c>
      <c r="F79" s="624" t="s">
        <v>1847</v>
      </c>
      <c r="G79" s="640">
        <f t="shared" si="12"/>
        <v>88.899999999999991</v>
      </c>
      <c r="H79" s="655">
        <f t="shared" si="12"/>
        <v>123.82499999999999</v>
      </c>
      <c r="I79" s="666">
        <f t="shared" si="12"/>
        <v>114.3</v>
      </c>
      <c r="J79" s="681">
        <f t="shared" si="12"/>
        <v>127</v>
      </c>
      <c r="K79" s="624" t="s">
        <v>1847</v>
      </c>
      <c r="L79" s="640">
        <f t="shared" si="11"/>
        <v>203.2</v>
      </c>
      <c r="M79" s="655">
        <f t="shared" si="11"/>
        <v>279.39999999999998</v>
      </c>
      <c r="N79" s="666">
        <f t="shared" si="11"/>
        <v>247.64999999999998</v>
      </c>
      <c r="O79" s="681">
        <f t="shared" si="11"/>
        <v>330.2</v>
      </c>
      <c r="P79" s="644">
        <f>P28*25.4</f>
        <v>609.59999999999991</v>
      </c>
      <c r="Q79" s="638">
        <f t="shared" si="8"/>
        <v>254</v>
      </c>
      <c r="R79" s="653">
        <f t="shared" si="8"/>
        <v>431.79999999999995</v>
      </c>
      <c r="S79" s="664">
        <f t="shared" si="8"/>
        <v>384.17499999999995</v>
      </c>
      <c r="T79" s="683">
        <f t="shared" si="8"/>
        <v>508</v>
      </c>
    </row>
    <row r="80" spans="1:20" ht="15" thickTop="1" thickBot="1" x14ac:dyDescent="0.2">
      <c r="A80" s="635">
        <f>A29*25.4</f>
        <v>50.8</v>
      </c>
      <c r="B80" s="636">
        <f>B29*25.4</f>
        <v>50.8</v>
      </c>
      <c r="C80" s="654">
        <f>C29*25.4</f>
        <v>63.5</v>
      </c>
      <c r="D80" s="657"/>
      <c r="E80" s="673"/>
      <c r="F80" s="629" t="s">
        <v>1847</v>
      </c>
      <c r="G80" s="640">
        <f t="shared" si="12"/>
        <v>76.199999999999989</v>
      </c>
      <c r="H80" s="655">
        <f t="shared" si="12"/>
        <v>123.82499999999999</v>
      </c>
      <c r="I80" s="666">
        <f t="shared" si="12"/>
        <v>111.125</v>
      </c>
      <c r="J80" s="681">
        <f t="shared" si="12"/>
        <v>127</v>
      </c>
      <c r="K80" s="644">
        <f>K29*25.4</f>
        <v>355.59999999999997</v>
      </c>
      <c r="L80" s="638">
        <f>L29*25.4</f>
        <v>152.39999999999998</v>
      </c>
      <c r="M80" s="653">
        <f>M29*25.4</f>
        <v>279.39999999999998</v>
      </c>
      <c r="N80" s="664">
        <f>N29*25.4</f>
        <v>238.125</v>
      </c>
      <c r="O80" s="679">
        <f>O29*25.4</f>
        <v>330.2</v>
      </c>
      <c r="P80" s="635">
        <f>P29*25.4</f>
        <v>762</v>
      </c>
      <c r="Q80" s="636">
        <f>Q29*25.4</f>
        <v>762</v>
      </c>
      <c r="R80" s="654">
        <f>R29*25.4</f>
        <v>558.79999999999995</v>
      </c>
      <c r="S80" s="657"/>
      <c r="T80" s="673"/>
    </row>
    <row r="81" spans="1:20" ht="14" thickTop="1" x14ac:dyDescent="0.15">
      <c r="A81" s="624" t="s">
        <v>1847</v>
      </c>
      <c r="B81" s="640">
        <f t="shared" ref="B81:E84" si="13">B30*25.4</f>
        <v>38.099999999999994</v>
      </c>
      <c r="C81" s="655">
        <f t="shared" si="13"/>
        <v>63.5</v>
      </c>
      <c r="D81" s="666">
        <f t="shared" si="13"/>
        <v>60.324999999999996</v>
      </c>
      <c r="E81" s="681">
        <f t="shared" si="13"/>
        <v>76.199999999999989</v>
      </c>
      <c r="F81" s="624" t="s">
        <v>1847</v>
      </c>
      <c r="G81" s="640">
        <f t="shared" si="12"/>
        <v>63.5</v>
      </c>
      <c r="H81" s="655">
        <f t="shared" si="12"/>
        <v>123.82499999999999</v>
      </c>
      <c r="I81" s="666">
        <f t="shared" si="12"/>
        <v>107.94999999999999</v>
      </c>
      <c r="J81" s="681">
        <f t="shared" si="12"/>
        <v>127</v>
      </c>
      <c r="K81" s="635">
        <f>K30*25.4</f>
        <v>406.4</v>
      </c>
      <c r="L81" s="636">
        <f>L30*25.4</f>
        <v>406.4</v>
      </c>
      <c r="M81" s="654">
        <f>M30*25.4</f>
        <v>304.79999999999995</v>
      </c>
      <c r="N81" s="657"/>
      <c r="O81" s="673"/>
      <c r="P81" s="624" t="s">
        <v>1847</v>
      </c>
      <c r="Q81" s="640">
        <f t="shared" ref="Q81:T85" si="14">Q30*25.4</f>
        <v>609.59999999999991</v>
      </c>
      <c r="R81" s="655">
        <f t="shared" si="14"/>
        <v>558.79999999999995</v>
      </c>
      <c r="S81" s="666">
        <f t="shared" si="14"/>
        <v>533.4</v>
      </c>
      <c r="T81" s="682">
        <f t="shared" si="14"/>
        <v>609.59999999999991</v>
      </c>
    </row>
    <row r="82" spans="1:20" ht="14" thickBot="1" x14ac:dyDescent="0.2">
      <c r="A82" s="624" t="s">
        <v>1847</v>
      </c>
      <c r="B82" s="640">
        <f t="shared" si="13"/>
        <v>31.75</v>
      </c>
      <c r="C82" s="655">
        <f t="shared" si="13"/>
        <v>63.5</v>
      </c>
      <c r="D82" s="666">
        <f t="shared" si="13"/>
        <v>57.15</v>
      </c>
      <c r="E82" s="681">
        <f t="shared" si="13"/>
        <v>76.199999999999989</v>
      </c>
      <c r="F82" s="644">
        <f>F31*25.4</f>
        <v>127</v>
      </c>
      <c r="G82" s="638">
        <f>G31*25.4</f>
        <v>50.8</v>
      </c>
      <c r="H82" s="653">
        <f>H31*25.4</f>
        <v>123.82499999999999</v>
      </c>
      <c r="I82" s="664">
        <f>I31*25.4</f>
        <v>104.77499999999999</v>
      </c>
      <c r="J82" s="679">
        <f>J31*25.4</f>
        <v>127</v>
      </c>
      <c r="K82" s="624" t="s">
        <v>1847</v>
      </c>
      <c r="L82" s="640">
        <f t="shared" ref="L82:O85" si="15">L31*25.4</f>
        <v>355.59999999999997</v>
      </c>
      <c r="M82" s="655">
        <f t="shared" si="15"/>
        <v>304.79999999999995</v>
      </c>
      <c r="N82" s="666">
        <f t="shared" si="15"/>
        <v>304.79999999999995</v>
      </c>
      <c r="O82" s="681">
        <f t="shared" si="15"/>
        <v>355.59999999999997</v>
      </c>
      <c r="P82" s="624" t="s">
        <v>1847</v>
      </c>
      <c r="Q82" s="640">
        <f t="shared" si="14"/>
        <v>508</v>
      </c>
      <c r="R82" s="655">
        <f t="shared" si="14"/>
        <v>558.79999999999995</v>
      </c>
      <c r="S82" s="666">
        <f t="shared" si="14"/>
        <v>508</v>
      </c>
      <c r="T82" s="682">
        <f t="shared" si="14"/>
        <v>609.59999999999991</v>
      </c>
    </row>
    <row r="83" spans="1:20" ht="14" thickTop="1" x14ac:dyDescent="0.15">
      <c r="A83" s="624" t="s">
        <v>1847</v>
      </c>
      <c r="B83" s="640">
        <f t="shared" si="13"/>
        <v>25.4</v>
      </c>
      <c r="C83" s="655">
        <f t="shared" si="13"/>
        <v>63.5</v>
      </c>
      <c r="D83" s="666">
        <f t="shared" si="13"/>
        <v>50.8</v>
      </c>
      <c r="E83" s="681">
        <f t="shared" si="13"/>
        <v>76.199999999999989</v>
      </c>
      <c r="F83" s="635">
        <f>F32*25.4</f>
        <v>152.39999999999998</v>
      </c>
      <c r="G83" s="636">
        <f>G32*25.4</f>
        <v>152.39999999999998</v>
      </c>
      <c r="H83" s="654">
        <f>H32*25.4</f>
        <v>142.875</v>
      </c>
      <c r="I83" s="657"/>
      <c r="J83" s="673"/>
      <c r="K83" s="624" t="s">
        <v>1847</v>
      </c>
      <c r="L83" s="640">
        <f t="shared" si="15"/>
        <v>304.79999999999995</v>
      </c>
      <c r="M83" s="655">
        <f t="shared" si="15"/>
        <v>304.79999999999995</v>
      </c>
      <c r="N83" s="666">
        <f t="shared" si="15"/>
        <v>295.27499999999998</v>
      </c>
      <c r="O83" s="681">
        <f t="shared" si="15"/>
        <v>355.59999999999997</v>
      </c>
      <c r="P83" s="624" t="s">
        <v>1847</v>
      </c>
      <c r="Q83" s="640">
        <f t="shared" si="14"/>
        <v>457.2</v>
      </c>
      <c r="R83" s="655">
        <f t="shared" si="14"/>
        <v>558.79999999999995</v>
      </c>
      <c r="S83" s="666">
        <f t="shared" si="14"/>
        <v>495.29999999999995</v>
      </c>
      <c r="T83" s="682">
        <f t="shared" si="14"/>
        <v>609.59999999999991</v>
      </c>
    </row>
    <row r="84" spans="1:20" ht="14" thickBot="1" x14ac:dyDescent="0.2">
      <c r="A84" s="643">
        <f>A33*25.4</f>
        <v>50.8</v>
      </c>
      <c r="B84" s="638">
        <f t="shared" si="13"/>
        <v>19.049999999999997</v>
      </c>
      <c r="C84" s="653">
        <f t="shared" si="13"/>
        <v>63.5</v>
      </c>
      <c r="D84" s="664">
        <f t="shared" si="13"/>
        <v>44.449999999999996</v>
      </c>
      <c r="E84" s="679">
        <f t="shared" si="13"/>
        <v>76.199999999999989</v>
      </c>
      <c r="F84" s="624" t="s">
        <v>1847</v>
      </c>
      <c r="G84" s="640">
        <f t="shared" ref="G84:J87" si="16">G33*25.4</f>
        <v>127</v>
      </c>
      <c r="H84" s="655">
        <f t="shared" si="16"/>
        <v>142.875</v>
      </c>
      <c r="I84" s="666">
        <f t="shared" si="16"/>
        <v>136.52500000000001</v>
      </c>
      <c r="J84" s="681">
        <f t="shared" si="16"/>
        <v>139.69999999999999</v>
      </c>
      <c r="K84" s="624" t="s">
        <v>1847</v>
      </c>
      <c r="L84" s="640">
        <f t="shared" si="15"/>
        <v>254</v>
      </c>
      <c r="M84" s="655">
        <f t="shared" si="15"/>
        <v>304.79999999999995</v>
      </c>
      <c r="N84" s="666">
        <f t="shared" si="15"/>
        <v>282.57499999999999</v>
      </c>
      <c r="O84" s="681">
        <f t="shared" si="15"/>
        <v>355.59999999999997</v>
      </c>
      <c r="P84" s="624" t="s">
        <v>1847</v>
      </c>
      <c r="Q84" s="640">
        <f t="shared" si="14"/>
        <v>406.4</v>
      </c>
      <c r="R84" s="655">
        <f t="shared" si="14"/>
        <v>558.79999999999995</v>
      </c>
      <c r="S84" s="666">
        <f t="shared" si="14"/>
        <v>482.59999999999997</v>
      </c>
      <c r="T84" s="682">
        <f t="shared" si="14"/>
        <v>609.59999999999991</v>
      </c>
    </row>
    <row r="85" spans="1:20" ht="15" thickTop="1" thickBot="1" x14ac:dyDescent="0.2">
      <c r="A85" s="635">
        <f>A34*25.4</f>
        <v>63.5</v>
      </c>
      <c r="B85" s="636">
        <f>B34*25.4</f>
        <v>63.5</v>
      </c>
      <c r="C85" s="654">
        <f>C34*25.4</f>
        <v>76.199999999999989</v>
      </c>
      <c r="D85" s="657"/>
      <c r="E85" s="673"/>
      <c r="F85" s="624" t="s">
        <v>1847</v>
      </c>
      <c r="G85" s="640">
        <f t="shared" si="16"/>
        <v>101.6</v>
      </c>
      <c r="H85" s="655">
        <f t="shared" si="16"/>
        <v>142.875</v>
      </c>
      <c r="I85" s="666">
        <f t="shared" si="16"/>
        <v>130.17499999999998</v>
      </c>
      <c r="J85" s="681">
        <f t="shared" si="16"/>
        <v>139.69999999999999</v>
      </c>
      <c r="K85" s="624" t="s">
        <v>1847</v>
      </c>
      <c r="L85" s="640">
        <f t="shared" si="15"/>
        <v>203.2</v>
      </c>
      <c r="M85" s="655">
        <f t="shared" si="15"/>
        <v>304.79999999999995</v>
      </c>
      <c r="N85" s="666">
        <f t="shared" si="15"/>
        <v>273.05</v>
      </c>
      <c r="O85" s="681">
        <f t="shared" si="15"/>
        <v>355.59999999999997</v>
      </c>
      <c r="P85" s="644">
        <f>P34*25.4</f>
        <v>762</v>
      </c>
      <c r="Q85" s="638">
        <f t="shared" si="14"/>
        <v>355.59999999999997</v>
      </c>
      <c r="R85" s="653">
        <f t="shared" si="14"/>
        <v>558.79999999999995</v>
      </c>
      <c r="S85" s="664">
        <f t="shared" si="14"/>
        <v>482.59999999999997</v>
      </c>
      <c r="T85" s="683">
        <f t="shared" si="14"/>
        <v>609.59999999999991</v>
      </c>
    </row>
    <row r="86" spans="1:20" ht="15" thickTop="1" thickBot="1" x14ac:dyDescent="0.2">
      <c r="A86" s="624" t="s">
        <v>1847</v>
      </c>
      <c r="B86" s="640">
        <f t="shared" ref="B86:E88" si="17">B35*25.4</f>
        <v>50.8</v>
      </c>
      <c r="C86" s="655">
        <f t="shared" si="17"/>
        <v>76.199999999999989</v>
      </c>
      <c r="D86" s="666">
        <f t="shared" si="17"/>
        <v>69.849999999999994</v>
      </c>
      <c r="E86" s="681">
        <f t="shared" si="17"/>
        <v>88.899999999999991</v>
      </c>
      <c r="F86" s="624" t="s">
        <v>1847</v>
      </c>
      <c r="G86" s="640">
        <f t="shared" si="16"/>
        <v>88.899999999999991</v>
      </c>
      <c r="H86" s="655">
        <f t="shared" si="16"/>
        <v>142.875</v>
      </c>
      <c r="I86" s="666">
        <f t="shared" si="16"/>
        <v>127</v>
      </c>
      <c r="J86" s="681">
        <f t="shared" si="16"/>
        <v>139.69999999999999</v>
      </c>
      <c r="K86" s="644">
        <f>K35*25.4</f>
        <v>406.4</v>
      </c>
      <c r="L86" s="638">
        <f>L35*25.4</f>
        <v>152.39999999999998</v>
      </c>
      <c r="M86" s="653">
        <f>M35*25.4</f>
        <v>304.79999999999995</v>
      </c>
      <c r="N86" s="664">
        <f>N35*25.4</f>
        <v>263.52499999999998</v>
      </c>
      <c r="O86" s="679">
        <f>O35*25.4</f>
        <v>355.59999999999997</v>
      </c>
      <c r="P86" s="635">
        <f>P35*25.4</f>
        <v>914.4</v>
      </c>
      <c r="Q86" s="636">
        <f>Q35*25.4</f>
        <v>914.4</v>
      </c>
      <c r="R86" s="654">
        <f>R35*25.4</f>
        <v>673.09999999999991</v>
      </c>
      <c r="S86" s="657"/>
      <c r="T86" s="673"/>
    </row>
    <row r="87" spans="1:20" ht="14" thickTop="1" x14ac:dyDescent="0.15">
      <c r="A87" s="624" t="s">
        <v>1847</v>
      </c>
      <c r="B87" s="640">
        <f t="shared" si="17"/>
        <v>38.099999999999994</v>
      </c>
      <c r="C87" s="655">
        <f t="shared" si="17"/>
        <v>76.199999999999989</v>
      </c>
      <c r="D87" s="666">
        <f t="shared" si="17"/>
        <v>66.674999999999997</v>
      </c>
      <c r="E87" s="681">
        <f t="shared" si="17"/>
        <v>88.899999999999991</v>
      </c>
      <c r="F87" s="624" t="s">
        <v>1847</v>
      </c>
      <c r="G87" s="640">
        <f t="shared" si="16"/>
        <v>76.199999999999989</v>
      </c>
      <c r="H87" s="655">
        <f t="shared" si="16"/>
        <v>142.875</v>
      </c>
      <c r="I87" s="666">
        <f t="shared" si="16"/>
        <v>123.82499999999999</v>
      </c>
      <c r="J87" s="681">
        <f t="shared" si="16"/>
        <v>139.69999999999999</v>
      </c>
      <c r="K87" s="635">
        <f>K36*25.4</f>
        <v>457.2</v>
      </c>
      <c r="L87" s="636">
        <f>L36*25.4</f>
        <v>457.2</v>
      </c>
      <c r="M87" s="654">
        <f>M36*25.4</f>
        <v>342.9</v>
      </c>
      <c r="N87" s="657"/>
      <c r="O87" s="673"/>
      <c r="P87" s="624" t="s">
        <v>1847</v>
      </c>
      <c r="Q87" s="640">
        <f t="shared" ref="Q87:T91" si="18">Q36*25.4</f>
        <v>762</v>
      </c>
      <c r="R87" s="655">
        <f t="shared" si="18"/>
        <v>673.09999999999991</v>
      </c>
      <c r="S87" s="666">
        <f t="shared" si="18"/>
        <v>635</v>
      </c>
      <c r="T87" s="682">
        <f t="shared" si="18"/>
        <v>609.59999999999991</v>
      </c>
    </row>
    <row r="88" spans="1:20" ht="14" thickBot="1" x14ac:dyDescent="0.2">
      <c r="A88" s="624" t="s">
        <v>1847</v>
      </c>
      <c r="B88" s="640">
        <f t="shared" si="17"/>
        <v>31.75</v>
      </c>
      <c r="C88" s="655">
        <f t="shared" si="17"/>
        <v>76.199999999999989</v>
      </c>
      <c r="D88" s="666">
        <f t="shared" si="17"/>
        <v>63.5</v>
      </c>
      <c r="E88" s="681">
        <f t="shared" si="17"/>
        <v>88.899999999999991</v>
      </c>
      <c r="F88" s="644">
        <f>F37*25.4</f>
        <v>152.39999999999998</v>
      </c>
      <c r="G88" s="638">
        <f>G37*25.4</f>
        <v>63.5</v>
      </c>
      <c r="H88" s="653">
        <f>H37*25.4</f>
        <v>142.875</v>
      </c>
      <c r="I88" s="664">
        <f>I37*25.4</f>
        <v>120.64999999999999</v>
      </c>
      <c r="J88" s="679">
        <f>J37*25.4</f>
        <v>139.69999999999999</v>
      </c>
      <c r="K88" s="624" t="s">
        <v>1847</v>
      </c>
      <c r="L88" s="640">
        <f t="shared" ref="L88:O91" si="19">L37*25.4</f>
        <v>406.4</v>
      </c>
      <c r="M88" s="655">
        <f t="shared" si="19"/>
        <v>342.9</v>
      </c>
      <c r="N88" s="666">
        <f t="shared" si="19"/>
        <v>330.2</v>
      </c>
      <c r="O88" s="681">
        <f t="shared" si="19"/>
        <v>381</v>
      </c>
      <c r="P88" s="624" t="s">
        <v>1847</v>
      </c>
      <c r="Q88" s="640">
        <f t="shared" si="18"/>
        <v>609.59999999999991</v>
      </c>
      <c r="R88" s="655">
        <f t="shared" si="18"/>
        <v>673.09999999999991</v>
      </c>
      <c r="S88" s="666">
        <f t="shared" si="18"/>
        <v>609.59999999999991</v>
      </c>
      <c r="T88" s="682">
        <f t="shared" si="18"/>
        <v>609.59999999999991</v>
      </c>
    </row>
    <row r="89" spans="1:20" ht="15" thickTop="1" thickBot="1" x14ac:dyDescent="0.2">
      <c r="A89" s="643">
        <f t="shared" ref="A89:H89" si="20">A38*25.4</f>
        <v>63.5</v>
      </c>
      <c r="B89" s="638">
        <f t="shared" si="20"/>
        <v>25.4</v>
      </c>
      <c r="C89" s="653">
        <f t="shared" si="20"/>
        <v>76.199999999999989</v>
      </c>
      <c r="D89" s="664">
        <f t="shared" si="20"/>
        <v>57.15</v>
      </c>
      <c r="E89" s="679">
        <f t="shared" si="20"/>
        <v>88.899999999999991</v>
      </c>
      <c r="F89" s="635">
        <f t="shared" si="20"/>
        <v>203.2</v>
      </c>
      <c r="G89" s="636">
        <f t="shared" si="20"/>
        <v>203.2</v>
      </c>
      <c r="H89" s="654">
        <f t="shared" si="20"/>
        <v>177.79999999999998</v>
      </c>
      <c r="I89" s="657"/>
      <c r="J89" s="673"/>
      <c r="K89" s="624" t="s">
        <v>1847</v>
      </c>
      <c r="L89" s="640">
        <f t="shared" si="19"/>
        <v>355.59999999999997</v>
      </c>
      <c r="M89" s="655">
        <f t="shared" si="19"/>
        <v>342.9</v>
      </c>
      <c r="N89" s="666">
        <f t="shared" si="19"/>
        <v>330.2</v>
      </c>
      <c r="O89" s="681">
        <f t="shared" si="19"/>
        <v>381</v>
      </c>
      <c r="P89" s="624" t="s">
        <v>1847</v>
      </c>
      <c r="Q89" s="640">
        <f t="shared" si="18"/>
        <v>508</v>
      </c>
      <c r="R89" s="655">
        <f t="shared" si="18"/>
        <v>673.09999999999991</v>
      </c>
      <c r="S89" s="666">
        <f t="shared" si="18"/>
        <v>584.19999999999993</v>
      </c>
      <c r="T89" s="682">
        <f t="shared" si="18"/>
        <v>609.59999999999991</v>
      </c>
    </row>
    <row r="90" spans="1:20" ht="14" thickTop="1" x14ac:dyDescent="0.15">
      <c r="A90" s="635">
        <f>A39*25.4</f>
        <v>76.199999999999989</v>
      </c>
      <c r="B90" s="636">
        <f>B39*25.4</f>
        <v>76.199999999999989</v>
      </c>
      <c r="C90" s="654">
        <f>C39*25.4</f>
        <v>85.724999999999994</v>
      </c>
      <c r="D90" s="657"/>
      <c r="E90" s="673"/>
      <c r="F90" s="624" t="s">
        <v>1847</v>
      </c>
      <c r="G90" s="640">
        <f t="shared" ref="G90:J92" si="21">G39*25.4</f>
        <v>152.39999999999998</v>
      </c>
      <c r="H90" s="655">
        <f t="shared" si="21"/>
        <v>177.79999999999998</v>
      </c>
      <c r="I90" s="666">
        <f t="shared" si="21"/>
        <v>168.27499999999998</v>
      </c>
      <c r="J90" s="681">
        <f t="shared" si="21"/>
        <v>152.39999999999998</v>
      </c>
      <c r="K90" s="624" t="s">
        <v>1847</v>
      </c>
      <c r="L90" s="640">
        <f t="shared" si="19"/>
        <v>304.79999999999995</v>
      </c>
      <c r="M90" s="655">
        <f t="shared" si="19"/>
        <v>342.9</v>
      </c>
      <c r="N90" s="666">
        <f t="shared" si="19"/>
        <v>320.67499999999995</v>
      </c>
      <c r="O90" s="681">
        <f t="shared" si="19"/>
        <v>381</v>
      </c>
      <c r="P90" s="624" t="s">
        <v>1847</v>
      </c>
      <c r="Q90" s="640">
        <f t="shared" si="18"/>
        <v>457.2</v>
      </c>
      <c r="R90" s="655">
        <f t="shared" si="18"/>
        <v>673.09999999999991</v>
      </c>
      <c r="S90" s="666">
        <f t="shared" si="18"/>
        <v>571.5</v>
      </c>
      <c r="T90" s="682">
        <f t="shared" si="18"/>
        <v>609.59999999999991</v>
      </c>
    </row>
    <row r="91" spans="1:20" ht="14" thickBot="1" x14ac:dyDescent="0.2">
      <c r="A91" s="624" t="s">
        <v>1847</v>
      </c>
      <c r="B91" s="640">
        <f t="shared" ref="B91:E93" si="22">B40*25.4</f>
        <v>63.5</v>
      </c>
      <c r="C91" s="655">
        <f t="shared" si="22"/>
        <v>85.724999999999994</v>
      </c>
      <c r="D91" s="666">
        <f t="shared" si="22"/>
        <v>82.55</v>
      </c>
      <c r="E91" s="681">
        <f t="shared" si="22"/>
        <v>88.899999999999991</v>
      </c>
      <c r="F91" s="624" t="s">
        <v>1847</v>
      </c>
      <c r="G91" s="640">
        <f t="shared" si="21"/>
        <v>127</v>
      </c>
      <c r="H91" s="655">
        <f t="shared" si="21"/>
        <v>177.79999999999998</v>
      </c>
      <c r="I91" s="666">
        <f t="shared" si="21"/>
        <v>161.92499999999998</v>
      </c>
      <c r="J91" s="681">
        <f t="shared" si="21"/>
        <v>152.39999999999998</v>
      </c>
      <c r="K91" s="624" t="s">
        <v>1847</v>
      </c>
      <c r="L91" s="640">
        <f t="shared" si="19"/>
        <v>254</v>
      </c>
      <c r="M91" s="655">
        <f t="shared" si="19"/>
        <v>342.9</v>
      </c>
      <c r="N91" s="666">
        <f t="shared" si="19"/>
        <v>307.97499999999997</v>
      </c>
      <c r="O91" s="681">
        <f t="shared" si="19"/>
        <v>381</v>
      </c>
      <c r="P91" s="644">
        <f>P40*25.4</f>
        <v>914.4</v>
      </c>
      <c r="Q91" s="638">
        <f t="shared" si="18"/>
        <v>406.4</v>
      </c>
      <c r="R91" s="653">
        <f t="shared" si="18"/>
        <v>673.09999999999991</v>
      </c>
      <c r="S91" s="664">
        <f t="shared" si="18"/>
        <v>558.79999999999995</v>
      </c>
      <c r="T91" s="683">
        <f t="shared" si="18"/>
        <v>609.59999999999991</v>
      </c>
    </row>
    <row r="92" spans="1:20" ht="15" thickTop="1" thickBot="1" x14ac:dyDescent="0.2">
      <c r="A92" s="624" t="s">
        <v>1847</v>
      </c>
      <c r="B92" s="640">
        <f t="shared" si="22"/>
        <v>50.8</v>
      </c>
      <c r="C92" s="655">
        <f t="shared" si="22"/>
        <v>85.724999999999994</v>
      </c>
      <c r="D92" s="666">
        <f t="shared" si="22"/>
        <v>76.199999999999989</v>
      </c>
      <c r="E92" s="681">
        <f t="shared" si="22"/>
        <v>88.899999999999991</v>
      </c>
      <c r="F92" s="624" t="s">
        <v>1847</v>
      </c>
      <c r="G92" s="640">
        <f t="shared" si="21"/>
        <v>101.6</v>
      </c>
      <c r="H92" s="655">
        <f t="shared" si="21"/>
        <v>177.79999999999998</v>
      </c>
      <c r="I92" s="666">
        <f t="shared" si="21"/>
        <v>155.57499999999999</v>
      </c>
      <c r="J92" s="681">
        <f t="shared" si="21"/>
        <v>152.39999999999998</v>
      </c>
      <c r="K92" s="644">
        <f>K41*25.4</f>
        <v>457.2</v>
      </c>
      <c r="L92" s="638">
        <f>L41*25.4</f>
        <v>203.2</v>
      </c>
      <c r="M92" s="653">
        <f>M41*25.4</f>
        <v>342.9</v>
      </c>
      <c r="N92" s="664">
        <f>N41*25.4</f>
        <v>298.45</v>
      </c>
      <c r="O92" s="679">
        <f>O41*25.4</f>
        <v>381</v>
      </c>
      <c r="P92" s="635">
        <f>P41*25.4</f>
        <v>1066.8</v>
      </c>
      <c r="Q92" s="636">
        <f>Q41*25.4</f>
        <v>1066.8</v>
      </c>
      <c r="R92" s="654">
        <f>R41*25.4</f>
        <v>762</v>
      </c>
      <c r="S92" s="667">
        <f>S41*25.4</f>
        <v>711.19999999999993</v>
      </c>
      <c r="T92" s="673"/>
    </row>
    <row r="93" spans="1:20" ht="15" thickTop="1" thickBot="1" x14ac:dyDescent="0.2">
      <c r="A93" s="624" t="s">
        <v>1847</v>
      </c>
      <c r="B93" s="640">
        <f t="shared" si="22"/>
        <v>38.099999999999994</v>
      </c>
      <c r="C93" s="655">
        <f t="shared" si="22"/>
        <v>85.724999999999994</v>
      </c>
      <c r="D93" s="666">
        <f t="shared" si="22"/>
        <v>73.024999999999991</v>
      </c>
      <c r="E93" s="681">
        <f t="shared" si="22"/>
        <v>88.899999999999991</v>
      </c>
      <c r="F93" s="644">
        <f>F42*25.4</f>
        <v>203.2</v>
      </c>
      <c r="G93" s="638">
        <f>G42*25.4</f>
        <v>88.899999999999991</v>
      </c>
      <c r="H93" s="653">
        <f>H42*25.4</f>
        <v>177.79999999999998</v>
      </c>
      <c r="I93" s="664">
        <f>I42*25.4</f>
        <v>152.39999999999998</v>
      </c>
      <c r="J93" s="679">
        <f>J42*25.4</f>
        <v>152.39999999999998</v>
      </c>
      <c r="K93" s="632"/>
      <c r="L93" s="28"/>
      <c r="M93" s="28"/>
      <c r="N93" s="28"/>
      <c r="O93" s="28"/>
      <c r="P93" s="624" t="s">
        <v>1847</v>
      </c>
      <c r="Q93" s="640">
        <f t="shared" ref="Q93:T96" si="23">Q42*25.4</f>
        <v>914.4</v>
      </c>
      <c r="R93" s="655">
        <f t="shared" si="23"/>
        <v>762</v>
      </c>
      <c r="S93" s="666">
        <f t="shared" si="23"/>
        <v>711.19999999999993</v>
      </c>
      <c r="T93" s="682">
        <f t="shared" si="23"/>
        <v>609.59999999999991</v>
      </c>
    </row>
    <row r="94" spans="1:20" ht="15" thickTop="1" thickBot="1" x14ac:dyDescent="0.2">
      <c r="A94" s="644">
        <f>A43*25.4</f>
        <v>76.199999999999989</v>
      </c>
      <c r="B94" s="638">
        <f>B43*25.4</f>
        <v>31.75</v>
      </c>
      <c r="C94" s="653">
        <f>C43*25.4</f>
        <v>85.724999999999994</v>
      </c>
      <c r="D94" s="664">
        <f>D43*25.4</f>
        <v>69.849999999999994</v>
      </c>
      <c r="E94" s="679">
        <f>E43*25.4</f>
        <v>88.899999999999991</v>
      </c>
      <c r="F94" s="632"/>
      <c r="G94" s="28"/>
      <c r="H94" s="28"/>
      <c r="I94" s="28"/>
      <c r="J94" s="28"/>
      <c r="K94" s="632"/>
      <c r="L94" s="28"/>
      <c r="M94" s="28"/>
      <c r="N94" s="28"/>
      <c r="O94" s="28"/>
      <c r="P94" s="624" t="s">
        <v>1847</v>
      </c>
      <c r="Q94" s="640">
        <f t="shared" si="23"/>
        <v>762</v>
      </c>
      <c r="R94" s="655">
        <f t="shared" si="23"/>
        <v>762</v>
      </c>
      <c r="S94" s="666">
        <f t="shared" si="23"/>
        <v>711.19999999999993</v>
      </c>
      <c r="T94" s="682">
        <f t="shared" si="23"/>
        <v>609.59999999999991</v>
      </c>
    </row>
    <row r="95" spans="1:20" ht="14" thickTop="1" x14ac:dyDescent="0.15">
      <c r="A95" s="579"/>
      <c r="B95" s="579"/>
      <c r="C95" s="579"/>
      <c r="D95" s="579"/>
      <c r="E95" s="579"/>
      <c r="F95" s="31"/>
      <c r="G95" s="31"/>
      <c r="H95" s="31"/>
      <c r="I95" s="31"/>
      <c r="J95" s="31"/>
      <c r="K95" s="31"/>
      <c r="L95" s="31"/>
      <c r="M95" s="31"/>
      <c r="N95" s="31"/>
      <c r="O95" s="31"/>
      <c r="P95" s="624" t="s">
        <v>1847</v>
      </c>
      <c r="Q95" s="640">
        <f t="shared" si="23"/>
        <v>609.59999999999991</v>
      </c>
      <c r="R95" s="655">
        <f t="shared" si="23"/>
        <v>762</v>
      </c>
      <c r="S95" s="666">
        <f t="shared" si="23"/>
        <v>660.4</v>
      </c>
      <c r="T95" s="682">
        <f t="shared" si="23"/>
        <v>609.59999999999991</v>
      </c>
    </row>
    <row r="96" spans="1:20" ht="14" thickBot="1" x14ac:dyDescent="0.2">
      <c r="A96" s="579"/>
      <c r="B96" s="579"/>
      <c r="C96" s="579"/>
      <c r="D96" s="579"/>
      <c r="E96" s="579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644">
        <f>P45*25.4</f>
        <v>1066.8</v>
      </c>
      <c r="Q96" s="638">
        <f t="shared" si="23"/>
        <v>508</v>
      </c>
      <c r="R96" s="653">
        <f t="shared" si="23"/>
        <v>762</v>
      </c>
      <c r="S96" s="664">
        <f t="shared" si="23"/>
        <v>660.4</v>
      </c>
      <c r="T96" s="683">
        <f t="shared" si="23"/>
        <v>609.59999999999991</v>
      </c>
    </row>
    <row r="97" spans="1:20" ht="14" thickTop="1" x14ac:dyDescent="0.15">
      <c r="A97" s="579"/>
      <c r="B97" s="579"/>
      <c r="C97" s="579"/>
      <c r="D97" s="579"/>
      <c r="E97" s="579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635">
        <f>P46*25.4</f>
        <v>1219.1999999999998</v>
      </c>
      <c r="Q97" s="636">
        <f>Q46*25.4</f>
        <v>1219.1999999999998</v>
      </c>
      <c r="R97" s="654">
        <f>R46*25.4</f>
        <v>889</v>
      </c>
      <c r="S97" s="667">
        <f>S46*25.4</f>
        <v>838.19999999999993</v>
      </c>
      <c r="T97" s="673"/>
    </row>
    <row r="98" spans="1:20" x14ac:dyDescent="0.15">
      <c r="A98" s="579"/>
      <c r="B98" s="579"/>
      <c r="C98" s="579"/>
      <c r="D98" s="579"/>
      <c r="E98" s="579"/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624" t="s">
        <v>1847</v>
      </c>
      <c r="Q98" s="640">
        <f t="shared" ref="Q98:T100" si="24">Q47*25.4</f>
        <v>1066.8</v>
      </c>
      <c r="R98" s="655">
        <f t="shared" si="24"/>
        <v>889</v>
      </c>
      <c r="S98" s="666">
        <f t="shared" si="24"/>
        <v>812.8</v>
      </c>
      <c r="T98" s="682">
        <f t="shared" si="24"/>
        <v>711.19999999999993</v>
      </c>
    </row>
    <row r="99" spans="1:20" x14ac:dyDescent="0.15">
      <c r="A99" s="579"/>
      <c r="B99" s="579"/>
      <c r="C99" s="579"/>
      <c r="D99" s="579"/>
      <c r="E99" s="579"/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624" t="s">
        <v>1847</v>
      </c>
      <c r="Q99" s="640">
        <f t="shared" si="24"/>
        <v>914.4</v>
      </c>
      <c r="R99" s="655">
        <f t="shared" si="24"/>
        <v>889</v>
      </c>
      <c r="S99" s="666">
        <f t="shared" si="24"/>
        <v>787.4</v>
      </c>
      <c r="T99" s="682">
        <f t="shared" si="24"/>
        <v>711.19999999999993</v>
      </c>
    </row>
    <row r="100" spans="1:20" ht="14" thickBot="1" x14ac:dyDescent="0.2">
      <c r="A100" s="579"/>
      <c r="B100" s="579"/>
      <c r="C100" s="579"/>
      <c r="D100" s="579"/>
      <c r="E100" s="579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644">
        <f>P49*25.4</f>
        <v>1219.1999999999998</v>
      </c>
      <c r="Q100" s="638">
        <f t="shared" si="24"/>
        <v>762</v>
      </c>
      <c r="R100" s="653">
        <f t="shared" si="24"/>
        <v>889</v>
      </c>
      <c r="S100" s="664">
        <f t="shared" si="24"/>
        <v>762</v>
      </c>
      <c r="T100" s="683">
        <f t="shared" si="24"/>
        <v>711.19999999999993</v>
      </c>
    </row>
    <row r="101" spans="1:20" ht="14" thickTop="1" x14ac:dyDescent="0.15"/>
  </sheetData>
  <phoneticPr fontId="80" type="noConversion"/>
  <pageMargins left="0.75" right="0.75" top="1" bottom="1" header="0.5" footer="0.5"/>
  <pageSetup orientation="portrait"/>
  <headerFooter alignWithMargins="0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ED1EC-F3CA-DD4F-BE9E-A69633C977E8}">
  <dimension ref="A11:Q166"/>
  <sheetViews>
    <sheetView showGridLines="0" workbookViewId="0">
      <pane ySplit="11" topLeftCell="A26" activePane="bottomLeft" state="frozen"/>
      <selection pane="bottomLeft" activeCell="H35" sqref="H35"/>
    </sheetView>
  </sheetViews>
  <sheetFormatPr baseColWidth="10" defaultColWidth="8.83203125" defaultRowHeight="13" x14ac:dyDescent="0.15"/>
  <cols>
    <col min="1" max="1" width="7.33203125" customWidth="1"/>
    <col min="2" max="2" width="8.1640625" customWidth="1"/>
    <col min="3" max="3" width="7.5" customWidth="1"/>
    <col min="4" max="4" width="8.83203125" customWidth="1"/>
    <col min="5" max="5" width="7.5" customWidth="1"/>
    <col min="6" max="6" width="8.5" customWidth="1"/>
    <col min="7" max="8" width="8.83203125" customWidth="1"/>
    <col min="9" max="9" width="2.5" customWidth="1"/>
    <col min="10" max="10" width="9.5" customWidth="1"/>
    <col min="11" max="11" width="6.6640625" customWidth="1"/>
    <col min="12" max="12" width="8.5" customWidth="1"/>
    <col min="13" max="13" width="6.5" customWidth="1"/>
    <col min="14" max="14" width="7.5" customWidth="1"/>
    <col min="15" max="16" width="7.83203125" customWidth="1"/>
  </cols>
  <sheetData>
    <row r="11" spans="1:17" ht="14" thickBot="1" x14ac:dyDescent="0.2"/>
    <row r="12" spans="1:17" ht="15" thickTop="1" thickBot="1" x14ac:dyDescent="0.2">
      <c r="A12" s="610"/>
      <c r="B12" s="718"/>
      <c r="C12" s="719"/>
      <c r="D12" s="750" t="s">
        <v>76</v>
      </c>
      <c r="E12" s="719"/>
      <c r="F12" s="719"/>
      <c r="G12" s="719"/>
      <c r="H12" s="720"/>
      <c r="J12" s="610"/>
      <c r="K12" s="718"/>
      <c r="L12" s="719"/>
      <c r="M12" s="750" t="s">
        <v>77</v>
      </c>
      <c r="N12" s="719"/>
      <c r="O12" s="719"/>
      <c r="P12" s="719"/>
      <c r="Q12" s="720"/>
    </row>
    <row r="13" spans="1:17" ht="18" thickTop="1" thickBot="1" x14ac:dyDescent="0.25">
      <c r="A13" s="498" t="s">
        <v>1818</v>
      </c>
      <c r="B13" s="610"/>
      <c r="C13" s="610"/>
      <c r="D13" s="718"/>
      <c r="E13" s="721" t="s">
        <v>1870</v>
      </c>
      <c r="F13" s="719"/>
      <c r="G13" s="720"/>
      <c r="H13" s="690" t="s">
        <v>1871</v>
      </c>
      <c r="J13" s="498" t="s">
        <v>1818</v>
      </c>
      <c r="K13" s="610"/>
      <c r="L13" s="610"/>
      <c r="M13" s="718"/>
      <c r="N13" s="721" t="s">
        <v>1870</v>
      </c>
      <c r="O13" s="719"/>
      <c r="P13" s="720"/>
      <c r="Q13" s="690" t="s">
        <v>1871</v>
      </c>
    </row>
    <row r="14" spans="1:17" ht="19" thickTop="1" x14ac:dyDescent="0.2">
      <c r="A14" s="498" t="s">
        <v>1507</v>
      </c>
      <c r="B14" s="612" t="s">
        <v>1872</v>
      </c>
      <c r="C14" s="612" t="s">
        <v>1730</v>
      </c>
      <c r="D14" s="690" t="s">
        <v>1873</v>
      </c>
      <c r="E14" s="690" t="s">
        <v>1874</v>
      </c>
      <c r="F14" s="690" t="s">
        <v>1875</v>
      </c>
      <c r="G14" s="690" t="s">
        <v>1052</v>
      </c>
      <c r="H14" s="501" t="s">
        <v>1876</v>
      </c>
      <c r="J14" s="498" t="s">
        <v>1507</v>
      </c>
      <c r="K14" s="612" t="s">
        <v>1872</v>
      </c>
      <c r="L14" s="612" t="s">
        <v>1730</v>
      </c>
      <c r="M14" s="690" t="s">
        <v>1873</v>
      </c>
      <c r="N14" s="690" t="s">
        <v>1874</v>
      </c>
      <c r="O14" s="690" t="s">
        <v>1875</v>
      </c>
      <c r="P14" s="690" t="s">
        <v>1052</v>
      </c>
      <c r="Q14" s="501" t="s">
        <v>1876</v>
      </c>
    </row>
    <row r="15" spans="1:17" ht="14" thickBot="1" x14ac:dyDescent="0.2">
      <c r="A15" s="505" t="s">
        <v>845</v>
      </c>
      <c r="B15" s="507" t="s">
        <v>1877</v>
      </c>
      <c r="C15" s="507" t="s">
        <v>1877</v>
      </c>
      <c r="D15" s="688" t="s">
        <v>1878</v>
      </c>
      <c r="E15" s="688" t="s">
        <v>1879</v>
      </c>
      <c r="F15" s="688" t="s">
        <v>1880</v>
      </c>
      <c r="G15" s="688" t="s">
        <v>1881</v>
      </c>
      <c r="H15" s="688" t="s">
        <v>1882</v>
      </c>
      <c r="J15" s="505" t="s">
        <v>845</v>
      </c>
      <c r="K15" s="505" t="s">
        <v>1754</v>
      </c>
      <c r="L15" s="505" t="s">
        <v>1754</v>
      </c>
      <c r="M15" s="688" t="s">
        <v>1878</v>
      </c>
      <c r="N15" s="688" t="s">
        <v>1879</v>
      </c>
      <c r="O15" s="688" t="s">
        <v>1880</v>
      </c>
      <c r="P15" s="688" t="s">
        <v>1881</v>
      </c>
      <c r="Q15" s="688" t="s">
        <v>1882</v>
      </c>
    </row>
    <row r="16" spans="1:17" ht="14" thickTop="1" x14ac:dyDescent="0.15">
      <c r="A16" s="691">
        <v>0.5</v>
      </c>
      <c r="B16" s="722">
        <v>3.5</v>
      </c>
      <c r="C16" s="723">
        <v>0.4375</v>
      </c>
      <c r="D16" s="724">
        <v>1.875</v>
      </c>
      <c r="E16" s="724">
        <v>0.625</v>
      </c>
      <c r="F16" s="723">
        <v>0.625</v>
      </c>
      <c r="G16" s="723">
        <v>2.375</v>
      </c>
      <c r="H16" s="725" t="s">
        <v>1883</v>
      </c>
      <c r="J16" s="696">
        <f t="shared" ref="J16:P31" si="0">A16*25.4</f>
        <v>12.7</v>
      </c>
      <c r="K16" s="726">
        <f t="shared" si="0"/>
        <v>88.899999999999991</v>
      </c>
      <c r="L16" s="726">
        <f t="shared" si="0"/>
        <v>11.112499999999999</v>
      </c>
      <c r="M16" s="726">
        <f t="shared" si="0"/>
        <v>47.625</v>
      </c>
      <c r="N16" s="726">
        <f t="shared" si="0"/>
        <v>15.875</v>
      </c>
      <c r="O16" s="726">
        <f t="shared" si="0"/>
        <v>15.875</v>
      </c>
      <c r="P16" s="726">
        <f t="shared" si="0"/>
        <v>60.324999999999996</v>
      </c>
      <c r="Q16" s="725" t="s">
        <v>1884</v>
      </c>
    </row>
    <row r="17" spans="1:17" x14ac:dyDescent="0.15">
      <c r="A17" s="698">
        <v>0.75</v>
      </c>
      <c r="B17" s="727">
        <v>3.875</v>
      </c>
      <c r="C17" s="727">
        <v>0.5</v>
      </c>
      <c r="D17" s="727">
        <v>2.0625</v>
      </c>
      <c r="E17" s="727">
        <v>0.625</v>
      </c>
      <c r="F17" s="728">
        <v>0.625</v>
      </c>
      <c r="G17" s="728">
        <v>2.75</v>
      </c>
      <c r="H17" s="729" t="s">
        <v>1883</v>
      </c>
      <c r="J17" s="702">
        <f t="shared" si="0"/>
        <v>19.049999999999997</v>
      </c>
      <c r="K17" s="730">
        <f t="shared" si="0"/>
        <v>98.424999999999997</v>
      </c>
      <c r="L17" s="730">
        <f t="shared" si="0"/>
        <v>12.7</v>
      </c>
      <c r="M17" s="730">
        <f t="shared" si="0"/>
        <v>52.387499999999996</v>
      </c>
      <c r="N17" s="730">
        <f t="shared" si="0"/>
        <v>15.875</v>
      </c>
      <c r="O17" s="730">
        <f t="shared" si="0"/>
        <v>15.875</v>
      </c>
      <c r="P17" s="730">
        <f t="shared" si="0"/>
        <v>69.849999999999994</v>
      </c>
      <c r="Q17" s="729" t="s">
        <v>1884</v>
      </c>
    </row>
    <row r="18" spans="1:17" x14ac:dyDescent="0.15">
      <c r="A18" s="704">
        <v>1</v>
      </c>
      <c r="B18" s="727">
        <v>4.25</v>
      </c>
      <c r="C18" s="727">
        <v>0.5625</v>
      </c>
      <c r="D18" s="727">
        <v>2.1875</v>
      </c>
      <c r="E18" s="728">
        <v>0.6875</v>
      </c>
      <c r="F18" s="728">
        <v>0.6875</v>
      </c>
      <c r="G18" s="728">
        <v>3.125</v>
      </c>
      <c r="H18" s="729" t="s">
        <v>1883</v>
      </c>
      <c r="J18" s="702">
        <f t="shared" si="0"/>
        <v>25.4</v>
      </c>
      <c r="K18" s="730">
        <f t="shared" si="0"/>
        <v>107.94999999999999</v>
      </c>
      <c r="L18" s="730">
        <f t="shared" si="0"/>
        <v>14.2875</v>
      </c>
      <c r="M18" s="730">
        <f t="shared" si="0"/>
        <v>55.5625</v>
      </c>
      <c r="N18" s="730">
        <f t="shared" si="0"/>
        <v>17.462499999999999</v>
      </c>
      <c r="O18" s="730">
        <f t="shared" si="0"/>
        <v>17.462499999999999</v>
      </c>
      <c r="P18" s="730">
        <f t="shared" si="0"/>
        <v>79.375</v>
      </c>
      <c r="Q18" s="729" t="s">
        <v>1884</v>
      </c>
    </row>
    <row r="19" spans="1:17" x14ac:dyDescent="0.15">
      <c r="A19" s="705">
        <v>1.25</v>
      </c>
      <c r="B19" s="727">
        <v>4.625</v>
      </c>
      <c r="C19" s="727">
        <v>0.625</v>
      </c>
      <c r="D19" s="731">
        <v>2.25</v>
      </c>
      <c r="E19" s="728">
        <v>0.8125</v>
      </c>
      <c r="F19" s="728">
        <v>0.8125</v>
      </c>
      <c r="G19" s="728">
        <v>3.5</v>
      </c>
      <c r="H19" s="729" t="s">
        <v>1883</v>
      </c>
      <c r="J19" s="702">
        <f t="shared" si="0"/>
        <v>31.75</v>
      </c>
      <c r="K19" s="732">
        <f t="shared" si="0"/>
        <v>117.47499999999999</v>
      </c>
      <c r="L19" s="730">
        <f t="shared" si="0"/>
        <v>15.875</v>
      </c>
      <c r="M19" s="730">
        <f t="shared" si="0"/>
        <v>57.15</v>
      </c>
      <c r="N19" s="730">
        <f t="shared" si="0"/>
        <v>20.637499999999999</v>
      </c>
      <c r="O19" s="730">
        <f t="shared" si="0"/>
        <v>20.637499999999999</v>
      </c>
      <c r="P19" s="730">
        <f t="shared" si="0"/>
        <v>88.899999999999991</v>
      </c>
      <c r="Q19" s="729" t="s">
        <v>1884</v>
      </c>
    </row>
    <row r="20" spans="1:17" ht="14" thickBot="1" x14ac:dyDescent="0.2">
      <c r="A20" s="706">
        <v>1.5</v>
      </c>
      <c r="B20" s="733">
        <v>5</v>
      </c>
      <c r="C20" s="734">
        <v>0.6875</v>
      </c>
      <c r="D20" s="734">
        <v>2.4375</v>
      </c>
      <c r="E20" s="735">
        <v>0.875</v>
      </c>
      <c r="F20" s="735">
        <v>0.875</v>
      </c>
      <c r="G20" s="735">
        <v>3.875</v>
      </c>
      <c r="H20" s="736" t="s">
        <v>1883</v>
      </c>
      <c r="J20" s="711">
        <f t="shared" si="0"/>
        <v>38.099999999999994</v>
      </c>
      <c r="K20" s="737">
        <f t="shared" si="0"/>
        <v>127</v>
      </c>
      <c r="L20" s="737">
        <f t="shared" si="0"/>
        <v>17.462499999999999</v>
      </c>
      <c r="M20" s="737">
        <f t="shared" si="0"/>
        <v>61.912499999999994</v>
      </c>
      <c r="N20" s="737">
        <f t="shared" si="0"/>
        <v>22.224999999999998</v>
      </c>
      <c r="O20" s="737">
        <f t="shared" si="0"/>
        <v>22.224999999999998</v>
      </c>
      <c r="P20" s="737">
        <f t="shared" si="0"/>
        <v>98.424999999999997</v>
      </c>
      <c r="Q20" s="736" t="s">
        <v>1884</v>
      </c>
    </row>
    <row r="21" spans="1:17" ht="14" thickTop="1" x14ac:dyDescent="0.15">
      <c r="A21" s="712">
        <v>2</v>
      </c>
      <c r="B21" s="738">
        <v>6</v>
      </c>
      <c r="C21" s="739">
        <v>0.75</v>
      </c>
      <c r="D21" s="740">
        <v>2.5</v>
      </c>
      <c r="E21" s="738">
        <v>1</v>
      </c>
      <c r="F21" s="741">
        <v>1</v>
      </c>
      <c r="G21" s="741">
        <v>4.75</v>
      </c>
      <c r="H21" s="742" t="s">
        <v>1885</v>
      </c>
      <c r="J21" s="696">
        <f t="shared" si="0"/>
        <v>50.8</v>
      </c>
      <c r="K21" s="726">
        <f t="shared" si="0"/>
        <v>152.39999999999998</v>
      </c>
      <c r="L21" s="726">
        <f t="shared" si="0"/>
        <v>19.049999999999997</v>
      </c>
      <c r="M21" s="726">
        <f t="shared" si="0"/>
        <v>63.5</v>
      </c>
      <c r="N21" s="726">
        <f t="shared" si="0"/>
        <v>25.4</v>
      </c>
      <c r="O21" s="726">
        <f t="shared" si="0"/>
        <v>25.4</v>
      </c>
      <c r="P21" s="726">
        <f t="shared" si="0"/>
        <v>120.64999999999999</v>
      </c>
      <c r="Q21" s="742" t="s">
        <v>1886</v>
      </c>
    </row>
    <row r="22" spans="1:17" x14ac:dyDescent="0.15">
      <c r="A22" s="705">
        <v>2.5</v>
      </c>
      <c r="B22" s="743">
        <v>7</v>
      </c>
      <c r="C22" s="727">
        <v>0.875</v>
      </c>
      <c r="D22" s="731">
        <v>2.75</v>
      </c>
      <c r="E22" s="728">
        <v>1.125</v>
      </c>
      <c r="F22" s="728">
        <v>1.125</v>
      </c>
      <c r="G22" s="728">
        <v>5.5</v>
      </c>
      <c r="H22" s="742" t="s">
        <v>1885</v>
      </c>
      <c r="J22" s="702">
        <f t="shared" si="0"/>
        <v>63.5</v>
      </c>
      <c r="K22" s="730">
        <f>B22*25.4</f>
        <v>177.79999999999998</v>
      </c>
      <c r="L22" s="730">
        <f t="shared" si="0"/>
        <v>22.224999999999998</v>
      </c>
      <c r="M22" s="730">
        <f t="shared" si="0"/>
        <v>69.849999999999994</v>
      </c>
      <c r="N22" s="730">
        <f t="shared" si="0"/>
        <v>28.574999999999999</v>
      </c>
      <c r="O22" s="730">
        <f t="shared" si="0"/>
        <v>28.574999999999999</v>
      </c>
      <c r="P22" s="730">
        <f t="shared" si="0"/>
        <v>139.69999999999999</v>
      </c>
      <c r="Q22" s="742" t="s">
        <v>1886</v>
      </c>
    </row>
    <row r="23" spans="1:17" x14ac:dyDescent="0.15">
      <c r="A23" s="704">
        <v>3</v>
      </c>
      <c r="B23" s="727">
        <v>7.5</v>
      </c>
      <c r="C23" s="727">
        <v>0.9375</v>
      </c>
      <c r="D23" s="731">
        <v>2.75</v>
      </c>
      <c r="E23" s="728">
        <v>1.1875</v>
      </c>
      <c r="F23" s="728">
        <v>1.1875</v>
      </c>
      <c r="G23" s="728">
        <v>6</v>
      </c>
      <c r="H23" s="742" t="s">
        <v>1885</v>
      </c>
      <c r="J23" s="702">
        <f t="shared" si="0"/>
        <v>76.199999999999989</v>
      </c>
      <c r="K23" s="730">
        <f>B23*25.4</f>
        <v>190.5</v>
      </c>
      <c r="L23" s="730">
        <f t="shared" si="0"/>
        <v>23.8125</v>
      </c>
      <c r="M23" s="730">
        <f t="shared" si="0"/>
        <v>69.849999999999994</v>
      </c>
      <c r="N23" s="730">
        <f t="shared" si="0"/>
        <v>30.162499999999998</v>
      </c>
      <c r="O23" s="730">
        <f t="shared" si="0"/>
        <v>30.162499999999998</v>
      </c>
      <c r="P23" s="730">
        <f t="shared" si="0"/>
        <v>152.39999999999998</v>
      </c>
      <c r="Q23" s="742" t="s">
        <v>1886</v>
      </c>
    </row>
    <row r="24" spans="1:17" x14ac:dyDescent="0.15">
      <c r="A24" s="705">
        <v>3.5</v>
      </c>
      <c r="B24" s="727">
        <v>8.5</v>
      </c>
      <c r="C24" s="727">
        <v>0.9375</v>
      </c>
      <c r="D24" s="727">
        <v>2.8125</v>
      </c>
      <c r="E24" s="728">
        <v>1.25</v>
      </c>
      <c r="F24" s="728">
        <v>1.25</v>
      </c>
      <c r="G24" s="728">
        <v>7</v>
      </c>
      <c r="H24" s="744" t="s">
        <v>1887</v>
      </c>
      <c r="J24" s="702">
        <f t="shared" si="0"/>
        <v>88.899999999999991</v>
      </c>
      <c r="K24" s="732">
        <f>B24*25.4</f>
        <v>215.89999999999998</v>
      </c>
      <c r="L24" s="730">
        <f t="shared" si="0"/>
        <v>23.8125</v>
      </c>
      <c r="M24" s="730">
        <f t="shared" si="0"/>
        <v>71.4375</v>
      </c>
      <c r="N24" s="730">
        <f t="shared" si="0"/>
        <v>31.75</v>
      </c>
      <c r="O24" s="730">
        <f t="shared" si="0"/>
        <v>31.75</v>
      </c>
      <c r="P24" s="730">
        <f t="shared" si="0"/>
        <v>177.79999999999998</v>
      </c>
      <c r="Q24" s="744" t="s">
        <v>1888</v>
      </c>
    </row>
    <row r="25" spans="1:17" ht="14" thickBot="1" x14ac:dyDescent="0.2">
      <c r="A25" s="713">
        <v>4</v>
      </c>
      <c r="B25" s="733">
        <v>9</v>
      </c>
      <c r="C25" s="734">
        <v>0.9375</v>
      </c>
      <c r="D25" s="733">
        <v>3</v>
      </c>
      <c r="E25" s="735">
        <v>1.3125</v>
      </c>
      <c r="F25" s="735">
        <v>1.3125</v>
      </c>
      <c r="G25" s="735">
        <v>7.5</v>
      </c>
      <c r="H25" s="745" t="s">
        <v>1887</v>
      </c>
      <c r="J25" s="711">
        <f t="shared" si="0"/>
        <v>101.6</v>
      </c>
      <c r="K25" s="737">
        <f t="shared" si="0"/>
        <v>228.6</v>
      </c>
      <c r="L25" s="737">
        <f t="shared" si="0"/>
        <v>23.8125</v>
      </c>
      <c r="M25" s="737">
        <f t="shared" si="0"/>
        <v>76.199999999999989</v>
      </c>
      <c r="N25" s="737">
        <f t="shared" si="0"/>
        <v>33.337499999999999</v>
      </c>
      <c r="O25" s="737">
        <f t="shared" si="0"/>
        <v>33.337499999999999</v>
      </c>
      <c r="P25" s="737">
        <f t="shared" si="0"/>
        <v>190.5</v>
      </c>
      <c r="Q25" s="745" t="s">
        <v>1888</v>
      </c>
    </row>
    <row r="26" spans="1:17" ht="14" thickTop="1" x14ac:dyDescent="0.15">
      <c r="A26" s="712">
        <v>5</v>
      </c>
      <c r="B26" s="738">
        <v>10</v>
      </c>
      <c r="C26" s="739">
        <v>0.9375</v>
      </c>
      <c r="D26" s="740">
        <v>3.5</v>
      </c>
      <c r="E26" s="741">
        <v>1.4375</v>
      </c>
      <c r="F26" s="741">
        <v>1.4375</v>
      </c>
      <c r="G26" s="741">
        <v>8.5</v>
      </c>
      <c r="H26" s="742" t="s">
        <v>1889</v>
      </c>
      <c r="J26" s="696">
        <f>A26*25.4</f>
        <v>127</v>
      </c>
      <c r="K26" s="726">
        <f>B26*25.4</f>
        <v>254</v>
      </c>
      <c r="L26" s="726">
        <f t="shared" si="0"/>
        <v>23.8125</v>
      </c>
      <c r="M26" s="726">
        <f t="shared" si="0"/>
        <v>88.899999999999991</v>
      </c>
      <c r="N26" s="726">
        <f t="shared" si="0"/>
        <v>36.512499999999996</v>
      </c>
      <c r="O26" s="726">
        <f t="shared" si="0"/>
        <v>36.512499999999996</v>
      </c>
      <c r="P26" s="726">
        <f t="shared" si="0"/>
        <v>215.89999999999998</v>
      </c>
      <c r="Q26" s="742" t="s">
        <v>1890</v>
      </c>
    </row>
    <row r="27" spans="1:17" x14ac:dyDescent="0.15">
      <c r="A27" s="704">
        <v>6</v>
      </c>
      <c r="B27" s="743">
        <v>11</v>
      </c>
      <c r="C27" s="743">
        <v>1</v>
      </c>
      <c r="D27" s="731">
        <v>3.5</v>
      </c>
      <c r="E27" s="728">
        <v>1.5625</v>
      </c>
      <c r="F27" s="728">
        <v>1.5625</v>
      </c>
      <c r="G27" s="728">
        <v>9.5</v>
      </c>
      <c r="H27" s="744" t="s">
        <v>1889</v>
      </c>
      <c r="J27" s="702">
        <f t="shared" si="0"/>
        <v>152.39999999999998</v>
      </c>
      <c r="K27" s="732">
        <f t="shared" si="0"/>
        <v>279.39999999999998</v>
      </c>
      <c r="L27" s="730">
        <f t="shared" si="0"/>
        <v>25.4</v>
      </c>
      <c r="M27" s="730">
        <f t="shared" si="0"/>
        <v>88.899999999999991</v>
      </c>
      <c r="N27" s="730">
        <f t="shared" si="0"/>
        <v>39.6875</v>
      </c>
      <c r="O27" s="730">
        <f t="shared" si="0"/>
        <v>39.6875</v>
      </c>
      <c r="P27" s="730">
        <f t="shared" si="0"/>
        <v>241.29999999999998</v>
      </c>
      <c r="Q27" s="744" t="s">
        <v>1890</v>
      </c>
    </row>
    <row r="28" spans="1:17" x14ac:dyDescent="0.15">
      <c r="A28" s="704">
        <v>8</v>
      </c>
      <c r="B28" s="727">
        <v>13.5</v>
      </c>
      <c r="C28" s="727">
        <v>1.125</v>
      </c>
      <c r="D28" s="743">
        <v>4</v>
      </c>
      <c r="E28" s="728">
        <v>1.75</v>
      </c>
      <c r="F28" s="728">
        <v>1.75</v>
      </c>
      <c r="G28" s="728">
        <v>11.75</v>
      </c>
      <c r="H28" s="744" t="s">
        <v>1889</v>
      </c>
      <c r="J28" s="702">
        <f t="shared" si="0"/>
        <v>203.2</v>
      </c>
      <c r="K28" s="732">
        <f t="shared" si="0"/>
        <v>342.9</v>
      </c>
      <c r="L28" s="730">
        <f t="shared" si="0"/>
        <v>28.574999999999999</v>
      </c>
      <c r="M28" s="730">
        <f t="shared" si="0"/>
        <v>101.6</v>
      </c>
      <c r="N28" s="730">
        <f t="shared" si="0"/>
        <v>44.449999999999996</v>
      </c>
      <c r="O28" s="730">
        <f t="shared" si="0"/>
        <v>44.449999999999996</v>
      </c>
      <c r="P28" s="730">
        <f t="shared" si="0"/>
        <v>298.45</v>
      </c>
      <c r="Q28" s="744" t="s">
        <v>1890</v>
      </c>
    </row>
    <row r="29" spans="1:17" x14ac:dyDescent="0.15">
      <c r="A29" s="704">
        <v>10</v>
      </c>
      <c r="B29" s="743">
        <v>16</v>
      </c>
      <c r="C29" s="727">
        <v>1.1875</v>
      </c>
      <c r="D29" s="743">
        <v>4</v>
      </c>
      <c r="E29" s="728">
        <v>1.9375</v>
      </c>
      <c r="F29" s="728">
        <v>1.9375</v>
      </c>
      <c r="G29" s="728">
        <v>14.25</v>
      </c>
      <c r="H29" s="746" t="s">
        <v>1891</v>
      </c>
      <c r="J29" s="702">
        <f t="shared" si="0"/>
        <v>254</v>
      </c>
      <c r="K29" s="732">
        <f t="shared" si="0"/>
        <v>406.4</v>
      </c>
      <c r="L29" s="730">
        <f t="shared" si="0"/>
        <v>30.162499999999998</v>
      </c>
      <c r="M29" s="730">
        <f t="shared" si="0"/>
        <v>101.6</v>
      </c>
      <c r="N29" s="730">
        <f t="shared" si="0"/>
        <v>49.212499999999999</v>
      </c>
      <c r="O29" s="730">
        <f t="shared" si="0"/>
        <v>49.212499999999999</v>
      </c>
      <c r="P29" s="730">
        <f t="shared" si="0"/>
        <v>361.95</v>
      </c>
      <c r="Q29" s="746" t="s">
        <v>1892</v>
      </c>
    </row>
    <row r="30" spans="1:17" ht="14" thickBot="1" x14ac:dyDescent="0.2">
      <c r="A30" s="713">
        <v>12</v>
      </c>
      <c r="B30" s="733">
        <v>19</v>
      </c>
      <c r="C30" s="734">
        <v>1.25</v>
      </c>
      <c r="D30" s="747">
        <v>4.5</v>
      </c>
      <c r="E30" s="735">
        <v>2.1875</v>
      </c>
      <c r="F30" s="735">
        <v>2.1875</v>
      </c>
      <c r="G30" s="735">
        <v>17</v>
      </c>
      <c r="H30" s="745" t="s">
        <v>1891</v>
      </c>
      <c r="J30" s="711">
        <f t="shared" si="0"/>
        <v>304.79999999999995</v>
      </c>
      <c r="K30" s="737">
        <f t="shared" si="0"/>
        <v>482.59999999999997</v>
      </c>
      <c r="L30" s="737">
        <f t="shared" si="0"/>
        <v>31.75</v>
      </c>
      <c r="M30" s="737">
        <f t="shared" si="0"/>
        <v>114.3</v>
      </c>
      <c r="N30" s="737">
        <f t="shared" si="0"/>
        <v>55.5625</v>
      </c>
      <c r="O30" s="737">
        <f t="shared" si="0"/>
        <v>55.5625</v>
      </c>
      <c r="P30" s="737">
        <f t="shared" si="0"/>
        <v>431.79999999999995</v>
      </c>
      <c r="Q30" s="745" t="s">
        <v>1892</v>
      </c>
    </row>
    <row r="31" spans="1:17" ht="14" thickTop="1" x14ac:dyDescent="0.15">
      <c r="A31" s="712">
        <v>14</v>
      </c>
      <c r="B31" s="738">
        <v>21</v>
      </c>
      <c r="C31" s="739">
        <v>1.375</v>
      </c>
      <c r="D31" s="738">
        <v>5</v>
      </c>
      <c r="E31" s="741">
        <v>2.25</v>
      </c>
      <c r="F31" s="741">
        <v>3.125</v>
      </c>
      <c r="G31" s="741">
        <v>18.75</v>
      </c>
      <c r="H31" s="742" t="s">
        <v>1893</v>
      </c>
      <c r="J31" s="696">
        <f t="shared" si="0"/>
        <v>355.59999999999997</v>
      </c>
      <c r="K31" s="726">
        <f t="shared" si="0"/>
        <v>533.4</v>
      </c>
      <c r="L31" s="726">
        <f t="shared" si="0"/>
        <v>34.924999999999997</v>
      </c>
      <c r="M31" s="726">
        <f t="shared" si="0"/>
        <v>127</v>
      </c>
      <c r="N31" s="726">
        <f t="shared" si="0"/>
        <v>57.15</v>
      </c>
      <c r="O31" s="726">
        <f t="shared" si="0"/>
        <v>79.375</v>
      </c>
      <c r="P31" s="726">
        <f t="shared" si="0"/>
        <v>476.25</v>
      </c>
      <c r="Q31" s="742" t="s">
        <v>1894</v>
      </c>
    </row>
    <row r="32" spans="1:17" x14ac:dyDescent="0.15">
      <c r="A32" s="704">
        <v>16</v>
      </c>
      <c r="B32" s="727">
        <v>23.5</v>
      </c>
      <c r="C32" s="727">
        <v>1.4375</v>
      </c>
      <c r="D32" s="743">
        <v>5</v>
      </c>
      <c r="E32" s="728">
        <v>2.5</v>
      </c>
      <c r="F32" s="728">
        <v>3.4375</v>
      </c>
      <c r="G32" s="728">
        <v>21.25</v>
      </c>
      <c r="H32" s="744" t="s">
        <v>1895</v>
      </c>
      <c r="J32" s="702">
        <f t="shared" ref="J32:P35" si="1">A32*25.4</f>
        <v>406.4</v>
      </c>
      <c r="K32" s="732">
        <f t="shared" si="1"/>
        <v>596.9</v>
      </c>
      <c r="L32" s="730">
        <f t="shared" si="1"/>
        <v>36.512499999999996</v>
      </c>
      <c r="M32" s="730">
        <f t="shared" si="1"/>
        <v>127</v>
      </c>
      <c r="N32" s="730">
        <f t="shared" si="1"/>
        <v>63.5</v>
      </c>
      <c r="O32" s="730">
        <f t="shared" si="1"/>
        <v>87.3125</v>
      </c>
      <c r="P32" s="730">
        <f t="shared" si="1"/>
        <v>539.75</v>
      </c>
      <c r="Q32" s="744" t="s">
        <v>1896</v>
      </c>
    </row>
    <row r="33" spans="1:17" x14ac:dyDescent="0.15">
      <c r="A33" s="704">
        <v>18</v>
      </c>
      <c r="B33" s="743">
        <v>25</v>
      </c>
      <c r="C33" s="727">
        <v>1.5625</v>
      </c>
      <c r="D33" s="731">
        <v>5.5</v>
      </c>
      <c r="E33" s="728">
        <v>2.6875</v>
      </c>
      <c r="F33" s="728">
        <v>3.8125</v>
      </c>
      <c r="G33" s="728">
        <v>22.75</v>
      </c>
      <c r="H33" s="744" t="s">
        <v>0</v>
      </c>
      <c r="J33" s="702">
        <f t="shared" si="1"/>
        <v>457.2</v>
      </c>
      <c r="K33" s="732">
        <f t="shared" si="1"/>
        <v>635</v>
      </c>
      <c r="L33" s="730">
        <f t="shared" si="1"/>
        <v>39.6875</v>
      </c>
      <c r="M33" s="730">
        <f t="shared" si="1"/>
        <v>139.69999999999999</v>
      </c>
      <c r="N33" s="730">
        <f t="shared" si="1"/>
        <v>68.262500000000003</v>
      </c>
      <c r="O33" s="730">
        <f t="shared" si="1"/>
        <v>96.837499999999991</v>
      </c>
      <c r="P33" s="730">
        <f t="shared" si="1"/>
        <v>577.85</v>
      </c>
      <c r="Q33" s="744" t="s">
        <v>1</v>
      </c>
    </row>
    <row r="34" spans="1:17" x14ac:dyDescent="0.15">
      <c r="A34" s="704">
        <v>20</v>
      </c>
      <c r="B34" s="727">
        <v>27.5</v>
      </c>
      <c r="C34" s="727">
        <v>1.6875</v>
      </c>
      <c r="D34" s="727">
        <v>5.6875</v>
      </c>
      <c r="E34" s="728">
        <v>2.875</v>
      </c>
      <c r="F34" s="728">
        <v>4.0625</v>
      </c>
      <c r="G34" s="728">
        <v>25</v>
      </c>
      <c r="H34" s="744" t="s">
        <v>2</v>
      </c>
      <c r="J34" s="702">
        <f t="shared" si="1"/>
        <v>508</v>
      </c>
      <c r="K34" s="732">
        <f t="shared" si="1"/>
        <v>698.5</v>
      </c>
      <c r="L34" s="730">
        <f t="shared" si="1"/>
        <v>42.862499999999997</v>
      </c>
      <c r="M34" s="730">
        <f t="shared" si="1"/>
        <v>144.46250000000001</v>
      </c>
      <c r="N34" s="730">
        <f t="shared" si="1"/>
        <v>73.024999999999991</v>
      </c>
      <c r="O34" s="730">
        <f t="shared" si="1"/>
        <v>103.1875</v>
      </c>
      <c r="P34" s="730">
        <f t="shared" si="1"/>
        <v>635</v>
      </c>
      <c r="Q34" s="744" t="s">
        <v>3</v>
      </c>
    </row>
    <row r="35" spans="1:17" ht="14" thickBot="1" x14ac:dyDescent="0.2">
      <c r="A35" s="713">
        <v>24</v>
      </c>
      <c r="B35" s="733">
        <v>32</v>
      </c>
      <c r="C35" s="734">
        <v>1.875</v>
      </c>
      <c r="D35" s="733">
        <v>6</v>
      </c>
      <c r="E35" s="735">
        <v>3.25</v>
      </c>
      <c r="F35" s="735">
        <v>4.375</v>
      </c>
      <c r="G35" s="735">
        <v>29.5</v>
      </c>
      <c r="H35" s="745" t="s">
        <v>4</v>
      </c>
      <c r="J35" s="711">
        <f t="shared" si="1"/>
        <v>609.59999999999991</v>
      </c>
      <c r="K35" s="737">
        <f t="shared" si="1"/>
        <v>812.8</v>
      </c>
      <c r="L35" s="737">
        <f t="shared" si="1"/>
        <v>47.625</v>
      </c>
      <c r="M35" s="737">
        <f t="shared" si="1"/>
        <v>152.39999999999998</v>
      </c>
      <c r="N35" s="737">
        <f t="shared" si="1"/>
        <v>82.55</v>
      </c>
      <c r="O35" s="737">
        <f t="shared" si="1"/>
        <v>111.125</v>
      </c>
      <c r="P35" s="737">
        <f t="shared" si="1"/>
        <v>749.3</v>
      </c>
      <c r="Q35" s="745" t="s">
        <v>5</v>
      </c>
    </row>
    <row r="36" spans="1:17" ht="14" thickTop="1" x14ac:dyDescent="0.15"/>
    <row r="37" spans="1:17" ht="14" thickBot="1" x14ac:dyDescent="0.2"/>
    <row r="38" spans="1:17" ht="15" thickTop="1" thickBot="1" x14ac:dyDescent="0.2">
      <c r="A38" s="610"/>
      <c r="B38" s="718"/>
      <c r="C38" s="719"/>
      <c r="D38" s="750" t="s">
        <v>78</v>
      </c>
      <c r="E38" s="719"/>
      <c r="F38" s="719"/>
      <c r="G38" s="719"/>
      <c r="H38" s="720"/>
      <c r="J38" s="610"/>
      <c r="K38" s="718"/>
      <c r="L38" s="719"/>
      <c r="M38" s="750" t="s">
        <v>79</v>
      </c>
      <c r="N38" s="719"/>
      <c r="O38" s="719"/>
      <c r="P38" s="719"/>
      <c r="Q38" s="720"/>
    </row>
    <row r="39" spans="1:17" ht="18" thickTop="1" thickBot="1" x14ac:dyDescent="0.25">
      <c r="A39" s="498" t="s">
        <v>1818</v>
      </c>
      <c r="B39" s="610"/>
      <c r="C39" s="610"/>
      <c r="D39" s="718"/>
      <c r="E39" s="721" t="s">
        <v>1870</v>
      </c>
      <c r="F39" s="719"/>
      <c r="G39" s="720"/>
      <c r="H39" s="690" t="s">
        <v>1871</v>
      </c>
      <c r="J39" s="498" t="s">
        <v>1818</v>
      </c>
      <c r="K39" s="610"/>
      <c r="L39" s="610"/>
      <c r="M39" s="718"/>
      <c r="N39" s="721" t="s">
        <v>1870</v>
      </c>
      <c r="O39" s="719"/>
      <c r="P39" s="720"/>
      <c r="Q39" s="690" t="s">
        <v>1871</v>
      </c>
    </row>
    <row r="40" spans="1:17" ht="19" thickTop="1" x14ac:dyDescent="0.2">
      <c r="A40" s="498" t="s">
        <v>1507</v>
      </c>
      <c r="B40" s="612" t="s">
        <v>1872</v>
      </c>
      <c r="C40" s="612" t="s">
        <v>1730</v>
      </c>
      <c r="D40" s="690" t="s">
        <v>1873</v>
      </c>
      <c r="E40" s="690" t="s">
        <v>1874</v>
      </c>
      <c r="F40" s="690" t="s">
        <v>1875</v>
      </c>
      <c r="G40" s="690" t="s">
        <v>1052</v>
      </c>
      <c r="H40" s="501" t="s">
        <v>1876</v>
      </c>
      <c r="J40" s="498" t="s">
        <v>1507</v>
      </c>
      <c r="K40" s="612" t="s">
        <v>1872</v>
      </c>
      <c r="L40" s="612" t="s">
        <v>1730</v>
      </c>
      <c r="M40" s="690" t="s">
        <v>1873</v>
      </c>
      <c r="N40" s="690" t="s">
        <v>1874</v>
      </c>
      <c r="O40" s="690" t="s">
        <v>1875</v>
      </c>
      <c r="P40" s="690" t="s">
        <v>1052</v>
      </c>
      <c r="Q40" s="501" t="s">
        <v>1876</v>
      </c>
    </row>
    <row r="41" spans="1:17" ht="14" thickBot="1" x14ac:dyDescent="0.2">
      <c r="A41" s="505" t="s">
        <v>845</v>
      </c>
      <c r="B41" s="507" t="s">
        <v>1877</v>
      </c>
      <c r="C41" s="507" t="s">
        <v>1877</v>
      </c>
      <c r="D41" s="688" t="s">
        <v>1878</v>
      </c>
      <c r="E41" s="688" t="s">
        <v>1879</v>
      </c>
      <c r="F41" s="688" t="s">
        <v>1880</v>
      </c>
      <c r="G41" s="688" t="s">
        <v>1881</v>
      </c>
      <c r="H41" s="688" t="s">
        <v>1882</v>
      </c>
      <c r="J41" s="505" t="s">
        <v>845</v>
      </c>
      <c r="K41" s="505" t="s">
        <v>1754</v>
      </c>
      <c r="L41" s="505" t="s">
        <v>1754</v>
      </c>
      <c r="M41" s="688" t="s">
        <v>1878</v>
      </c>
      <c r="N41" s="688" t="s">
        <v>1879</v>
      </c>
      <c r="O41" s="688" t="s">
        <v>1880</v>
      </c>
      <c r="P41" s="688" t="s">
        <v>1881</v>
      </c>
      <c r="Q41" s="688" t="s">
        <v>1882</v>
      </c>
    </row>
    <row r="42" spans="1:17" ht="14" thickTop="1" x14ac:dyDescent="0.15">
      <c r="A42" s="691">
        <v>0.5</v>
      </c>
      <c r="B42" s="722">
        <v>3.75</v>
      </c>
      <c r="C42" s="723">
        <v>0.5625</v>
      </c>
      <c r="D42" s="723">
        <v>2.0625</v>
      </c>
      <c r="E42" s="723">
        <v>0.875</v>
      </c>
      <c r="F42" s="723">
        <v>0.875</v>
      </c>
      <c r="G42" s="723">
        <v>2.625</v>
      </c>
      <c r="H42" s="725" t="s">
        <v>1883</v>
      </c>
      <c r="J42" s="696">
        <f t="shared" ref="J42:P57" si="2">A42*25.4</f>
        <v>12.7</v>
      </c>
      <c r="K42" s="726">
        <f t="shared" si="2"/>
        <v>95.25</v>
      </c>
      <c r="L42" s="726">
        <f t="shared" si="2"/>
        <v>14.2875</v>
      </c>
      <c r="M42" s="726">
        <f t="shared" si="2"/>
        <v>52.387499999999996</v>
      </c>
      <c r="N42" s="726">
        <f t="shared" si="2"/>
        <v>22.224999999999998</v>
      </c>
      <c r="O42" s="726">
        <f t="shared" si="2"/>
        <v>22.224999999999998</v>
      </c>
      <c r="P42" s="726">
        <f t="shared" si="2"/>
        <v>66.674999999999997</v>
      </c>
      <c r="Q42" s="725" t="s">
        <v>1884</v>
      </c>
    </row>
    <row r="43" spans="1:17" x14ac:dyDescent="0.15">
      <c r="A43" s="698">
        <v>0.75</v>
      </c>
      <c r="B43" s="727">
        <v>4.625</v>
      </c>
      <c r="C43" s="727">
        <v>0.625</v>
      </c>
      <c r="D43" s="727">
        <v>2.25</v>
      </c>
      <c r="E43" s="727">
        <v>1</v>
      </c>
      <c r="F43" s="728">
        <v>1</v>
      </c>
      <c r="G43" s="728">
        <v>3.25</v>
      </c>
      <c r="H43" s="729" t="s">
        <v>6</v>
      </c>
      <c r="J43" s="702">
        <f t="shared" si="2"/>
        <v>19.049999999999997</v>
      </c>
      <c r="K43" s="730">
        <f t="shared" si="2"/>
        <v>117.47499999999999</v>
      </c>
      <c r="L43" s="730">
        <f t="shared" si="2"/>
        <v>15.875</v>
      </c>
      <c r="M43" s="730">
        <f t="shared" si="2"/>
        <v>57.15</v>
      </c>
      <c r="N43" s="730">
        <f t="shared" si="2"/>
        <v>25.4</v>
      </c>
      <c r="O43" s="730">
        <f t="shared" si="2"/>
        <v>25.4</v>
      </c>
      <c r="P43" s="730">
        <f t="shared" si="2"/>
        <v>82.55</v>
      </c>
      <c r="Q43" s="729" t="s">
        <v>7</v>
      </c>
    </row>
    <row r="44" spans="1:17" x14ac:dyDescent="0.15">
      <c r="A44" s="704">
        <v>1</v>
      </c>
      <c r="B44" s="727">
        <v>4.875</v>
      </c>
      <c r="C44" s="727">
        <v>0.6875</v>
      </c>
      <c r="D44" s="727">
        <v>2.4375</v>
      </c>
      <c r="E44" s="728">
        <v>1.0625</v>
      </c>
      <c r="F44" s="728">
        <v>1.0625</v>
      </c>
      <c r="G44" s="728">
        <v>3.5</v>
      </c>
      <c r="H44" s="729" t="s">
        <v>6</v>
      </c>
      <c r="J44" s="702">
        <f t="shared" si="2"/>
        <v>25.4</v>
      </c>
      <c r="K44" s="730">
        <f t="shared" si="2"/>
        <v>123.82499999999999</v>
      </c>
      <c r="L44" s="730">
        <f t="shared" si="2"/>
        <v>17.462499999999999</v>
      </c>
      <c r="M44" s="730">
        <f t="shared" si="2"/>
        <v>61.912499999999994</v>
      </c>
      <c r="N44" s="730">
        <f t="shared" si="2"/>
        <v>26.987499999999997</v>
      </c>
      <c r="O44" s="730">
        <f t="shared" si="2"/>
        <v>26.987499999999997</v>
      </c>
      <c r="P44" s="730">
        <f t="shared" si="2"/>
        <v>88.899999999999991</v>
      </c>
      <c r="Q44" s="729" t="s">
        <v>7</v>
      </c>
    </row>
    <row r="45" spans="1:17" x14ac:dyDescent="0.15">
      <c r="A45" s="705">
        <v>1.25</v>
      </c>
      <c r="B45" s="727">
        <v>5.25</v>
      </c>
      <c r="C45" s="727">
        <v>0.75</v>
      </c>
      <c r="D45" s="727">
        <v>2.5625</v>
      </c>
      <c r="E45" s="728">
        <v>1.0625</v>
      </c>
      <c r="F45" s="728">
        <v>1.0625</v>
      </c>
      <c r="G45" s="728">
        <v>3.875</v>
      </c>
      <c r="H45" s="729" t="s">
        <v>6</v>
      </c>
      <c r="J45" s="702">
        <f t="shared" si="2"/>
        <v>31.75</v>
      </c>
      <c r="K45" s="732">
        <f t="shared" si="2"/>
        <v>133.35</v>
      </c>
      <c r="L45" s="730">
        <f t="shared" si="2"/>
        <v>19.049999999999997</v>
      </c>
      <c r="M45" s="730">
        <f t="shared" si="2"/>
        <v>65.087499999999991</v>
      </c>
      <c r="N45" s="730">
        <f t="shared" si="2"/>
        <v>26.987499999999997</v>
      </c>
      <c r="O45" s="730">
        <f t="shared" si="2"/>
        <v>26.987499999999997</v>
      </c>
      <c r="P45" s="730">
        <f t="shared" si="2"/>
        <v>98.424999999999997</v>
      </c>
      <c r="Q45" s="729" t="s">
        <v>7</v>
      </c>
    </row>
    <row r="46" spans="1:17" ht="14" thickBot="1" x14ac:dyDescent="0.2">
      <c r="A46" s="706">
        <v>1.5</v>
      </c>
      <c r="B46" s="735">
        <v>6.125</v>
      </c>
      <c r="C46" s="734">
        <v>0.8125</v>
      </c>
      <c r="D46" s="734">
        <v>2.6875</v>
      </c>
      <c r="E46" s="735">
        <v>1.1875</v>
      </c>
      <c r="F46" s="735">
        <v>1.1875</v>
      </c>
      <c r="G46" s="735">
        <v>4.5</v>
      </c>
      <c r="H46" s="736" t="s">
        <v>8</v>
      </c>
      <c r="J46" s="711">
        <f t="shared" si="2"/>
        <v>38.099999999999994</v>
      </c>
      <c r="K46" s="737">
        <f t="shared" si="2"/>
        <v>155.57499999999999</v>
      </c>
      <c r="L46" s="737">
        <f t="shared" si="2"/>
        <v>20.637499999999999</v>
      </c>
      <c r="M46" s="737">
        <f t="shared" si="2"/>
        <v>68.262500000000003</v>
      </c>
      <c r="N46" s="737">
        <f t="shared" si="2"/>
        <v>30.162499999999998</v>
      </c>
      <c r="O46" s="737">
        <f t="shared" si="2"/>
        <v>30.162499999999998</v>
      </c>
      <c r="P46" s="737">
        <f t="shared" si="2"/>
        <v>114.3</v>
      </c>
      <c r="Q46" s="736" t="s">
        <v>9</v>
      </c>
    </row>
    <row r="47" spans="1:17" ht="14" thickTop="1" x14ac:dyDescent="0.15">
      <c r="A47" s="712">
        <v>2</v>
      </c>
      <c r="B47" s="741">
        <v>6.5</v>
      </c>
      <c r="C47" s="739">
        <v>0.875</v>
      </c>
      <c r="D47" s="739">
        <v>2.75</v>
      </c>
      <c r="E47" s="741">
        <v>1.3125</v>
      </c>
      <c r="F47" s="741">
        <v>1.3125</v>
      </c>
      <c r="G47" s="741">
        <v>5</v>
      </c>
      <c r="H47" s="742" t="s">
        <v>1887</v>
      </c>
      <c r="J47" s="696">
        <f t="shared" si="2"/>
        <v>50.8</v>
      </c>
      <c r="K47" s="726">
        <f t="shared" si="2"/>
        <v>165.1</v>
      </c>
      <c r="L47" s="726">
        <f t="shared" si="2"/>
        <v>22.224999999999998</v>
      </c>
      <c r="M47" s="726">
        <f t="shared" si="2"/>
        <v>69.849999999999994</v>
      </c>
      <c r="N47" s="726">
        <f t="shared" si="2"/>
        <v>33.337499999999999</v>
      </c>
      <c r="O47" s="726">
        <f t="shared" si="2"/>
        <v>33.337499999999999</v>
      </c>
      <c r="P47" s="726">
        <f t="shared" si="2"/>
        <v>127</v>
      </c>
      <c r="Q47" s="742" t="s">
        <v>1888</v>
      </c>
    </row>
    <row r="48" spans="1:17" x14ac:dyDescent="0.15">
      <c r="A48" s="705">
        <v>2.5</v>
      </c>
      <c r="B48" s="728">
        <v>7.5</v>
      </c>
      <c r="C48" s="727">
        <v>1</v>
      </c>
      <c r="D48" s="727">
        <v>3</v>
      </c>
      <c r="E48" s="728">
        <v>1.5</v>
      </c>
      <c r="F48" s="728">
        <v>1.5</v>
      </c>
      <c r="G48" s="728">
        <v>5.875</v>
      </c>
      <c r="H48" s="742" t="s">
        <v>1889</v>
      </c>
      <c r="J48" s="702">
        <f t="shared" si="2"/>
        <v>63.5</v>
      </c>
      <c r="K48" s="730">
        <f>B48*25.4</f>
        <v>190.5</v>
      </c>
      <c r="L48" s="730">
        <f t="shared" si="2"/>
        <v>25.4</v>
      </c>
      <c r="M48" s="730">
        <f t="shared" si="2"/>
        <v>76.199999999999989</v>
      </c>
      <c r="N48" s="730">
        <f t="shared" si="2"/>
        <v>38.099999999999994</v>
      </c>
      <c r="O48" s="730">
        <f t="shared" si="2"/>
        <v>38.099999999999994</v>
      </c>
      <c r="P48" s="730">
        <f t="shared" si="2"/>
        <v>149.22499999999999</v>
      </c>
      <c r="Q48" s="742" t="s">
        <v>1890</v>
      </c>
    </row>
    <row r="49" spans="1:17" x14ac:dyDescent="0.15">
      <c r="A49" s="704">
        <v>3</v>
      </c>
      <c r="B49" s="727">
        <v>8.25</v>
      </c>
      <c r="C49" s="727">
        <v>1.125</v>
      </c>
      <c r="D49" s="727">
        <v>3.125</v>
      </c>
      <c r="E49" s="728">
        <v>1.6875</v>
      </c>
      <c r="F49" s="728">
        <v>1.6875</v>
      </c>
      <c r="G49" s="728">
        <v>6.625</v>
      </c>
      <c r="H49" s="742" t="s">
        <v>1889</v>
      </c>
      <c r="J49" s="702">
        <f t="shared" si="2"/>
        <v>76.199999999999989</v>
      </c>
      <c r="K49" s="730">
        <f>B49*25.4</f>
        <v>209.54999999999998</v>
      </c>
      <c r="L49" s="730">
        <f t="shared" si="2"/>
        <v>28.574999999999999</v>
      </c>
      <c r="M49" s="730">
        <f t="shared" si="2"/>
        <v>79.375</v>
      </c>
      <c r="N49" s="730">
        <f t="shared" si="2"/>
        <v>42.862499999999997</v>
      </c>
      <c r="O49" s="730">
        <f t="shared" si="2"/>
        <v>42.862499999999997</v>
      </c>
      <c r="P49" s="730">
        <f t="shared" si="2"/>
        <v>168.27499999999998</v>
      </c>
      <c r="Q49" s="742" t="s">
        <v>1890</v>
      </c>
    </row>
    <row r="50" spans="1:17" x14ac:dyDescent="0.15">
      <c r="A50" s="705">
        <v>3.5</v>
      </c>
      <c r="B50" s="727">
        <v>9</v>
      </c>
      <c r="C50" s="727">
        <v>1.1875</v>
      </c>
      <c r="D50" s="727">
        <v>3.1875</v>
      </c>
      <c r="E50" s="728">
        <v>1.75</v>
      </c>
      <c r="F50" s="728">
        <v>1.75</v>
      </c>
      <c r="G50" s="728">
        <v>7.25</v>
      </c>
      <c r="H50" s="742" t="s">
        <v>1889</v>
      </c>
      <c r="J50" s="702">
        <f t="shared" si="2"/>
        <v>88.899999999999991</v>
      </c>
      <c r="K50" s="732">
        <f>B50*25.4</f>
        <v>228.6</v>
      </c>
      <c r="L50" s="730">
        <f t="shared" si="2"/>
        <v>30.162499999999998</v>
      </c>
      <c r="M50" s="730">
        <f t="shared" si="2"/>
        <v>80.962499999999991</v>
      </c>
      <c r="N50" s="730">
        <f t="shared" si="2"/>
        <v>44.449999999999996</v>
      </c>
      <c r="O50" s="730">
        <f t="shared" si="2"/>
        <v>44.449999999999996</v>
      </c>
      <c r="P50" s="730">
        <f t="shared" si="2"/>
        <v>184.14999999999998</v>
      </c>
      <c r="Q50" s="742" t="s">
        <v>1890</v>
      </c>
    </row>
    <row r="51" spans="1:17" ht="14" thickBot="1" x14ac:dyDescent="0.2">
      <c r="A51" s="713">
        <v>4</v>
      </c>
      <c r="B51" s="735">
        <v>10</v>
      </c>
      <c r="C51" s="734">
        <v>1.25</v>
      </c>
      <c r="D51" s="735">
        <v>3.375</v>
      </c>
      <c r="E51" s="735">
        <v>1.875</v>
      </c>
      <c r="F51" s="735">
        <v>1.875</v>
      </c>
      <c r="G51" s="735">
        <v>7.875</v>
      </c>
      <c r="H51" s="745" t="s">
        <v>1889</v>
      </c>
      <c r="J51" s="711">
        <f t="shared" si="2"/>
        <v>101.6</v>
      </c>
      <c r="K51" s="737">
        <f t="shared" si="2"/>
        <v>254</v>
      </c>
      <c r="L51" s="737">
        <f t="shared" si="2"/>
        <v>31.75</v>
      </c>
      <c r="M51" s="737">
        <f t="shared" si="2"/>
        <v>85.724999999999994</v>
      </c>
      <c r="N51" s="737">
        <f t="shared" si="2"/>
        <v>47.625</v>
      </c>
      <c r="O51" s="737">
        <f t="shared" si="2"/>
        <v>47.625</v>
      </c>
      <c r="P51" s="737">
        <f t="shared" si="2"/>
        <v>200.02499999999998</v>
      </c>
      <c r="Q51" s="745" t="s">
        <v>1890</v>
      </c>
    </row>
    <row r="52" spans="1:17" ht="14" thickTop="1" x14ac:dyDescent="0.15">
      <c r="A52" s="712">
        <v>5</v>
      </c>
      <c r="B52" s="741">
        <v>11</v>
      </c>
      <c r="C52" s="739">
        <v>1.375</v>
      </c>
      <c r="D52" s="739">
        <v>3.875</v>
      </c>
      <c r="E52" s="741">
        <v>2</v>
      </c>
      <c r="F52" s="741">
        <v>2</v>
      </c>
      <c r="G52" s="741">
        <v>9.25</v>
      </c>
      <c r="H52" s="742" t="s">
        <v>1889</v>
      </c>
      <c r="J52" s="696">
        <f>A52*25.4</f>
        <v>127</v>
      </c>
      <c r="K52" s="726">
        <f>B52*25.4</f>
        <v>279.39999999999998</v>
      </c>
      <c r="L52" s="726">
        <f t="shared" si="2"/>
        <v>34.924999999999997</v>
      </c>
      <c r="M52" s="726">
        <f t="shared" si="2"/>
        <v>98.424999999999997</v>
      </c>
      <c r="N52" s="726">
        <f t="shared" si="2"/>
        <v>50.8</v>
      </c>
      <c r="O52" s="726">
        <f t="shared" si="2"/>
        <v>50.8</v>
      </c>
      <c r="P52" s="726">
        <f t="shared" si="2"/>
        <v>234.95</v>
      </c>
      <c r="Q52" s="742" t="s">
        <v>1890</v>
      </c>
    </row>
    <row r="53" spans="1:17" x14ac:dyDescent="0.15">
      <c r="A53" s="704">
        <v>6</v>
      </c>
      <c r="B53" s="728">
        <v>12.5</v>
      </c>
      <c r="C53" s="728">
        <v>1.4375</v>
      </c>
      <c r="D53" s="727">
        <v>3.875</v>
      </c>
      <c r="E53" s="728">
        <v>2.0625</v>
      </c>
      <c r="F53" s="728">
        <v>2.0625</v>
      </c>
      <c r="G53" s="728">
        <v>10.625</v>
      </c>
      <c r="H53" s="744" t="s">
        <v>10</v>
      </c>
      <c r="J53" s="702">
        <f t="shared" ref="J53:P61" si="3">A53*25.4</f>
        <v>152.39999999999998</v>
      </c>
      <c r="K53" s="732">
        <f t="shared" si="3"/>
        <v>317.5</v>
      </c>
      <c r="L53" s="730">
        <f t="shared" si="2"/>
        <v>36.512499999999996</v>
      </c>
      <c r="M53" s="730">
        <f t="shared" si="2"/>
        <v>98.424999999999997</v>
      </c>
      <c r="N53" s="730">
        <f t="shared" si="2"/>
        <v>52.387499999999996</v>
      </c>
      <c r="O53" s="730">
        <f t="shared" si="2"/>
        <v>52.387499999999996</v>
      </c>
      <c r="P53" s="730">
        <f t="shared" si="2"/>
        <v>269.875</v>
      </c>
      <c r="Q53" s="744" t="s">
        <v>11</v>
      </c>
    </row>
    <row r="54" spans="1:17" x14ac:dyDescent="0.15">
      <c r="A54" s="704">
        <v>8</v>
      </c>
      <c r="B54" s="727">
        <v>15</v>
      </c>
      <c r="C54" s="727">
        <v>1.625</v>
      </c>
      <c r="D54" s="728">
        <v>4.375</v>
      </c>
      <c r="E54" s="728">
        <v>2.4375</v>
      </c>
      <c r="F54" s="728">
        <v>2.4375</v>
      </c>
      <c r="G54" s="728">
        <v>13</v>
      </c>
      <c r="H54" s="746" t="s">
        <v>1891</v>
      </c>
      <c r="J54" s="702">
        <f t="shared" si="3"/>
        <v>203.2</v>
      </c>
      <c r="K54" s="732">
        <f t="shared" si="3"/>
        <v>381</v>
      </c>
      <c r="L54" s="730">
        <f t="shared" si="2"/>
        <v>41.274999999999999</v>
      </c>
      <c r="M54" s="730">
        <f t="shared" si="2"/>
        <v>111.125</v>
      </c>
      <c r="N54" s="730">
        <f t="shared" si="2"/>
        <v>61.912499999999994</v>
      </c>
      <c r="O54" s="730">
        <f t="shared" si="2"/>
        <v>61.912499999999994</v>
      </c>
      <c r="P54" s="730">
        <f t="shared" si="2"/>
        <v>330.2</v>
      </c>
      <c r="Q54" s="746" t="s">
        <v>1892</v>
      </c>
    </row>
    <row r="55" spans="1:17" x14ac:dyDescent="0.15">
      <c r="A55" s="704">
        <v>10</v>
      </c>
      <c r="B55" s="728">
        <v>17.5</v>
      </c>
      <c r="C55" s="727">
        <v>1.875</v>
      </c>
      <c r="D55" s="728">
        <v>4.625</v>
      </c>
      <c r="E55" s="728">
        <v>2.625</v>
      </c>
      <c r="F55" s="728">
        <v>3.75</v>
      </c>
      <c r="G55" s="728">
        <v>15.25</v>
      </c>
      <c r="H55" s="746" t="s">
        <v>1895</v>
      </c>
      <c r="J55" s="702">
        <f t="shared" si="3"/>
        <v>254</v>
      </c>
      <c r="K55" s="732">
        <f t="shared" si="3"/>
        <v>444.5</v>
      </c>
      <c r="L55" s="730">
        <f t="shared" si="2"/>
        <v>47.625</v>
      </c>
      <c r="M55" s="730">
        <f t="shared" si="2"/>
        <v>117.47499999999999</v>
      </c>
      <c r="N55" s="730">
        <f t="shared" si="2"/>
        <v>66.674999999999997</v>
      </c>
      <c r="O55" s="730">
        <f t="shared" si="2"/>
        <v>95.25</v>
      </c>
      <c r="P55" s="730">
        <f t="shared" si="2"/>
        <v>387.34999999999997</v>
      </c>
      <c r="Q55" s="746" t="s">
        <v>1896</v>
      </c>
    </row>
    <row r="56" spans="1:17" ht="14" thickBot="1" x14ac:dyDescent="0.2">
      <c r="A56" s="713">
        <v>12</v>
      </c>
      <c r="B56" s="735">
        <v>20.5</v>
      </c>
      <c r="C56" s="734">
        <v>2</v>
      </c>
      <c r="D56" s="734">
        <v>5.125</v>
      </c>
      <c r="E56" s="735">
        <v>2.875</v>
      </c>
      <c r="F56" s="735">
        <v>4</v>
      </c>
      <c r="G56" s="735">
        <v>17.75</v>
      </c>
      <c r="H56" s="745" t="s">
        <v>0</v>
      </c>
      <c r="J56" s="711">
        <f t="shared" si="3"/>
        <v>304.79999999999995</v>
      </c>
      <c r="K56" s="737">
        <f t="shared" si="3"/>
        <v>520.69999999999993</v>
      </c>
      <c r="L56" s="737">
        <f t="shared" si="2"/>
        <v>50.8</v>
      </c>
      <c r="M56" s="737">
        <f t="shared" si="2"/>
        <v>130.17499999999998</v>
      </c>
      <c r="N56" s="737">
        <f t="shared" si="2"/>
        <v>73.024999999999991</v>
      </c>
      <c r="O56" s="737">
        <f t="shared" si="2"/>
        <v>101.6</v>
      </c>
      <c r="P56" s="737">
        <f t="shared" si="2"/>
        <v>450.84999999999997</v>
      </c>
      <c r="Q56" s="745" t="s">
        <v>1</v>
      </c>
    </row>
    <row r="57" spans="1:17" ht="14" thickTop="1" x14ac:dyDescent="0.15">
      <c r="A57" s="712">
        <v>14</v>
      </c>
      <c r="B57" s="741">
        <v>23</v>
      </c>
      <c r="C57" s="739">
        <v>2.125</v>
      </c>
      <c r="D57" s="741">
        <v>5.625</v>
      </c>
      <c r="E57" s="741">
        <v>3</v>
      </c>
      <c r="F57" s="741">
        <v>4.375</v>
      </c>
      <c r="G57" s="741">
        <v>20.25</v>
      </c>
      <c r="H57" s="742" t="s">
        <v>2</v>
      </c>
      <c r="J57" s="696">
        <f t="shared" si="3"/>
        <v>355.59999999999997</v>
      </c>
      <c r="K57" s="726">
        <f t="shared" si="3"/>
        <v>584.19999999999993</v>
      </c>
      <c r="L57" s="726">
        <f t="shared" si="2"/>
        <v>53.974999999999994</v>
      </c>
      <c r="M57" s="726">
        <f t="shared" si="2"/>
        <v>142.875</v>
      </c>
      <c r="N57" s="726">
        <f t="shared" si="2"/>
        <v>76.199999999999989</v>
      </c>
      <c r="O57" s="726">
        <f t="shared" si="2"/>
        <v>111.125</v>
      </c>
      <c r="P57" s="726">
        <f t="shared" si="2"/>
        <v>514.35</v>
      </c>
      <c r="Q57" s="742" t="s">
        <v>3</v>
      </c>
    </row>
    <row r="58" spans="1:17" x14ac:dyDescent="0.15">
      <c r="A58" s="704">
        <v>16</v>
      </c>
      <c r="B58" s="727">
        <v>25.5</v>
      </c>
      <c r="C58" s="727">
        <v>2.25</v>
      </c>
      <c r="D58" s="728">
        <v>5.75</v>
      </c>
      <c r="E58" s="728">
        <v>3.25</v>
      </c>
      <c r="F58" s="728">
        <v>4.75</v>
      </c>
      <c r="G58" s="728">
        <v>22.5</v>
      </c>
      <c r="H58" s="744" t="s">
        <v>4</v>
      </c>
      <c r="J58" s="702">
        <f t="shared" si="3"/>
        <v>406.4</v>
      </c>
      <c r="K58" s="732">
        <f t="shared" si="3"/>
        <v>647.69999999999993</v>
      </c>
      <c r="L58" s="730">
        <f t="shared" si="3"/>
        <v>57.15</v>
      </c>
      <c r="M58" s="730">
        <f t="shared" si="3"/>
        <v>146.04999999999998</v>
      </c>
      <c r="N58" s="730">
        <f t="shared" si="3"/>
        <v>82.55</v>
      </c>
      <c r="O58" s="730">
        <f t="shared" si="3"/>
        <v>120.64999999999999</v>
      </c>
      <c r="P58" s="730">
        <f t="shared" si="3"/>
        <v>571.5</v>
      </c>
      <c r="Q58" s="744" t="s">
        <v>5</v>
      </c>
    </row>
    <row r="59" spans="1:17" x14ac:dyDescent="0.15">
      <c r="A59" s="704">
        <v>18</v>
      </c>
      <c r="B59" s="728">
        <v>28</v>
      </c>
      <c r="C59" s="727">
        <v>2.375</v>
      </c>
      <c r="D59" s="727">
        <v>6.25</v>
      </c>
      <c r="E59" s="728">
        <v>3.5</v>
      </c>
      <c r="F59" s="728">
        <v>5.125</v>
      </c>
      <c r="G59" s="728">
        <v>24.75</v>
      </c>
      <c r="H59" s="744" t="s">
        <v>12</v>
      </c>
      <c r="J59" s="702">
        <f t="shared" si="3"/>
        <v>457.2</v>
      </c>
      <c r="K59" s="732">
        <f t="shared" si="3"/>
        <v>711.19999999999993</v>
      </c>
      <c r="L59" s="730">
        <f t="shared" si="3"/>
        <v>60.324999999999996</v>
      </c>
      <c r="M59" s="730">
        <f t="shared" si="3"/>
        <v>158.75</v>
      </c>
      <c r="N59" s="730">
        <f t="shared" si="3"/>
        <v>88.899999999999991</v>
      </c>
      <c r="O59" s="730">
        <f t="shared" si="3"/>
        <v>130.17499999999998</v>
      </c>
      <c r="P59" s="730">
        <f t="shared" si="3"/>
        <v>628.65</v>
      </c>
      <c r="Q59" s="744" t="s">
        <v>13</v>
      </c>
    </row>
    <row r="60" spans="1:17" x14ac:dyDescent="0.15">
      <c r="A60" s="704">
        <v>20</v>
      </c>
      <c r="B60" s="727">
        <v>30.5</v>
      </c>
      <c r="C60" s="727">
        <v>2.5</v>
      </c>
      <c r="D60" s="727">
        <v>6.375</v>
      </c>
      <c r="E60" s="728">
        <v>3.75</v>
      </c>
      <c r="F60" s="728">
        <v>5.5</v>
      </c>
      <c r="G60" s="728">
        <v>27</v>
      </c>
      <c r="H60" s="744" t="s">
        <v>12</v>
      </c>
      <c r="J60" s="702">
        <f t="shared" si="3"/>
        <v>508</v>
      </c>
      <c r="K60" s="732">
        <f t="shared" si="3"/>
        <v>774.69999999999993</v>
      </c>
      <c r="L60" s="730">
        <f t="shared" si="3"/>
        <v>63.5</v>
      </c>
      <c r="M60" s="730">
        <f t="shared" si="3"/>
        <v>161.92499999999998</v>
      </c>
      <c r="N60" s="730">
        <f t="shared" si="3"/>
        <v>95.25</v>
      </c>
      <c r="O60" s="730">
        <f t="shared" si="3"/>
        <v>139.69999999999999</v>
      </c>
      <c r="P60" s="730">
        <f t="shared" si="3"/>
        <v>685.8</v>
      </c>
      <c r="Q60" s="744" t="s">
        <v>13</v>
      </c>
    </row>
    <row r="61" spans="1:17" ht="14" thickBot="1" x14ac:dyDescent="0.2">
      <c r="A61" s="713">
        <v>24</v>
      </c>
      <c r="B61" s="735">
        <v>36</v>
      </c>
      <c r="C61" s="734">
        <v>2.75</v>
      </c>
      <c r="D61" s="735">
        <v>6.625</v>
      </c>
      <c r="E61" s="735">
        <v>4.1875</v>
      </c>
      <c r="F61" s="735">
        <v>6</v>
      </c>
      <c r="G61" s="735">
        <v>32</v>
      </c>
      <c r="H61" s="745" t="s">
        <v>14</v>
      </c>
      <c r="J61" s="711">
        <f t="shared" si="3"/>
        <v>609.59999999999991</v>
      </c>
      <c r="K61" s="737">
        <f t="shared" si="3"/>
        <v>914.4</v>
      </c>
      <c r="L61" s="737">
        <f t="shared" si="3"/>
        <v>69.849999999999994</v>
      </c>
      <c r="M61" s="737">
        <f t="shared" si="3"/>
        <v>168.27499999999998</v>
      </c>
      <c r="N61" s="737">
        <f t="shared" si="3"/>
        <v>106.3625</v>
      </c>
      <c r="O61" s="737">
        <f t="shared" si="3"/>
        <v>152.39999999999998</v>
      </c>
      <c r="P61" s="737">
        <f t="shared" si="3"/>
        <v>812.8</v>
      </c>
      <c r="Q61" s="745" t="s">
        <v>15</v>
      </c>
    </row>
    <row r="62" spans="1:17" ht="14" thickTop="1" x14ac:dyDescent="0.15"/>
    <row r="63" spans="1:17" ht="14" thickBot="1" x14ac:dyDescent="0.2">
      <c r="A63" s="187" t="s">
        <v>89</v>
      </c>
      <c r="J63" s="187" t="s">
        <v>90</v>
      </c>
    </row>
    <row r="64" spans="1:17" ht="15" thickTop="1" thickBot="1" x14ac:dyDescent="0.2">
      <c r="A64" s="610"/>
      <c r="B64" s="718"/>
      <c r="C64" s="719"/>
      <c r="D64" s="750" t="s">
        <v>80</v>
      </c>
      <c r="E64" s="719"/>
      <c r="F64" s="719"/>
      <c r="G64" s="719"/>
      <c r="H64" s="720"/>
      <c r="J64" s="610"/>
      <c r="K64" s="718"/>
      <c r="L64" s="719"/>
      <c r="M64" s="750" t="s">
        <v>81</v>
      </c>
      <c r="N64" s="719"/>
      <c r="O64" s="719"/>
      <c r="P64" s="719"/>
      <c r="Q64" s="720"/>
    </row>
    <row r="65" spans="1:17" ht="18" thickTop="1" thickBot="1" x14ac:dyDescent="0.25">
      <c r="A65" s="498" t="s">
        <v>1818</v>
      </c>
      <c r="B65" s="610"/>
      <c r="C65" s="610"/>
      <c r="D65" s="721" t="s">
        <v>88</v>
      </c>
      <c r="E65" s="721"/>
      <c r="F65" s="719"/>
      <c r="G65" s="720"/>
      <c r="H65" s="690" t="s">
        <v>1871</v>
      </c>
      <c r="J65" s="498" t="s">
        <v>1818</v>
      </c>
      <c r="K65" s="610"/>
      <c r="L65" s="610"/>
      <c r="M65" s="721" t="s">
        <v>88</v>
      </c>
      <c r="N65" s="721"/>
      <c r="O65" s="719"/>
      <c r="P65" s="720"/>
      <c r="Q65" s="690" t="s">
        <v>1871</v>
      </c>
    </row>
    <row r="66" spans="1:17" ht="19" thickTop="1" x14ac:dyDescent="0.2">
      <c r="A66" s="498" t="s">
        <v>1507</v>
      </c>
      <c r="B66" s="612" t="s">
        <v>1872</v>
      </c>
      <c r="C66" s="612" t="s">
        <v>1730</v>
      </c>
      <c r="D66" s="690" t="s">
        <v>1873</v>
      </c>
      <c r="E66" s="690" t="s">
        <v>1874</v>
      </c>
      <c r="F66" s="690" t="s">
        <v>1875</v>
      </c>
      <c r="G66" s="690" t="s">
        <v>1052</v>
      </c>
      <c r="H66" s="501" t="s">
        <v>1876</v>
      </c>
      <c r="J66" s="498" t="s">
        <v>1507</v>
      </c>
      <c r="K66" s="612" t="s">
        <v>1872</v>
      </c>
      <c r="L66" s="612" t="s">
        <v>1730</v>
      </c>
      <c r="M66" s="690" t="s">
        <v>1873</v>
      </c>
      <c r="N66" s="690" t="s">
        <v>1874</v>
      </c>
      <c r="O66" s="690" t="s">
        <v>1875</v>
      </c>
      <c r="P66" s="690" t="s">
        <v>1052</v>
      </c>
      <c r="Q66" s="501" t="s">
        <v>1876</v>
      </c>
    </row>
    <row r="67" spans="1:17" ht="14" thickBot="1" x14ac:dyDescent="0.2">
      <c r="A67" s="505" t="s">
        <v>845</v>
      </c>
      <c r="B67" s="507" t="s">
        <v>1877</v>
      </c>
      <c r="C67" s="507" t="s">
        <v>1877</v>
      </c>
      <c r="D67" s="688" t="s">
        <v>1878</v>
      </c>
      <c r="E67" s="688" t="s">
        <v>1879</v>
      </c>
      <c r="F67" s="688" t="s">
        <v>1880</v>
      </c>
      <c r="G67" s="688" t="s">
        <v>1881</v>
      </c>
      <c r="H67" s="688" t="s">
        <v>1882</v>
      </c>
      <c r="J67" s="505" t="s">
        <v>845</v>
      </c>
      <c r="K67" s="505" t="s">
        <v>1754</v>
      </c>
      <c r="L67" s="505" t="s">
        <v>1754</v>
      </c>
      <c r="M67" s="688" t="s">
        <v>1878</v>
      </c>
      <c r="N67" s="688" t="s">
        <v>1879</v>
      </c>
      <c r="O67" s="688" t="s">
        <v>1880</v>
      </c>
      <c r="P67" s="688" t="s">
        <v>1881</v>
      </c>
      <c r="Q67" s="688" t="s">
        <v>1882</v>
      </c>
    </row>
    <row r="68" spans="1:17" ht="14" thickTop="1" x14ac:dyDescent="0.15">
      <c r="A68" s="691">
        <v>0.5</v>
      </c>
      <c r="B68" s="722">
        <v>3.75</v>
      </c>
      <c r="C68" s="723">
        <v>0.5625</v>
      </c>
      <c r="D68" s="723">
        <v>2.0625</v>
      </c>
      <c r="E68" s="723">
        <v>0.875</v>
      </c>
      <c r="F68" s="723">
        <v>0.875</v>
      </c>
      <c r="G68" s="723">
        <v>2.625</v>
      </c>
      <c r="H68" s="725" t="s">
        <v>1883</v>
      </c>
      <c r="J68" s="696">
        <f t="shared" ref="J68:P83" si="4">A68*25.4</f>
        <v>12.7</v>
      </c>
      <c r="K68" s="726">
        <f t="shared" si="4"/>
        <v>95.25</v>
      </c>
      <c r="L68" s="726">
        <f t="shared" si="4"/>
        <v>14.2875</v>
      </c>
      <c r="M68" s="726">
        <f t="shared" si="4"/>
        <v>52.387499999999996</v>
      </c>
      <c r="N68" s="726">
        <f t="shared" si="4"/>
        <v>22.224999999999998</v>
      </c>
      <c r="O68" s="726">
        <f t="shared" si="4"/>
        <v>22.224999999999998</v>
      </c>
      <c r="P68" s="726">
        <f t="shared" si="4"/>
        <v>66.674999999999997</v>
      </c>
      <c r="Q68" s="725" t="s">
        <v>1884</v>
      </c>
    </row>
    <row r="69" spans="1:17" x14ac:dyDescent="0.15">
      <c r="A69" s="698">
        <v>0.75</v>
      </c>
      <c r="B69" s="727">
        <v>4.625</v>
      </c>
      <c r="C69" s="727">
        <v>0.625</v>
      </c>
      <c r="D69" s="727">
        <v>2.25</v>
      </c>
      <c r="E69" s="727">
        <v>1</v>
      </c>
      <c r="F69" s="728">
        <v>1</v>
      </c>
      <c r="G69" s="728">
        <v>3.25</v>
      </c>
      <c r="H69" s="729" t="s">
        <v>6</v>
      </c>
      <c r="J69" s="702">
        <f t="shared" si="4"/>
        <v>19.049999999999997</v>
      </c>
      <c r="K69" s="730">
        <f t="shared" si="4"/>
        <v>117.47499999999999</v>
      </c>
      <c r="L69" s="730">
        <f t="shared" si="4"/>
        <v>15.875</v>
      </c>
      <c r="M69" s="730">
        <f t="shared" si="4"/>
        <v>57.15</v>
      </c>
      <c r="N69" s="730">
        <f t="shared" si="4"/>
        <v>25.4</v>
      </c>
      <c r="O69" s="730">
        <f t="shared" si="4"/>
        <v>25.4</v>
      </c>
      <c r="P69" s="730">
        <f t="shared" si="4"/>
        <v>82.55</v>
      </c>
      <c r="Q69" s="729" t="s">
        <v>7</v>
      </c>
    </row>
    <row r="70" spans="1:17" x14ac:dyDescent="0.15">
      <c r="A70" s="704">
        <v>1</v>
      </c>
      <c r="B70" s="727">
        <v>4.875</v>
      </c>
      <c r="C70" s="727">
        <v>0.6875</v>
      </c>
      <c r="D70" s="727">
        <v>2.4375</v>
      </c>
      <c r="E70" s="728">
        <v>1.0625</v>
      </c>
      <c r="F70" s="728">
        <v>1.0625</v>
      </c>
      <c r="G70" s="728">
        <v>3.5</v>
      </c>
      <c r="H70" s="729" t="s">
        <v>6</v>
      </c>
      <c r="J70" s="702">
        <f t="shared" si="4"/>
        <v>25.4</v>
      </c>
      <c r="K70" s="730">
        <f t="shared" si="4"/>
        <v>123.82499999999999</v>
      </c>
      <c r="L70" s="730">
        <f t="shared" si="4"/>
        <v>17.462499999999999</v>
      </c>
      <c r="M70" s="730">
        <f t="shared" si="4"/>
        <v>61.912499999999994</v>
      </c>
      <c r="N70" s="730">
        <f t="shared" si="4"/>
        <v>26.987499999999997</v>
      </c>
      <c r="O70" s="730">
        <f t="shared" si="4"/>
        <v>26.987499999999997</v>
      </c>
      <c r="P70" s="730">
        <f t="shared" si="4"/>
        <v>88.899999999999991</v>
      </c>
      <c r="Q70" s="729" t="s">
        <v>7</v>
      </c>
    </row>
    <row r="71" spans="1:17" x14ac:dyDescent="0.15">
      <c r="A71" s="705">
        <v>1.25</v>
      </c>
      <c r="B71" s="727">
        <v>5.25</v>
      </c>
      <c r="C71" s="727">
        <v>0.8125</v>
      </c>
      <c r="D71" s="727">
        <v>2.625</v>
      </c>
      <c r="E71" s="728">
        <v>1.125</v>
      </c>
      <c r="F71" s="728">
        <v>1.125</v>
      </c>
      <c r="G71" s="728">
        <v>3.875</v>
      </c>
      <c r="H71" s="729" t="s">
        <v>6</v>
      </c>
      <c r="J71" s="702">
        <f t="shared" si="4"/>
        <v>31.75</v>
      </c>
      <c r="K71" s="732">
        <f t="shared" si="4"/>
        <v>133.35</v>
      </c>
      <c r="L71" s="730">
        <f t="shared" si="4"/>
        <v>20.637499999999999</v>
      </c>
      <c r="M71" s="730">
        <f t="shared" si="4"/>
        <v>66.674999999999997</v>
      </c>
      <c r="N71" s="730">
        <f t="shared" si="4"/>
        <v>28.574999999999999</v>
      </c>
      <c r="O71" s="730">
        <f t="shared" si="4"/>
        <v>28.574999999999999</v>
      </c>
      <c r="P71" s="730">
        <f t="shared" si="4"/>
        <v>98.424999999999997</v>
      </c>
      <c r="Q71" s="729" t="s">
        <v>7</v>
      </c>
    </row>
    <row r="72" spans="1:17" ht="14" thickBot="1" x14ac:dyDescent="0.2">
      <c r="A72" s="706">
        <v>1.5</v>
      </c>
      <c r="B72" s="735">
        <v>6.125</v>
      </c>
      <c r="C72" s="734">
        <v>0.875</v>
      </c>
      <c r="D72" s="734">
        <v>2.75</v>
      </c>
      <c r="E72" s="735">
        <v>1.25</v>
      </c>
      <c r="F72" s="735">
        <v>1.25</v>
      </c>
      <c r="G72" s="735">
        <v>4.5</v>
      </c>
      <c r="H72" s="736" t="s">
        <v>8</v>
      </c>
      <c r="J72" s="711">
        <f t="shared" si="4"/>
        <v>38.099999999999994</v>
      </c>
      <c r="K72" s="737">
        <f t="shared" si="4"/>
        <v>155.57499999999999</v>
      </c>
      <c r="L72" s="737">
        <f t="shared" si="4"/>
        <v>22.224999999999998</v>
      </c>
      <c r="M72" s="737">
        <f t="shared" si="4"/>
        <v>69.849999999999994</v>
      </c>
      <c r="N72" s="737">
        <f t="shared" si="4"/>
        <v>31.75</v>
      </c>
      <c r="O72" s="737">
        <f t="shared" si="4"/>
        <v>31.75</v>
      </c>
      <c r="P72" s="737">
        <f t="shared" si="4"/>
        <v>114.3</v>
      </c>
      <c r="Q72" s="736" t="s">
        <v>9</v>
      </c>
    </row>
    <row r="73" spans="1:17" ht="14" thickTop="1" x14ac:dyDescent="0.15">
      <c r="A73" s="712">
        <v>2</v>
      </c>
      <c r="B73" s="741">
        <v>6.5</v>
      </c>
      <c r="C73" s="739">
        <v>1</v>
      </c>
      <c r="D73" s="739">
        <v>2.875</v>
      </c>
      <c r="E73" s="741">
        <v>1.4375</v>
      </c>
      <c r="F73" s="741">
        <v>1.4375</v>
      </c>
      <c r="G73" s="741">
        <v>5</v>
      </c>
      <c r="H73" s="742" t="s">
        <v>1887</v>
      </c>
      <c r="J73" s="696">
        <f t="shared" si="4"/>
        <v>50.8</v>
      </c>
      <c r="K73" s="726">
        <f t="shared" si="4"/>
        <v>165.1</v>
      </c>
      <c r="L73" s="726">
        <f t="shared" si="4"/>
        <v>25.4</v>
      </c>
      <c r="M73" s="726">
        <f t="shared" si="4"/>
        <v>73.024999999999991</v>
      </c>
      <c r="N73" s="726">
        <f t="shared" si="4"/>
        <v>36.512499999999996</v>
      </c>
      <c r="O73" s="726">
        <f t="shared" si="4"/>
        <v>36.512499999999996</v>
      </c>
      <c r="P73" s="726">
        <f t="shared" si="4"/>
        <v>127</v>
      </c>
      <c r="Q73" s="742" t="s">
        <v>1888</v>
      </c>
    </row>
    <row r="74" spans="1:17" x14ac:dyDescent="0.15">
      <c r="A74" s="705">
        <v>2.5</v>
      </c>
      <c r="B74" s="728">
        <v>7.5</v>
      </c>
      <c r="C74" s="727">
        <v>1.125</v>
      </c>
      <c r="D74" s="727">
        <v>3.125</v>
      </c>
      <c r="E74" s="728">
        <v>1.625</v>
      </c>
      <c r="F74" s="728">
        <v>1.625</v>
      </c>
      <c r="G74" s="728">
        <v>5.875</v>
      </c>
      <c r="H74" s="742" t="s">
        <v>1889</v>
      </c>
      <c r="J74" s="702">
        <f t="shared" si="4"/>
        <v>63.5</v>
      </c>
      <c r="K74" s="730">
        <f>B74*25.4</f>
        <v>190.5</v>
      </c>
      <c r="L74" s="730">
        <f t="shared" si="4"/>
        <v>28.574999999999999</v>
      </c>
      <c r="M74" s="730">
        <f t="shared" si="4"/>
        <v>79.375</v>
      </c>
      <c r="N74" s="730">
        <f t="shared" si="4"/>
        <v>41.274999999999999</v>
      </c>
      <c r="O74" s="730">
        <f t="shared" si="4"/>
        <v>41.274999999999999</v>
      </c>
      <c r="P74" s="730">
        <f t="shared" si="4"/>
        <v>149.22499999999999</v>
      </c>
      <c r="Q74" s="742" t="s">
        <v>1890</v>
      </c>
    </row>
    <row r="75" spans="1:17" x14ac:dyDescent="0.15">
      <c r="A75" s="704">
        <v>3</v>
      </c>
      <c r="B75" s="727">
        <v>8.25</v>
      </c>
      <c r="C75" s="727">
        <v>1.25</v>
      </c>
      <c r="D75" s="727">
        <v>3.25</v>
      </c>
      <c r="E75" s="728">
        <v>1.8125</v>
      </c>
      <c r="F75" s="728">
        <v>1.8125</v>
      </c>
      <c r="G75" s="728">
        <v>6.625</v>
      </c>
      <c r="H75" s="742" t="s">
        <v>1889</v>
      </c>
      <c r="J75" s="702">
        <f t="shared" si="4"/>
        <v>76.199999999999989</v>
      </c>
      <c r="K75" s="730">
        <f>B75*25.4</f>
        <v>209.54999999999998</v>
      </c>
      <c r="L75" s="730">
        <f t="shared" si="4"/>
        <v>31.75</v>
      </c>
      <c r="M75" s="730">
        <f t="shared" si="4"/>
        <v>82.55</v>
      </c>
      <c r="N75" s="730">
        <f t="shared" si="4"/>
        <v>46.037499999999994</v>
      </c>
      <c r="O75" s="730">
        <f t="shared" si="4"/>
        <v>46.037499999999994</v>
      </c>
      <c r="P75" s="730">
        <f t="shared" si="4"/>
        <v>168.27499999999998</v>
      </c>
      <c r="Q75" s="742" t="s">
        <v>1890</v>
      </c>
    </row>
    <row r="76" spans="1:17" x14ac:dyDescent="0.15">
      <c r="A76" s="705">
        <v>3.5</v>
      </c>
      <c r="B76" s="727">
        <v>9</v>
      </c>
      <c r="C76" s="727">
        <v>1.375</v>
      </c>
      <c r="D76" s="727">
        <v>3.625</v>
      </c>
      <c r="E76" s="728">
        <v>1.9375</v>
      </c>
      <c r="F76" s="728">
        <v>1.9375</v>
      </c>
      <c r="G76" s="728">
        <v>7.25</v>
      </c>
      <c r="H76" s="742" t="s">
        <v>16</v>
      </c>
      <c r="J76" s="702">
        <f t="shared" si="4"/>
        <v>88.899999999999991</v>
      </c>
      <c r="K76" s="732">
        <f>B76*25.4</f>
        <v>228.6</v>
      </c>
      <c r="L76" s="730">
        <f t="shared" si="4"/>
        <v>34.924999999999997</v>
      </c>
      <c r="M76" s="730">
        <f t="shared" si="4"/>
        <v>92.074999999999989</v>
      </c>
      <c r="N76" s="730">
        <f t="shared" si="4"/>
        <v>49.212499999999999</v>
      </c>
      <c r="O76" s="730">
        <f t="shared" si="4"/>
        <v>49.212499999999999</v>
      </c>
      <c r="P76" s="730">
        <f t="shared" si="4"/>
        <v>184.14999999999998</v>
      </c>
      <c r="Q76" s="742" t="s">
        <v>17</v>
      </c>
    </row>
    <row r="77" spans="1:17" ht="14" thickBot="1" x14ac:dyDescent="0.2">
      <c r="A77" s="713">
        <v>4</v>
      </c>
      <c r="B77" s="735">
        <v>10</v>
      </c>
      <c r="C77" s="734">
        <v>1.375</v>
      </c>
      <c r="D77" s="735">
        <v>3.5</v>
      </c>
      <c r="E77" s="735">
        <v>2</v>
      </c>
      <c r="F77" s="735">
        <v>2</v>
      </c>
      <c r="G77" s="735">
        <v>7.875</v>
      </c>
      <c r="H77" s="745" t="s">
        <v>16</v>
      </c>
      <c r="J77" s="711">
        <f t="shared" si="4"/>
        <v>101.6</v>
      </c>
      <c r="K77" s="737">
        <f t="shared" si="4"/>
        <v>254</v>
      </c>
      <c r="L77" s="737">
        <f t="shared" si="4"/>
        <v>34.924999999999997</v>
      </c>
      <c r="M77" s="737">
        <f t="shared" si="4"/>
        <v>88.899999999999991</v>
      </c>
      <c r="N77" s="737">
        <f t="shared" si="4"/>
        <v>50.8</v>
      </c>
      <c r="O77" s="737">
        <f t="shared" si="4"/>
        <v>50.8</v>
      </c>
      <c r="P77" s="737">
        <f t="shared" si="4"/>
        <v>200.02499999999998</v>
      </c>
      <c r="Q77" s="745" t="s">
        <v>17</v>
      </c>
    </row>
    <row r="78" spans="1:17" ht="14" thickTop="1" x14ac:dyDescent="0.15">
      <c r="A78" s="712">
        <v>5</v>
      </c>
      <c r="B78" s="741">
        <v>11</v>
      </c>
      <c r="C78" s="739">
        <v>1.5</v>
      </c>
      <c r="D78" s="739">
        <v>4</v>
      </c>
      <c r="E78" s="741">
        <v>2.125</v>
      </c>
      <c r="F78" s="741">
        <v>2.125</v>
      </c>
      <c r="G78" s="741">
        <v>9.25</v>
      </c>
      <c r="H78" s="742" t="s">
        <v>16</v>
      </c>
      <c r="J78" s="696">
        <f>A78*25.4</f>
        <v>127</v>
      </c>
      <c r="K78" s="726">
        <f>B78*25.4</f>
        <v>279.39999999999998</v>
      </c>
      <c r="L78" s="726">
        <f t="shared" si="4"/>
        <v>38.099999999999994</v>
      </c>
      <c r="M78" s="726">
        <f t="shared" si="4"/>
        <v>101.6</v>
      </c>
      <c r="N78" s="726">
        <f t="shared" si="4"/>
        <v>53.974999999999994</v>
      </c>
      <c r="O78" s="726">
        <f t="shared" si="4"/>
        <v>53.974999999999994</v>
      </c>
      <c r="P78" s="726">
        <f t="shared" si="4"/>
        <v>234.95</v>
      </c>
      <c r="Q78" s="742" t="s">
        <v>17</v>
      </c>
    </row>
    <row r="79" spans="1:17" x14ac:dyDescent="0.15">
      <c r="A79" s="704">
        <v>6</v>
      </c>
      <c r="B79" s="728">
        <v>12.5</v>
      </c>
      <c r="C79" s="728">
        <v>1.625</v>
      </c>
      <c r="D79" s="727">
        <v>4.0625</v>
      </c>
      <c r="E79" s="728">
        <v>2.25</v>
      </c>
      <c r="F79" s="728">
        <v>2.25</v>
      </c>
      <c r="G79" s="728">
        <v>10.625</v>
      </c>
      <c r="H79" s="744" t="s">
        <v>1891</v>
      </c>
      <c r="J79" s="702">
        <f t="shared" ref="J79:P87" si="5">A79*25.4</f>
        <v>152.39999999999998</v>
      </c>
      <c r="K79" s="732">
        <f t="shared" si="5"/>
        <v>317.5</v>
      </c>
      <c r="L79" s="730">
        <f t="shared" si="4"/>
        <v>41.274999999999999</v>
      </c>
      <c r="M79" s="730">
        <f t="shared" si="4"/>
        <v>103.1875</v>
      </c>
      <c r="N79" s="730">
        <f t="shared" si="4"/>
        <v>57.15</v>
      </c>
      <c r="O79" s="730">
        <f t="shared" si="4"/>
        <v>57.15</v>
      </c>
      <c r="P79" s="730">
        <f t="shared" si="4"/>
        <v>269.875</v>
      </c>
      <c r="Q79" s="744" t="s">
        <v>1892</v>
      </c>
    </row>
    <row r="80" spans="1:17" x14ac:dyDescent="0.15">
      <c r="A80" s="704">
        <v>8</v>
      </c>
      <c r="B80" s="727">
        <v>15</v>
      </c>
      <c r="C80" s="727">
        <v>1.875</v>
      </c>
      <c r="D80" s="728">
        <v>4.625</v>
      </c>
      <c r="E80" s="728">
        <v>2.6875</v>
      </c>
      <c r="F80" s="728">
        <v>2.6875</v>
      </c>
      <c r="G80" s="728">
        <v>13</v>
      </c>
      <c r="H80" s="746" t="s">
        <v>1893</v>
      </c>
      <c r="J80" s="702">
        <f t="shared" si="5"/>
        <v>203.2</v>
      </c>
      <c r="K80" s="732">
        <f t="shared" si="5"/>
        <v>381</v>
      </c>
      <c r="L80" s="730">
        <f t="shared" si="4"/>
        <v>47.625</v>
      </c>
      <c r="M80" s="730">
        <f t="shared" si="4"/>
        <v>117.47499999999999</v>
      </c>
      <c r="N80" s="730">
        <f t="shared" si="4"/>
        <v>68.262500000000003</v>
      </c>
      <c r="O80" s="730">
        <f t="shared" si="4"/>
        <v>68.262500000000003</v>
      </c>
      <c r="P80" s="730">
        <f t="shared" si="4"/>
        <v>330.2</v>
      </c>
      <c r="Q80" s="746" t="s">
        <v>1894</v>
      </c>
    </row>
    <row r="81" spans="1:17" x14ac:dyDescent="0.15">
      <c r="A81" s="704">
        <v>10</v>
      </c>
      <c r="B81" s="728">
        <v>17.5</v>
      </c>
      <c r="C81" s="727">
        <v>2.125</v>
      </c>
      <c r="D81" s="728">
        <v>4.875</v>
      </c>
      <c r="E81" s="728">
        <v>2.875</v>
      </c>
      <c r="F81" s="728">
        <v>4</v>
      </c>
      <c r="G81" s="728">
        <v>15.25</v>
      </c>
      <c r="H81" s="746" t="s">
        <v>0</v>
      </c>
      <c r="J81" s="702">
        <f t="shared" si="5"/>
        <v>254</v>
      </c>
      <c r="K81" s="732">
        <f t="shared" si="5"/>
        <v>444.5</v>
      </c>
      <c r="L81" s="730">
        <f t="shared" si="4"/>
        <v>53.974999999999994</v>
      </c>
      <c r="M81" s="730">
        <f t="shared" si="4"/>
        <v>123.82499999999999</v>
      </c>
      <c r="N81" s="730">
        <f t="shared" si="4"/>
        <v>73.024999999999991</v>
      </c>
      <c r="O81" s="730">
        <f t="shared" si="4"/>
        <v>101.6</v>
      </c>
      <c r="P81" s="730">
        <f t="shared" si="4"/>
        <v>387.34999999999997</v>
      </c>
      <c r="Q81" s="746" t="s">
        <v>1</v>
      </c>
    </row>
    <row r="82" spans="1:17" ht="14" thickBot="1" x14ac:dyDescent="0.2">
      <c r="A82" s="713">
        <v>12</v>
      </c>
      <c r="B82" s="735">
        <v>20.5</v>
      </c>
      <c r="C82" s="734">
        <v>2.25</v>
      </c>
      <c r="D82" s="734">
        <v>5.375</v>
      </c>
      <c r="E82" s="735">
        <v>3.125</v>
      </c>
      <c r="F82" s="735">
        <v>4.25</v>
      </c>
      <c r="G82" s="735">
        <v>17.75</v>
      </c>
      <c r="H82" s="745" t="s">
        <v>18</v>
      </c>
      <c r="J82" s="711">
        <f t="shared" si="5"/>
        <v>304.79999999999995</v>
      </c>
      <c r="K82" s="737">
        <f t="shared" si="5"/>
        <v>520.69999999999993</v>
      </c>
      <c r="L82" s="737">
        <f t="shared" si="4"/>
        <v>57.15</v>
      </c>
      <c r="M82" s="737">
        <f t="shared" si="4"/>
        <v>136.52500000000001</v>
      </c>
      <c r="N82" s="737">
        <f t="shared" si="4"/>
        <v>79.375</v>
      </c>
      <c r="O82" s="737">
        <f t="shared" si="4"/>
        <v>107.94999999999999</v>
      </c>
      <c r="P82" s="737">
        <f t="shared" si="4"/>
        <v>450.84999999999997</v>
      </c>
      <c r="Q82" s="745" t="s">
        <v>19</v>
      </c>
    </row>
    <row r="83" spans="1:17" ht="14" thickTop="1" x14ac:dyDescent="0.15">
      <c r="A83" s="712">
        <v>14</v>
      </c>
      <c r="B83" s="741">
        <v>23</v>
      </c>
      <c r="C83" s="739">
        <v>2.375</v>
      </c>
      <c r="D83" s="741">
        <v>5.875</v>
      </c>
      <c r="E83" s="741">
        <v>3.3125</v>
      </c>
      <c r="F83" s="741">
        <v>4.625</v>
      </c>
      <c r="G83" s="741">
        <v>20.25</v>
      </c>
      <c r="H83" s="742" t="s">
        <v>4</v>
      </c>
      <c r="J83" s="696">
        <f t="shared" si="5"/>
        <v>355.59999999999997</v>
      </c>
      <c r="K83" s="726">
        <f t="shared" si="5"/>
        <v>584.19999999999993</v>
      </c>
      <c r="L83" s="726">
        <f t="shared" si="4"/>
        <v>60.324999999999996</v>
      </c>
      <c r="M83" s="726">
        <f t="shared" si="4"/>
        <v>149.22499999999999</v>
      </c>
      <c r="N83" s="726">
        <f t="shared" si="4"/>
        <v>84.137499999999989</v>
      </c>
      <c r="O83" s="726">
        <f t="shared" si="4"/>
        <v>117.47499999999999</v>
      </c>
      <c r="P83" s="726">
        <f t="shared" si="4"/>
        <v>514.35</v>
      </c>
      <c r="Q83" s="742" t="s">
        <v>5</v>
      </c>
    </row>
    <row r="84" spans="1:17" x14ac:dyDescent="0.15">
      <c r="A84" s="704">
        <v>16</v>
      </c>
      <c r="B84" s="727">
        <v>25.5</v>
      </c>
      <c r="C84" s="727">
        <v>2.5</v>
      </c>
      <c r="D84" s="728">
        <v>6</v>
      </c>
      <c r="E84" s="728">
        <v>3.6875</v>
      </c>
      <c r="F84" s="728">
        <v>5</v>
      </c>
      <c r="G84" s="728">
        <v>22.5</v>
      </c>
      <c r="H84" s="744" t="s">
        <v>20</v>
      </c>
      <c r="J84" s="702">
        <f t="shared" si="5"/>
        <v>406.4</v>
      </c>
      <c r="K84" s="732">
        <f t="shared" si="5"/>
        <v>647.69999999999993</v>
      </c>
      <c r="L84" s="730">
        <f t="shared" si="5"/>
        <v>63.5</v>
      </c>
      <c r="M84" s="730">
        <f t="shared" si="5"/>
        <v>152.39999999999998</v>
      </c>
      <c r="N84" s="730">
        <f t="shared" si="5"/>
        <v>93.662499999999994</v>
      </c>
      <c r="O84" s="730">
        <f t="shared" si="5"/>
        <v>127</v>
      </c>
      <c r="P84" s="730">
        <f t="shared" si="5"/>
        <v>571.5</v>
      </c>
      <c r="Q84" s="744" t="s">
        <v>21</v>
      </c>
    </row>
    <row r="85" spans="1:17" x14ac:dyDescent="0.15">
      <c r="A85" s="704">
        <v>18</v>
      </c>
      <c r="B85" s="728">
        <v>28</v>
      </c>
      <c r="C85" s="727">
        <v>2.625</v>
      </c>
      <c r="D85" s="727">
        <v>6.5</v>
      </c>
      <c r="E85" s="728">
        <v>3.875</v>
      </c>
      <c r="F85" s="728">
        <v>5.375</v>
      </c>
      <c r="G85" s="728">
        <v>24.75</v>
      </c>
      <c r="H85" s="744" t="s">
        <v>22</v>
      </c>
      <c r="J85" s="702">
        <f t="shared" si="5"/>
        <v>457.2</v>
      </c>
      <c r="K85" s="732">
        <f t="shared" si="5"/>
        <v>711.19999999999993</v>
      </c>
      <c r="L85" s="730">
        <f t="shared" si="5"/>
        <v>66.674999999999997</v>
      </c>
      <c r="M85" s="730">
        <f t="shared" si="5"/>
        <v>165.1</v>
      </c>
      <c r="N85" s="730">
        <f t="shared" si="5"/>
        <v>98.424999999999997</v>
      </c>
      <c r="O85" s="730">
        <f t="shared" si="5"/>
        <v>136.52500000000001</v>
      </c>
      <c r="P85" s="730">
        <f t="shared" si="5"/>
        <v>628.65</v>
      </c>
      <c r="Q85" s="744" t="s">
        <v>23</v>
      </c>
    </row>
    <row r="86" spans="1:17" x14ac:dyDescent="0.15">
      <c r="A86" s="704">
        <v>20</v>
      </c>
      <c r="B86" s="727">
        <v>30.5</v>
      </c>
      <c r="C86" s="727">
        <v>2.75</v>
      </c>
      <c r="D86" s="727">
        <v>6.625</v>
      </c>
      <c r="E86" s="728">
        <v>4</v>
      </c>
      <c r="F86" s="728">
        <v>5.75</v>
      </c>
      <c r="G86" s="728">
        <v>27</v>
      </c>
      <c r="H86" s="744" t="s">
        <v>14</v>
      </c>
      <c r="J86" s="702">
        <f t="shared" si="5"/>
        <v>508</v>
      </c>
      <c r="K86" s="732">
        <f t="shared" si="5"/>
        <v>774.69999999999993</v>
      </c>
      <c r="L86" s="730">
        <f t="shared" si="5"/>
        <v>69.849999999999994</v>
      </c>
      <c r="M86" s="730">
        <f t="shared" si="5"/>
        <v>168.27499999999998</v>
      </c>
      <c r="N86" s="730">
        <f t="shared" si="5"/>
        <v>101.6</v>
      </c>
      <c r="O86" s="730">
        <f t="shared" si="5"/>
        <v>146.04999999999998</v>
      </c>
      <c r="P86" s="730">
        <f t="shared" si="5"/>
        <v>685.8</v>
      </c>
      <c r="Q86" s="744" t="s">
        <v>15</v>
      </c>
    </row>
    <row r="87" spans="1:17" ht="14" thickBot="1" x14ac:dyDescent="0.2">
      <c r="A87" s="713">
        <v>24</v>
      </c>
      <c r="B87" s="735">
        <v>36</v>
      </c>
      <c r="C87" s="734">
        <v>3</v>
      </c>
      <c r="D87" s="735">
        <v>6.875</v>
      </c>
      <c r="E87" s="735">
        <v>4.5</v>
      </c>
      <c r="F87" s="735">
        <v>6.25</v>
      </c>
      <c r="G87" s="735">
        <v>32</v>
      </c>
      <c r="H87" s="745" t="s">
        <v>24</v>
      </c>
      <c r="J87" s="711">
        <f t="shared" si="5"/>
        <v>609.59999999999991</v>
      </c>
      <c r="K87" s="737">
        <f t="shared" si="5"/>
        <v>914.4</v>
      </c>
      <c r="L87" s="737">
        <f t="shared" si="5"/>
        <v>76.199999999999989</v>
      </c>
      <c r="M87" s="737">
        <f t="shared" si="5"/>
        <v>174.625</v>
      </c>
      <c r="N87" s="737">
        <f t="shared" si="5"/>
        <v>114.3</v>
      </c>
      <c r="O87" s="737">
        <f t="shared" si="5"/>
        <v>158.75</v>
      </c>
      <c r="P87" s="737">
        <f t="shared" si="5"/>
        <v>812.8</v>
      </c>
      <c r="Q87" s="745" t="s">
        <v>25</v>
      </c>
    </row>
    <row r="88" spans="1:17" ht="14" thickTop="1" x14ac:dyDescent="0.15"/>
    <row r="89" spans="1:17" ht="14" thickBot="1" x14ac:dyDescent="0.2">
      <c r="A89" s="187" t="s">
        <v>89</v>
      </c>
      <c r="J89" s="187" t="s">
        <v>90</v>
      </c>
    </row>
    <row r="90" spans="1:17" ht="15" thickTop="1" thickBot="1" x14ac:dyDescent="0.2">
      <c r="A90" s="610"/>
      <c r="B90" s="718"/>
      <c r="C90" s="719"/>
      <c r="D90" s="750" t="s">
        <v>82</v>
      </c>
      <c r="E90" s="719"/>
      <c r="F90" s="719"/>
      <c r="G90" s="719"/>
      <c r="H90" s="720"/>
      <c r="J90" s="610"/>
      <c r="K90" s="718"/>
      <c r="L90" s="719"/>
      <c r="M90" s="750" t="s">
        <v>83</v>
      </c>
      <c r="N90" s="719"/>
      <c r="O90" s="719"/>
      <c r="P90" s="719"/>
      <c r="Q90" s="720"/>
    </row>
    <row r="91" spans="1:17" ht="18" thickTop="1" thickBot="1" x14ac:dyDescent="0.25">
      <c r="A91" s="498" t="s">
        <v>1818</v>
      </c>
      <c r="B91" s="610"/>
      <c r="C91" s="610"/>
      <c r="D91" s="721" t="s">
        <v>88</v>
      </c>
      <c r="E91" s="721"/>
      <c r="F91" s="719"/>
      <c r="G91" s="720"/>
      <c r="H91" s="690" t="s">
        <v>1871</v>
      </c>
      <c r="J91" s="498" t="s">
        <v>1818</v>
      </c>
      <c r="K91" s="610"/>
      <c r="L91" s="610"/>
      <c r="M91" s="721" t="s">
        <v>88</v>
      </c>
      <c r="N91" s="721"/>
      <c r="O91" s="719"/>
      <c r="P91" s="720"/>
      <c r="Q91" s="690" t="s">
        <v>1871</v>
      </c>
    </row>
    <row r="92" spans="1:17" ht="19" thickTop="1" x14ac:dyDescent="0.2">
      <c r="A92" s="498" t="s">
        <v>1507</v>
      </c>
      <c r="B92" s="612" t="s">
        <v>1872</v>
      </c>
      <c r="C92" s="612" t="s">
        <v>1730</v>
      </c>
      <c r="D92" s="690" t="s">
        <v>1873</v>
      </c>
      <c r="E92" s="690" t="s">
        <v>1874</v>
      </c>
      <c r="F92" s="690" t="s">
        <v>1875</v>
      </c>
      <c r="G92" s="690" t="s">
        <v>1052</v>
      </c>
      <c r="H92" s="501" t="s">
        <v>1876</v>
      </c>
      <c r="J92" s="498" t="s">
        <v>1507</v>
      </c>
      <c r="K92" s="612" t="s">
        <v>1872</v>
      </c>
      <c r="L92" s="612" t="s">
        <v>1730</v>
      </c>
      <c r="M92" s="690" t="s">
        <v>1873</v>
      </c>
      <c r="N92" s="690" t="s">
        <v>1874</v>
      </c>
      <c r="O92" s="690" t="s">
        <v>1875</v>
      </c>
      <c r="P92" s="690" t="s">
        <v>1052</v>
      </c>
      <c r="Q92" s="501" t="s">
        <v>1876</v>
      </c>
    </row>
    <row r="93" spans="1:17" ht="14" thickBot="1" x14ac:dyDescent="0.2">
      <c r="A93" s="505" t="s">
        <v>845</v>
      </c>
      <c r="B93" s="507" t="s">
        <v>1877</v>
      </c>
      <c r="C93" s="507" t="s">
        <v>1877</v>
      </c>
      <c r="D93" s="688" t="s">
        <v>1878</v>
      </c>
      <c r="E93" s="688" t="s">
        <v>1879</v>
      </c>
      <c r="F93" s="688" t="s">
        <v>1880</v>
      </c>
      <c r="G93" s="688" t="s">
        <v>1881</v>
      </c>
      <c r="H93" s="688" t="s">
        <v>1882</v>
      </c>
      <c r="J93" s="505" t="s">
        <v>845</v>
      </c>
      <c r="K93" s="505" t="s">
        <v>1754</v>
      </c>
      <c r="L93" s="505" t="s">
        <v>1754</v>
      </c>
      <c r="M93" s="688" t="s">
        <v>1878</v>
      </c>
      <c r="N93" s="688" t="s">
        <v>1879</v>
      </c>
      <c r="O93" s="688" t="s">
        <v>1880</v>
      </c>
      <c r="P93" s="688" t="s">
        <v>1881</v>
      </c>
      <c r="Q93" s="688" t="s">
        <v>1882</v>
      </c>
    </row>
    <row r="94" spans="1:17" ht="14" thickTop="1" x14ac:dyDescent="0.15">
      <c r="A94" s="691">
        <v>0.5</v>
      </c>
      <c r="B94" s="722">
        <v>3.75</v>
      </c>
      <c r="C94" s="723">
        <v>0.5625</v>
      </c>
      <c r="D94" s="723">
        <v>2.0625</v>
      </c>
      <c r="E94" s="723">
        <v>0.875</v>
      </c>
      <c r="F94" s="723">
        <v>0.875</v>
      </c>
      <c r="G94" s="723">
        <v>2.625</v>
      </c>
      <c r="H94" s="725" t="s">
        <v>1883</v>
      </c>
      <c r="J94" s="696">
        <f t="shared" ref="J94:P109" si="6">A94*25.4</f>
        <v>12.7</v>
      </c>
      <c r="K94" s="726">
        <f t="shared" si="6"/>
        <v>95.25</v>
      </c>
      <c r="L94" s="726">
        <f t="shared" si="6"/>
        <v>14.2875</v>
      </c>
      <c r="M94" s="726">
        <f t="shared" si="6"/>
        <v>52.387499999999996</v>
      </c>
      <c r="N94" s="726">
        <f t="shared" si="6"/>
        <v>22.224999999999998</v>
      </c>
      <c r="O94" s="726">
        <f t="shared" si="6"/>
        <v>22.224999999999998</v>
      </c>
      <c r="P94" s="726">
        <f t="shared" si="6"/>
        <v>66.674999999999997</v>
      </c>
      <c r="Q94" s="725" t="s">
        <v>1884</v>
      </c>
    </row>
    <row r="95" spans="1:17" x14ac:dyDescent="0.15">
      <c r="A95" s="698">
        <v>0.75</v>
      </c>
      <c r="B95" s="727">
        <v>4.625</v>
      </c>
      <c r="C95" s="727">
        <v>0.625</v>
      </c>
      <c r="D95" s="727">
        <v>2.25</v>
      </c>
      <c r="E95" s="727">
        <v>1</v>
      </c>
      <c r="F95" s="728">
        <v>1</v>
      </c>
      <c r="G95" s="728">
        <v>6.25</v>
      </c>
      <c r="H95" s="729" t="s">
        <v>6</v>
      </c>
      <c r="J95" s="702">
        <f t="shared" si="6"/>
        <v>19.049999999999997</v>
      </c>
      <c r="K95" s="730">
        <f t="shared" si="6"/>
        <v>117.47499999999999</v>
      </c>
      <c r="L95" s="730">
        <f t="shared" si="6"/>
        <v>15.875</v>
      </c>
      <c r="M95" s="730">
        <f t="shared" si="6"/>
        <v>57.15</v>
      </c>
      <c r="N95" s="730">
        <f t="shared" si="6"/>
        <v>25.4</v>
      </c>
      <c r="O95" s="730">
        <f t="shared" si="6"/>
        <v>25.4</v>
      </c>
      <c r="P95" s="730">
        <f t="shared" si="6"/>
        <v>158.75</v>
      </c>
      <c r="Q95" s="729" t="s">
        <v>7</v>
      </c>
    </row>
    <row r="96" spans="1:17" x14ac:dyDescent="0.15">
      <c r="A96" s="704">
        <v>1</v>
      </c>
      <c r="B96" s="727">
        <v>4.875</v>
      </c>
      <c r="C96" s="727">
        <v>0.6875</v>
      </c>
      <c r="D96" s="727">
        <v>2.4375</v>
      </c>
      <c r="E96" s="728">
        <v>1.0625</v>
      </c>
      <c r="F96" s="728">
        <v>1.0625</v>
      </c>
      <c r="G96" s="728">
        <v>3.5</v>
      </c>
      <c r="H96" s="729" t="s">
        <v>6</v>
      </c>
      <c r="J96" s="702">
        <f t="shared" si="6"/>
        <v>25.4</v>
      </c>
      <c r="K96" s="730">
        <f t="shared" si="6"/>
        <v>123.82499999999999</v>
      </c>
      <c r="L96" s="730">
        <f t="shared" si="6"/>
        <v>17.462499999999999</v>
      </c>
      <c r="M96" s="730">
        <f t="shared" si="6"/>
        <v>61.912499999999994</v>
      </c>
      <c r="N96" s="730">
        <f t="shared" si="6"/>
        <v>26.987499999999997</v>
      </c>
      <c r="O96" s="730">
        <f t="shared" si="6"/>
        <v>26.987499999999997</v>
      </c>
      <c r="P96" s="730">
        <f t="shared" si="6"/>
        <v>88.899999999999991</v>
      </c>
      <c r="Q96" s="729" t="s">
        <v>7</v>
      </c>
    </row>
    <row r="97" spans="1:17" x14ac:dyDescent="0.15">
      <c r="A97" s="705">
        <v>1.25</v>
      </c>
      <c r="B97" s="727">
        <v>5.25</v>
      </c>
      <c r="C97" s="727">
        <v>0.8125</v>
      </c>
      <c r="D97" s="727">
        <v>2.625</v>
      </c>
      <c r="E97" s="728">
        <v>1.125</v>
      </c>
      <c r="F97" s="728">
        <v>1.125</v>
      </c>
      <c r="G97" s="728">
        <v>3.875</v>
      </c>
      <c r="H97" s="729" t="s">
        <v>6</v>
      </c>
      <c r="J97" s="702">
        <f t="shared" si="6"/>
        <v>31.75</v>
      </c>
      <c r="K97" s="732">
        <f t="shared" si="6"/>
        <v>133.35</v>
      </c>
      <c r="L97" s="730">
        <f t="shared" si="6"/>
        <v>20.637499999999999</v>
      </c>
      <c r="M97" s="730">
        <f t="shared" si="6"/>
        <v>66.674999999999997</v>
      </c>
      <c r="N97" s="730">
        <f t="shared" si="6"/>
        <v>28.574999999999999</v>
      </c>
      <c r="O97" s="730">
        <f t="shared" si="6"/>
        <v>28.574999999999999</v>
      </c>
      <c r="P97" s="730">
        <f t="shared" si="6"/>
        <v>98.424999999999997</v>
      </c>
      <c r="Q97" s="729" t="s">
        <v>7</v>
      </c>
    </row>
    <row r="98" spans="1:17" ht="14" thickBot="1" x14ac:dyDescent="0.2">
      <c r="A98" s="706">
        <v>1.5</v>
      </c>
      <c r="B98" s="735">
        <v>6.125</v>
      </c>
      <c r="C98" s="734">
        <v>0.875</v>
      </c>
      <c r="D98" s="734">
        <v>2.75</v>
      </c>
      <c r="E98" s="735">
        <v>1.25</v>
      </c>
      <c r="F98" s="735">
        <v>1.25</v>
      </c>
      <c r="G98" s="735">
        <v>4.5</v>
      </c>
      <c r="H98" s="736" t="s">
        <v>8</v>
      </c>
      <c r="J98" s="711">
        <f t="shared" si="6"/>
        <v>38.099999999999994</v>
      </c>
      <c r="K98" s="737">
        <f t="shared" si="6"/>
        <v>155.57499999999999</v>
      </c>
      <c r="L98" s="737">
        <f t="shared" si="6"/>
        <v>22.224999999999998</v>
      </c>
      <c r="M98" s="737">
        <f t="shared" si="6"/>
        <v>69.849999999999994</v>
      </c>
      <c r="N98" s="737">
        <f t="shared" si="6"/>
        <v>31.75</v>
      </c>
      <c r="O98" s="737">
        <f t="shared" si="6"/>
        <v>31.75</v>
      </c>
      <c r="P98" s="737">
        <f t="shared" si="6"/>
        <v>114.3</v>
      </c>
      <c r="Q98" s="736" t="s">
        <v>9</v>
      </c>
    </row>
    <row r="99" spans="1:17" ht="14" thickTop="1" x14ac:dyDescent="0.15">
      <c r="A99" s="712">
        <v>2</v>
      </c>
      <c r="B99" s="741">
        <v>6.5</v>
      </c>
      <c r="C99" s="739">
        <v>1</v>
      </c>
      <c r="D99" s="739">
        <v>2.875</v>
      </c>
      <c r="E99" s="741">
        <v>1.4375</v>
      </c>
      <c r="F99" s="741">
        <v>1.4375</v>
      </c>
      <c r="G99" s="741">
        <v>5</v>
      </c>
      <c r="H99" s="742" t="s">
        <v>1887</v>
      </c>
      <c r="J99" s="696">
        <f t="shared" si="6"/>
        <v>50.8</v>
      </c>
      <c r="K99" s="726">
        <f t="shared" si="6"/>
        <v>165.1</v>
      </c>
      <c r="L99" s="726">
        <f t="shared" si="6"/>
        <v>25.4</v>
      </c>
      <c r="M99" s="726">
        <f t="shared" si="6"/>
        <v>73.024999999999991</v>
      </c>
      <c r="N99" s="726">
        <f t="shared" si="6"/>
        <v>36.512499999999996</v>
      </c>
      <c r="O99" s="726">
        <f t="shared" si="6"/>
        <v>36.512499999999996</v>
      </c>
      <c r="P99" s="726">
        <f t="shared" si="6"/>
        <v>127</v>
      </c>
      <c r="Q99" s="742" t="s">
        <v>1888</v>
      </c>
    </row>
    <row r="100" spans="1:17" x14ac:dyDescent="0.15">
      <c r="A100" s="705">
        <v>2.5</v>
      </c>
      <c r="B100" s="728">
        <v>7.5</v>
      </c>
      <c r="C100" s="727">
        <v>1.125</v>
      </c>
      <c r="D100" s="727">
        <v>3.125</v>
      </c>
      <c r="E100" s="728">
        <v>1.625</v>
      </c>
      <c r="F100" s="728">
        <v>1.625</v>
      </c>
      <c r="G100" s="728">
        <v>5.875</v>
      </c>
      <c r="H100" s="742" t="s">
        <v>1889</v>
      </c>
      <c r="J100" s="702">
        <f t="shared" si="6"/>
        <v>63.5</v>
      </c>
      <c r="K100" s="730">
        <f>B100*25.4</f>
        <v>190.5</v>
      </c>
      <c r="L100" s="730">
        <f t="shared" si="6"/>
        <v>28.574999999999999</v>
      </c>
      <c r="M100" s="730">
        <f t="shared" si="6"/>
        <v>79.375</v>
      </c>
      <c r="N100" s="730">
        <f t="shared" si="6"/>
        <v>41.274999999999999</v>
      </c>
      <c r="O100" s="730">
        <f t="shared" si="6"/>
        <v>41.274999999999999</v>
      </c>
      <c r="P100" s="730">
        <f t="shared" si="6"/>
        <v>149.22499999999999</v>
      </c>
      <c r="Q100" s="742" t="s">
        <v>1890</v>
      </c>
    </row>
    <row r="101" spans="1:17" x14ac:dyDescent="0.15">
      <c r="A101" s="704">
        <v>3</v>
      </c>
      <c r="B101" s="727">
        <v>8.25</v>
      </c>
      <c r="C101" s="727">
        <v>1.25</v>
      </c>
      <c r="D101" s="727">
        <v>3.25</v>
      </c>
      <c r="E101" s="728">
        <v>1.8125</v>
      </c>
      <c r="F101" s="728">
        <v>1.8125</v>
      </c>
      <c r="G101" s="728">
        <v>6.625</v>
      </c>
      <c r="H101" s="742" t="s">
        <v>1889</v>
      </c>
      <c r="J101" s="702">
        <f t="shared" si="6"/>
        <v>76.199999999999989</v>
      </c>
      <c r="K101" s="730">
        <f>B101*25.4</f>
        <v>209.54999999999998</v>
      </c>
      <c r="L101" s="730">
        <f t="shared" si="6"/>
        <v>31.75</v>
      </c>
      <c r="M101" s="730">
        <f t="shared" si="6"/>
        <v>82.55</v>
      </c>
      <c r="N101" s="730">
        <f t="shared" si="6"/>
        <v>46.037499999999994</v>
      </c>
      <c r="O101" s="730">
        <f t="shared" si="6"/>
        <v>46.037499999999994</v>
      </c>
      <c r="P101" s="730">
        <f t="shared" si="6"/>
        <v>168.27499999999998</v>
      </c>
      <c r="Q101" s="742" t="s">
        <v>1890</v>
      </c>
    </row>
    <row r="102" spans="1:17" x14ac:dyDescent="0.15">
      <c r="A102" s="705">
        <v>3.5</v>
      </c>
      <c r="B102" s="727">
        <v>9</v>
      </c>
      <c r="C102" s="727">
        <v>1.375</v>
      </c>
      <c r="D102" s="727">
        <v>3.375</v>
      </c>
      <c r="E102" s="728">
        <v>1.9375</v>
      </c>
      <c r="F102" s="728">
        <v>1.9375</v>
      </c>
      <c r="G102" s="728">
        <v>7.25</v>
      </c>
      <c r="H102" s="742" t="s">
        <v>16</v>
      </c>
      <c r="J102" s="702">
        <f t="shared" si="6"/>
        <v>88.899999999999991</v>
      </c>
      <c r="K102" s="732">
        <f>B102*25.4</f>
        <v>228.6</v>
      </c>
      <c r="L102" s="730">
        <f t="shared" si="6"/>
        <v>34.924999999999997</v>
      </c>
      <c r="M102" s="730">
        <f t="shared" si="6"/>
        <v>85.724999999999994</v>
      </c>
      <c r="N102" s="730">
        <f t="shared" si="6"/>
        <v>49.212499999999999</v>
      </c>
      <c r="O102" s="730">
        <f t="shared" si="6"/>
        <v>49.212499999999999</v>
      </c>
      <c r="P102" s="730">
        <f t="shared" si="6"/>
        <v>184.14999999999998</v>
      </c>
      <c r="Q102" s="742" t="s">
        <v>17</v>
      </c>
    </row>
    <row r="103" spans="1:17" ht="14" thickBot="1" x14ac:dyDescent="0.2">
      <c r="A103" s="713">
        <v>4</v>
      </c>
      <c r="B103" s="735">
        <v>10.75</v>
      </c>
      <c r="C103" s="734">
        <v>1.5</v>
      </c>
      <c r="D103" s="735">
        <v>4</v>
      </c>
      <c r="E103" s="735">
        <v>2.125</v>
      </c>
      <c r="F103" s="735">
        <v>2.125</v>
      </c>
      <c r="G103" s="735">
        <v>8.5</v>
      </c>
      <c r="H103" s="745" t="s">
        <v>16</v>
      </c>
      <c r="J103" s="711">
        <f t="shared" si="6"/>
        <v>101.6</v>
      </c>
      <c r="K103" s="737">
        <f t="shared" si="6"/>
        <v>273.05</v>
      </c>
      <c r="L103" s="737">
        <f t="shared" si="6"/>
        <v>38.099999999999994</v>
      </c>
      <c r="M103" s="737">
        <f t="shared" si="6"/>
        <v>101.6</v>
      </c>
      <c r="N103" s="737">
        <f t="shared" si="6"/>
        <v>53.974999999999994</v>
      </c>
      <c r="O103" s="737">
        <f t="shared" si="6"/>
        <v>53.974999999999994</v>
      </c>
      <c r="P103" s="737">
        <f t="shared" si="6"/>
        <v>215.89999999999998</v>
      </c>
      <c r="Q103" s="745" t="s">
        <v>17</v>
      </c>
    </row>
    <row r="104" spans="1:17" ht="14" thickTop="1" x14ac:dyDescent="0.15">
      <c r="A104" s="712">
        <v>5</v>
      </c>
      <c r="B104" s="741">
        <v>13</v>
      </c>
      <c r="C104" s="739">
        <v>1.75</v>
      </c>
      <c r="D104" s="739">
        <v>4.5</v>
      </c>
      <c r="E104" s="741">
        <v>2.375</v>
      </c>
      <c r="F104" s="741">
        <v>2.375</v>
      </c>
      <c r="G104" s="741">
        <v>10.5</v>
      </c>
      <c r="H104" s="742" t="s">
        <v>26</v>
      </c>
      <c r="J104" s="696">
        <f>A104*25.4</f>
        <v>127</v>
      </c>
      <c r="K104" s="726">
        <f>B104*25.4</f>
        <v>330.2</v>
      </c>
      <c r="L104" s="726">
        <f t="shared" si="6"/>
        <v>44.449999999999996</v>
      </c>
      <c r="M104" s="726">
        <f t="shared" si="6"/>
        <v>114.3</v>
      </c>
      <c r="N104" s="726">
        <f t="shared" si="6"/>
        <v>60.324999999999996</v>
      </c>
      <c r="O104" s="726">
        <f t="shared" si="6"/>
        <v>60.324999999999996</v>
      </c>
      <c r="P104" s="726">
        <f t="shared" si="6"/>
        <v>266.7</v>
      </c>
      <c r="Q104" s="742" t="s">
        <v>27</v>
      </c>
    </row>
    <row r="105" spans="1:17" x14ac:dyDescent="0.15">
      <c r="A105" s="704">
        <v>6</v>
      </c>
      <c r="B105" s="728">
        <v>14</v>
      </c>
      <c r="C105" s="728">
        <v>1.875</v>
      </c>
      <c r="D105" s="727">
        <v>4.625</v>
      </c>
      <c r="E105" s="728">
        <v>2.625</v>
      </c>
      <c r="F105" s="728">
        <v>2.625</v>
      </c>
      <c r="G105" s="728">
        <v>11.5</v>
      </c>
      <c r="H105" s="744" t="s">
        <v>1893</v>
      </c>
      <c r="J105" s="702">
        <f t="shared" ref="J105:P113" si="7">A105*25.4</f>
        <v>152.39999999999998</v>
      </c>
      <c r="K105" s="732">
        <f t="shared" si="7"/>
        <v>355.59999999999997</v>
      </c>
      <c r="L105" s="730">
        <f t="shared" si="6"/>
        <v>47.625</v>
      </c>
      <c r="M105" s="730">
        <f t="shared" si="6"/>
        <v>117.47499999999999</v>
      </c>
      <c r="N105" s="730">
        <f t="shared" si="6"/>
        <v>66.674999999999997</v>
      </c>
      <c r="O105" s="730">
        <f t="shared" si="6"/>
        <v>66.674999999999997</v>
      </c>
      <c r="P105" s="730">
        <f t="shared" si="6"/>
        <v>292.09999999999997</v>
      </c>
      <c r="Q105" s="744" t="s">
        <v>1894</v>
      </c>
    </row>
    <row r="106" spans="1:17" x14ac:dyDescent="0.15">
      <c r="A106" s="704">
        <v>8</v>
      </c>
      <c r="B106" s="727">
        <v>16.5</v>
      </c>
      <c r="C106" s="727">
        <v>2.1875</v>
      </c>
      <c r="D106" s="728">
        <v>5.25</v>
      </c>
      <c r="E106" s="728">
        <v>3</v>
      </c>
      <c r="F106" s="728">
        <v>3</v>
      </c>
      <c r="G106" s="728">
        <v>13.75</v>
      </c>
      <c r="H106" s="746" t="s">
        <v>28</v>
      </c>
      <c r="J106" s="702">
        <f t="shared" si="7"/>
        <v>203.2</v>
      </c>
      <c r="K106" s="732">
        <f t="shared" si="7"/>
        <v>419.09999999999997</v>
      </c>
      <c r="L106" s="730">
        <f t="shared" si="6"/>
        <v>55.5625</v>
      </c>
      <c r="M106" s="730">
        <f t="shared" si="6"/>
        <v>133.35</v>
      </c>
      <c r="N106" s="730">
        <f t="shared" si="6"/>
        <v>76.199999999999989</v>
      </c>
      <c r="O106" s="730">
        <f t="shared" si="6"/>
        <v>76.199999999999989</v>
      </c>
      <c r="P106" s="730">
        <f t="shared" si="6"/>
        <v>349.25</v>
      </c>
      <c r="Q106" s="746" t="s">
        <v>29</v>
      </c>
    </row>
    <row r="107" spans="1:17" x14ac:dyDescent="0.15">
      <c r="A107" s="704">
        <v>10</v>
      </c>
      <c r="B107" s="728">
        <v>20</v>
      </c>
      <c r="C107" s="727">
        <v>2.5</v>
      </c>
      <c r="D107" s="728">
        <v>6</v>
      </c>
      <c r="E107" s="728">
        <v>3.375</v>
      </c>
      <c r="F107" s="728">
        <v>4.375</v>
      </c>
      <c r="G107" s="728">
        <v>17</v>
      </c>
      <c r="H107" s="746" t="s">
        <v>18</v>
      </c>
      <c r="J107" s="702">
        <f t="shared" si="7"/>
        <v>254</v>
      </c>
      <c r="K107" s="732">
        <f t="shared" si="7"/>
        <v>508</v>
      </c>
      <c r="L107" s="730">
        <f t="shared" si="6"/>
        <v>63.5</v>
      </c>
      <c r="M107" s="730">
        <f t="shared" si="6"/>
        <v>152.39999999999998</v>
      </c>
      <c r="N107" s="730">
        <f t="shared" si="6"/>
        <v>85.724999999999994</v>
      </c>
      <c r="O107" s="730">
        <f t="shared" si="6"/>
        <v>111.125</v>
      </c>
      <c r="P107" s="730">
        <f t="shared" si="6"/>
        <v>431.79999999999995</v>
      </c>
      <c r="Q107" s="746" t="s">
        <v>19</v>
      </c>
    </row>
    <row r="108" spans="1:17" ht="14" thickBot="1" x14ac:dyDescent="0.2">
      <c r="A108" s="713">
        <v>12</v>
      </c>
      <c r="B108" s="735">
        <v>22</v>
      </c>
      <c r="C108" s="734">
        <v>2.625</v>
      </c>
      <c r="D108" s="734">
        <v>6.125</v>
      </c>
      <c r="E108" s="735">
        <v>3.625</v>
      </c>
      <c r="F108" s="735">
        <v>4.625</v>
      </c>
      <c r="G108" s="735">
        <v>19.25</v>
      </c>
      <c r="H108" s="745" t="s">
        <v>4</v>
      </c>
      <c r="J108" s="711">
        <f t="shared" si="7"/>
        <v>304.79999999999995</v>
      </c>
      <c r="K108" s="737">
        <f t="shared" si="7"/>
        <v>558.79999999999995</v>
      </c>
      <c r="L108" s="737">
        <f t="shared" si="6"/>
        <v>66.674999999999997</v>
      </c>
      <c r="M108" s="737">
        <f t="shared" si="6"/>
        <v>155.57499999999999</v>
      </c>
      <c r="N108" s="737">
        <f t="shared" si="6"/>
        <v>92.074999999999989</v>
      </c>
      <c r="O108" s="737">
        <f t="shared" si="6"/>
        <v>117.47499999999999</v>
      </c>
      <c r="P108" s="737">
        <f t="shared" si="6"/>
        <v>488.95</v>
      </c>
      <c r="Q108" s="745" t="s">
        <v>5</v>
      </c>
    </row>
    <row r="109" spans="1:17" ht="14" thickTop="1" x14ac:dyDescent="0.15">
      <c r="A109" s="712">
        <v>14</v>
      </c>
      <c r="B109" s="741">
        <v>23.75</v>
      </c>
      <c r="C109" s="739">
        <v>2.75</v>
      </c>
      <c r="D109" s="741">
        <v>6.5</v>
      </c>
      <c r="E109" s="741">
        <v>3.6875</v>
      </c>
      <c r="F109" s="741">
        <v>5</v>
      </c>
      <c r="G109" s="741">
        <v>20.75</v>
      </c>
      <c r="H109" s="742" t="s">
        <v>20</v>
      </c>
      <c r="J109" s="696">
        <f t="shared" si="7"/>
        <v>355.59999999999997</v>
      </c>
      <c r="K109" s="726">
        <f t="shared" si="7"/>
        <v>603.25</v>
      </c>
      <c r="L109" s="726">
        <f t="shared" si="6"/>
        <v>69.849999999999994</v>
      </c>
      <c r="M109" s="726">
        <f t="shared" si="6"/>
        <v>165.1</v>
      </c>
      <c r="N109" s="726">
        <f t="shared" si="6"/>
        <v>93.662499999999994</v>
      </c>
      <c r="O109" s="726">
        <f t="shared" si="6"/>
        <v>127</v>
      </c>
      <c r="P109" s="726">
        <f t="shared" si="6"/>
        <v>527.04999999999995</v>
      </c>
      <c r="Q109" s="742" t="s">
        <v>21</v>
      </c>
    </row>
    <row r="110" spans="1:17" x14ac:dyDescent="0.15">
      <c r="A110" s="704">
        <v>16</v>
      </c>
      <c r="B110" s="727">
        <v>27</v>
      </c>
      <c r="C110" s="727">
        <v>3</v>
      </c>
      <c r="D110" s="728">
        <v>7</v>
      </c>
      <c r="E110" s="728">
        <v>4.1875</v>
      </c>
      <c r="F110" s="728">
        <v>5.5</v>
      </c>
      <c r="G110" s="728">
        <v>23.75</v>
      </c>
      <c r="H110" s="744" t="s">
        <v>30</v>
      </c>
      <c r="J110" s="702">
        <f t="shared" si="7"/>
        <v>406.4</v>
      </c>
      <c r="K110" s="732">
        <f t="shared" si="7"/>
        <v>685.8</v>
      </c>
      <c r="L110" s="730">
        <f t="shared" si="7"/>
        <v>76.199999999999989</v>
      </c>
      <c r="M110" s="730">
        <f t="shared" si="7"/>
        <v>177.79999999999998</v>
      </c>
      <c r="N110" s="730">
        <f t="shared" si="7"/>
        <v>106.3625</v>
      </c>
      <c r="O110" s="730">
        <f t="shared" si="7"/>
        <v>139.69999999999999</v>
      </c>
      <c r="P110" s="730">
        <f t="shared" si="7"/>
        <v>603.25</v>
      </c>
      <c r="Q110" s="744" t="s">
        <v>31</v>
      </c>
    </row>
    <row r="111" spans="1:17" x14ac:dyDescent="0.15">
      <c r="A111" s="704">
        <v>18</v>
      </c>
      <c r="B111" s="728">
        <v>29.25</v>
      </c>
      <c r="C111" s="727">
        <v>3.25</v>
      </c>
      <c r="D111" s="727">
        <v>7.25</v>
      </c>
      <c r="E111" s="728">
        <v>4.625</v>
      </c>
      <c r="F111" s="728">
        <v>6</v>
      </c>
      <c r="G111" s="728">
        <v>25.75</v>
      </c>
      <c r="H111" s="744" t="s">
        <v>32</v>
      </c>
      <c r="J111" s="702">
        <f t="shared" si="7"/>
        <v>457.2</v>
      </c>
      <c r="K111" s="732">
        <f t="shared" si="7"/>
        <v>742.94999999999993</v>
      </c>
      <c r="L111" s="730">
        <f t="shared" si="7"/>
        <v>82.55</v>
      </c>
      <c r="M111" s="730">
        <f t="shared" si="7"/>
        <v>184.14999999999998</v>
      </c>
      <c r="N111" s="730">
        <f t="shared" si="7"/>
        <v>117.47499999999999</v>
      </c>
      <c r="O111" s="730">
        <f t="shared" si="7"/>
        <v>152.39999999999998</v>
      </c>
      <c r="P111" s="730">
        <f t="shared" si="7"/>
        <v>654.04999999999995</v>
      </c>
      <c r="Q111" s="744" t="s">
        <v>33</v>
      </c>
    </row>
    <row r="112" spans="1:17" x14ac:dyDescent="0.15">
      <c r="A112" s="704">
        <v>20</v>
      </c>
      <c r="B112" s="727">
        <v>32</v>
      </c>
      <c r="C112" s="727">
        <v>3.5</v>
      </c>
      <c r="D112" s="727">
        <v>7.5</v>
      </c>
      <c r="E112" s="728">
        <v>5</v>
      </c>
      <c r="F112" s="728">
        <v>6.5</v>
      </c>
      <c r="G112" s="728">
        <v>28.5</v>
      </c>
      <c r="H112" s="744" t="s">
        <v>34</v>
      </c>
      <c r="J112" s="702">
        <f t="shared" si="7"/>
        <v>508</v>
      </c>
      <c r="K112" s="732">
        <f t="shared" si="7"/>
        <v>812.8</v>
      </c>
      <c r="L112" s="730">
        <f t="shared" si="7"/>
        <v>88.899999999999991</v>
      </c>
      <c r="M112" s="730">
        <f t="shared" si="7"/>
        <v>190.5</v>
      </c>
      <c r="N112" s="730">
        <f t="shared" si="7"/>
        <v>127</v>
      </c>
      <c r="O112" s="730">
        <f t="shared" si="7"/>
        <v>165.1</v>
      </c>
      <c r="P112" s="730">
        <f t="shared" si="7"/>
        <v>723.9</v>
      </c>
      <c r="Q112" s="744" t="s">
        <v>35</v>
      </c>
    </row>
    <row r="113" spans="1:17" ht="14" thickBot="1" x14ac:dyDescent="0.2">
      <c r="A113" s="713">
        <v>24</v>
      </c>
      <c r="B113" s="735">
        <v>37</v>
      </c>
      <c r="C113" s="734">
        <v>4</v>
      </c>
      <c r="D113" s="735">
        <v>8</v>
      </c>
      <c r="E113" s="735">
        <v>5.5</v>
      </c>
      <c r="F113" s="735">
        <v>7.25</v>
      </c>
      <c r="G113" s="735">
        <v>33</v>
      </c>
      <c r="H113" s="745" t="s">
        <v>36</v>
      </c>
      <c r="J113" s="711">
        <f t="shared" si="7"/>
        <v>609.59999999999991</v>
      </c>
      <c r="K113" s="737">
        <f t="shared" si="7"/>
        <v>939.8</v>
      </c>
      <c r="L113" s="737">
        <f t="shared" si="7"/>
        <v>101.6</v>
      </c>
      <c r="M113" s="737">
        <f t="shared" si="7"/>
        <v>203.2</v>
      </c>
      <c r="N113" s="737">
        <f t="shared" si="7"/>
        <v>139.69999999999999</v>
      </c>
      <c r="O113" s="737">
        <f t="shared" si="7"/>
        <v>184.14999999999998</v>
      </c>
      <c r="P113" s="737">
        <f t="shared" si="7"/>
        <v>838.19999999999993</v>
      </c>
      <c r="Q113" s="745" t="s">
        <v>37</v>
      </c>
    </row>
    <row r="114" spans="1:17" ht="14" thickTop="1" x14ac:dyDescent="0.15"/>
    <row r="115" spans="1:17" ht="14" thickBot="1" x14ac:dyDescent="0.2">
      <c r="A115" s="187" t="s">
        <v>91</v>
      </c>
      <c r="J115" s="187" t="s">
        <v>90</v>
      </c>
    </row>
    <row r="116" spans="1:17" ht="15" thickTop="1" thickBot="1" x14ac:dyDescent="0.2">
      <c r="A116" s="610"/>
      <c r="B116" s="718"/>
      <c r="C116" s="719"/>
      <c r="D116" s="750" t="s">
        <v>84</v>
      </c>
      <c r="E116" s="719"/>
      <c r="F116" s="719"/>
      <c r="G116" s="719"/>
      <c r="H116" s="720"/>
      <c r="J116" s="610"/>
      <c r="K116" s="718"/>
      <c r="L116" s="719"/>
      <c r="M116" s="750" t="s">
        <v>85</v>
      </c>
      <c r="N116" s="719"/>
      <c r="O116" s="719"/>
      <c r="P116" s="719"/>
      <c r="Q116" s="720"/>
    </row>
    <row r="117" spans="1:17" ht="18" thickTop="1" thickBot="1" x14ac:dyDescent="0.25">
      <c r="A117" s="498" t="s">
        <v>1818</v>
      </c>
      <c r="B117" s="610"/>
      <c r="C117" s="610"/>
      <c r="D117" s="721" t="s">
        <v>88</v>
      </c>
      <c r="E117" s="721"/>
      <c r="F117" s="719"/>
      <c r="G117" s="720"/>
      <c r="H117" s="690" t="s">
        <v>1871</v>
      </c>
      <c r="J117" s="498" t="s">
        <v>1818</v>
      </c>
      <c r="K117" s="610"/>
      <c r="L117" s="610"/>
      <c r="M117" s="721" t="s">
        <v>88</v>
      </c>
      <c r="N117" s="721"/>
      <c r="O117" s="719"/>
      <c r="P117" s="720"/>
      <c r="Q117" s="690" t="s">
        <v>1871</v>
      </c>
    </row>
    <row r="118" spans="1:17" ht="19" thickTop="1" x14ac:dyDescent="0.2">
      <c r="A118" s="498" t="s">
        <v>1507</v>
      </c>
      <c r="B118" s="612" t="s">
        <v>1872</v>
      </c>
      <c r="C118" s="612" t="s">
        <v>1730</v>
      </c>
      <c r="D118" s="690" t="s">
        <v>1873</v>
      </c>
      <c r="E118" s="690" t="s">
        <v>1874</v>
      </c>
      <c r="F118" s="690" t="s">
        <v>1875</v>
      </c>
      <c r="G118" s="690" t="s">
        <v>1052</v>
      </c>
      <c r="H118" s="501" t="s">
        <v>1876</v>
      </c>
      <c r="J118" s="498" t="s">
        <v>1507</v>
      </c>
      <c r="K118" s="612" t="s">
        <v>1872</v>
      </c>
      <c r="L118" s="612" t="s">
        <v>1730</v>
      </c>
      <c r="M118" s="690" t="s">
        <v>1873</v>
      </c>
      <c r="N118" s="690" t="s">
        <v>1874</v>
      </c>
      <c r="O118" s="690" t="s">
        <v>1875</v>
      </c>
      <c r="P118" s="690" t="s">
        <v>1052</v>
      </c>
      <c r="Q118" s="501" t="s">
        <v>1876</v>
      </c>
    </row>
    <row r="119" spans="1:17" ht="14" thickBot="1" x14ac:dyDescent="0.2">
      <c r="A119" s="505" t="s">
        <v>845</v>
      </c>
      <c r="B119" s="507" t="s">
        <v>1877</v>
      </c>
      <c r="C119" s="507" t="s">
        <v>1877</v>
      </c>
      <c r="D119" s="688" t="s">
        <v>1878</v>
      </c>
      <c r="E119" s="688" t="s">
        <v>1879</v>
      </c>
      <c r="F119" s="688" t="s">
        <v>1880</v>
      </c>
      <c r="G119" s="688" t="s">
        <v>1881</v>
      </c>
      <c r="H119" s="688" t="s">
        <v>1882</v>
      </c>
      <c r="J119" s="505" t="s">
        <v>845</v>
      </c>
      <c r="K119" s="505" t="s">
        <v>1754</v>
      </c>
      <c r="L119" s="505" t="s">
        <v>1754</v>
      </c>
      <c r="M119" s="688" t="s">
        <v>1878</v>
      </c>
      <c r="N119" s="688" t="s">
        <v>1879</v>
      </c>
      <c r="O119" s="688" t="s">
        <v>1880</v>
      </c>
      <c r="P119" s="688" t="s">
        <v>1881</v>
      </c>
      <c r="Q119" s="688" t="s">
        <v>1882</v>
      </c>
    </row>
    <row r="120" spans="1:17" ht="14" thickTop="1" x14ac:dyDescent="0.15">
      <c r="A120" s="691">
        <v>0.5</v>
      </c>
      <c r="B120" s="722">
        <v>4.75</v>
      </c>
      <c r="C120" s="723">
        <v>0.875</v>
      </c>
      <c r="D120" s="723">
        <v>2.375</v>
      </c>
      <c r="E120" s="723">
        <v>1.25</v>
      </c>
      <c r="F120" s="723">
        <v>1.25</v>
      </c>
      <c r="G120" s="723">
        <v>3.25</v>
      </c>
      <c r="H120" s="725" t="s">
        <v>38</v>
      </c>
      <c r="J120" s="696">
        <f t="shared" ref="J120:P135" si="8">A120*25.4</f>
        <v>12.7</v>
      </c>
      <c r="K120" s="726">
        <f t="shared" si="8"/>
        <v>120.64999999999999</v>
      </c>
      <c r="L120" s="726">
        <f t="shared" si="8"/>
        <v>22.224999999999998</v>
      </c>
      <c r="M120" s="726">
        <f t="shared" si="8"/>
        <v>60.324999999999996</v>
      </c>
      <c r="N120" s="726">
        <f t="shared" si="8"/>
        <v>31.75</v>
      </c>
      <c r="O120" s="726">
        <f t="shared" si="8"/>
        <v>31.75</v>
      </c>
      <c r="P120" s="726">
        <f t="shared" si="8"/>
        <v>82.55</v>
      </c>
      <c r="Q120" s="725" t="s">
        <v>39</v>
      </c>
    </row>
    <row r="121" spans="1:17" x14ac:dyDescent="0.15">
      <c r="A121" s="698">
        <v>0.75</v>
      </c>
      <c r="B121" s="727">
        <v>5.125</v>
      </c>
      <c r="C121" s="727">
        <v>1</v>
      </c>
      <c r="D121" s="727">
        <v>2.75</v>
      </c>
      <c r="E121" s="727">
        <v>1.375</v>
      </c>
      <c r="F121" s="728">
        <v>1.375</v>
      </c>
      <c r="G121" s="728">
        <v>3.5</v>
      </c>
      <c r="H121" s="729" t="s">
        <v>38</v>
      </c>
      <c r="J121" s="702">
        <f t="shared" si="8"/>
        <v>19.049999999999997</v>
      </c>
      <c r="K121" s="730">
        <f t="shared" si="8"/>
        <v>130.17499999999998</v>
      </c>
      <c r="L121" s="730">
        <f t="shared" si="8"/>
        <v>25.4</v>
      </c>
      <c r="M121" s="730">
        <f t="shared" si="8"/>
        <v>69.849999999999994</v>
      </c>
      <c r="N121" s="730">
        <f t="shared" si="8"/>
        <v>34.924999999999997</v>
      </c>
      <c r="O121" s="730">
        <f t="shared" si="8"/>
        <v>34.924999999999997</v>
      </c>
      <c r="P121" s="730">
        <f t="shared" si="8"/>
        <v>88.899999999999991</v>
      </c>
      <c r="Q121" s="729" t="s">
        <v>9</v>
      </c>
    </row>
    <row r="122" spans="1:17" x14ac:dyDescent="0.15">
      <c r="A122" s="704">
        <v>1</v>
      </c>
      <c r="B122" s="727">
        <v>5.875</v>
      </c>
      <c r="C122" s="727">
        <v>1.125</v>
      </c>
      <c r="D122" s="727">
        <v>2.875</v>
      </c>
      <c r="E122" s="728">
        <v>1.625</v>
      </c>
      <c r="F122" s="728">
        <v>1.625</v>
      </c>
      <c r="G122" s="728">
        <v>4</v>
      </c>
      <c r="H122" s="729" t="s">
        <v>40</v>
      </c>
      <c r="J122" s="702">
        <f t="shared" si="8"/>
        <v>25.4</v>
      </c>
      <c r="K122" s="730">
        <f t="shared" si="8"/>
        <v>149.22499999999999</v>
      </c>
      <c r="L122" s="730">
        <f t="shared" si="8"/>
        <v>28.574999999999999</v>
      </c>
      <c r="M122" s="730">
        <f t="shared" si="8"/>
        <v>73.024999999999991</v>
      </c>
      <c r="N122" s="730">
        <f t="shared" si="8"/>
        <v>41.274999999999999</v>
      </c>
      <c r="O122" s="730">
        <f t="shared" si="8"/>
        <v>41.274999999999999</v>
      </c>
      <c r="P122" s="730">
        <f t="shared" si="8"/>
        <v>101.6</v>
      </c>
      <c r="Q122" s="729" t="s">
        <v>41</v>
      </c>
    </row>
    <row r="123" spans="1:17" x14ac:dyDescent="0.15">
      <c r="A123" s="705">
        <v>1.25</v>
      </c>
      <c r="B123" s="727">
        <v>6.25</v>
      </c>
      <c r="C123" s="727">
        <v>1.125</v>
      </c>
      <c r="D123" s="727">
        <v>2.875</v>
      </c>
      <c r="E123" s="728">
        <v>1.625</v>
      </c>
      <c r="F123" s="728">
        <v>1.625</v>
      </c>
      <c r="G123" s="728">
        <v>4.375</v>
      </c>
      <c r="H123" s="729" t="s">
        <v>40</v>
      </c>
      <c r="J123" s="702">
        <f t="shared" si="8"/>
        <v>31.75</v>
      </c>
      <c r="K123" s="732">
        <f t="shared" si="8"/>
        <v>158.75</v>
      </c>
      <c r="L123" s="730">
        <f t="shared" si="8"/>
        <v>28.574999999999999</v>
      </c>
      <c r="M123" s="730">
        <f t="shared" si="8"/>
        <v>73.024999999999991</v>
      </c>
      <c r="N123" s="730">
        <f t="shared" si="8"/>
        <v>41.274999999999999</v>
      </c>
      <c r="O123" s="730">
        <f t="shared" si="8"/>
        <v>41.274999999999999</v>
      </c>
      <c r="P123" s="730">
        <f t="shared" si="8"/>
        <v>111.125</v>
      </c>
      <c r="Q123" s="729" t="s">
        <v>41</v>
      </c>
    </row>
    <row r="124" spans="1:17" ht="14" thickBot="1" x14ac:dyDescent="0.2">
      <c r="A124" s="706">
        <v>1.5</v>
      </c>
      <c r="B124" s="735">
        <v>7</v>
      </c>
      <c r="C124" s="734">
        <v>1.25</v>
      </c>
      <c r="D124" s="734">
        <v>3.25</v>
      </c>
      <c r="E124" s="735">
        <v>1.75</v>
      </c>
      <c r="F124" s="735">
        <v>1.75</v>
      </c>
      <c r="G124" s="735">
        <v>4.875</v>
      </c>
      <c r="H124" s="736" t="s">
        <v>42</v>
      </c>
      <c r="J124" s="711">
        <f t="shared" si="8"/>
        <v>38.099999999999994</v>
      </c>
      <c r="K124" s="737">
        <f t="shared" si="8"/>
        <v>177.79999999999998</v>
      </c>
      <c r="L124" s="737">
        <f t="shared" si="8"/>
        <v>31.75</v>
      </c>
      <c r="M124" s="737">
        <f t="shared" si="8"/>
        <v>82.55</v>
      </c>
      <c r="N124" s="737">
        <f t="shared" si="8"/>
        <v>44.449999999999996</v>
      </c>
      <c r="O124" s="737">
        <f t="shared" si="8"/>
        <v>44.449999999999996</v>
      </c>
      <c r="P124" s="737">
        <f t="shared" si="8"/>
        <v>123.82499999999999</v>
      </c>
      <c r="Q124" s="736" t="s">
        <v>43</v>
      </c>
    </row>
    <row r="125" spans="1:17" ht="14" thickTop="1" x14ac:dyDescent="0.15">
      <c r="A125" s="712">
        <v>2</v>
      </c>
      <c r="B125" s="741">
        <v>8.5</v>
      </c>
      <c r="C125" s="739">
        <v>1.5</v>
      </c>
      <c r="D125" s="739">
        <v>4</v>
      </c>
      <c r="E125" s="741">
        <v>2.25</v>
      </c>
      <c r="F125" s="741">
        <v>2.25</v>
      </c>
      <c r="G125" s="741">
        <v>6.5</v>
      </c>
      <c r="H125" s="742" t="s">
        <v>16</v>
      </c>
      <c r="J125" s="696">
        <f t="shared" si="8"/>
        <v>50.8</v>
      </c>
      <c r="K125" s="726">
        <f t="shared" si="8"/>
        <v>215.89999999999998</v>
      </c>
      <c r="L125" s="726">
        <f t="shared" si="8"/>
        <v>38.099999999999994</v>
      </c>
      <c r="M125" s="726">
        <f t="shared" si="8"/>
        <v>101.6</v>
      </c>
      <c r="N125" s="726">
        <f t="shared" si="8"/>
        <v>57.15</v>
      </c>
      <c r="O125" s="726">
        <f t="shared" si="8"/>
        <v>57.15</v>
      </c>
      <c r="P125" s="726">
        <f t="shared" si="8"/>
        <v>165.1</v>
      </c>
      <c r="Q125" s="742" t="s">
        <v>17</v>
      </c>
    </row>
    <row r="126" spans="1:17" x14ac:dyDescent="0.15">
      <c r="A126" s="705">
        <v>2.5</v>
      </c>
      <c r="B126" s="728">
        <v>9.625</v>
      </c>
      <c r="C126" s="727">
        <v>1.625</v>
      </c>
      <c r="D126" s="727">
        <v>4.125</v>
      </c>
      <c r="E126" s="728">
        <v>2.5</v>
      </c>
      <c r="F126" s="728">
        <v>2.5</v>
      </c>
      <c r="G126" s="728">
        <v>7.5</v>
      </c>
      <c r="H126" s="742" t="s">
        <v>26</v>
      </c>
      <c r="J126" s="702">
        <f t="shared" si="8"/>
        <v>63.5</v>
      </c>
      <c r="K126" s="730">
        <f>B126*25.4</f>
        <v>244.47499999999999</v>
      </c>
      <c r="L126" s="730">
        <f t="shared" si="8"/>
        <v>41.274999999999999</v>
      </c>
      <c r="M126" s="730">
        <f t="shared" si="8"/>
        <v>104.77499999999999</v>
      </c>
      <c r="N126" s="730">
        <f t="shared" si="8"/>
        <v>63.5</v>
      </c>
      <c r="O126" s="730">
        <f t="shared" si="8"/>
        <v>63.5</v>
      </c>
      <c r="P126" s="730">
        <f t="shared" si="8"/>
        <v>190.5</v>
      </c>
      <c r="Q126" s="742" t="s">
        <v>27</v>
      </c>
    </row>
    <row r="127" spans="1:17" x14ac:dyDescent="0.15">
      <c r="A127" s="704">
        <v>3</v>
      </c>
      <c r="B127" s="727">
        <v>9.5</v>
      </c>
      <c r="C127" s="727">
        <v>1.5</v>
      </c>
      <c r="D127" s="727">
        <v>4</v>
      </c>
      <c r="E127" s="728">
        <v>2.125</v>
      </c>
      <c r="F127" s="728">
        <v>2.125</v>
      </c>
      <c r="G127" s="728">
        <v>7.5</v>
      </c>
      <c r="H127" s="742" t="s">
        <v>16</v>
      </c>
      <c r="J127" s="702">
        <f t="shared" si="8"/>
        <v>76.199999999999989</v>
      </c>
      <c r="K127" s="730">
        <f>B127*25.4</f>
        <v>241.29999999999998</v>
      </c>
      <c r="L127" s="730">
        <f t="shared" si="8"/>
        <v>38.099999999999994</v>
      </c>
      <c r="M127" s="730">
        <f t="shared" si="8"/>
        <v>101.6</v>
      </c>
      <c r="N127" s="730">
        <f t="shared" si="8"/>
        <v>53.974999999999994</v>
      </c>
      <c r="O127" s="730">
        <f t="shared" si="8"/>
        <v>53.974999999999994</v>
      </c>
      <c r="P127" s="730">
        <f t="shared" si="8"/>
        <v>190.5</v>
      </c>
      <c r="Q127" s="742" t="s">
        <v>17</v>
      </c>
    </row>
    <row r="128" spans="1:17" x14ac:dyDescent="0.15">
      <c r="A128" s="705">
        <v>3.5</v>
      </c>
      <c r="B128" s="748"/>
      <c r="C128" s="748"/>
      <c r="D128" s="748"/>
      <c r="E128" s="748"/>
      <c r="F128" s="748"/>
      <c r="G128" s="748"/>
      <c r="H128" s="748"/>
      <c r="J128" s="702">
        <f t="shared" si="8"/>
        <v>88.899999999999991</v>
      </c>
      <c r="K128" s="748"/>
      <c r="L128" s="748"/>
      <c r="M128" s="748"/>
      <c r="N128" s="748"/>
      <c r="O128" s="748"/>
      <c r="P128" s="748"/>
      <c r="Q128" s="748"/>
    </row>
    <row r="129" spans="1:17" ht="14" thickBot="1" x14ac:dyDescent="0.2">
      <c r="A129" s="713">
        <v>4</v>
      </c>
      <c r="B129" s="735">
        <v>11.5</v>
      </c>
      <c r="C129" s="734">
        <v>1.75</v>
      </c>
      <c r="D129" s="735">
        <v>4.5</v>
      </c>
      <c r="E129" s="735">
        <v>2.75</v>
      </c>
      <c r="F129" s="735">
        <v>2.75</v>
      </c>
      <c r="G129" s="735">
        <v>9.25</v>
      </c>
      <c r="H129" s="745" t="s">
        <v>44</v>
      </c>
      <c r="J129" s="711">
        <f t="shared" si="8"/>
        <v>101.6</v>
      </c>
      <c r="K129" s="737">
        <f t="shared" si="8"/>
        <v>292.09999999999997</v>
      </c>
      <c r="L129" s="737">
        <f t="shared" si="8"/>
        <v>44.449999999999996</v>
      </c>
      <c r="M129" s="737">
        <f t="shared" si="8"/>
        <v>114.3</v>
      </c>
      <c r="N129" s="737">
        <f t="shared" si="8"/>
        <v>69.849999999999994</v>
      </c>
      <c r="O129" s="737">
        <f t="shared" si="8"/>
        <v>69.849999999999994</v>
      </c>
      <c r="P129" s="737">
        <f t="shared" si="8"/>
        <v>234.95</v>
      </c>
      <c r="Q129" s="745" t="s">
        <v>45</v>
      </c>
    </row>
    <row r="130" spans="1:17" ht="14" thickTop="1" x14ac:dyDescent="0.15">
      <c r="A130" s="712">
        <v>5</v>
      </c>
      <c r="B130" s="741">
        <v>13.75</v>
      </c>
      <c r="C130" s="739">
        <v>2</v>
      </c>
      <c r="D130" s="739">
        <v>5</v>
      </c>
      <c r="E130" s="741">
        <v>3.125</v>
      </c>
      <c r="F130" s="741">
        <v>3.125</v>
      </c>
      <c r="G130" s="741">
        <v>11</v>
      </c>
      <c r="H130" s="742" t="s">
        <v>46</v>
      </c>
      <c r="J130" s="696">
        <f>A130*25.4</f>
        <v>127</v>
      </c>
      <c r="K130" s="726">
        <f>B130*25.4</f>
        <v>349.25</v>
      </c>
      <c r="L130" s="726">
        <f t="shared" si="8"/>
        <v>50.8</v>
      </c>
      <c r="M130" s="726">
        <f t="shared" si="8"/>
        <v>127</v>
      </c>
      <c r="N130" s="726">
        <f t="shared" si="8"/>
        <v>79.375</v>
      </c>
      <c r="O130" s="726">
        <f t="shared" si="8"/>
        <v>79.375</v>
      </c>
      <c r="P130" s="726">
        <f t="shared" si="8"/>
        <v>279.39999999999998</v>
      </c>
      <c r="Q130" s="742" t="s">
        <v>47</v>
      </c>
    </row>
    <row r="131" spans="1:17" x14ac:dyDescent="0.15">
      <c r="A131" s="704">
        <v>6</v>
      </c>
      <c r="B131" s="728">
        <v>15</v>
      </c>
      <c r="C131" s="728">
        <v>2.1875</v>
      </c>
      <c r="D131" s="727">
        <v>5.5</v>
      </c>
      <c r="E131" s="728">
        <v>3.375</v>
      </c>
      <c r="F131" s="728">
        <v>3.375</v>
      </c>
      <c r="G131" s="728">
        <v>12.5</v>
      </c>
      <c r="H131" s="744" t="s">
        <v>28</v>
      </c>
      <c r="J131" s="702">
        <f t="shared" ref="J131:P139" si="9">A131*25.4</f>
        <v>152.39999999999998</v>
      </c>
      <c r="K131" s="732">
        <f t="shared" si="9"/>
        <v>381</v>
      </c>
      <c r="L131" s="730">
        <f t="shared" si="8"/>
        <v>55.5625</v>
      </c>
      <c r="M131" s="730">
        <f t="shared" si="8"/>
        <v>139.69999999999999</v>
      </c>
      <c r="N131" s="730">
        <f t="shared" si="8"/>
        <v>85.724999999999994</v>
      </c>
      <c r="O131" s="730">
        <f t="shared" si="8"/>
        <v>85.724999999999994</v>
      </c>
      <c r="P131" s="730">
        <f t="shared" si="8"/>
        <v>317.5</v>
      </c>
      <c r="Q131" s="744" t="s">
        <v>29</v>
      </c>
    </row>
    <row r="132" spans="1:17" x14ac:dyDescent="0.15">
      <c r="A132" s="704">
        <v>8</v>
      </c>
      <c r="B132" s="727">
        <v>18.5</v>
      </c>
      <c r="C132" s="727">
        <v>2.5</v>
      </c>
      <c r="D132" s="728">
        <v>6.375</v>
      </c>
      <c r="E132" s="728">
        <v>4</v>
      </c>
      <c r="F132" s="728">
        <v>4.5</v>
      </c>
      <c r="G132" s="728">
        <v>15.5</v>
      </c>
      <c r="H132" s="746" t="s">
        <v>48</v>
      </c>
      <c r="J132" s="702">
        <f t="shared" si="9"/>
        <v>203.2</v>
      </c>
      <c r="K132" s="732">
        <f t="shared" si="9"/>
        <v>469.9</v>
      </c>
      <c r="L132" s="730">
        <f t="shared" si="8"/>
        <v>63.5</v>
      </c>
      <c r="M132" s="730">
        <f t="shared" si="8"/>
        <v>161.92499999999998</v>
      </c>
      <c r="N132" s="730">
        <f t="shared" si="8"/>
        <v>101.6</v>
      </c>
      <c r="O132" s="730">
        <f t="shared" si="8"/>
        <v>114.3</v>
      </c>
      <c r="P132" s="730">
        <f t="shared" si="8"/>
        <v>393.7</v>
      </c>
      <c r="Q132" s="746" t="s">
        <v>49</v>
      </c>
    </row>
    <row r="133" spans="1:17" x14ac:dyDescent="0.15">
      <c r="A133" s="704">
        <v>10</v>
      </c>
      <c r="B133" s="728">
        <v>21.5</v>
      </c>
      <c r="C133" s="727">
        <v>2.75</v>
      </c>
      <c r="D133" s="728">
        <v>7.25</v>
      </c>
      <c r="E133" s="728">
        <v>4.25</v>
      </c>
      <c r="F133" s="728">
        <v>5</v>
      </c>
      <c r="G133" s="728">
        <v>18.5</v>
      </c>
      <c r="H133" s="746" t="s">
        <v>50</v>
      </c>
      <c r="J133" s="702">
        <f t="shared" si="9"/>
        <v>254</v>
      </c>
      <c r="K133" s="732">
        <f t="shared" si="9"/>
        <v>546.1</v>
      </c>
      <c r="L133" s="730">
        <f t="shared" si="8"/>
        <v>69.849999999999994</v>
      </c>
      <c r="M133" s="730">
        <f t="shared" si="8"/>
        <v>184.14999999999998</v>
      </c>
      <c r="N133" s="730">
        <f t="shared" si="8"/>
        <v>107.94999999999999</v>
      </c>
      <c r="O133" s="730">
        <f t="shared" si="8"/>
        <v>127</v>
      </c>
      <c r="P133" s="730">
        <f t="shared" si="8"/>
        <v>469.9</v>
      </c>
      <c r="Q133" s="746" t="s">
        <v>51</v>
      </c>
    </row>
    <row r="134" spans="1:17" ht="14" thickBot="1" x14ac:dyDescent="0.2">
      <c r="A134" s="713">
        <v>12</v>
      </c>
      <c r="B134" s="735">
        <v>24</v>
      </c>
      <c r="C134" s="734">
        <v>3.125</v>
      </c>
      <c r="D134" s="734">
        <v>7.875</v>
      </c>
      <c r="E134" s="735">
        <v>4.625</v>
      </c>
      <c r="F134" s="735">
        <v>5.625</v>
      </c>
      <c r="G134" s="735">
        <v>21</v>
      </c>
      <c r="H134" s="745" t="s">
        <v>20</v>
      </c>
      <c r="J134" s="711">
        <f t="shared" si="9"/>
        <v>304.79999999999995</v>
      </c>
      <c r="K134" s="737">
        <f t="shared" si="9"/>
        <v>609.59999999999991</v>
      </c>
      <c r="L134" s="737">
        <f t="shared" si="8"/>
        <v>79.375</v>
      </c>
      <c r="M134" s="737">
        <f t="shared" si="8"/>
        <v>200.02499999999998</v>
      </c>
      <c r="N134" s="737">
        <f t="shared" si="8"/>
        <v>117.47499999999999</v>
      </c>
      <c r="O134" s="737">
        <f t="shared" si="8"/>
        <v>142.875</v>
      </c>
      <c r="P134" s="737">
        <f t="shared" si="8"/>
        <v>533.4</v>
      </c>
      <c r="Q134" s="745" t="s">
        <v>21</v>
      </c>
    </row>
    <row r="135" spans="1:17" ht="14" thickTop="1" x14ac:dyDescent="0.15">
      <c r="A135" s="712">
        <v>14</v>
      </c>
      <c r="B135" s="741">
        <v>25.25</v>
      </c>
      <c r="C135" s="739">
        <v>3.375</v>
      </c>
      <c r="D135" s="741">
        <v>8.375</v>
      </c>
      <c r="E135" s="741">
        <v>5.125</v>
      </c>
      <c r="F135" s="741">
        <v>6.125</v>
      </c>
      <c r="G135" s="741">
        <v>22</v>
      </c>
      <c r="H135" s="742" t="s">
        <v>30</v>
      </c>
      <c r="J135" s="696">
        <f t="shared" si="9"/>
        <v>355.59999999999997</v>
      </c>
      <c r="K135" s="726">
        <f t="shared" si="9"/>
        <v>641.34999999999991</v>
      </c>
      <c r="L135" s="726">
        <f t="shared" si="8"/>
        <v>85.724999999999994</v>
      </c>
      <c r="M135" s="726">
        <f t="shared" si="8"/>
        <v>212.72499999999999</v>
      </c>
      <c r="N135" s="726">
        <f t="shared" si="8"/>
        <v>130.17499999999998</v>
      </c>
      <c r="O135" s="726">
        <f t="shared" si="8"/>
        <v>155.57499999999999</v>
      </c>
      <c r="P135" s="726">
        <f t="shared" si="8"/>
        <v>558.79999999999995</v>
      </c>
      <c r="Q135" s="742" t="s">
        <v>31</v>
      </c>
    </row>
    <row r="136" spans="1:17" x14ac:dyDescent="0.15">
      <c r="A136" s="704">
        <v>16</v>
      </c>
      <c r="B136" s="727">
        <v>27.75</v>
      </c>
      <c r="C136" s="727">
        <v>3.5</v>
      </c>
      <c r="D136" s="728">
        <v>8.5</v>
      </c>
      <c r="E136" s="728">
        <v>5.25</v>
      </c>
      <c r="F136" s="728">
        <v>6.5</v>
      </c>
      <c r="G136" s="728">
        <v>24.25</v>
      </c>
      <c r="H136" s="744" t="s">
        <v>32</v>
      </c>
      <c r="J136" s="702">
        <f t="shared" si="9"/>
        <v>406.4</v>
      </c>
      <c r="K136" s="732">
        <f t="shared" si="9"/>
        <v>704.84999999999991</v>
      </c>
      <c r="L136" s="730">
        <f t="shared" si="9"/>
        <v>88.899999999999991</v>
      </c>
      <c r="M136" s="730">
        <f t="shared" si="9"/>
        <v>215.89999999999998</v>
      </c>
      <c r="N136" s="730">
        <f t="shared" si="9"/>
        <v>133.35</v>
      </c>
      <c r="O136" s="730">
        <f t="shared" si="9"/>
        <v>165.1</v>
      </c>
      <c r="P136" s="730">
        <f t="shared" si="9"/>
        <v>615.94999999999993</v>
      </c>
      <c r="Q136" s="744" t="s">
        <v>33</v>
      </c>
    </row>
    <row r="137" spans="1:17" x14ac:dyDescent="0.15">
      <c r="A137" s="704">
        <v>18</v>
      </c>
      <c r="B137" s="728">
        <v>31</v>
      </c>
      <c r="C137" s="727">
        <v>4</v>
      </c>
      <c r="D137" s="727">
        <v>9</v>
      </c>
      <c r="E137" s="728">
        <v>6</v>
      </c>
      <c r="F137" s="728">
        <v>7.5</v>
      </c>
      <c r="G137" s="728">
        <v>27</v>
      </c>
      <c r="H137" s="744" t="s">
        <v>52</v>
      </c>
      <c r="J137" s="702">
        <f t="shared" si="9"/>
        <v>457.2</v>
      </c>
      <c r="K137" s="732">
        <f t="shared" si="9"/>
        <v>787.4</v>
      </c>
      <c r="L137" s="730">
        <f t="shared" si="9"/>
        <v>101.6</v>
      </c>
      <c r="M137" s="730">
        <f t="shared" si="9"/>
        <v>228.6</v>
      </c>
      <c r="N137" s="730">
        <f t="shared" si="9"/>
        <v>152.39999999999998</v>
      </c>
      <c r="O137" s="730">
        <f t="shared" si="9"/>
        <v>190.5</v>
      </c>
      <c r="P137" s="730">
        <f t="shared" si="9"/>
        <v>685.8</v>
      </c>
      <c r="Q137" s="744" t="s">
        <v>53</v>
      </c>
    </row>
    <row r="138" spans="1:17" x14ac:dyDescent="0.15">
      <c r="A138" s="704">
        <v>20</v>
      </c>
      <c r="B138" s="727">
        <v>33.75</v>
      </c>
      <c r="C138" s="727">
        <v>4.25</v>
      </c>
      <c r="D138" s="727">
        <v>9.75</v>
      </c>
      <c r="E138" s="728">
        <v>6.25</v>
      </c>
      <c r="F138" s="728">
        <v>8.25</v>
      </c>
      <c r="G138" s="728">
        <v>29.5</v>
      </c>
      <c r="H138" s="744" t="s">
        <v>54</v>
      </c>
      <c r="J138" s="702">
        <f t="shared" si="9"/>
        <v>508</v>
      </c>
      <c r="K138" s="732">
        <f t="shared" si="9"/>
        <v>857.25</v>
      </c>
      <c r="L138" s="730">
        <f t="shared" si="9"/>
        <v>107.94999999999999</v>
      </c>
      <c r="M138" s="730">
        <f t="shared" si="9"/>
        <v>247.64999999999998</v>
      </c>
      <c r="N138" s="730">
        <f t="shared" si="9"/>
        <v>158.75</v>
      </c>
      <c r="O138" s="730">
        <f t="shared" si="9"/>
        <v>209.54999999999998</v>
      </c>
      <c r="P138" s="730">
        <f t="shared" si="9"/>
        <v>749.3</v>
      </c>
      <c r="Q138" s="744" t="s">
        <v>55</v>
      </c>
    </row>
    <row r="139" spans="1:17" ht="14" thickBot="1" x14ac:dyDescent="0.2">
      <c r="A139" s="713">
        <v>24</v>
      </c>
      <c r="B139" s="735">
        <v>41</v>
      </c>
      <c r="C139" s="734">
        <v>5.5</v>
      </c>
      <c r="D139" s="735">
        <v>11.5</v>
      </c>
      <c r="E139" s="735">
        <v>8</v>
      </c>
      <c r="F139" s="735">
        <v>10.5</v>
      </c>
      <c r="G139" s="735">
        <v>35.5</v>
      </c>
      <c r="H139" s="745" t="s">
        <v>56</v>
      </c>
      <c r="J139" s="711">
        <f t="shared" si="9"/>
        <v>609.59999999999991</v>
      </c>
      <c r="K139" s="737">
        <f t="shared" si="9"/>
        <v>1041.3999999999999</v>
      </c>
      <c r="L139" s="737">
        <f t="shared" si="9"/>
        <v>139.69999999999999</v>
      </c>
      <c r="M139" s="737">
        <f t="shared" si="9"/>
        <v>292.09999999999997</v>
      </c>
      <c r="N139" s="737">
        <f t="shared" si="9"/>
        <v>203.2</v>
      </c>
      <c r="O139" s="737">
        <f t="shared" si="9"/>
        <v>266.7</v>
      </c>
      <c r="P139" s="737">
        <f t="shared" si="9"/>
        <v>901.69999999999993</v>
      </c>
      <c r="Q139" s="745" t="s">
        <v>57</v>
      </c>
    </row>
    <row r="140" spans="1:17" ht="14" thickTop="1" x14ac:dyDescent="0.15"/>
    <row r="141" spans="1:17" ht="14" thickBot="1" x14ac:dyDescent="0.2">
      <c r="A141" s="187" t="s">
        <v>89</v>
      </c>
      <c r="J141" s="187" t="s">
        <v>90</v>
      </c>
    </row>
    <row r="142" spans="1:17" ht="15" thickTop="1" thickBot="1" x14ac:dyDescent="0.2">
      <c r="A142" s="610"/>
      <c r="B142" s="718"/>
      <c r="C142" s="719"/>
      <c r="D142" s="750" t="s">
        <v>86</v>
      </c>
      <c r="E142" s="719"/>
      <c r="F142" s="719"/>
      <c r="G142" s="719"/>
      <c r="H142" s="720"/>
      <c r="J142" s="610"/>
      <c r="K142" s="718"/>
      <c r="L142" s="719"/>
      <c r="M142" s="750" t="s">
        <v>87</v>
      </c>
      <c r="N142" s="719"/>
      <c r="O142" s="719"/>
      <c r="P142" s="719"/>
      <c r="Q142" s="720"/>
    </row>
    <row r="143" spans="1:17" ht="18" thickTop="1" thickBot="1" x14ac:dyDescent="0.25">
      <c r="A143" s="498" t="s">
        <v>1818</v>
      </c>
      <c r="B143" s="610"/>
      <c r="C143" s="610"/>
      <c r="D143" s="721" t="s">
        <v>88</v>
      </c>
      <c r="E143" s="721"/>
      <c r="F143" s="719"/>
      <c r="G143" s="720"/>
      <c r="H143" s="690" t="s">
        <v>1871</v>
      </c>
      <c r="J143" s="498" t="s">
        <v>1818</v>
      </c>
      <c r="K143" s="610"/>
      <c r="L143" s="610"/>
      <c r="M143" s="721" t="s">
        <v>88</v>
      </c>
      <c r="N143" s="721"/>
      <c r="O143" s="719"/>
      <c r="P143" s="720"/>
      <c r="Q143" s="690" t="s">
        <v>1871</v>
      </c>
    </row>
    <row r="144" spans="1:17" ht="19" thickTop="1" x14ac:dyDescent="0.2">
      <c r="A144" s="498" t="s">
        <v>1507</v>
      </c>
      <c r="B144" s="612" t="s">
        <v>1872</v>
      </c>
      <c r="C144" s="612" t="s">
        <v>1730</v>
      </c>
      <c r="D144" s="690" t="s">
        <v>1873</v>
      </c>
      <c r="E144" s="690" t="s">
        <v>1874</v>
      </c>
      <c r="F144" s="690" t="s">
        <v>1875</v>
      </c>
      <c r="G144" s="690" t="s">
        <v>1052</v>
      </c>
      <c r="H144" s="501" t="s">
        <v>1876</v>
      </c>
      <c r="J144" s="498" t="s">
        <v>1507</v>
      </c>
      <c r="K144" s="612" t="s">
        <v>1872</v>
      </c>
      <c r="L144" s="612" t="s">
        <v>1730</v>
      </c>
      <c r="M144" s="690" t="s">
        <v>1873</v>
      </c>
      <c r="N144" s="690" t="s">
        <v>1874</v>
      </c>
      <c r="O144" s="690" t="s">
        <v>1875</v>
      </c>
      <c r="P144" s="690" t="s">
        <v>1052</v>
      </c>
      <c r="Q144" s="501" t="s">
        <v>1876</v>
      </c>
    </row>
    <row r="145" spans="1:17" ht="14" thickBot="1" x14ac:dyDescent="0.2">
      <c r="A145" s="505" t="s">
        <v>845</v>
      </c>
      <c r="B145" s="507" t="s">
        <v>1877</v>
      </c>
      <c r="C145" s="507" t="s">
        <v>1877</v>
      </c>
      <c r="D145" s="688" t="s">
        <v>1878</v>
      </c>
      <c r="E145" s="688" t="s">
        <v>1879</v>
      </c>
      <c r="F145" s="688" t="s">
        <v>1880</v>
      </c>
      <c r="G145" s="688" t="s">
        <v>1881</v>
      </c>
      <c r="H145" s="688" t="s">
        <v>1882</v>
      </c>
      <c r="J145" s="505" t="s">
        <v>845</v>
      </c>
      <c r="K145" s="505" t="s">
        <v>1754</v>
      </c>
      <c r="L145" s="505" t="s">
        <v>1754</v>
      </c>
      <c r="M145" s="688" t="s">
        <v>1878</v>
      </c>
      <c r="N145" s="688" t="s">
        <v>1879</v>
      </c>
      <c r="O145" s="688" t="s">
        <v>1880</v>
      </c>
      <c r="P145" s="688" t="s">
        <v>1881</v>
      </c>
      <c r="Q145" s="688" t="s">
        <v>1882</v>
      </c>
    </row>
    <row r="146" spans="1:17" ht="14" thickTop="1" x14ac:dyDescent="0.15">
      <c r="A146" s="691">
        <v>0.5</v>
      </c>
      <c r="B146" s="722">
        <v>4.75</v>
      </c>
      <c r="C146" s="723">
        <v>0.875</v>
      </c>
      <c r="D146" s="723">
        <v>2.375</v>
      </c>
      <c r="E146" s="723">
        <v>1.25</v>
      </c>
      <c r="F146" s="723">
        <v>1.25</v>
      </c>
      <c r="G146" s="723">
        <v>3.25</v>
      </c>
      <c r="H146" s="725" t="s">
        <v>38</v>
      </c>
      <c r="J146" s="696">
        <f t="shared" ref="J146:P161" si="10">A146*25.4</f>
        <v>12.7</v>
      </c>
      <c r="K146" s="726">
        <f t="shared" si="10"/>
        <v>120.64999999999999</v>
      </c>
      <c r="L146" s="726">
        <f t="shared" si="10"/>
        <v>22.224999999999998</v>
      </c>
      <c r="M146" s="726">
        <f t="shared" si="10"/>
        <v>60.324999999999996</v>
      </c>
      <c r="N146" s="726">
        <f t="shared" si="10"/>
        <v>31.75</v>
      </c>
      <c r="O146" s="726">
        <f t="shared" si="10"/>
        <v>31.75</v>
      </c>
      <c r="P146" s="726">
        <f t="shared" si="10"/>
        <v>82.55</v>
      </c>
      <c r="Q146" s="725" t="s">
        <v>39</v>
      </c>
    </row>
    <row r="147" spans="1:17" x14ac:dyDescent="0.15">
      <c r="A147" s="698">
        <v>0.75</v>
      </c>
      <c r="B147" s="727">
        <v>5.125</v>
      </c>
      <c r="C147" s="727">
        <v>1</v>
      </c>
      <c r="D147" s="727">
        <v>2.75</v>
      </c>
      <c r="E147" s="727">
        <v>1.375</v>
      </c>
      <c r="F147" s="728">
        <v>1.375</v>
      </c>
      <c r="G147" s="728">
        <v>3.5</v>
      </c>
      <c r="H147" s="729" t="s">
        <v>38</v>
      </c>
      <c r="J147" s="702">
        <f t="shared" si="10"/>
        <v>19.049999999999997</v>
      </c>
      <c r="K147" s="730">
        <f t="shared" si="10"/>
        <v>130.17499999999998</v>
      </c>
      <c r="L147" s="730">
        <f t="shared" si="10"/>
        <v>25.4</v>
      </c>
      <c r="M147" s="730">
        <f t="shared" si="10"/>
        <v>69.849999999999994</v>
      </c>
      <c r="N147" s="730">
        <f t="shared" si="10"/>
        <v>34.924999999999997</v>
      </c>
      <c r="O147" s="730">
        <f t="shared" si="10"/>
        <v>34.924999999999997</v>
      </c>
      <c r="P147" s="730">
        <f t="shared" si="10"/>
        <v>88.899999999999991</v>
      </c>
      <c r="Q147" s="729" t="s">
        <v>9</v>
      </c>
    </row>
    <row r="148" spans="1:17" x14ac:dyDescent="0.15">
      <c r="A148" s="704">
        <v>1</v>
      </c>
      <c r="B148" s="727">
        <v>5.875</v>
      </c>
      <c r="C148" s="727">
        <v>1.125</v>
      </c>
      <c r="D148" s="727">
        <v>2.875</v>
      </c>
      <c r="E148" s="728">
        <v>1.625</v>
      </c>
      <c r="F148" s="728">
        <v>1.625</v>
      </c>
      <c r="G148" s="728">
        <v>4</v>
      </c>
      <c r="H148" s="729" t="s">
        <v>40</v>
      </c>
      <c r="J148" s="702">
        <f t="shared" si="10"/>
        <v>25.4</v>
      </c>
      <c r="K148" s="730">
        <f t="shared" si="10"/>
        <v>149.22499999999999</v>
      </c>
      <c r="L148" s="730">
        <f t="shared" si="10"/>
        <v>28.574999999999999</v>
      </c>
      <c r="M148" s="730">
        <f t="shared" si="10"/>
        <v>73.024999999999991</v>
      </c>
      <c r="N148" s="730">
        <f t="shared" si="10"/>
        <v>41.274999999999999</v>
      </c>
      <c r="O148" s="730">
        <f t="shared" si="10"/>
        <v>41.274999999999999</v>
      </c>
      <c r="P148" s="730">
        <f t="shared" si="10"/>
        <v>101.6</v>
      </c>
      <c r="Q148" s="729" t="s">
        <v>41</v>
      </c>
    </row>
    <row r="149" spans="1:17" x14ac:dyDescent="0.15">
      <c r="A149" s="705">
        <v>1.25</v>
      </c>
      <c r="B149" s="727">
        <v>6.25</v>
      </c>
      <c r="C149" s="727">
        <v>1.125</v>
      </c>
      <c r="D149" s="727">
        <v>2.875</v>
      </c>
      <c r="E149" s="728">
        <v>1.625</v>
      </c>
      <c r="F149" s="728">
        <v>1.625</v>
      </c>
      <c r="G149" s="728">
        <v>4.375</v>
      </c>
      <c r="H149" s="729" t="s">
        <v>40</v>
      </c>
      <c r="J149" s="702">
        <f t="shared" si="10"/>
        <v>31.75</v>
      </c>
      <c r="K149" s="732">
        <f t="shared" si="10"/>
        <v>158.75</v>
      </c>
      <c r="L149" s="730">
        <f t="shared" si="10"/>
        <v>28.574999999999999</v>
      </c>
      <c r="M149" s="730">
        <f t="shared" si="10"/>
        <v>73.024999999999991</v>
      </c>
      <c r="N149" s="730">
        <f t="shared" si="10"/>
        <v>41.274999999999999</v>
      </c>
      <c r="O149" s="730">
        <f t="shared" si="10"/>
        <v>41.274999999999999</v>
      </c>
      <c r="P149" s="730">
        <f t="shared" si="10"/>
        <v>111.125</v>
      </c>
      <c r="Q149" s="729" t="s">
        <v>41</v>
      </c>
    </row>
    <row r="150" spans="1:17" ht="14" thickBot="1" x14ac:dyDescent="0.2">
      <c r="A150" s="706">
        <v>1.5</v>
      </c>
      <c r="B150" s="735">
        <v>7</v>
      </c>
      <c r="C150" s="734">
        <v>1.25</v>
      </c>
      <c r="D150" s="734">
        <v>3.25</v>
      </c>
      <c r="E150" s="735">
        <v>1.75</v>
      </c>
      <c r="F150" s="735">
        <v>1.75</v>
      </c>
      <c r="G150" s="735">
        <v>4.875</v>
      </c>
      <c r="H150" s="736" t="s">
        <v>42</v>
      </c>
      <c r="J150" s="711">
        <f t="shared" si="10"/>
        <v>38.099999999999994</v>
      </c>
      <c r="K150" s="737">
        <f t="shared" si="10"/>
        <v>177.79999999999998</v>
      </c>
      <c r="L150" s="737">
        <f t="shared" si="10"/>
        <v>31.75</v>
      </c>
      <c r="M150" s="737">
        <f t="shared" si="10"/>
        <v>82.55</v>
      </c>
      <c r="N150" s="737">
        <f t="shared" si="10"/>
        <v>44.449999999999996</v>
      </c>
      <c r="O150" s="737">
        <f t="shared" si="10"/>
        <v>44.449999999999996</v>
      </c>
      <c r="P150" s="737">
        <f t="shared" si="10"/>
        <v>123.82499999999999</v>
      </c>
      <c r="Q150" s="736" t="s">
        <v>43</v>
      </c>
    </row>
    <row r="151" spans="1:17" ht="14" thickTop="1" x14ac:dyDescent="0.15">
      <c r="A151" s="712">
        <v>2</v>
      </c>
      <c r="B151" s="741">
        <v>8.5</v>
      </c>
      <c r="C151" s="739">
        <v>1.5</v>
      </c>
      <c r="D151" s="739">
        <v>4</v>
      </c>
      <c r="E151" s="741">
        <v>2.25</v>
      </c>
      <c r="F151" s="741">
        <v>2.25</v>
      </c>
      <c r="G151" s="741">
        <v>6.5</v>
      </c>
      <c r="H151" s="742" t="s">
        <v>16</v>
      </c>
      <c r="J151" s="696">
        <f t="shared" si="10"/>
        <v>50.8</v>
      </c>
      <c r="K151" s="726">
        <f t="shared" si="10"/>
        <v>215.89999999999998</v>
      </c>
      <c r="L151" s="726">
        <f t="shared" si="10"/>
        <v>38.099999999999994</v>
      </c>
      <c r="M151" s="726">
        <f t="shared" si="10"/>
        <v>101.6</v>
      </c>
      <c r="N151" s="726">
        <f t="shared" si="10"/>
        <v>57.15</v>
      </c>
      <c r="O151" s="726">
        <f t="shared" si="10"/>
        <v>57.15</v>
      </c>
      <c r="P151" s="726">
        <f t="shared" si="10"/>
        <v>165.1</v>
      </c>
      <c r="Q151" s="742" t="s">
        <v>17</v>
      </c>
    </row>
    <row r="152" spans="1:17" x14ac:dyDescent="0.15">
      <c r="A152" s="705">
        <v>2.5</v>
      </c>
      <c r="B152" s="728">
        <v>9.625</v>
      </c>
      <c r="C152" s="727">
        <v>1.625</v>
      </c>
      <c r="D152" s="727">
        <v>4.125</v>
      </c>
      <c r="E152" s="728">
        <v>2.5</v>
      </c>
      <c r="F152" s="728">
        <v>2.5</v>
      </c>
      <c r="G152" s="728">
        <v>7.5</v>
      </c>
      <c r="H152" s="742" t="s">
        <v>26</v>
      </c>
      <c r="J152" s="702">
        <f t="shared" si="10"/>
        <v>63.5</v>
      </c>
      <c r="K152" s="730">
        <f>B152*25.4</f>
        <v>244.47499999999999</v>
      </c>
      <c r="L152" s="730">
        <f t="shared" si="10"/>
        <v>41.274999999999999</v>
      </c>
      <c r="M152" s="730">
        <f t="shared" si="10"/>
        <v>104.77499999999999</v>
      </c>
      <c r="N152" s="730">
        <f t="shared" si="10"/>
        <v>63.5</v>
      </c>
      <c r="O152" s="730">
        <f t="shared" si="10"/>
        <v>63.5</v>
      </c>
      <c r="P152" s="730">
        <f t="shared" si="10"/>
        <v>190.5</v>
      </c>
      <c r="Q152" s="742" t="s">
        <v>27</v>
      </c>
    </row>
    <row r="153" spans="1:17" x14ac:dyDescent="0.15">
      <c r="A153" s="704">
        <v>3</v>
      </c>
      <c r="B153" s="727">
        <v>10.5</v>
      </c>
      <c r="C153" s="727">
        <v>1.875</v>
      </c>
      <c r="D153" s="727">
        <v>4.625</v>
      </c>
      <c r="E153" s="728">
        <v>2.875</v>
      </c>
      <c r="F153" s="728">
        <v>2.875</v>
      </c>
      <c r="G153" s="728">
        <v>8</v>
      </c>
      <c r="H153" s="742" t="s">
        <v>44</v>
      </c>
      <c r="J153" s="702">
        <f t="shared" si="10"/>
        <v>76.199999999999989</v>
      </c>
      <c r="K153" s="730">
        <f>B153*25.4</f>
        <v>266.7</v>
      </c>
      <c r="L153" s="730">
        <f t="shared" si="10"/>
        <v>47.625</v>
      </c>
      <c r="M153" s="730">
        <f t="shared" si="10"/>
        <v>117.47499999999999</v>
      </c>
      <c r="N153" s="730">
        <f t="shared" si="10"/>
        <v>73.024999999999991</v>
      </c>
      <c r="O153" s="730">
        <f t="shared" si="10"/>
        <v>73.024999999999991</v>
      </c>
      <c r="P153" s="730">
        <f t="shared" si="10"/>
        <v>203.2</v>
      </c>
      <c r="Q153" s="742" t="s">
        <v>45</v>
      </c>
    </row>
    <row r="154" spans="1:17" x14ac:dyDescent="0.15">
      <c r="A154" s="705">
        <v>3.5</v>
      </c>
      <c r="B154" s="748"/>
      <c r="C154" s="748"/>
      <c r="D154" s="748"/>
      <c r="E154" s="748"/>
      <c r="F154" s="748"/>
      <c r="G154" s="748"/>
      <c r="H154" s="748"/>
      <c r="J154" s="702">
        <f t="shared" si="10"/>
        <v>88.899999999999991</v>
      </c>
      <c r="K154" s="748"/>
      <c r="L154" s="748"/>
      <c r="M154" s="748"/>
      <c r="N154" s="748"/>
      <c r="O154" s="748"/>
      <c r="P154" s="748"/>
      <c r="Q154" s="748"/>
    </row>
    <row r="155" spans="1:17" ht="14" thickBot="1" x14ac:dyDescent="0.2">
      <c r="A155" s="713">
        <v>4</v>
      </c>
      <c r="B155" s="735">
        <v>12.25</v>
      </c>
      <c r="C155" s="734">
        <v>2.125</v>
      </c>
      <c r="D155" s="735">
        <v>4.875</v>
      </c>
      <c r="E155" s="735">
        <v>3.5625</v>
      </c>
      <c r="F155" s="735">
        <v>3.5625</v>
      </c>
      <c r="G155" s="735">
        <v>9.5</v>
      </c>
      <c r="H155" s="745" t="s">
        <v>46</v>
      </c>
      <c r="J155" s="711">
        <f t="shared" si="10"/>
        <v>101.6</v>
      </c>
      <c r="K155" s="737">
        <f t="shared" si="10"/>
        <v>311.14999999999998</v>
      </c>
      <c r="L155" s="737">
        <f t="shared" si="10"/>
        <v>53.974999999999994</v>
      </c>
      <c r="M155" s="737">
        <f t="shared" si="10"/>
        <v>123.82499999999999</v>
      </c>
      <c r="N155" s="737">
        <f t="shared" si="10"/>
        <v>90.487499999999997</v>
      </c>
      <c r="O155" s="737">
        <f t="shared" si="10"/>
        <v>90.487499999999997</v>
      </c>
      <c r="P155" s="737">
        <f t="shared" si="10"/>
        <v>241.29999999999998</v>
      </c>
      <c r="Q155" s="745" t="s">
        <v>47</v>
      </c>
    </row>
    <row r="156" spans="1:17" ht="14" thickTop="1" x14ac:dyDescent="0.15">
      <c r="A156" s="712">
        <v>5</v>
      </c>
      <c r="B156" s="741">
        <v>14.75</v>
      </c>
      <c r="C156" s="739">
        <v>2.875</v>
      </c>
      <c r="D156" s="739">
        <v>6.125</v>
      </c>
      <c r="E156" s="741">
        <v>4.125</v>
      </c>
      <c r="F156" s="741">
        <v>4.125</v>
      </c>
      <c r="G156" s="741">
        <v>11.5</v>
      </c>
      <c r="H156" s="742" t="s">
        <v>58</v>
      </c>
      <c r="J156" s="696">
        <f>A156*25.4</f>
        <v>127</v>
      </c>
      <c r="K156" s="726">
        <f>B156*25.4</f>
        <v>374.65</v>
      </c>
      <c r="L156" s="726">
        <f t="shared" si="10"/>
        <v>73.024999999999991</v>
      </c>
      <c r="M156" s="726">
        <f t="shared" si="10"/>
        <v>155.57499999999999</v>
      </c>
      <c r="N156" s="726">
        <f t="shared" si="10"/>
        <v>104.77499999999999</v>
      </c>
      <c r="O156" s="726">
        <f t="shared" si="10"/>
        <v>104.77499999999999</v>
      </c>
      <c r="P156" s="726">
        <f t="shared" si="10"/>
        <v>292.09999999999997</v>
      </c>
      <c r="Q156" s="742" t="s">
        <v>59</v>
      </c>
    </row>
    <row r="157" spans="1:17" x14ac:dyDescent="0.15">
      <c r="A157" s="704">
        <v>6</v>
      </c>
      <c r="B157" s="728">
        <v>15.5</v>
      </c>
      <c r="C157" s="728">
        <v>3.25</v>
      </c>
      <c r="D157" s="727">
        <v>6.75</v>
      </c>
      <c r="E157" s="728">
        <v>4.6875</v>
      </c>
      <c r="F157" s="728">
        <v>4.6875</v>
      </c>
      <c r="G157" s="728">
        <v>12.5</v>
      </c>
      <c r="H157" s="744" t="s">
        <v>48</v>
      </c>
      <c r="J157" s="702">
        <f t="shared" ref="J157:P165" si="11">A157*25.4</f>
        <v>152.39999999999998</v>
      </c>
      <c r="K157" s="732">
        <f t="shared" si="11"/>
        <v>393.7</v>
      </c>
      <c r="L157" s="730">
        <f t="shared" si="10"/>
        <v>82.55</v>
      </c>
      <c r="M157" s="730">
        <f t="shared" si="10"/>
        <v>171.45</v>
      </c>
      <c r="N157" s="730">
        <f t="shared" si="10"/>
        <v>119.0625</v>
      </c>
      <c r="O157" s="730">
        <f t="shared" si="10"/>
        <v>119.0625</v>
      </c>
      <c r="P157" s="730">
        <f t="shared" si="10"/>
        <v>317.5</v>
      </c>
      <c r="Q157" s="744" t="s">
        <v>49</v>
      </c>
    </row>
    <row r="158" spans="1:17" x14ac:dyDescent="0.15">
      <c r="A158" s="704">
        <v>8</v>
      </c>
      <c r="B158" s="727">
        <v>19</v>
      </c>
      <c r="C158" s="727">
        <v>3.625</v>
      </c>
      <c r="D158" s="728">
        <v>8.375</v>
      </c>
      <c r="E158" s="728">
        <v>5.625</v>
      </c>
      <c r="F158" s="728">
        <v>5.625</v>
      </c>
      <c r="G158" s="728">
        <v>15.5</v>
      </c>
      <c r="H158" s="746" t="s">
        <v>60</v>
      </c>
      <c r="J158" s="702">
        <f t="shared" si="11"/>
        <v>203.2</v>
      </c>
      <c r="K158" s="732">
        <f t="shared" si="11"/>
        <v>482.59999999999997</v>
      </c>
      <c r="L158" s="730">
        <f t="shared" si="10"/>
        <v>92.074999999999989</v>
      </c>
      <c r="M158" s="730">
        <f t="shared" si="10"/>
        <v>212.72499999999999</v>
      </c>
      <c r="N158" s="730">
        <f t="shared" si="10"/>
        <v>142.875</v>
      </c>
      <c r="O158" s="730">
        <f t="shared" si="10"/>
        <v>142.875</v>
      </c>
      <c r="P158" s="730">
        <f t="shared" si="10"/>
        <v>393.7</v>
      </c>
      <c r="Q158" s="746" t="s">
        <v>61</v>
      </c>
    </row>
    <row r="159" spans="1:17" x14ac:dyDescent="0.15">
      <c r="A159" s="704">
        <v>10</v>
      </c>
      <c r="B159" s="728">
        <v>23</v>
      </c>
      <c r="C159" s="727">
        <v>4.25</v>
      </c>
      <c r="D159" s="728">
        <v>10</v>
      </c>
      <c r="E159" s="728">
        <v>6.25</v>
      </c>
      <c r="F159" s="728">
        <v>7</v>
      </c>
      <c r="G159" s="728">
        <v>19</v>
      </c>
      <c r="H159" s="746" t="s">
        <v>62</v>
      </c>
      <c r="J159" s="702">
        <f t="shared" si="11"/>
        <v>254</v>
      </c>
      <c r="K159" s="732">
        <f t="shared" si="11"/>
        <v>584.19999999999993</v>
      </c>
      <c r="L159" s="730">
        <f t="shared" si="10"/>
        <v>107.94999999999999</v>
      </c>
      <c r="M159" s="730">
        <f t="shared" si="10"/>
        <v>254</v>
      </c>
      <c r="N159" s="730">
        <f t="shared" si="10"/>
        <v>158.75</v>
      </c>
      <c r="O159" s="730">
        <f t="shared" si="10"/>
        <v>177.79999999999998</v>
      </c>
      <c r="P159" s="730">
        <f t="shared" si="10"/>
        <v>482.59999999999997</v>
      </c>
      <c r="Q159" s="746" t="s">
        <v>63</v>
      </c>
    </row>
    <row r="160" spans="1:17" ht="14" thickBot="1" x14ac:dyDescent="0.2">
      <c r="A160" s="713">
        <v>12</v>
      </c>
      <c r="B160" s="735">
        <v>26.5</v>
      </c>
      <c r="C160" s="734">
        <v>4.875</v>
      </c>
      <c r="D160" s="734">
        <v>11.125</v>
      </c>
      <c r="E160" s="735">
        <v>7.125</v>
      </c>
      <c r="F160" s="735">
        <v>8.625</v>
      </c>
      <c r="G160" s="735">
        <v>22.5</v>
      </c>
      <c r="H160" s="745" t="s">
        <v>64</v>
      </c>
      <c r="J160" s="711">
        <f t="shared" si="11"/>
        <v>304.79999999999995</v>
      </c>
      <c r="K160" s="737">
        <f t="shared" si="11"/>
        <v>673.09999999999991</v>
      </c>
      <c r="L160" s="737">
        <f t="shared" si="10"/>
        <v>123.82499999999999</v>
      </c>
      <c r="M160" s="737">
        <f t="shared" si="10"/>
        <v>282.57499999999999</v>
      </c>
      <c r="N160" s="737">
        <f t="shared" si="10"/>
        <v>180.97499999999999</v>
      </c>
      <c r="O160" s="737">
        <f t="shared" si="10"/>
        <v>219.07499999999999</v>
      </c>
      <c r="P160" s="737">
        <f t="shared" si="10"/>
        <v>571.5</v>
      </c>
      <c r="Q160" s="745" t="s">
        <v>65</v>
      </c>
    </row>
    <row r="161" spans="1:17" ht="14" thickTop="1" x14ac:dyDescent="0.15">
      <c r="A161" s="712">
        <v>14</v>
      </c>
      <c r="B161" s="741">
        <v>29.5</v>
      </c>
      <c r="C161" s="739">
        <v>5.25</v>
      </c>
      <c r="D161" s="741">
        <v>11.75</v>
      </c>
      <c r="E161" s="748"/>
      <c r="F161" s="741">
        <v>9.5</v>
      </c>
      <c r="G161" s="741">
        <v>25</v>
      </c>
      <c r="H161" s="742" t="s">
        <v>66</v>
      </c>
      <c r="J161" s="696">
        <f t="shared" si="11"/>
        <v>355.59999999999997</v>
      </c>
      <c r="K161" s="726">
        <f t="shared" si="11"/>
        <v>749.3</v>
      </c>
      <c r="L161" s="726">
        <f t="shared" si="10"/>
        <v>133.35</v>
      </c>
      <c r="M161" s="726">
        <f t="shared" si="10"/>
        <v>298.45</v>
      </c>
      <c r="N161" s="726">
        <f t="shared" si="10"/>
        <v>0</v>
      </c>
      <c r="O161" s="726">
        <f t="shared" si="10"/>
        <v>241.29999999999998</v>
      </c>
      <c r="P161" s="726">
        <f t="shared" si="10"/>
        <v>635</v>
      </c>
      <c r="Q161" s="742" t="s">
        <v>67</v>
      </c>
    </row>
    <row r="162" spans="1:17" x14ac:dyDescent="0.15">
      <c r="A162" s="704">
        <v>16</v>
      </c>
      <c r="B162" s="727">
        <v>32.5</v>
      </c>
      <c r="C162" s="727">
        <v>5.75</v>
      </c>
      <c r="D162" s="728">
        <v>12.25</v>
      </c>
      <c r="E162" s="748"/>
      <c r="F162" s="728">
        <v>10.25</v>
      </c>
      <c r="G162" s="728">
        <v>27.75</v>
      </c>
      <c r="H162" s="744" t="s">
        <v>68</v>
      </c>
      <c r="J162" s="702">
        <f t="shared" si="11"/>
        <v>406.4</v>
      </c>
      <c r="K162" s="732">
        <f t="shared" si="11"/>
        <v>825.5</v>
      </c>
      <c r="L162" s="730">
        <f t="shared" si="11"/>
        <v>146.04999999999998</v>
      </c>
      <c r="M162" s="730">
        <f t="shared" si="11"/>
        <v>311.14999999999998</v>
      </c>
      <c r="N162" s="730">
        <f t="shared" si="11"/>
        <v>0</v>
      </c>
      <c r="O162" s="730">
        <f t="shared" si="11"/>
        <v>260.34999999999997</v>
      </c>
      <c r="P162" s="730">
        <f t="shared" si="11"/>
        <v>704.84999999999991</v>
      </c>
      <c r="Q162" s="744" t="s">
        <v>69</v>
      </c>
    </row>
    <row r="163" spans="1:17" x14ac:dyDescent="0.15">
      <c r="A163" s="704">
        <v>18</v>
      </c>
      <c r="B163" s="728">
        <v>36</v>
      </c>
      <c r="C163" s="727">
        <v>6.375</v>
      </c>
      <c r="D163" s="727">
        <v>12.875</v>
      </c>
      <c r="E163" s="748"/>
      <c r="F163" s="728">
        <v>10.875</v>
      </c>
      <c r="G163" s="728">
        <v>30.5</v>
      </c>
      <c r="H163" s="744" t="s">
        <v>70</v>
      </c>
      <c r="J163" s="702">
        <f t="shared" si="11"/>
        <v>457.2</v>
      </c>
      <c r="K163" s="732">
        <f t="shared" si="11"/>
        <v>914.4</v>
      </c>
      <c r="L163" s="730">
        <f t="shared" si="11"/>
        <v>161.92499999999998</v>
      </c>
      <c r="M163" s="730">
        <f t="shared" si="11"/>
        <v>327.02499999999998</v>
      </c>
      <c r="N163" s="730">
        <f t="shared" si="11"/>
        <v>0</v>
      </c>
      <c r="O163" s="730">
        <f t="shared" si="11"/>
        <v>276.22499999999997</v>
      </c>
      <c r="P163" s="730">
        <f t="shared" si="11"/>
        <v>774.69999999999993</v>
      </c>
      <c r="Q163" s="744" t="s">
        <v>71</v>
      </c>
    </row>
    <row r="164" spans="1:17" x14ac:dyDescent="0.15">
      <c r="A164" s="704">
        <v>20</v>
      </c>
      <c r="B164" s="727">
        <v>38.75</v>
      </c>
      <c r="C164" s="727">
        <v>7</v>
      </c>
      <c r="D164" s="727">
        <v>14</v>
      </c>
      <c r="E164" s="748"/>
      <c r="F164" s="728">
        <v>11.5</v>
      </c>
      <c r="G164" s="728">
        <v>32.75</v>
      </c>
      <c r="H164" s="744" t="s">
        <v>72</v>
      </c>
      <c r="J164" s="702">
        <f t="shared" si="11"/>
        <v>508</v>
      </c>
      <c r="K164" s="732">
        <f t="shared" si="11"/>
        <v>984.25</v>
      </c>
      <c r="L164" s="730">
        <f t="shared" si="11"/>
        <v>177.79999999999998</v>
      </c>
      <c r="M164" s="730">
        <f t="shared" si="11"/>
        <v>355.59999999999997</v>
      </c>
      <c r="N164" s="730">
        <f t="shared" si="11"/>
        <v>0</v>
      </c>
      <c r="O164" s="730">
        <f t="shared" si="11"/>
        <v>292.09999999999997</v>
      </c>
      <c r="P164" s="730">
        <f t="shared" si="11"/>
        <v>831.84999999999991</v>
      </c>
      <c r="Q164" s="744" t="s">
        <v>73</v>
      </c>
    </row>
    <row r="165" spans="1:17" ht="14" thickBot="1" x14ac:dyDescent="0.2">
      <c r="A165" s="713">
        <v>24</v>
      </c>
      <c r="B165" s="735">
        <v>46</v>
      </c>
      <c r="C165" s="734">
        <v>8</v>
      </c>
      <c r="D165" s="735">
        <v>16</v>
      </c>
      <c r="E165" s="749"/>
      <c r="F165" s="735">
        <v>13</v>
      </c>
      <c r="G165" s="735">
        <v>39</v>
      </c>
      <c r="H165" s="745" t="s">
        <v>74</v>
      </c>
      <c r="J165" s="711">
        <f t="shared" si="11"/>
        <v>609.59999999999991</v>
      </c>
      <c r="K165" s="737">
        <f t="shared" si="11"/>
        <v>1168.3999999999999</v>
      </c>
      <c r="L165" s="737">
        <f t="shared" si="11"/>
        <v>203.2</v>
      </c>
      <c r="M165" s="737">
        <f t="shared" si="11"/>
        <v>406.4</v>
      </c>
      <c r="N165" s="737">
        <f t="shared" si="11"/>
        <v>0</v>
      </c>
      <c r="O165" s="737">
        <f t="shared" si="11"/>
        <v>330.2</v>
      </c>
      <c r="P165" s="737">
        <f t="shared" si="11"/>
        <v>990.59999999999991</v>
      </c>
      <c r="Q165" s="745" t="s">
        <v>75</v>
      </c>
    </row>
    <row r="166" spans="1:17" ht="14" thickTop="1" x14ac:dyDescent="0.15"/>
  </sheetData>
  <phoneticPr fontId="80" type="noConversion"/>
  <pageMargins left="0.75" right="0.75" top="1" bottom="1" header="0.5" footer="0.5"/>
  <pageSetup orientation="portrait"/>
  <headerFooter alignWithMargins="0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4E2C5-2DFF-1049-BC06-EDE2D922D118}">
  <dimension ref="A3:M188"/>
  <sheetViews>
    <sheetView showGridLines="0" tabSelected="1" topLeftCell="A101" workbookViewId="0"/>
  </sheetViews>
  <sheetFormatPr baseColWidth="10" defaultColWidth="8.83203125" defaultRowHeight="13" x14ac:dyDescent="0.15"/>
  <cols>
    <col min="1" max="5" width="8.83203125" customWidth="1"/>
    <col min="6" max="6" width="10.6640625" customWidth="1"/>
    <col min="7" max="12" width="8.83203125" customWidth="1"/>
    <col min="13" max="13" width="10.5" customWidth="1"/>
  </cols>
  <sheetData>
    <row r="3" spans="1:13" ht="20" x14ac:dyDescent="0.2">
      <c r="D3" s="689"/>
      <c r="E3" s="463" t="s">
        <v>1849</v>
      </c>
    </row>
    <row r="4" spans="1:13" ht="17" thickBot="1" x14ac:dyDescent="0.25">
      <c r="C4" s="35" t="s">
        <v>1756</v>
      </c>
      <c r="J4" s="35" t="s">
        <v>1757</v>
      </c>
    </row>
    <row r="5" spans="1:13" ht="14" thickTop="1" x14ac:dyDescent="0.15">
      <c r="A5" s="490" t="s">
        <v>1818</v>
      </c>
      <c r="B5" s="690" t="s">
        <v>1850</v>
      </c>
      <c r="C5" s="690" t="s">
        <v>1850</v>
      </c>
      <c r="D5" s="690" t="s">
        <v>1850</v>
      </c>
      <c r="E5" s="690" t="s">
        <v>1850</v>
      </c>
      <c r="F5" s="690" t="s">
        <v>1850</v>
      </c>
      <c r="G5" s="28"/>
      <c r="H5" s="490" t="s">
        <v>1818</v>
      </c>
      <c r="I5" s="690" t="s">
        <v>1850</v>
      </c>
      <c r="J5" s="690" t="s">
        <v>1850</v>
      </c>
      <c r="K5" s="690" t="s">
        <v>1850</v>
      </c>
      <c r="L5" s="690" t="s">
        <v>1850</v>
      </c>
      <c r="M5" s="690" t="s">
        <v>1850</v>
      </c>
    </row>
    <row r="6" spans="1:13" x14ac:dyDescent="0.15">
      <c r="A6" s="498" t="s">
        <v>1507</v>
      </c>
      <c r="B6" s="501" t="s">
        <v>1851</v>
      </c>
      <c r="C6" s="501" t="s">
        <v>1852</v>
      </c>
      <c r="D6" s="501" t="s">
        <v>1853</v>
      </c>
      <c r="E6" s="501" t="s">
        <v>1854</v>
      </c>
      <c r="F6" s="501" t="s">
        <v>1855</v>
      </c>
      <c r="G6" s="28"/>
      <c r="H6" s="498" t="s">
        <v>1507</v>
      </c>
      <c r="I6" s="501" t="s">
        <v>1851</v>
      </c>
      <c r="J6" s="501" t="s">
        <v>1852</v>
      </c>
      <c r="K6" s="501" t="s">
        <v>1853</v>
      </c>
      <c r="L6" s="501" t="s">
        <v>1854</v>
      </c>
      <c r="M6" s="501" t="s">
        <v>1855</v>
      </c>
    </row>
    <row r="7" spans="1:13" x14ac:dyDescent="0.15">
      <c r="A7" s="498" t="s">
        <v>845</v>
      </c>
      <c r="B7" s="501" t="s">
        <v>1856</v>
      </c>
      <c r="C7" s="501" t="s">
        <v>1856</v>
      </c>
      <c r="D7" s="501" t="s">
        <v>1856</v>
      </c>
      <c r="E7" s="501" t="s">
        <v>1856</v>
      </c>
      <c r="F7" s="501" t="s">
        <v>1856</v>
      </c>
      <c r="G7" s="28"/>
      <c r="H7" s="498" t="s">
        <v>845</v>
      </c>
      <c r="I7" s="501" t="s">
        <v>1856</v>
      </c>
      <c r="J7" s="501" t="s">
        <v>1856</v>
      </c>
      <c r="K7" s="501" t="s">
        <v>1856</v>
      </c>
      <c r="L7" s="501" t="s">
        <v>1856</v>
      </c>
      <c r="M7" s="501" t="s">
        <v>1856</v>
      </c>
    </row>
    <row r="8" spans="1:13" ht="14" thickBot="1" x14ac:dyDescent="0.2">
      <c r="A8" s="505" t="s">
        <v>1753</v>
      </c>
      <c r="B8" s="688" t="s">
        <v>1857</v>
      </c>
      <c r="C8" s="688" t="s">
        <v>1857</v>
      </c>
      <c r="D8" s="688" t="s">
        <v>1857</v>
      </c>
      <c r="E8" s="688" t="s">
        <v>1857</v>
      </c>
      <c r="F8" s="688" t="s">
        <v>1857</v>
      </c>
      <c r="G8" s="28"/>
      <c r="H8" s="505" t="s">
        <v>1754</v>
      </c>
      <c r="I8" s="505" t="s">
        <v>1791</v>
      </c>
      <c r="J8" s="505" t="s">
        <v>1791</v>
      </c>
      <c r="K8" s="505" t="s">
        <v>1791</v>
      </c>
      <c r="L8" s="505" t="s">
        <v>1791</v>
      </c>
      <c r="M8" s="505" t="s">
        <v>1791</v>
      </c>
    </row>
    <row r="9" spans="1:13" ht="14" thickTop="1" x14ac:dyDescent="0.15">
      <c r="A9" s="691">
        <v>0.5</v>
      </c>
      <c r="B9" s="692">
        <v>2</v>
      </c>
      <c r="C9" s="693">
        <v>1</v>
      </c>
      <c r="D9" s="694">
        <v>1</v>
      </c>
      <c r="E9" s="693">
        <v>1</v>
      </c>
      <c r="F9" s="695">
        <v>2</v>
      </c>
      <c r="H9" s="696">
        <f>A9*25.4</f>
        <v>12.7</v>
      </c>
      <c r="I9" s="697">
        <f>B9*0.4535924</f>
        <v>0.90718480000000001</v>
      </c>
      <c r="J9" s="697">
        <f>C9*0.4535924</f>
        <v>0.45359240000000001</v>
      </c>
      <c r="K9" s="697">
        <f>D9*0.4535924</f>
        <v>0.45359240000000001</v>
      </c>
      <c r="L9" s="697">
        <f>E9*0.4535924</f>
        <v>0.45359240000000001</v>
      </c>
      <c r="M9" s="697">
        <f>F9*0.4535924</f>
        <v>0.90718480000000001</v>
      </c>
    </row>
    <row r="10" spans="1:13" x14ac:dyDescent="0.15">
      <c r="A10" s="698">
        <v>0.75</v>
      </c>
      <c r="B10" s="699">
        <v>2</v>
      </c>
      <c r="C10" s="700">
        <v>1.5</v>
      </c>
      <c r="D10" s="76">
        <v>1.5</v>
      </c>
      <c r="E10" s="700">
        <v>1.5</v>
      </c>
      <c r="F10" s="701">
        <v>2</v>
      </c>
      <c r="H10" s="702">
        <f>A10*25.4</f>
        <v>19.049999999999997</v>
      </c>
      <c r="I10" s="703">
        <f t="shared" ref="I10:M13" si="0">B10*0.4535924</f>
        <v>0.90718480000000001</v>
      </c>
      <c r="J10" s="703">
        <f t="shared" si="0"/>
        <v>0.68038860000000001</v>
      </c>
      <c r="K10" s="703">
        <f t="shared" si="0"/>
        <v>0.68038860000000001</v>
      </c>
      <c r="L10" s="703">
        <f t="shared" si="0"/>
        <v>0.68038860000000001</v>
      </c>
      <c r="M10" s="703">
        <f t="shared" si="0"/>
        <v>0.90718480000000001</v>
      </c>
    </row>
    <row r="11" spans="1:13" x14ac:dyDescent="0.15">
      <c r="A11" s="704">
        <v>1</v>
      </c>
      <c r="B11" s="699">
        <v>2.5</v>
      </c>
      <c r="C11" s="700">
        <v>2</v>
      </c>
      <c r="D11" s="76">
        <v>2</v>
      </c>
      <c r="E11" s="700">
        <v>2</v>
      </c>
      <c r="F11" s="701">
        <v>2</v>
      </c>
      <c r="H11" s="702">
        <f>A11*25.4</f>
        <v>25.4</v>
      </c>
      <c r="I11" s="703">
        <f t="shared" si="0"/>
        <v>1.1339809999999999</v>
      </c>
      <c r="J11" s="703">
        <f t="shared" si="0"/>
        <v>0.90718480000000001</v>
      </c>
      <c r="K11" s="703">
        <f t="shared" si="0"/>
        <v>0.90718480000000001</v>
      </c>
      <c r="L11" s="703">
        <f t="shared" si="0"/>
        <v>0.90718480000000001</v>
      </c>
      <c r="M11" s="703">
        <f t="shared" si="0"/>
        <v>0.90718480000000001</v>
      </c>
    </row>
    <row r="12" spans="1:13" x14ac:dyDescent="0.15">
      <c r="A12" s="705">
        <v>1.25</v>
      </c>
      <c r="B12" s="699">
        <v>2.5</v>
      </c>
      <c r="C12" s="700">
        <v>2.5</v>
      </c>
      <c r="D12" s="76">
        <v>2.5</v>
      </c>
      <c r="E12" s="700">
        <v>2.5</v>
      </c>
      <c r="F12" s="701">
        <v>3</v>
      </c>
      <c r="H12" s="702">
        <f>A12*25.4</f>
        <v>31.75</v>
      </c>
      <c r="I12" s="703">
        <f t="shared" si="0"/>
        <v>1.1339809999999999</v>
      </c>
      <c r="J12" s="703">
        <f t="shared" si="0"/>
        <v>1.1339809999999999</v>
      </c>
      <c r="K12" s="703">
        <f t="shared" si="0"/>
        <v>1.1339809999999999</v>
      </c>
      <c r="L12" s="703">
        <f t="shared" si="0"/>
        <v>1.1339809999999999</v>
      </c>
      <c r="M12" s="703">
        <f t="shared" si="0"/>
        <v>1.3607772</v>
      </c>
    </row>
    <row r="13" spans="1:13" ht="14" thickBot="1" x14ac:dyDescent="0.2">
      <c r="A13" s="706">
        <v>1.5</v>
      </c>
      <c r="B13" s="707">
        <v>4</v>
      </c>
      <c r="C13" s="708">
        <v>3</v>
      </c>
      <c r="D13" s="709">
        <v>3</v>
      </c>
      <c r="E13" s="708">
        <v>3</v>
      </c>
      <c r="F13" s="710">
        <v>3</v>
      </c>
      <c r="H13" s="711">
        <f>A13*25.4</f>
        <v>38.099999999999994</v>
      </c>
      <c r="I13" s="703">
        <f t="shared" si="0"/>
        <v>1.8143696</v>
      </c>
      <c r="J13" s="703">
        <f t="shared" si="0"/>
        <v>1.3607772</v>
      </c>
      <c r="K13" s="703">
        <f t="shared" si="0"/>
        <v>1.3607772</v>
      </c>
      <c r="L13" s="703">
        <f t="shared" si="0"/>
        <v>1.3607772</v>
      </c>
      <c r="M13" s="703">
        <f t="shared" si="0"/>
        <v>1.3607772</v>
      </c>
    </row>
    <row r="14" spans="1:13" ht="14" thickTop="1" x14ac:dyDescent="0.15">
      <c r="A14" s="712">
        <v>2</v>
      </c>
      <c r="B14" s="692">
        <v>6</v>
      </c>
      <c r="C14" s="693">
        <v>5</v>
      </c>
      <c r="D14" s="694">
        <v>5</v>
      </c>
      <c r="E14" s="693">
        <v>5</v>
      </c>
      <c r="F14" s="695">
        <v>4</v>
      </c>
      <c r="H14" s="696">
        <f>A15*25.4</f>
        <v>63.5</v>
      </c>
      <c r="I14" s="697">
        <f>B14*0.4535924</f>
        <v>2.7215544</v>
      </c>
      <c r="J14" s="697">
        <f>C14*0.4535924</f>
        <v>2.2679619999999998</v>
      </c>
      <c r="K14" s="697">
        <f>D14*0.4535924</f>
        <v>2.2679619999999998</v>
      </c>
      <c r="L14" s="697">
        <f>E14*0.4535924</f>
        <v>2.2679619999999998</v>
      </c>
      <c r="M14" s="697">
        <f>F14*0.4535924</f>
        <v>1.8143696</v>
      </c>
    </row>
    <row r="15" spans="1:13" x14ac:dyDescent="0.15">
      <c r="A15" s="705">
        <v>2.5</v>
      </c>
      <c r="B15" s="699">
        <v>10</v>
      </c>
      <c r="C15" s="700">
        <v>8</v>
      </c>
      <c r="D15" s="76">
        <v>8</v>
      </c>
      <c r="E15" s="700">
        <v>8</v>
      </c>
      <c r="F15" s="701">
        <v>7</v>
      </c>
      <c r="H15" s="702">
        <f>A15*25.4</f>
        <v>63.5</v>
      </c>
      <c r="I15" s="703">
        <f t="shared" ref="I15:M18" si="1">B15*0.4535924</f>
        <v>4.5359239999999996</v>
      </c>
      <c r="J15" s="703">
        <f t="shared" si="1"/>
        <v>3.6287392000000001</v>
      </c>
      <c r="K15" s="703">
        <f t="shared" si="1"/>
        <v>3.6287392000000001</v>
      </c>
      <c r="L15" s="703">
        <f t="shared" si="1"/>
        <v>3.6287392000000001</v>
      </c>
      <c r="M15" s="703">
        <f t="shared" si="1"/>
        <v>3.1751468000000003</v>
      </c>
    </row>
    <row r="16" spans="1:13" x14ac:dyDescent="0.15">
      <c r="A16" s="704">
        <v>3</v>
      </c>
      <c r="B16" s="699">
        <v>11.5</v>
      </c>
      <c r="C16" s="700">
        <v>9</v>
      </c>
      <c r="D16" s="76">
        <v>10</v>
      </c>
      <c r="E16" s="700">
        <v>9</v>
      </c>
      <c r="F16" s="701">
        <v>9</v>
      </c>
      <c r="H16" s="702">
        <f>A16*25.4</f>
        <v>76.199999999999989</v>
      </c>
      <c r="I16" s="703">
        <f t="shared" si="1"/>
        <v>5.2163126000000002</v>
      </c>
      <c r="J16" s="703">
        <f t="shared" si="1"/>
        <v>4.0823315999999998</v>
      </c>
      <c r="K16" s="703">
        <f t="shared" si="1"/>
        <v>4.5359239999999996</v>
      </c>
      <c r="L16" s="703">
        <f t="shared" si="1"/>
        <v>4.0823315999999998</v>
      </c>
      <c r="M16" s="703">
        <f t="shared" si="1"/>
        <v>4.0823315999999998</v>
      </c>
    </row>
    <row r="17" spans="1:13" x14ac:dyDescent="0.15">
      <c r="A17" s="705">
        <v>3.5</v>
      </c>
      <c r="B17" s="699">
        <v>12</v>
      </c>
      <c r="C17" s="700">
        <v>11</v>
      </c>
      <c r="D17" s="76">
        <v>12</v>
      </c>
      <c r="E17" s="700">
        <v>11</v>
      </c>
      <c r="F17" s="701">
        <v>13</v>
      </c>
      <c r="H17" s="702">
        <f>A17*25.4</f>
        <v>88.899999999999991</v>
      </c>
      <c r="I17" s="703">
        <f t="shared" si="1"/>
        <v>5.4431088000000001</v>
      </c>
      <c r="J17" s="703">
        <f t="shared" si="1"/>
        <v>4.9895164000000003</v>
      </c>
      <c r="K17" s="703">
        <f t="shared" si="1"/>
        <v>5.4431088000000001</v>
      </c>
      <c r="L17" s="703">
        <f t="shared" si="1"/>
        <v>4.9895164000000003</v>
      </c>
      <c r="M17" s="703">
        <f t="shared" si="1"/>
        <v>5.8967011999999999</v>
      </c>
    </row>
    <row r="18" spans="1:13" ht="14" thickBot="1" x14ac:dyDescent="0.2">
      <c r="A18" s="713">
        <v>4</v>
      </c>
      <c r="B18" s="707">
        <v>16.5</v>
      </c>
      <c r="C18" s="708">
        <v>13</v>
      </c>
      <c r="D18" s="709">
        <v>13</v>
      </c>
      <c r="E18" s="708">
        <v>12</v>
      </c>
      <c r="F18" s="710">
        <v>17</v>
      </c>
      <c r="H18" s="711">
        <f>A18*25.4</f>
        <v>101.6</v>
      </c>
      <c r="I18" s="703">
        <f t="shared" si="1"/>
        <v>7.4842746</v>
      </c>
      <c r="J18" s="703">
        <f t="shared" si="1"/>
        <v>5.8967011999999999</v>
      </c>
      <c r="K18" s="703">
        <f t="shared" si="1"/>
        <v>5.8967011999999999</v>
      </c>
      <c r="L18" s="703">
        <f t="shared" si="1"/>
        <v>5.4431088000000001</v>
      </c>
      <c r="M18" s="703">
        <f t="shared" si="1"/>
        <v>7.7110707999999999</v>
      </c>
    </row>
    <row r="19" spans="1:13" ht="14" thickTop="1" x14ac:dyDescent="0.15">
      <c r="A19" s="712">
        <v>5</v>
      </c>
      <c r="B19" s="692">
        <v>21</v>
      </c>
      <c r="C19" s="693">
        <v>15</v>
      </c>
      <c r="D19" s="694">
        <v>15</v>
      </c>
      <c r="E19" s="693">
        <v>13</v>
      </c>
      <c r="F19" s="695">
        <v>20</v>
      </c>
      <c r="H19" s="696">
        <f>A20*25.4</f>
        <v>152.39999999999998</v>
      </c>
      <c r="I19" s="697">
        <f>B19*0.4535924</f>
        <v>9.5254404000000008</v>
      </c>
      <c r="J19" s="697">
        <f>C19*0.4535924</f>
        <v>6.8038860000000003</v>
      </c>
      <c r="K19" s="697">
        <f>D19*0.4535924</f>
        <v>6.8038860000000003</v>
      </c>
      <c r="L19" s="697">
        <f>E19*0.4535924</f>
        <v>5.8967011999999999</v>
      </c>
      <c r="M19" s="697">
        <f>F19*0.4535924</f>
        <v>9.0718479999999992</v>
      </c>
    </row>
    <row r="20" spans="1:13" x14ac:dyDescent="0.15">
      <c r="A20" s="704">
        <v>6</v>
      </c>
      <c r="B20" s="699">
        <v>26</v>
      </c>
      <c r="C20" s="700">
        <v>17</v>
      </c>
      <c r="D20" s="76">
        <v>19.5</v>
      </c>
      <c r="E20" s="700">
        <v>18</v>
      </c>
      <c r="F20" s="701">
        <v>27</v>
      </c>
      <c r="H20" s="702">
        <f>A20*25.4</f>
        <v>152.39999999999998</v>
      </c>
      <c r="I20" s="703">
        <f t="shared" ref="I20:M23" si="2">B20*0.4535924</f>
        <v>11.7934024</v>
      </c>
      <c r="J20" s="703">
        <f t="shared" si="2"/>
        <v>7.7110707999999999</v>
      </c>
      <c r="K20" s="703">
        <f t="shared" si="2"/>
        <v>8.8450518000000002</v>
      </c>
      <c r="L20" s="703">
        <f t="shared" si="2"/>
        <v>8.1646631999999997</v>
      </c>
      <c r="M20" s="703">
        <f t="shared" si="2"/>
        <v>12.2469948</v>
      </c>
    </row>
    <row r="21" spans="1:13" x14ac:dyDescent="0.15">
      <c r="A21" s="704">
        <v>8</v>
      </c>
      <c r="B21" s="699">
        <v>42</v>
      </c>
      <c r="C21" s="700">
        <v>28</v>
      </c>
      <c r="D21" s="76">
        <v>30</v>
      </c>
      <c r="E21" s="700">
        <v>28</v>
      </c>
      <c r="F21" s="701">
        <v>47</v>
      </c>
      <c r="H21" s="702">
        <f>A21*25.4</f>
        <v>203.2</v>
      </c>
      <c r="I21" s="703">
        <f t="shared" si="2"/>
        <v>19.050880800000002</v>
      </c>
      <c r="J21" s="703">
        <f t="shared" si="2"/>
        <v>12.700587200000001</v>
      </c>
      <c r="K21" s="703">
        <f t="shared" si="2"/>
        <v>13.607772000000001</v>
      </c>
      <c r="L21" s="703">
        <f t="shared" si="2"/>
        <v>12.700587200000001</v>
      </c>
      <c r="M21" s="703">
        <f t="shared" si="2"/>
        <v>21.318842799999999</v>
      </c>
    </row>
    <row r="22" spans="1:13" x14ac:dyDescent="0.15">
      <c r="A22" s="704">
        <v>10</v>
      </c>
      <c r="B22" s="699">
        <v>54</v>
      </c>
      <c r="C22" s="700">
        <v>40</v>
      </c>
      <c r="D22" s="76">
        <v>41</v>
      </c>
      <c r="E22" s="700">
        <v>36</v>
      </c>
      <c r="F22" s="701">
        <v>67</v>
      </c>
      <c r="H22" s="702">
        <f>A22*25.4</f>
        <v>254</v>
      </c>
      <c r="I22" s="703">
        <f t="shared" si="2"/>
        <v>24.493989599999999</v>
      </c>
      <c r="J22" s="703">
        <f t="shared" si="2"/>
        <v>18.143695999999998</v>
      </c>
      <c r="K22" s="703">
        <f t="shared" si="2"/>
        <v>18.5972884</v>
      </c>
      <c r="L22" s="703">
        <f t="shared" si="2"/>
        <v>16.329326399999999</v>
      </c>
      <c r="M22" s="703">
        <f t="shared" si="2"/>
        <v>30.390690800000002</v>
      </c>
    </row>
    <row r="23" spans="1:13" ht="14" thickBot="1" x14ac:dyDescent="0.2">
      <c r="A23" s="713">
        <v>12</v>
      </c>
      <c r="B23" s="707">
        <v>88</v>
      </c>
      <c r="C23" s="708">
        <v>61</v>
      </c>
      <c r="D23" s="709">
        <v>65</v>
      </c>
      <c r="E23" s="708">
        <v>60</v>
      </c>
      <c r="F23" s="710">
        <v>102</v>
      </c>
      <c r="H23" s="711">
        <f>A23*25.4</f>
        <v>304.79999999999995</v>
      </c>
      <c r="I23" s="703">
        <f t="shared" si="2"/>
        <v>39.916131200000002</v>
      </c>
      <c r="J23" s="703">
        <f t="shared" si="2"/>
        <v>27.669136399999999</v>
      </c>
      <c r="K23" s="703">
        <f t="shared" si="2"/>
        <v>29.483506000000002</v>
      </c>
      <c r="L23" s="703">
        <f t="shared" si="2"/>
        <v>27.215544000000001</v>
      </c>
      <c r="M23" s="703">
        <f t="shared" si="2"/>
        <v>46.266424800000003</v>
      </c>
    </row>
    <row r="24" spans="1:13" ht="14" thickTop="1" x14ac:dyDescent="0.15">
      <c r="A24" s="712">
        <v>14</v>
      </c>
      <c r="B24" s="692">
        <v>114</v>
      </c>
      <c r="C24" s="693">
        <v>83</v>
      </c>
      <c r="D24" s="694">
        <v>85</v>
      </c>
      <c r="E24" s="693">
        <v>77</v>
      </c>
      <c r="F24" s="695">
        <v>139</v>
      </c>
      <c r="H24" s="696">
        <f>A25*25.4</f>
        <v>406.4</v>
      </c>
      <c r="I24" s="697">
        <f>B24*0.4535924</f>
        <v>51.7095336</v>
      </c>
      <c r="J24" s="697">
        <f>C24*0.4535924</f>
        <v>37.648169199999998</v>
      </c>
      <c r="K24" s="697">
        <f>D24*0.4535924</f>
        <v>38.555354000000001</v>
      </c>
      <c r="L24" s="697">
        <f>E24*0.4535924</f>
        <v>34.926614800000003</v>
      </c>
      <c r="M24" s="697">
        <f>F24*0.4535924</f>
        <v>63.0493436</v>
      </c>
    </row>
    <row r="25" spans="1:13" x14ac:dyDescent="0.15">
      <c r="A25" s="704">
        <v>16</v>
      </c>
      <c r="B25" s="699">
        <v>142</v>
      </c>
      <c r="C25" s="700">
        <v>106</v>
      </c>
      <c r="D25" s="76">
        <v>93</v>
      </c>
      <c r="E25" s="700">
        <v>104</v>
      </c>
      <c r="F25" s="701">
        <v>187</v>
      </c>
      <c r="H25" s="702">
        <f>A25*25.4</f>
        <v>406.4</v>
      </c>
      <c r="I25" s="703">
        <f t="shared" ref="I25:M28" si="3">B25*0.4535924</f>
        <v>64.410120800000001</v>
      </c>
      <c r="J25" s="703">
        <f t="shared" si="3"/>
        <v>48.080794400000002</v>
      </c>
      <c r="K25" s="703">
        <f t="shared" si="3"/>
        <v>42.1840932</v>
      </c>
      <c r="L25" s="703">
        <f t="shared" si="3"/>
        <v>47.173609599999999</v>
      </c>
      <c r="M25" s="703">
        <f t="shared" si="3"/>
        <v>84.821778800000004</v>
      </c>
    </row>
    <row r="26" spans="1:13" x14ac:dyDescent="0.15">
      <c r="A26" s="704">
        <v>18</v>
      </c>
      <c r="B26" s="699">
        <v>165</v>
      </c>
      <c r="C26" s="700">
        <v>109</v>
      </c>
      <c r="D26" s="76">
        <v>120</v>
      </c>
      <c r="E26" s="700">
        <v>146</v>
      </c>
      <c r="F26" s="701">
        <v>217</v>
      </c>
      <c r="H26" s="702">
        <f>A26*25.4</f>
        <v>457.2</v>
      </c>
      <c r="I26" s="703">
        <f t="shared" si="3"/>
        <v>74.842746000000005</v>
      </c>
      <c r="J26" s="703">
        <f t="shared" si="3"/>
        <v>49.441571600000003</v>
      </c>
      <c r="K26" s="703">
        <f t="shared" si="3"/>
        <v>54.431088000000003</v>
      </c>
      <c r="L26" s="703">
        <f t="shared" si="3"/>
        <v>66.224490400000008</v>
      </c>
      <c r="M26" s="703">
        <f t="shared" si="3"/>
        <v>98.429550800000001</v>
      </c>
    </row>
    <row r="27" spans="1:13" x14ac:dyDescent="0.15">
      <c r="A27" s="704">
        <v>20</v>
      </c>
      <c r="B27" s="699">
        <v>197</v>
      </c>
      <c r="C27" s="700">
        <v>148</v>
      </c>
      <c r="D27" s="76">
        <v>155</v>
      </c>
      <c r="E27" s="700">
        <v>159</v>
      </c>
      <c r="F27" s="701">
        <v>283</v>
      </c>
      <c r="H27" s="702">
        <f>A27*25.4</f>
        <v>508</v>
      </c>
      <c r="I27" s="703">
        <f t="shared" si="3"/>
        <v>89.357702799999998</v>
      </c>
      <c r="J27" s="703">
        <f t="shared" si="3"/>
        <v>67.131675200000004</v>
      </c>
      <c r="K27" s="703">
        <f t="shared" si="3"/>
        <v>70.306821999999997</v>
      </c>
      <c r="L27" s="703">
        <f t="shared" si="3"/>
        <v>72.121191600000003</v>
      </c>
      <c r="M27" s="703">
        <f t="shared" si="3"/>
        <v>128.36664920000001</v>
      </c>
    </row>
    <row r="28" spans="1:13" ht="14" thickBot="1" x14ac:dyDescent="0.2">
      <c r="A28" s="713">
        <v>24</v>
      </c>
      <c r="B28" s="707">
        <v>268</v>
      </c>
      <c r="C28" s="708">
        <v>204</v>
      </c>
      <c r="D28" s="709">
        <v>210</v>
      </c>
      <c r="E28" s="708">
        <v>195</v>
      </c>
      <c r="F28" s="710">
        <v>415</v>
      </c>
      <c r="H28" s="711">
        <f>A28*25.4</f>
        <v>609.59999999999991</v>
      </c>
      <c r="I28" s="714">
        <f t="shared" si="3"/>
        <v>121.56276320000001</v>
      </c>
      <c r="J28" s="714">
        <f t="shared" si="3"/>
        <v>92.532849600000006</v>
      </c>
      <c r="K28" s="714">
        <f t="shared" si="3"/>
        <v>95.254404000000008</v>
      </c>
      <c r="L28" s="714">
        <f t="shared" si="3"/>
        <v>88.450518000000002</v>
      </c>
      <c r="M28" s="714">
        <f t="shared" si="3"/>
        <v>188.240846</v>
      </c>
    </row>
    <row r="29" spans="1:13" ht="14" thickTop="1" x14ac:dyDescent="0.15"/>
    <row r="30" spans="1:13" ht="20" x14ac:dyDescent="0.2">
      <c r="D30" s="689"/>
      <c r="E30" s="463" t="s">
        <v>1858</v>
      </c>
    </row>
    <row r="31" spans="1:13" ht="17" thickBot="1" x14ac:dyDescent="0.25">
      <c r="C31" s="35" t="s">
        <v>1756</v>
      </c>
      <c r="J31" s="35" t="s">
        <v>1757</v>
      </c>
    </row>
    <row r="32" spans="1:13" ht="14" thickTop="1" x14ac:dyDescent="0.15">
      <c r="A32" s="490" t="s">
        <v>1818</v>
      </c>
      <c r="B32" s="690" t="s">
        <v>1859</v>
      </c>
      <c r="C32" s="690" t="s">
        <v>1859</v>
      </c>
      <c r="D32" s="690" t="s">
        <v>1859</v>
      </c>
      <c r="E32" s="690" t="s">
        <v>1859</v>
      </c>
      <c r="F32" s="690" t="s">
        <v>1859</v>
      </c>
      <c r="G32" s="28"/>
      <c r="H32" s="490" t="s">
        <v>1818</v>
      </c>
      <c r="I32" s="690" t="s">
        <v>1859</v>
      </c>
      <c r="J32" s="690" t="s">
        <v>1859</v>
      </c>
      <c r="K32" s="690" t="s">
        <v>1859</v>
      </c>
      <c r="L32" s="690" t="s">
        <v>1859</v>
      </c>
      <c r="M32" s="690" t="s">
        <v>1859</v>
      </c>
    </row>
    <row r="33" spans="1:13" x14ac:dyDescent="0.15">
      <c r="A33" s="498" t="s">
        <v>1507</v>
      </c>
      <c r="B33" s="501" t="s">
        <v>1851</v>
      </c>
      <c r="C33" s="501" t="s">
        <v>1852</v>
      </c>
      <c r="D33" s="501" t="s">
        <v>1853</v>
      </c>
      <c r="E33" s="501" t="s">
        <v>1854</v>
      </c>
      <c r="F33" s="501" t="s">
        <v>1855</v>
      </c>
      <c r="G33" s="28"/>
      <c r="H33" s="498" t="s">
        <v>1507</v>
      </c>
      <c r="I33" s="501" t="s">
        <v>1851</v>
      </c>
      <c r="J33" s="501" t="s">
        <v>1852</v>
      </c>
      <c r="K33" s="501" t="s">
        <v>1853</v>
      </c>
      <c r="L33" s="501" t="s">
        <v>1854</v>
      </c>
      <c r="M33" s="501" t="s">
        <v>1855</v>
      </c>
    </row>
    <row r="34" spans="1:13" x14ac:dyDescent="0.15">
      <c r="A34" s="498" t="s">
        <v>845</v>
      </c>
      <c r="B34" s="501" t="s">
        <v>1856</v>
      </c>
      <c r="C34" s="501" t="s">
        <v>1856</v>
      </c>
      <c r="D34" s="501" t="s">
        <v>1856</v>
      </c>
      <c r="E34" s="501" t="s">
        <v>1856</v>
      </c>
      <c r="F34" s="501" t="s">
        <v>1856</v>
      </c>
      <c r="G34" s="28"/>
      <c r="H34" s="498" t="s">
        <v>845</v>
      </c>
      <c r="I34" s="501" t="s">
        <v>1856</v>
      </c>
      <c r="J34" s="501" t="s">
        <v>1856</v>
      </c>
      <c r="K34" s="501" t="s">
        <v>1856</v>
      </c>
      <c r="L34" s="501" t="s">
        <v>1856</v>
      </c>
      <c r="M34" s="501" t="s">
        <v>1856</v>
      </c>
    </row>
    <row r="35" spans="1:13" ht="14" thickBot="1" x14ac:dyDescent="0.2">
      <c r="A35" s="505" t="s">
        <v>1753</v>
      </c>
      <c r="B35" s="688" t="s">
        <v>1857</v>
      </c>
      <c r="C35" s="688" t="s">
        <v>1857</v>
      </c>
      <c r="D35" s="688" t="s">
        <v>1857</v>
      </c>
      <c r="E35" s="688" t="s">
        <v>1857</v>
      </c>
      <c r="F35" s="688" t="s">
        <v>1857</v>
      </c>
      <c r="G35" s="28"/>
      <c r="H35" s="505" t="s">
        <v>1754</v>
      </c>
      <c r="I35" s="505" t="s">
        <v>1791</v>
      </c>
      <c r="J35" s="505" t="s">
        <v>1791</v>
      </c>
      <c r="K35" s="505" t="s">
        <v>1791</v>
      </c>
      <c r="L35" s="505" t="s">
        <v>1791</v>
      </c>
      <c r="M35" s="505" t="s">
        <v>1791</v>
      </c>
    </row>
    <row r="36" spans="1:13" ht="14" thickTop="1" x14ac:dyDescent="0.15">
      <c r="A36" s="691">
        <v>0.5</v>
      </c>
      <c r="B36" s="692">
        <v>2</v>
      </c>
      <c r="C36" s="693">
        <v>1.5</v>
      </c>
      <c r="D36" s="694">
        <v>1.5</v>
      </c>
      <c r="E36" s="693">
        <v>1.5</v>
      </c>
      <c r="F36" s="695">
        <v>2</v>
      </c>
      <c r="H36" s="696">
        <f>A36*25.4</f>
        <v>12.7</v>
      </c>
      <c r="I36" s="697">
        <f>B36*0.4535924</f>
        <v>0.90718480000000001</v>
      </c>
      <c r="J36" s="697">
        <f>C36*0.4535924</f>
        <v>0.68038860000000001</v>
      </c>
      <c r="K36" s="697">
        <f>D36*0.4535924</f>
        <v>0.68038860000000001</v>
      </c>
      <c r="L36" s="697">
        <f>E36*0.4535924</f>
        <v>0.68038860000000001</v>
      </c>
      <c r="M36" s="697">
        <f>F36*0.4535924</f>
        <v>0.90718480000000001</v>
      </c>
    </row>
    <row r="37" spans="1:13" x14ac:dyDescent="0.15">
      <c r="A37" s="698">
        <v>0.75</v>
      </c>
      <c r="B37" s="699">
        <v>3</v>
      </c>
      <c r="C37" s="700">
        <v>2.5</v>
      </c>
      <c r="D37" s="76">
        <v>2.5</v>
      </c>
      <c r="E37" s="700">
        <v>2.5</v>
      </c>
      <c r="F37" s="701">
        <v>3</v>
      </c>
      <c r="H37" s="702">
        <f>A37*25.4</f>
        <v>19.049999999999997</v>
      </c>
      <c r="I37" s="703">
        <f t="shared" ref="I37:M40" si="4">B37*0.4535924</f>
        <v>1.3607772</v>
      </c>
      <c r="J37" s="703">
        <f t="shared" si="4"/>
        <v>1.1339809999999999</v>
      </c>
      <c r="K37" s="703">
        <f t="shared" si="4"/>
        <v>1.1339809999999999</v>
      </c>
      <c r="L37" s="703">
        <f t="shared" si="4"/>
        <v>1.1339809999999999</v>
      </c>
      <c r="M37" s="703">
        <f t="shared" si="4"/>
        <v>1.3607772</v>
      </c>
    </row>
    <row r="38" spans="1:13" x14ac:dyDescent="0.15">
      <c r="A38" s="704">
        <v>1</v>
      </c>
      <c r="B38" s="699">
        <v>4</v>
      </c>
      <c r="C38" s="700">
        <v>3</v>
      </c>
      <c r="D38" s="76">
        <v>3</v>
      </c>
      <c r="E38" s="700">
        <v>3</v>
      </c>
      <c r="F38" s="701">
        <v>4</v>
      </c>
      <c r="H38" s="702">
        <f>A38*25.4</f>
        <v>25.4</v>
      </c>
      <c r="I38" s="703">
        <f t="shared" si="4"/>
        <v>1.8143696</v>
      </c>
      <c r="J38" s="703">
        <f t="shared" si="4"/>
        <v>1.3607772</v>
      </c>
      <c r="K38" s="703">
        <f t="shared" si="4"/>
        <v>1.3607772</v>
      </c>
      <c r="L38" s="703">
        <f t="shared" si="4"/>
        <v>1.3607772</v>
      </c>
      <c r="M38" s="703">
        <f t="shared" si="4"/>
        <v>1.8143696</v>
      </c>
    </row>
    <row r="39" spans="1:13" x14ac:dyDescent="0.15">
      <c r="A39" s="705">
        <v>1.25</v>
      </c>
      <c r="B39" s="699">
        <v>5</v>
      </c>
      <c r="C39" s="700">
        <v>4.5</v>
      </c>
      <c r="D39" s="76">
        <v>4.5</v>
      </c>
      <c r="E39" s="700">
        <v>4.5</v>
      </c>
      <c r="F39" s="701">
        <v>6</v>
      </c>
      <c r="H39" s="702">
        <f>A39*25.4</f>
        <v>31.75</v>
      </c>
      <c r="I39" s="703">
        <f t="shared" si="4"/>
        <v>2.2679619999999998</v>
      </c>
      <c r="J39" s="703">
        <f t="shared" si="4"/>
        <v>2.0411657999999999</v>
      </c>
      <c r="K39" s="703">
        <f t="shared" si="4"/>
        <v>2.0411657999999999</v>
      </c>
      <c r="L39" s="703">
        <f t="shared" si="4"/>
        <v>2.0411657999999999</v>
      </c>
      <c r="M39" s="703">
        <f t="shared" si="4"/>
        <v>2.7215544</v>
      </c>
    </row>
    <row r="40" spans="1:13" ht="14" thickBot="1" x14ac:dyDescent="0.2">
      <c r="A40" s="706">
        <v>1.5</v>
      </c>
      <c r="B40" s="707">
        <v>7</v>
      </c>
      <c r="C40" s="708">
        <v>6.5</v>
      </c>
      <c r="D40" s="709">
        <v>6.5</v>
      </c>
      <c r="E40" s="708">
        <v>6.5</v>
      </c>
      <c r="F40" s="710">
        <v>7</v>
      </c>
      <c r="H40" s="711">
        <f>A40*25.4</f>
        <v>38.099999999999994</v>
      </c>
      <c r="I40" s="703">
        <f t="shared" si="4"/>
        <v>3.1751468000000003</v>
      </c>
      <c r="J40" s="703">
        <f t="shared" si="4"/>
        <v>2.9483505999999999</v>
      </c>
      <c r="K40" s="703">
        <f t="shared" si="4"/>
        <v>2.9483505999999999</v>
      </c>
      <c r="L40" s="703">
        <f t="shared" si="4"/>
        <v>2.9483505999999999</v>
      </c>
      <c r="M40" s="703">
        <f t="shared" si="4"/>
        <v>3.1751468000000003</v>
      </c>
    </row>
    <row r="41" spans="1:13" ht="14" thickTop="1" x14ac:dyDescent="0.15">
      <c r="A41" s="712">
        <v>2</v>
      </c>
      <c r="B41" s="692">
        <v>8</v>
      </c>
      <c r="C41" s="693">
        <v>7</v>
      </c>
      <c r="D41" s="694">
        <v>7</v>
      </c>
      <c r="E41" s="693">
        <v>7</v>
      </c>
      <c r="F41" s="695">
        <v>8</v>
      </c>
      <c r="H41" s="696">
        <f>A42*25.4</f>
        <v>63.5</v>
      </c>
      <c r="I41" s="697">
        <f>B41*0.4535924</f>
        <v>3.6287392000000001</v>
      </c>
      <c r="J41" s="697">
        <f>C41*0.4535924</f>
        <v>3.1751468000000003</v>
      </c>
      <c r="K41" s="697">
        <f>D41*0.4535924</f>
        <v>3.1751468000000003</v>
      </c>
      <c r="L41" s="697">
        <f>E41*0.4535924</f>
        <v>3.1751468000000003</v>
      </c>
      <c r="M41" s="697">
        <f>F41*0.4535924</f>
        <v>3.6287392000000001</v>
      </c>
    </row>
    <row r="42" spans="1:13" x14ac:dyDescent="0.15">
      <c r="A42" s="705">
        <v>2.5</v>
      </c>
      <c r="B42" s="699">
        <v>12</v>
      </c>
      <c r="C42" s="700">
        <v>10</v>
      </c>
      <c r="D42" s="76">
        <v>10</v>
      </c>
      <c r="E42" s="700">
        <v>10</v>
      </c>
      <c r="F42" s="701">
        <v>12</v>
      </c>
      <c r="H42" s="702">
        <f>A42*25.4</f>
        <v>63.5</v>
      </c>
      <c r="I42" s="703">
        <f t="shared" ref="I42:M45" si="5">B42*0.4535924</f>
        <v>5.4431088000000001</v>
      </c>
      <c r="J42" s="703">
        <f t="shared" si="5"/>
        <v>4.5359239999999996</v>
      </c>
      <c r="K42" s="703">
        <f t="shared" si="5"/>
        <v>4.5359239999999996</v>
      </c>
      <c r="L42" s="703">
        <f t="shared" si="5"/>
        <v>4.5359239999999996</v>
      </c>
      <c r="M42" s="703">
        <f t="shared" si="5"/>
        <v>5.4431088000000001</v>
      </c>
    </row>
    <row r="43" spans="1:13" x14ac:dyDescent="0.15">
      <c r="A43" s="704">
        <v>3</v>
      </c>
      <c r="B43" s="699">
        <v>18</v>
      </c>
      <c r="C43" s="700">
        <v>13</v>
      </c>
      <c r="D43" s="76">
        <v>14</v>
      </c>
      <c r="E43" s="700">
        <v>14.5</v>
      </c>
      <c r="F43" s="701">
        <v>16</v>
      </c>
      <c r="H43" s="702">
        <f>A43*25.4</f>
        <v>76.199999999999989</v>
      </c>
      <c r="I43" s="703">
        <f t="shared" si="5"/>
        <v>8.1646631999999997</v>
      </c>
      <c r="J43" s="703">
        <f t="shared" si="5"/>
        <v>5.8967011999999999</v>
      </c>
      <c r="K43" s="703">
        <f t="shared" si="5"/>
        <v>6.3502936000000005</v>
      </c>
      <c r="L43" s="703">
        <f t="shared" si="5"/>
        <v>6.5770898000000004</v>
      </c>
      <c r="M43" s="703">
        <f t="shared" si="5"/>
        <v>7.2574784000000001</v>
      </c>
    </row>
    <row r="44" spans="1:13" x14ac:dyDescent="0.15">
      <c r="A44" s="705">
        <v>3.5</v>
      </c>
      <c r="B44" s="699">
        <v>20</v>
      </c>
      <c r="C44" s="700">
        <v>16</v>
      </c>
      <c r="D44" s="76">
        <v>16</v>
      </c>
      <c r="E44" s="700">
        <v>16</v>
      </c>
      <c r="F44" s="701">
        <v>21</v>
      </c>
      <c r="H44" s="702">
        <f>A44*25.4</f>
        <v>88.899999999999991</v>
      </c>
      <c r="I44" s="703">
        <f t="shared" si="5"/>
        <v>9.0718479999999992</v>
      </c>
      <c r="J44" s="703">
        <f t="shared" si="5"/>
        <v>7.2574784000000001</v>
      </c>
      <c r="K44" s="703">
        <f t="shared" si="5"/>
        <v>7.2574784000000001</v>
      </c>
      <c r="L44" s="703">
        <f t="shared" si="5"/>
        <v>7.2574784000000001</v>
      </c>
      <c r="M44" s="703">
        <f t="shared" si="5"/>
        <v>9.5254404000000008</v>
      </c>
    </row>
    <row r="45" spans="1:13" ht="14" thickBot="1" x14ac:dyDescent="0.2">
      <c r="A45" s="713">
        <v>4</v>
      </c>
      <c r="B45" s="707">
        <v>26.5</v>
      </c>
      <c r="C45" s="708">
        <v>23.5</v>
      </c>
      <c r="D45" s="709">
        <v>24</v>
      </c>
      <c r="E45" s="708">
        <v>24</v>
      </c>
      <c r="F45" s="710">
        <v>28</v>
      </c>
      <c r="H45" s="711">
        <f>A45*25.4</f>
        <v>101.6</v>
      </c>
      <c r="I45" s="703">
        <f t="shared" si="5"/>
        <v>12.020198600000001</v>
      </c>
      <c r="J45" s="703">
        <f t="shared" si="5"/>
        <v>10.659421399999999</v>
      </c>
      <c r="K45" s="703">
        <f t="shared" si="5"/>
        <v>10.8862176</v>
      </c>
      <c r="L45" s="703">
        <f t="shared" si="5"/>
        <v>10.8862176</v>
      </c>
      <c r="M45" s="703">
        <f t="shared" si="5"/>
        <v>12.700587200000001</v>
      </c>
    </row>
    <row r="46" spans="1:13" ht="14" thickTop="1" x14ac:dyDescent="0.15">
      <c r="A46" s="712">
        <v>5</v>
      </c>
      <c r="B46" s="692">
        <v>36</v>
      </c>
      <c r="C46" s="693">
        <v>29</v>
      </c>
      <c r="D46" s="694">
        <v>31</v>
      </c>
      <c r="E46" s="693">
        <v>26</v>
      </c>
      <c r="F46" s="695">
        <v>37</v>
      </c>
      <c r="H46" s="696">
        <f>A47*25.4</f>
        <v>152.39999999999998</v>
      </c>
      <c r="I46" s="697">
        <f>B46*0.4535924</f>
        <v>16.329326399999999</v>
      </c>
      <c r="J46" s="697">
        <f>C46*0.4535924</f>
        <v>13.154179600000001</v>
      </c>
      <c r="K46" s="697">
        <f>D46*0.4535924</f>
        <v>14.0613644</v>
      </c>
      <c r="L46" s="697">
        <f>E46*0.4535924</f>
        <v>11.7934024</v>
      </c>
      <c r="M46" s="697">
        <f>F46*0.4535924</f>
        <v>16.782918800000001</v>
      </c>
    </row>
    <row r="47" spans="1:13" x14ac:dyDescent="0.15">
      <c r="A47" s="704">
        <v>6</v>
      </c>
      <c r="B47" s="699">
        <v>45</v>
      </c>
      <c r="C47" s="700">
        <v>36</v>
      </c>
      <c r="D47" s="76">
        <v>36</v>
      </c>
      <c r="E47" s="700">
        <v>38</v>
      </c>
      <c r="F47" s="701">
        <v>48</v>
      </c>
      <c r="H47" s="702">
        <f>A47*25.4</f>
        <v>152.39999999999998</v>
      </c>
      <c r="I47" s="703">
        <f t="shared" ref="I47:M50" si="6">B47*0.4535924</f>
        <v>20.411657999999999</v>
      </c>
      <c r="J47" s="703">
        <f t="shared" si="6"/>
        <v>16.329326399999999</v>
      </c>
      <c r="K47" s="703">
        <f t="shared" si="6"/>
        <v>16.329326399999999</v>
      </c>
      <c r="L47" s="703">
        <f t="shared" si="6"/>
        <v>17.236511199999999</v>
      </c>
      <c r="M47" s="703">
        <f t="shared" si="6"/>
        <v>21.7724352</v>
      </c>
    </row>
    <row r="48" spans="1:13" x14ac:dyDescent="0.15">
      <c r="A48" s="704">
        <v>8</v>
      </c>
      <c r="B48" s="699">
        <v>69</v>
      </c>
      <c r="C48" s="700">
        <v>56</v>
      </c>
      <c r="D48" s="76">
        <v>56</v>
      </c>
      <c r="E48" s="700">
        <v>55</v>
      </c>
      <c r="F48" s="701">
        <v>79</v>
      </c>
      <c r="H48" s="702">
        <f>A48*25.4</f>
        <v>203.2</v>
      </c>
      <c r="I48" s="703">
        <f t="shared" si="6"/>
        <v>31.297875600000001</v>
      </c>
      <c r="J48" s="703">
        <f t="shared" si="6"/>
        <v>25.401174400000002</v>
      </c>
      <c r="K48" s="703">
        <f t="shared" si="6"/>
        <v>25.401174400000002</v>
      </c>
      <c r="L48" s="703">
        <f t="shared" si="6"/>
        <v>24.947582000000001</v>
      </c>
      <c r="M48" s="703">
        <f t="shared" si="6"/>
        <v>35.833799599999999</v>
      </c>
    </row>
    <row r="49" spans="1:13" x14ac:dyDescent="0.15">
      <c r="A49" s="704">
        <v>10</v>
      </c>
      <c r="B49" s="699">
        <v>100</v>
      </c>
      <c r="C49" s="700">
        <v>77</v>
      </c>
      <c r="D49" s="76">
        <v>80</v>
      </c>
      <c r="E49" s="700">
        <v>88</v>
      </c>
      <c r="F49" s="701">
        <v>122</v>
      </c>
      <c r="H49" s="702">
        <f>A49*25.4</f>
        <v>254</v>
      </c>
      <c r="I49" s="703">
        <f t="shared" si="6"/>
        <v>45.35924</v>
      </c>
      <c r="J49" s="703">
        <f t="shared" si="6"/>
        <v>34.926614800000003</v>
      </c>
      <c r="K49" s="703">
        <f t="shared" si="6"/>
        <v>36.287391999999997</v>
      </c>
      <c r="L49" s="703">
        <f t="shared" si="6"/>
        <v>39.916131200000002</v>
      </c>
      <c r="M49" s="703">
        <f t="shared" si="6"/>
        <v>55.338272799999999</v>
      </c>
    </row>
    <row r="50" spans="1:13" ht="14" thickBot="1" x14ac:dyDescent="0.2">
      <c r="A50" s="713">
        <v>12</v>
      </c>
      <c r="B50" s="707">
        <v>142</v>
      </c>
      <c r="C50" s="708">
        <v>113</v>
      </c>
      <c r="D50" s="709">
        <v>110</v>
      </c>
      <c r="E50" s="708">
        <v>139</v>
      </c>
      <c r="F50" s="710">
        <v>183</v>
      </c>
      <c r="H50" s="711">
        <f>A50*25.4</f>
        <v>304.79999999999995</v>
      </c>
      <c r="I50" s="703">
        <f t="shared" si="6"/>
        <v>64.410120800000001</v>
      </c>
      <c r="J50" s="703">
        <f t="shared" si="6"/>
        <v>51.255941200000002</v>
      </c>
      <c r="K50" s="703">
        <f t="shared" si="6"/>
        <v>49.895164000000001</v>
      </c>
      <c r="L50" s="703">
        <f t="shared" si="6"/>
        <v>63.0493436</v>
      </c>
      <c r="M50" s="703">
        <f t="shared" si="6"/>
        <v>83.007409199999998</v>
      </c>
    </row>
    <row r="51" spans="1:13" ht="14" thickTop="1" x14ac:dyDescent="0.15">
      <c r="A51" s="712">
        <v>14</v>
      </c>
      <c r="B51" s="692">
        <v>206</v>
      </c>
      <c r="C51" s="693">
        <v>159</v>
      </c>
      <c r="D51" s="694">
        <v>164</v>
      </c>
      <c r="E51" s="693">
        <v>184</v>
      </c>
      <c r="F51" s="695">
        <v>241</v>
      </c>
      <c r="H51" s="696">
        <f>A52*25.4</f>
        <v>406.4</v>
      </c>
      <c r="I51" s="697">
        <f>B51*0.4535924</f>
        <v>93.440034400000002</v>
      </c>
      <c r="J51" s="697">
        <f>C51*0.4535924</f>
        <v>72.121191600000003</v>
      </c>
      <c r="K51" s="697">
        <f>D51*0.4535924</f>
        <v>74.3891536</v>
      </c>
      <c r="L51" s="697">
        <f>E51*0.4535924</f>
        <v>83.461001600000003</v>
      </c>
      <c r="M51" s="697">
        <f>F51*0.4535924</f>
        <v>109.3157684</v>
      </c>
    </row>
    <row r="52" spans="1:13" x14ac:dyDescent="0.15">
      <c r="A52" s="704">
        <v>16</v>
      </c>
      <c r="B52" s="699">
        <v>249</v>
      </c>
      <c r="C52" s="700">
        <v>210</v>
      </c>
      <c r="D52" s="76">
        <v>220</v>
      </c>
      <c r="E52" s="700">
        <v>234</v>
      </c>
      <c r="F52" s="701">
        <v>315</v>
      </c>
      <c r="H52" s="702">
        <f>A52*25.4</f>
        <v>406.4</v>
      </c>
      <c r="I52" s="703">
        <f t="shared" ref="I52:M55" si="7">B52*0.4535924</f>
        <v>112.94450760000001</v>
      </c>
      <c r="J52" s="703">
        <f t="shared" si="7"/>
        <v>95.254404000000008</v>
      </c>
      <c r="K52" s="703">
        <f t="shared" si="7"/>
        <v>99.790328000000002</v>
      </c>
      <c r="L52" s="703">
        <f t="shared" si="7"/>
        <v>106.1406216</v>
      </c>
      <c r="M52" s="703">
        <f t="shared" si="7"/>
        <v>142.881606</v>
      </c>
    </row>
    <row r="53" spans="1:13" x14ac:dyDescent="0.15">
      <c r="A53" s="704">
        <v>18</v>
      </c>
      <c r="B53" s="699">
        <v>306</v>
      </c>
      <c r="C53" s="700">
        <v>253</v>
      </c>
      <c r="D53" s="76">
        <v>280</v>
      </c>
      <c r="E53" s="700">
        <v>305</v>
      </c>
      <c r="F53" s="701">
        <v>414</v>
      </c>
      <c r="H53" s="702">
        <f>A53*25.4</f>
        <v>457.2</v>
      </c>
      <c r="I53" s="703">
        <f t="shared" si="7"/>
        <v>138.7992744</v>
      </c>
      <c r="J53" s="703">
        <f t="shared" si="7"/>
        <v>114.7588772</v>
      </c>
      <c r="K53" s="703">
        <f t="shared" si="7"/>
        <v>127.005872</v>
      </c>
      <c r="L53" s="703">
        <f t="shared" si="7"/>
        <v>138.34568200000001</v>
      </c>
      <c r="M53" s="703">
        <f t="shared" si="7"/>
        <v>187.78725360000001</v>
      </c>
    </row>
    <row r="54" spans="1:13" x14ac:dyDescent="0.15">
      <c r="A54" s="704">
        <v>20</v>
      </c>
      <c r="B54" s="699">
        <v>369</v>
      </c>
      <c r="C54" s="700">
        <v>307</v>
      </c>
      <c r="D54" s="76">
        <v>325</v>
      </c>
      <c r="E54" s="700">
        <v>375</v>
      </c>
      <c r="F54" s="701">
        <v>515</v>
      </c>
      <c r="H54" s="702">
        <f>A54*25.4</f>
        <v>508</v>
      </c>
      <c r="I54" s="703">
        <f t="shared" si="7"/>
        <v>167.3755956</v>
      </c>
      <c r="J54" s="703">
        <f t="shared" si="7"/>
        <v>139.25286679999999</v>
      </c>
      <c r="K54" s="703">
        <f t="shared" si="7"/>
        <v>147.41753</v>
      </c>
      <c r="L54" s="703">
        <f t="shared" si="7"/>
        <v>170.09715</v>
      </c>
      <c r="M54" s="703">
        <f t="shared" si="7"/>
        <v>233.600086</v>
      </c>
    </row>
    <row r="55" spans="1:13" ht="14" thickBot="1" x14ac:dyDescent="0.2">
      <c r="A55" s="713">
        <v>24</v>
      </c>
      <c r="B55" s="707">
        <v>519</v>
      </c>
      <c r="C55" s="708">
        <v>490</v>
      </c>
      <c r="D55" s="709">
        <v>490</v>
      </c>
      <c r="E55" s="708">
        <v>530</v>
      </c>
      <c r="F55" s="710">
        <v>800</v>
      </c>
      <c r="H55" s="711">
        <f>A55*25.4</f>
        <v>609.59999999999991</v>
      </c>
      <c r="I55" s="714">
        <f t="shared" si="7"/>
        <v>235.4144556</v>
      </c>
      <c r="J55" s="714">
        <f t="shared" si="7"/>
        <v>222.260276</v>
      </c>
      <c r="K55" s="714">
        <f t="shared" si="7"/>
        <v>222.260276</v>
      </c>
      <c r="L55" s="714">
        <f t="shared" si="7"/>
        <v>240.40397200000001</v>
      </c>
      <c r="M55" s="714">
        <f t="shared" si="7"/>
        <v>362.87392</v>
      </c>
    </row>
    <row r="56" spans="1:13" ht="14" thickTop="1" x14ac:dyDescent="0.15"/>
    <row r="57" spans="1:13" ht="20" x14ac:dyDescent="0.2">
      <c r="D57" s="689"/>
      <c r="E57" s="463" t="s">
        <v>1860</v>
      </c>
    </row>
    <row r="58" spans="1:13" ht="17" thickBot="1" x14ac:dyDescent="0.25">
      <c r="C58" s="35" t="s">
        <v>1756</v>
      </c>
      <c r="J58" s="35" t="s">
        <v>1757</v>
      </c>
    </row>
    <row r="59" spans="1:13" ht="14" thickTop="1" x14ac:dyDescent="0.15">
      <c r="A59" s="490" t="s">
        <v>1818</v>
      </c>
      <c r="B59" s="690" t="s">
        <v>1861</v>
      </c>
      <c r="C59" s="690" t="s">
        <v>1861</v>
      </c>
      <c r="D59" s="690" t="s">
        <v>1861</v>
      </c>
      <c r="E59" s="690" t="s">
        <v>1861</v>
      </c>
      <c r="F59" s="690" t="s">
        <v>1861</v>
      </c>
      <c r="G59" s="28"/>
      <c r="H59" s="490" t="s">
        <v>1818</v>
      </c>
      <c r="I59" s="690" t="s">
        <v>1861</v>
      </c>
      <c r="J59" s="690" t="s">
        <v>1861</v>
      </c>
      <c r="K59" s="690" t="s">
        <v>1861</v>
      </c>
      <c r="L59" s="690" t="s">
        <v>1861</v>
      </c>
      <c r="M59" s="690" t="s">
        <v>1861</v>
      </c>
    </row>
    <row r="60" spans="1:13" x14ac:dyDescent="0.15">
      <c r="A60" s="498" t="s">
        <v>1507</v>
      </c>
      <c r="B60" s="501" t="s">
        <v>1851</v>
      </c>
      <c r="C60" s="501" t="s">
        <v>1852</v>
      </c>
      <c r="D60" s="501" t="s">
        <v>1853</v>
      </c>
      <c r="E60" s="501" t="s">
        <v>1854</v>
      </c>
      <c r="F60" s="501" t="s">
        <v>1855</v>
      </c>
      <c r="G60" s="28"/>
      <c r="H60" s="498" t="s">
        <v>1507</v>
      </c>
      <c r="I60" s="501" t="s">
        <v>1851</v>
      </c>
      <c r="J60" s="501" t="s">
        <v>1852</v>
      </c>
      <c r="K60" s="501" t="s">
        <v>1853</v>
      </c>
      <c r="L60" s="501" t="s">
        <v>1854</v>
      </c>
      <c r="M60" s="501" t="s">
        <v>1855</v>
      </c>
    </row>
    <row r="61" spans="1:13" x14ac:dyDescent="0.15">
      <c r="A61" s="498" t="s">
        <v>845</v>
      </c>
      <c r="B61" s="501" t="s">
        <v>1856</v>
      </c>
      <c r="C61" s="501" t="s">
        <v>1856</v>
      </c>
      <c r="D61" s="501" t="s">
        <v>1856</v>
      </c>
      <c r="E61" s="501" t="s">
        <v>1856</v>
      </c>
      <c r="F61" s="501" t="s">
        <v>1856</v>
      </c>
      <c r="G61" s="28"/>
      <c r="H61" s="498" t="s">
        <v>845</v>
      </c>
      <c r="I61" s="501" t="s">
        <v>1856</v>
      </c>
      <c r="J61" s="501" t="s">
        <v>1856</v>
      </c>
      <c r="K61" s="501" t="s">
        <v>1856</v>
      </c>
      <c r="L61" s="501" t="s">
        <v>1856</v>
      </c>
      <c r="M61" s="501" t="s">
        <v>1856</v>
      </c>
    </row>
    <row r="62" spans="1:13" ht="14" thickBot="1" x14ac:dyDescent="0.2">
      <c r="A62" s="505" t="s">
        <v>1753</v>
      </c>
      <c r="B62" s="688" t="s">
        <v>1857</v>
      </c>
      <c r="C62" s="688" t="s">
        <v>1857</v>
      </c>
      <c r="D62" s="688" t="s">
        <v>1857</v>
      </c>
      <c r="E62" s="688" t="s">
        <v>1857</v>
      </c>
      <c r="F62" s="688" t="s">
        <v>1857</v>
      </c>
      <c r="G62" s="28"/>
      <c r="H62" s="505" t="s">
        <v>1754</v>
      </c>
      <c r="I62" s="505" t="s">
        <v>1791</v>
      </c>
      <c r="J62" s="505" t="s">
        <v>1791</v>
      </c>
      <c r="K62" s="505" t="s">
        <v>1791</v>
      </c>
      <c r="L62" s="505" t="s">
        <v>1791</v>
      </c>
      <c r="M62" s="505" t="s">
        <v>1791</v>
      </c>
    </row>
    <row r="63" spans="1:13" ht="14" thickTop="1" x14ac:dyDescent="0.15">
      <c r="A63" s="691">
        <v>0.5</v>
      </c>
      <c r="B63" s="692">
        <v>3</v>
      </c>
      <c r="C63" s="693">
        <v>2</v>
      </c>
      <c r="D63" s="694">
        <v>2</v>
      </c>
      <c r="E63" s="693">
        <v>2</v>
      </c>
      <c r="F63" s="695">
        <v>2</v>
      </c>
      <c r="H63" s="696">
        <f>A63*25.4</f>
        <v>12.7</v>
      </c>
      <c r="I63" s="697">
        <f>B63*0.4535924</f>
        <v>1.3607772</v>
      </c>
      <c r="J63" s="697">
        <f>C63*0.4535924</f>
        <v>0.90718480000000001</v>
      </c>
      <c r="K63" s="697">
        <f>D63*0.4535924</f>
        <v>0.90718480000000001</v>
      </c>
      <c r="L63" s="697">
        <f>E63*0.4535924</f>
        <v>0.90718480000000001</v>
      </c>
      <c r="M63" s="697">
        <f>F63*0.4535924</f>
        <v>0.90718480000000001</v>
      </c>
    </row>
    <row r="64" spans="1:13" x14ac:dyDescent="0.15">
      <c r="A64" s="698">
        <v>0.75</v>
      </c>
      <c r="B64" s="699">
        <v>3.5</v>
      </c>
      <c r="C64" s="700">
        <v>3</v>
      </c>
      <c r="D64" s="76">
        <v>3</v>
      </c>
      <c r="E64" s="700">
        <v>3</v>
      </c>
      <c r="F64" s="701">
        <v>3</v>
      </c>
      <c r="H64" s="702">
        <f>A64*25.4</f>
        <v>19.049999999999997</v>
      </c>
      <c r="I64" s="703">
        <f t="shared" ref="I64:M67" si="8">B64*0.4535924</f>
        <v>1.5875734000000001</v>
      </c>
      <c r="J64" s="703">
        <f t="shared" si="8"/>
        <v>1.3607772</v>
      </c>
      <c r="K64" s="703">
        <f t="shared" si="8"/>
        <v>1.3607772</v>
      </c>
      <c r="L64" s="703">
        <f t="shared" si="8"/>
        <v>1.3607772</v>
      </c>
      <c r="M64" s="703">
        <f t="shared" si="8"/>
        <v>1.3607772</v>
      </c>
    </row>
    <row r="65" spans="1:13" x14ac:dyDescent="0.15">
      <c r="A65" s="704">
        <v>1</v>
      </c>
      <c r="B65" s="699">
        <v>4</v>
      </c>
      <c r="C65" s="700">
        <v>3.5</v>
      </c>
      <c r="D65" s="76">
        <v>3.5</v>
      </c>
      <c r="E65" s="700">
        <v>3.5</v>
      </c>
      <c r="F65" s="701">
        <v>4</v>
      </c>
      <c r="H65" s="702">
        <f>A65*25.4</f>
        <v>25.4</v>
      </c>
      <c r="I65" s="703">
        <f t="shared" si="8"/>
        <v>1.8143696</v>
      </c>
      <c r="J65" s="703">
        <f t="shared" si="8"/>
        <v>1.5875734000000001</v>
      </c>
      <c r="K65" s="703">
        <f t="shared" si="8"/>
        <v>1.5875734000000001</v>
      </c>
      <c r="L65" s="703">
        <f t="shared" si="8"/>
        <v>1.5875734000000001</v>
      </c>
      <c r="M65" s="703">
        <f t="shared" si="8"/>
        <v>1.8143696</v>
      </c>
    </row>
    <row r="66" spans="1:13" x14ac:dyDescent="0.15">
      <c r="A66" s="705">
        <v>1.25</v>
      </c>
      <c r="B66" s="699">
        <v>5.5</v>
      </c>
      <c r="C66" s="700">
        <v>4.5</v>
      </c>
      <c r="D66" s="76">
        <v>4.5</v>
      </c>
      <c r="E66" s="700">
        <v>4.5</v>
      </c>
      <c r="F66" s="701">
        <v>6</v>
      </c>
      <c r="H66" s="702">
        <f>A66*25.4</f>
        <v>31.75</v>
      </c>
      <c r="I66" s="703">
        <f t="shared" si="8"/>
        <v>2.4947582000000001</v>
      </c>
      <c r="J66" s="703">
        <f t="shared" si="8"/>
        <v>2.0411657999999999</v>
      </c>
      <c r="K66" s="703">
        <f t="shared" si="8"/>
        <v>2.0411657999999999</v>
      </c>
      <c r="L66" s="703">
        <f t="shared" si="8"/>
        <v>2.0411657999999999</v>
      </c>
      <c r="M66" s="703">
        <f t="shared" si="8"/>
        <v>2.7215544</v>
      </c>
    </row>
    <row r="67" spans="1:13" ht="14" thickBot="1" x14ac:dyDescent="0.2">
      <c r="A67" s="706">
        <v>1.5</v>
      </c>
      <c r="B67" s="707">
        <v>8</v>
      </c>
      <c r="C67" s="708">
        <v>6.5</v>
      </c>
      <c r="D67" s="709">
        <v>6.5</v>
      </c>
      <c r="E67" s="708">
        <v>6.5</v>
      </c>
      <c r="F67" s="710">
        <v>8</v>
      </c>
      <c r="H67" s="711">
        <f>A67*25.4</f>
        <v>38.099999999999994</v>
      </c>
      <c r="I67" s="703">
        <f t="shared" si="8"/>
        <v>3.6287392000000001</v>
      </c>
      <c r="J67" s="703">
        <f t="shared" si="8"/>
        <v>2.9483505999999999</v>
      </c>
      <c r="K67" s="703">
        <f t="shared" si="8"/>
        <v>2.9483505999999999</v>
      </c>
      <c r="L67" s="703">
        <f t="shared" si="8"/>
        <v>2.9483505999999999</v>
      </c>
      <c r="M67" s="703">
        <f t="shared" si="8"/>
        <v>3.6287392000000001</v>
      </c>
    </row>
    <row r="68" spans="1:13" ht="14" thickTop="1" x14ac:dyDescent="0.15">
      <c r="A68" s="712">
        <v>2</v>
      </c>
      <c r="B68" s="692">
        <v>10</v>
      </c>
      <c r="C68" s="693">
        <v>8</v>
      </c>
      <c r="D68" s="694">
        <v>8</v>
      </c>
      <c r="E68" s="693">
        <v>8</v>
      </c>
      <c r="F68" s="695">
        <v>10</v>
      </c>
      <c r="H68" s="696">
        <f>A69*25.4</f>
        <v>63.5</v>
      </c>
      <c r="I68" s="697">
        <f>B68*0.4535924</f>
        <v>4.5359239999999996</v>
      </c>
      <c r="J68" s="697">
        <f>C68*0.4535924</f>
        <v>3.6287392000000001</v>
      </c>
      <c r="K68" s="697">
        <f>D68*0.4535924</f>
        <v>3.6287392000000001</v>
      </c>
      <c r="L68" s="697">
        <f>E68*0.4535924</f>
        <v>3.6287392000000001</v>
      </c>
      <c r="M68" s="697">
        <f>F68*0.4535924</f>
        <v>4.5359239999999996</v>
      </c>
    </row>
    <row r="69" spans="1:13" x14ac:dyDescent="0.15">
      <c r="A69" s="705">
        <v>2.5</v>
      </c>
      <c r="B69" s="699">
        <v>14</v>
      </c>
      <c r="C69" s="700">
        <v>12</v>
      </c>
      <c r="D69" s="76">
        <v>12</v>
      </c>
      <c r="E69" s="700">
        <v>11</v>
      </c>
      <c r="F69" s="701">
        <v>15</v>
      </c>
      <c r="H69" s="702">
        <f>A69*25.4</f>
        <v>63.5</v>
      </c>
      <c r="I69" s="703">
        <f t="shared" ref="I69:M72" si="9">B69*0.4535924</f>
        <v>6.3502936000000005</v>
      </c>
      <c r="J69" s="703">
        <f t="shared" si="9"/>
        <v>5.4431088000000001</v>
      </c>
      <c r="K69" s="703">
        <f t="shared" si="9"/>
        <v>5.4431088000000001</v>
      </c>
      <c r="L69" s="703">
        <f t="shared" si="9"/>
        <v>4.9895164000000003</v>
      </c>
      <c r="M69" s="703">
        <f t="shared" si="9"/>
        <v>6.8038860000000003</v>
      </c>
    </row>
    <row r="70" spans="1:13" x14ac:dyDescent="0.15">
      <c r="A70" s="704">
        <v>3</v>
      </c>
      <c r="B70" s="699">
        <v>18</v>
      </c>
      <c r="C70" s="700">
        <v>15</v>
      </c>
      <c r="D70" s="76">
        <v>15</v>
      </c>
      <c r="E70" s="700">
        <v>14</v>
      </c>
      <c r="F70" s="701">
        <v>20</v>
      </c>
      <c r="H70" s="702">
        <f>A70*25.4</f>
        <v>76.199999999999989</v>
      </c>
      <c r="I70" s="703">
        <f t="shared" si="9"/>
        <v>8.1646631999999997</v>
      </c>
      <c r="J70" s="703">
        <f t="shared" si="9"/>
        <v>6.8038860000000003</v>
      </c>
      <c r="K70" s="703">
        <f t="shared" si="9"/>
        <v>6.8038860000000003</v>
      </c>
      <c r="L70" s="703">
        <f t="shared" si="9"/>
        <v>6.3502936000000005</v>
      </c>
      <c r="M70" s="703">
        <f t="shared" si="9"/>
        <v>9.0718479999999992</v>
      </c>
    </row>
    <row r="71" spans="1:13" x14ac:dyDescent="0.15">
      <c r="A71" s="705">
        <v>3.5</v>
      </c>
      <c r="B71" s="699">
        <v>26</v>
      </c>
      <c r="C71" s="700">
        <v>21</v>
      </c>
      <c r="D71" s="76">
        <v>21</v>
      </c>
      <c r="E71" s="700">
        <v>20</v>
      </c>
      <c r="F71" s="701">
        <v>29</v>
      </c>
      <c r="H71" s="702">
        <f>A71*25.4</f>
        <v>88.899999999999991</v>
      </c>
      <c r="I71" s="703">
        <f t="shared" si="9"/>
        <v>11.7934024</v>
      </c>
      <c r="J71" s="703">
        <f t="shared" si="9"/>
        <v>9.5254404000000008</v>
      </c>
      <c r="K71" s="703">
        <f t="shared" si="9"/>
        <v>9.5254404000000008</v>
      </c>
      <c r="L71" s="703">
        <f t="shared" si="9"/>
        <v>9.0718479999999992</v>
      </c>
      <c r="M71" s="703">
        <f t="shared" si="9"/>
        <v>13.154179600000001</v>
      </c>
    </row>
    <row r="72" spans="1:13" ht="14" thickBot="1" x14ac:dyDescent="0.2">
      <c r="A72" s="713">
        <v>4</v>
      </c>
      <c r="B72" s="707">
        <v>30</v>
      </c>
      <c r="C72" s="708">
        <v>24</v>
      </c>
      <c r="D72" s="709">
        <v>24</v>
      </c>
      <c r="E72" s="708">
        <v>22</v>
      </c>
      <c r="F72" s="710">
        <v>33</v>
      </c>
      <c r="H72" s="711">
        <f>A72*25.4</f>
        <v>101.6</v>
      </c>
      <c r="I72" s="703">
        <f t="shared" si="9"/>
        <v>13.607772000000001</v>
      </c>
      <c r="J72" s="703">
        <f t="shared" si="9"/>
        <v>10.8862176</v>
      </c>
      <c r="K72" s="703">
        <f t="shared" si="9"/>
        <v>10.8862176</v>
      </c>
      <c r="L72" s="703">
        <f t="shared" si="9"/>
        <v>9.9790328000000006</v>
      </c>
      <c r="M72" s="703">
        <f t="shared" si="9"/>
        <v>14.9685492</v>
      </c>
    </row>
    <row r="73" spans="1:13" ht="14" thickTop="1" x14ac:dyDescent="0.15">
      <c r="A73" s="712">
        <v>5</v>
      </c>
      <c r="B73" s="692">
        <v>39</v>
      </c>
      <c r="C73" s="693">
        <v>31</v>
      </c>
      <c r="D73" s="694">
        <v>31</v>
      </c>
      <c r="E73" s="693">
        <v>29</v>
      </c>
      <c r="F73" s="695">
        <v>44</v>
      </c>
      <c r="H73" s="696">
        <f>A74*25.4</f>
        <v>152.39999999999998</v>
      </c>
      <c r="I73" s="697">
        <f>B73*0.4535924</f>
        <v>17.6901036</v>
      </c>
      <c r="J73" s="697">
        <f>C73*0.4535924</f>
        <v>14.0613644</v>
      </c>
      <c r="K73" s="697">
        <f>D73*0.4535924</f>
        <v>14.0613644</v>
      </c>
      <c r="L73" s="697">
        <f>E73*0.4535924</f>
        <v>13.154179600000001</v>
      </c>
      <c r="M73" s="697">
        <f>F73*0.4535924</f>
        <v>19.958065600000001</v>
      </c>
    </row>
    <row r="74" spans="1:13" x14ac:dyDescent="0.15">
      <c r="A74" s="704">
        <v>6</v>
      </c>
      <c r="B74" s="699">
        <v>49</v>
      </c>
      <c r="C74" s="700">
        <v>39</v>
      </c>
      <c r="D74" s="76">
        <v>39</v>
      </c>
      <c r="E74" s="700">
        <v>37</v>
      </c>
      <c r="F74" s="701">
        <v>61</v>
      </c>
      <c r="H74" s="702">
        <f>A74*25.4</f>
        <v>152.39999999999998</v>
      </c>
      <c r="I74" s="703">
        <f t="shared" ref="I74:M77" si="10">B74*0.4535924</f>
        <v>22.226027600000002</v>
      </c>
      <c r="J74" s="703">
        <f t="shared" si="10"/>
        <v>17.6901036</v>
      </c>
      <c r="K74" s="703">
        <f t="shared" si="10"/>
        <v>17.6901036</v>
      </c>
      <c r="L74" s="703">
        <f t="shared" si="10"/>
        <v>16.782918800000001</v>
      </c>
      <c r="M74" s="703">
        <f t="shared" si="10"/>
        <v>27.669136399999999</v>
      </c>
    </row>
    <row r="75" spans="1:13" x14ac:dyDescent="0.15">
      <c r="A75" s="704">
        <v>8</v>
      </c>
      <c r="B75" s="699">
        <v>78</v>
      </c>
      <c r="C75" s="700">
        <v>63</v>
      </c>
      <c r="D75" s="76">
        <v>63</v>
      </c>
      <c r="E75" s="700">
        <v>59</v>
      </c>
      <c r="F75" s="701">
        <v>100</v>
      </c>
      <c r="H75" s="702">
        <f>A75*25.4</f>
        <v>203.2</v>
      </c>
      <c r="I75" s="703">
        <f t="shared" si="10"/>
        <v>35.380207200000001</v>
      </c>
      <c r="J75" s="703">
        <f t="shared" si="10"/>
        <v>28.576321199999999</v>
      </c>
      <c r="K75" s="703">
        <f t="shared" si="10"/>
        <v>28.576321199999999</v>
      </c>
      <c r="L75" s="703">
        <f t="shared" si="10"/>
        <v>26.7619516</v>
      </c>
      <c r="M75" s="703">
        <f t="shared" si="10"/>
        <v>45.35924</v>
      </c>
    </row>
    <row r="76" spans="1:13" x14ac:dyDescent="0.15">
      <c r="A76" s="704">
        <v>10</v>
      </c>
      <c r="B76" s="699">
        <v>110</v>
      </c>
      <c r="C76" s="700">
        <v>91</v>
      </c>
      <c r="D76" s="76">
        <v>91</v>
      </c>
      <c r="E76" s="700">
        <v>95</v>
      </c>
      <c r="F76" s="701">
        <v>155</v>
      </c>
      <c r="H76" s="702">
        <f>A76*25.4</f>
        <v>254</v>
      </c>
      <c r="I76" s="703">
        <f t="shared" si="10"/>
        <v>49.895164000000001</v>
      </c>
      <c r="J76" s="703">
        <f t="shared" si="10"/>
        <v>41.276908400000003</v>
      </c>
      <c r="K76" s="703">
        <f t="shared" si="10"/>
        <v>41.276908400000003</v>
      </c>
      <c r="L76" s="703">
        <f t="shared" si="10"/>
        <v>43.091278000000003</v>
      </c>
      <c r="M76" s="703">
        <f t="shared" si="10"/>
        <v>70.306821999999997</v>
      </c>
    </row>
    <row r="77" spans="1:13" ht="14" thickBot="1" x14ac:dyDescent="0.2">
      <c r="A77" s="713">
        <v>12</v>
      </c>
      <c r="B77" s="707">
        <v>160</v>
      </c>
      <c r="C77" s="708">
        <v>129</v>
      </c>
      <c r="D77" s="709">
        <v>129</v>
      </c>
      <c r="E77" s="708">
        <v>152</v>
      </c>
      <c r="F77" s="710">
        <v>226</v>
      </c>
      <c r="H77" s="711">
        <f>A77*25.4</f>
        <v>304.79999999999995</v>
      </c>
      <c r="I77" s="703">
        <f t="shared" si="10"/>
        <v>72.574783999999994</v>
      </c>
      <c r="J77" s="703">
        <f t="shared" si="10"/>
        <v>58.513419599999999</v>
      </c>
      <c r="K77" s="703">
        <f t="shared" si="10"/>
        <v>58.513419599999999</v>
      </c>
      <c r="L77" s="703">
        <f t="shared" si="10"/>
        <v>68.946044799999996</v>
      </c>
      <c r="M77" s="703">
        <f t="shared" si="10"/>
        <v>102.5118824</v>
      </c>
    </row>
    <row r="78" spans="1:13" ht="14" thickTop="1" x14ac:dyDescent="0.15">
      <c r="A78" s="712">
        <v>14</v>
      </c>
      <c r="B78" s="692">
        <v>233</v>
      </c>
      <c r="C78" s="693">
        <v>191</v>
      </c>
      <c r="D78" s="694">
        <v>191</v>
      </c>
      <c r="E78" s="693">
        <v>210</v>
      </c>
      <c r="F78" s="695">
        <v>310</v>
      </c>
      <c r="H78" s="696">
        <f>A79*25.4</f>
        <v>406.4</v>
      </c>
      <c r="I78" s="697">
        <f>B78*0.4535924</f>
        <v>105.6870292</v>
      </c>
      <c r="J78" s="697">
        <f>C78*0.4535924</f>
        <v>86.636148399999996</v>
      </c>
      <c r="K78" s="697">
        <f>D78*0.4535924</f>
        <v>86.636148399999996</v>
      </c>
      <c r="L78" s="697">
        <f>E78*0.4535924</f>
        <v>95.254404000000008</v>
      </c>
      <c r="M78" s="697">
        <f>F78*0.4535924</f>
        <v>140.61364399999999</v>
      </c>
    </row>
    <row r="79" spans="1:13" x14ac:dyDescent="0.15">
      <c r="A79" s="704">
        <v>16</v>
      </c>
      <c r="B79" s="699">
        <v>294</v>
      </c>
      <c r="C79" s="700">
        <v>253</v>
      </c>
      <c r="D79" s="76">
        <v>253</v>
      </c>
      <c r="E79" s="700">
        <v>280</v>
      </c>
      <c r="F79" s="701">
        <v>398</v>
      </c>
      <c r="H79" s="702">
        <f>A79*25.4</f>
        <v>406.4</v>
      </c>
      <c r="I79" s="703">
        <f t="shared" ref="I79:M82" si="11">B79*0.4535924</f>
        <v>133.3561656</v>
      </c>
      <c r="J79" s="703">
        <f t="shared" si="11"/>
        <v>114.7588772</v>
      </c>
      <c r="K79" s="703">
        <f t="shared" si="11"/>
        <v>114.7588772</v>
      </c>
      <c r="L79" s="703">
        <f t="shared" si="11"/>
        <v>127.005872</v>
      </c>
      <c r="M79" s="703">
        <f t="shared" si="11"/>
        <v>180.52977519999999</v>
      </c>
    </row>
    <row r="80" spans="1:13" x14ac:dyDescent="0.15">
      <c r="A80" s="704">
        <v>18</v>
      </c>
      <c r="B80" s="699">
        <v>260</v>
      </c>
      <c r="C80" s="700">
        <v>310</v>
      </c>
      <c r="D80" s="76">
        <v>310</v>
      </c>
      <c r="E80" s="700">
        <v>345</v>
      </c>
      <c r="F80" s="701">
        <v>502</v>
      </c>
      <c r="H80" s="702">
        <f>A80*25.4</f>
        <v>457.2</v>
      </c>
      <c r="I80" s="703">
        <f t="shared" si="11"/>
        <v>117.93402400000001</v>
      </c>
      <c r="J80" s="703">
        <f t="shared" si="11"/>
        <v>140.61364399999999</v>
      </c>
      <c r="K80" s="703">
        <f t="shared" si="11"/>
        <v>140.61364399999999</v>
      </c>
      <c r="L80" s="703">
        <f t="shared" si="11"/>
        <v>156.48937800000002</v>
      </c>
      <c r="M80" s="703">
        <f t="shared" si="11"/>
        <v>227.70338480000001</v>
      </c>
    </row>
    <row r="81" spans="1:13" x14ac:dyDescent="0.15">
      <c r="A81" s="704">
        <v>20</v>
      </c>
      <c r="B81" s="699">
        <v>445</v>
      </c>
      <c r="C81" s="700">
        <v>378</v>
      </c>
      <c r="D81" s="76">
        <v>378</v>
      </c>
      <c r="E81" s="700">
        <v>420</v>
      </c>
      <c r="F81" s="701">
        <v>621</v>
      </c>
      <c r="H81" s="702">
        <f>A81*25.4</f>
        <v>508</v>
      </c>
      <c r="I81" s="703">
        <f t="shared" si="11"/>
        <v>201.84861800000002</v>
      </c>
      <c r="J81" s="703">
        <f t="shared" si="11"/>
        <v>171.4579272</v>
      </c>
      <c r="K81" s="703">
        <f t="shared" si="11"/>
        <v>171.4579272</v>
      </c>
      <c r="L81" s="703">
        <f t="shared" si="11"/>
        <v>190.50880800000002</v>
      </c>
      <c r="M81" s="703">
        <f t="shared" si="11"/>
        <v>281.68088039999998</v>
      </c>
    </row>
    <row r="82" spans="1:13" ht="14" thickBot="1" x14ac:dyDescent="0.2">
      <c r="A82" s="713">
        <v>24</v>
      </c>
      <c r="B82" s="707">
        <v>640</v>
      </c>
      <c r="C82" s="708">
        <v>539</v>
      </c>
      <c r="D82" s="709">
        <v>539</v>
      </c>
      <c r="E82" s="708">
        <v>615</v>
      </c>
      <c r="F82" s="710">
        <v>936</v>
      </c>
      <c r="H82" s="711">
        <f>A82*25.4</f>
        <v>609.59999999999991</v>
      </c>
      <c r="I82" s="714">
        <f t="shared" si="11"/>
        <v>290.29913599999998</v>
      </c>
      <c r="J82" s="714">
        <f t="shared" si="11"/>
        <v>244.48630360000001</v>
      </c>
      <c r="K82" s="714">
        <f t="shared" si="11"/>
        <v>244.48630360000001</v>
      </c>
      <c r="L82" s="714">
        <f t="shared" si="11"/>
        <v>278.95932599999998</v>
      </c>
      <c r="M82" s="714">
        <f t="shared" si="11"/>
        <v>424.56248640000001</v>
      </c>
    </row>
    <row r="83" spans="1:13" ht="14" thickTop="1" x14ac:dyDescent="0.15"/>
    <row r="84" spans="1:13" ht="20" x14ac:dyDescent="0.2">
      <c r="D84" s="689"/>
      <c r="E84" s="689" t="s">
        <v>1862</v>
      </c>
    </row>
    <row r="85" spans="1:13" ht="17" thickBot="1" x14ac:dyDescent="0.25">
      <c r="C85" s="35" t="s">
        <v>1756</v>
      </c>
      <c r="J85" s="35" t="s">
        <v>1757</v>
      </c>
    </row>
    <row r="86" spans="1:13" ht="14" thickTop="1" x14ac:dyDescent="0.15">
      <c r="A86" s="490" t="s">
        <v>1818</v>
      </c>
      <c r="B86" s="690" t="s">
        <v>1863</v>
      </c>
      <c r="C86" s="690" t="s">
        <v>1863</v>
      </c>
      <c r="D86" s="690" t="s">
        <v>1863</v>
      </c>
      <c r="E86" s="690" t="s">
        <v>1863</v>
      </c>
      <c r="F86" s="690" t="s">
        <v>1863</v>
      </c>
      <c r="G86" s="28"/>
      <c r="H86" s="490" t="s">
        <v>1818</v>
      </c>
      <c r="I86" s="690" t="s">
        <v>1863</v>
      </c>
      <c r="J86" s="690" t="s">
        <v>1863</v>
      </c>
      <c r="K86" s="690" t="s">
        <v>1863</v>
      </c>
      <c r="L86" s="690" t="s">
        <v>1863</v>
      </c>
      <c r="M86" s="690" t="s">
        <v>1863</v>
      </c>
    </row>
    <row r="87" spans="1:13" x14ac:dyDescent="0.15">
      <c r="A87" s="498" t="s">
        <v>1507</v>
      </c>
      <c r="B87" s="501" t="s">
        <v>1851</v>
      </c>
      <c r="C87" s="501" t="s">
        <v>1852</v>
      </c>
      <c r="D87" s="501" t="s">
        <v>1853</v>
      </c>
      <c r="E87" s="501" t="s">
        <v>1854</v>
      </c>
      <c r="F87" s="501" t="s">
        <v>1855</v>
      </c>
      <c r="G87" s="28"/>
      <c r="H87" s="498" t="s">
        <v>1507</v>
      </c>
      <c r="I87" s="501" t="s">
        <v>1851</v>
      </c>
      <c r="J87" s="501" t="s">
        <v>1852</v>
      </c>
      <c r="K87" s="501" t="s">
        <v>1853</v>
      </c>
      <c r="L87" s="501" t="s">
        <v>1854</v>
      </c>
      <c r="M87" s="501" t="s">
        <v>1855</v>
      </c>
    </row>
    <row r="88" spans="1:13" x14ac:dyDescent="0.15">
      <c r="A88" s="498" t="s">
        <v>845</v>
      </c>
      <c r="B88" s="501" t="s">
        <v>1856</v>
      </c>
      <c r="C88" s="501" t="s">
        <v>1856</v>
      </c>
      <c r="D88" s="501" t="s">
        <v>1856</v>
      </c>
      <c r="E88" s="501" t="s">
        <v>1856</v>
      </c>
      <c r="F88" s="501" t="s">
        <v>1856</v>
      </c>
      <c r="G88" s="28"/>
      <c r="H88" s="498" t="s">
        <v>845</v>
      </c>
      <c r="I88" s="501" t="s">
        <v>1856</v>
      </c>
      <c r="J88" s="501" t="s">
        <v>1856</v>
      </c>
      <c r="K88" s="501" t="s">
        <v>1856</v>
      </c>
      <c r="L88" s="501" t="s">
        <v>1856</v>
      </c>
      <c r="M88" s="501" t="s">
        <v>1856</v>
      </c>
    </row>
    <row r="89" spans="1:13" ht="14" thickBot="1" x14ac:dyDescent="0.2">
      <c r="A89" s="505" t="s">
        <v>1753</v>
      </c>
      <c r="B89" s="688" t="s">
        <v>1857</v>
      </c>
      <c r="C89" s="688" t="s">
        <v>1857</v>
      </c>
      <c r="D89" s="688" t="s">
        <v>1857</v>
      </c>
      <c r="E89" s="688" t="s">
        <v>1857</v>
      </c>
      <c r="F89" s="688" t="s">
        <v>1857</v>
      </c>
      <c r="G89" s="28"/>
      <c r="H89" s="505" t="s">
        <v>1754</v>
      </c>
      <c r="I89" s="505" t="s">
        <v>1791</v>
      </c>
      <c r="J89" s="505" t="s">
        <v>1791</v>
      </c>
      <c r="K89" s="505" t="s">
        <v>1791</v>
      </c>
      <c r="L89" s="505" t="s">
        <v>1791</v>
      </c>
      <c r="M89" s="505" t="s">
        <v>1791</v>
      </c>
    </row>
    <row r="90" spans="1:13" ht="14" thickTop="1" x14ac:dyDescent="0.15">
      <c r="A90" s="691">
        <v>0.5</v>
      </c>
      <c r="B90" s="692">
        <v>3</v>
      </c>
      <c r="C90" s="693">
        <v>2</v>
      </c>
      <c r="D90" s="694">
        <v>2</v>
      </c>
      <c r="E90" s="693">
        <v>2</v>
      </c>
      <c r="F90" s="695">
        <v>2</v>
      </c>
      <c r="H90" s="696">
        <f>A90*25.4</f>
        <v>12.7</v>
      </c>
      <c r="I90" s="697">
        <f>B90*0.4535924</f>
        <v>1.3607772</v>
      </c>
      <c r="J90" s="697">
        <f>C90*0.4535924</f>
        <v>0.90718480000000001</v>
      </c>
      <c r="K90" s="697">
        <f>D90*0.4535924</f>
        <v>0.90718480000000001</v>
      </c>
      <c r="L90" s="697">
        <f>E90*0.4535924</f>
        <v>0.90718480000000001</v>
      </c>
      <c r="M90" s="697">
        <f>F90*0.4535924</f>
        <v>0.90718480000000001</v>
      </c>
    </row>
    <row r="91" spans="1:13" x14ac:dyDescent="0.15">
      <c r="A91" s="698">
        <v>0.75</v>
      </c>
      <c r="B91" s="699">
        <v>3.5</v>
      </c>
      <c r="C91" s="700">
        <v>3</v>
      </c>
      <c r="D91" s="76">
        <v>3</v>
      </c>
      <c r="E91" s="700">
        <v>3</v>
      </c>
      <c r="F91" s="701">
        <v>3</v>
      </c>
      <c r="H91" s="702">
        <f>A91*25.4</f>
        <v>19.049999999999997</v>
      </c>
      <c r="I91" s="703">
        <f t="shared" ref="I91:M94" si="12">B91*0.4535924</f>
        <v>1.5875734000000001</v>
      </c>
      <c r="J91" s="703">
        <f t="shared" si="12"/>
        <v>1.3607772</v>
      </c>
      <c r="K91" s="703">
        <f t="shared" si="12"/>
        <v>1.3607772</v>
      </c>
      <c r="L91" s="703">
        <f t="shared" si="12"/>
        <v>1.3607772</v>
      </c>
      <c r="M91" s="703">
        <f t="shared" si="12"/>
        <v>1.3607772</v>
      </c>
    </row>
    <row r="92" spans="1:13" x14ac:dyDescent="0.15">
      <c r="A92" s="704">
        <v>1</v>
      </c>
      <c r="B92" s="699">
        <v>4</v>
      </c>
      <c r="C92" s="700">
        <v>3.5</v>
      </c>
      <c r="D92" s="76">
        <v>3.5</v>
      </c>
      <c r="E92" s="700">
        <v>3.5</v>
      </c>
      <c r="F92" s="701">
        <v>4</v>
      </c>
      <c r="H92" s="702">
        <f>A92*25.4</f>
        <v>25.4</v>
      </c>
      <c r="I92" s="703">
        <f t="shared" si="12"/>
        <v>1.8143696</v>
      </c>
      <c r="J92" s="703">
        <f t="shared" si="12"/>
        <v>1.5875734000000001</v>
      </c>
      <c r="K92" s="703">
        <f t="shared" si="12"/>
        <v>1.5875734000000001</v>
      </c>
      <c r="L92" s="703">
        <f t="shared" si="12"/>
        <v>1.5875734000000001</v>
      </c>
      <c r="M92" s="703">
        <f t="shared" si="12"/>
        <v>1.8143696</v>
      </c>
    </row>
    <row r="93" spans="1:13" x14ac:dyDescent="0.15">
      <c r="A93" s="705">
        <v>1.25</v>
      </c>
      <c r="B93" s="699">
        <v>5.5</v>
      </c>
      <c r="C93" s="700">
        <v>4.5</v>
      </c>
      <c r="D93" s="76">
        <v>4.5</v>
      </c>
      <c r="E93" s="700">
        <v>4.5</v>
      </c>
      <c r="F93" s="701">
        <v>6</v>
      </c>
      <c r="H93" s="702">
        <f>A93*25.4</f>
        <v>31.75</v>
      </c>
      <c r="I93" s="703">
        <f t="shared" si="12"/>
        <v>2.4947582000000001</v>
      </c>
      <c r="J93" s="703">
        <f t="shared" si="12"/>
        <v>2.0411657999999999</v>
      </c>
      <c r="K93" s="703">
        <f t="shared" si="12"/>
        <v>2.0411657999999999</v>
      </c>
      <c r="L93" s="703">
        <f t="shared" si="12"/>
        <v>2.0411657999999999</v>
      </c>
      <c r="M93" s="703">
        <f t="shared" si="12"/>
        <v>2.7215544</v>
      </c>
    </row>
    <row r="94" spans="1:13" ht="14" thickBot="1" x14ac:dyDescent="0.2">
      <c r="A94" s="706">
        <v>1.5</v>
      </c>
      <c r="B94" s="707">
        <v>8</v>
      </c>
      <c r="C94" s="708">
        <v>6.5</v>
      </c>
      <c r="D94" s="709">
        <v>6.5</v>
      </c>
      <c r="E94" s="708">
        <v>6.5</v>
      </c>
      <c r="F94" s="710">
        <v>8</v>
      </c>
      <c r="H94" s="711">
        <f>A94*25.4</f>
        <v>38.099999999999994</v>
      </c>
      <c r="I94" s="703">
        <f t="shared" si="12"/>
        <v>3.6287392000000001</v>
      </c>
      <c r="J94" s="703">
        <f t="shared" si="12"/>
        <v>2.9483505999999999</v>
      </c>
      <c r="K94" s="703">
        <f t="shared" si="12"/>
        <v>2.9483505999999999</v>
      </c>
      <c r="L94" s="703">
        <f t="shared" si="12"/>
        <v>2.9483505999999999</v>
      </c>
      <c r="M94" s="703">
        <f t="shared" si="12"/>
        <v>3.6287392000000001</v>
      </c>
    </row>
    <row r="95" spans="1:13" ht="14" thickTop="1" x14ac:dyDescent="0.15">
      <c r="A95" s="712">
        <v>2</v>
      </c>
      <c r="B95" s="692">
        <v>10</v>
      </c>
      <c r="C95" s="693">
        <v>8</v>
      </c>
      <c r="D95" s="694">
        <v>8</v>
      </c>
      <c r="E95" s="693">
        <v>8</v>
      </c>
      <c r="F95" s="695">
        <v>10</v>
      </c>
      <c r="H95" s="696">
        <f>A96*25.4</f>
        <v>63.5</v>
      </c>
      <c r="I95" s="697">
        <f>B95*0.4535924</f>
        <v>4.5359239999999996</v>
      </c>
      <c r="J95" s="697">
        <f>C95*0.4535924</f>
        <v>3.6287392000000001</v>
      </c>
      <c r="K95" s="697">
        <f>D95*0.4535924</f>
        <v>3.6287392000000001</v>
      </c>
      <c r="L95" s="697">
        <f>E95*0.4535924</f>
        <v>3.6287392000000001</v>
      </c>
      <c r="M95" s="697">
        <f>F95*0.4535924</f>
        <v>4.5359239999999996</v>
      </c>
    </row>
    <row r="96" spans="1:13" x14ac:dyDescent="0.15">
      <c r="A96" s="705">
        <v>2.5</v>
      </c>
      <c r="B96" s="699">
        <v>14</v>
      </c>
      <c r="C96" s="700">
        <v>12</v>
      </c>
      <c r="D96" s="76">
        <v>12</v>
      </c>
      <c r="E96" s="700">
        <v>11</v>
      </c>
      <c r="F96" s="701">
        <v>15</v>
      </c>
      <c r="H96" s="702">
        <f>A96*25.4</f>
        <v>63.5</v>
      </c>
      <c r="I96" s="703">
        <f t="shared" ref="I96:M99" si="13">B96*0.4535924</f>
        <v>6.3502936000000005</v>
      </c>
      <c r="J96" s="703">
        <f t="shared" si="13"/>
        <v>5.4431088000000001</v>
      </c>
      <c r="K96" s="703">
        <f t="shared" si="13"/>
        <v>5.4431088000000001</v>
      </c>
      <c r="L96" s="703">
        <f t="shared" si="13"/>
        <v>4.9895164000000003</v>
      </c>
      <c r="M96" s="703">
        <f t="shared" si="13"/>
        <v>6.8038860000000003</v>
      </c>
    </row>
    <row r="97" spans="1:13" x14ac:dyDescent="0.15">
      <c r="A97" s="704">
        <v>3</v>
      </c>
      <c r="B97" s="699">
        <v>18</v>
      </c>
      <c r="C97" s="700">
        <v>15</v>
      </c>
      <c r="D97" s="76">
        <v>15</v>
      </c>
      <c r="E97" s="700">
        <v>14</v>
      </c>
      <c r="F97" s="701">
        <v>20</v>
      </c>
      <c r="H97" s="702">
        <f>A97*25.4</f>
        <v>76.199999999999989</v>
      </c>
      <c r="I97" s="703">
        <f t="shared" si="13"/>
        <v>8.1646631999999997</v>
      </c>
      <c r="J97" s="703">
        <f t="shared" si="13"/>
        <v>6.8038860000000003</v>
      </c>
      <c r="K97" s="703">
        <f t="shared" si="13"/>
        <v>6.8038860000000003</v>
      </c>
      <c r="L97" s="703">
        <f t="shared" si="13"/>
        <v>6.3502936000000005</v>
      </c>
      <c r="M97" s="703">
        <f t="shared" si="13"/>
        <v>9.0718479999999992</v>
      </c>
    </row>
    <row r="98" spans="1:13" x14ac:dyDescent="0.15">
      <c r="A98" s="705">
        <v>3.5</v>
      </c>
      <c r="B98" s="699">
        <v>26</v>
      </c>
      <c r="C98" s="700">
        <v>21</v>
      </c>
      <c r="D98" s="76">
        <v>21</v>
      </c>
      <c r="E98" s="700">
        <v>20</v>
      </c>
      <c r="F98" s="701">
        <v>29</v>
      </c>
      <c r="H98" s="702">
        <f>A98*25.4</f>
        <v>88.899999999999991</v>
      </c>
      <c r="I98" s="703">
        <f t="shared" si="13"/>
        <v>11.7934024</v>
      </c>
      <c r="J98" s="703">
        <f t="shared" si="13"/>
        <v>9.5254404000000008</v>
      </c>
      <c r="K98" s="703">
        <f t="shared" si="13"/>
        <v>9.5254404000000008</v>
      </c>
      <c r="L98" s="703">
        <f t="shared" si="13"/>
        <v>9.0718479999999992</v>
      </c>
      <c r="M98" s="703">
        <f t="shared" si="13"/>
        <v>13.154179600000001</v>
      </c>
    </row>
    <row r="99" spans="1:13" ht="14" thickBot="1" x14ac:dyDescent="0.2">
      <c r="A99" s="713">
        <v>4</v>
      </c>
      <c r="B99" s="707">
        <v>37</v>
      </c>
      <c r="C99" s="708">
        <v>33</v>
      </c>
      <c r="D99" s="709">
        <v>33</v>
      </c>
      <c r="E99" s="708">
        <v>31</v>
      </c>
      <c r="F99" s="710">
        <v>41</v>
      </c>
      <c r="H99" s="711">
        <f>A99*25.4</f>
        <v>101.6</v>
      </c>
      <c r="I99" s="703">
        <f t="shared" si="13"/>
        <v>16.782918800000001</v>
      </c>
      <c r="J99" s="703">
        <f t="shared" si="13"/>
        <v>14.9685492</v>
      </c>
      <c r="K99" s="703">
        <f t="shared" si="13"/>
        <v>14.9685492</v>
      </c>
      <c r="L99" s="703">
        <f t="shared" si="13"/>
        <v>14.0613644</v>
      </c>
      <c r="M99" s="703">
        <f t="shared" si="13"/>
        <v>18.5972884</v>
      </c>
    </row>
    <row r="100" spans="1:13" ht="14" thickTop="1" x14ac:dyDescent="0.15">
      <c r="A100" s="712">
        <v>5</v>
      </c>
      <c r="B100" s="692">
        <v>68</v>
      </c>
      <c r="C100" s="693">
        <v>56</v>
      </c>
      <c r="D100" s="694">
        <v>63</v>
      </c>
      <c r="E100" s="693">
        <v>63</v>
      </c>
      <c r="F100" s="695">
        <v>68</v>
      </c>
      <c r="H100" s="696">
        <f>A101*25.4</f>
        <v>152.39999999999998</v>
      </c>
      <c r="I100" s="697">
        <f>B100*0.4535924</f>
        <v>30.8442832</v>
      </c>
      <c r="J100" s="697">
        <f>C100*0.4535924</f>
        <v>25.401174400000002</v>
      </c>
      <c r="K100" s="697">
        <f>D100*0.4535924</f>
        <v>28.576321199999999</v>
      </c>
      <c r="L100" s="697">
        <f>E100*0.4535924</f>
        <v>28.576321199999999</v>
      </c>
      <c r="M100" s="697">
        <f>F100*0.4535924</f>
        <v>30.8442832</v>
      </c>
    </row>
    <row r="101" spans="1:13" x14ac:dyDescent="0.15">
      <c r="A101" s="704">
        <v>6</v>
      </c>
      <c r="B101" s="699">
        <v>73</v>
      </c>
      <c r="C101" s="700">
        <v>66</v>
      </c>
      <c r="D101" s="76">
        <v>80</v>
      </c>
      <c r="E101" s="700">
        <v>78</v>
      </c>
      <c r="F101" s="701">
        <v>86</v>
      </c>
      <c r="H101" s="702">
        <f>A101*25.4</f>
        <v>152.39999999999998</v>
      </c>
      <c r="I101" s="703">
        <f t="shared" ref="I101:M104" si="14">B101*0.4535924</f>
        <v>33.112245200000004</v>
      </c>
      <c r="J101" s="703">
        <f t="shared" si="14"/>
        <v>29.9370984</v>
      </c>
      <c r="K101" s="703">
        <f t="shared" si="14"/>
        <v>36.287391999999997</v>
      </c>
      <c r="L101" s="703">
        <f t="shared" si="14"/>
        <v>35.380207200000001</v>
      </c>
      <c r="M101" s="703">
        <f t="shared" si="14"/>
        <v>39.008946399999999</v>
      </c>
    </row>
    <row r="102" spans="1:13" x14ac:dyDescent="0.15">
      <c r="A102" s="704">
        <v>8</v>
      </c>
      <c r="B102" s="699">
        <v>112</v>
      </c>
      <c r="C102" s="700">
        <v>97</v>
      </c>
      <c r="D102" s="76">
        <v>97</v>
      </c>
      <c r="E102" s="700">
        <v>112</v>
      </c>
      <c r="F102" s="701">
        <v>139</v>
      </c>
      <c r="H102" s="702">
        <f>A102*25.4</f>
        <v>203.2</v>
      </c>
      <c r="I102" s="703">
        <f t="shared" si="14"/>
        <v>50.802348800000004</v>
      </c>
      <c r="J102" s="703">
        <f t="shared" si="14"/>
        <v>43.998462799999999</v>
      </c>
      <c r="K102" s="703">
        <f t="shared" si="14"/>
        <v>43.998462799999999</v>
      </c>
      <c r="L102" s="703">
        <f t="shared" si="14"/>
        <v>50.802348800000004</v>
      </c>
      <c r="M102" s="703">
        <f t="shared" si="14"/>
        <v>63.0493436</v>
      </c>
    </row>
    <row r="103" spans="1:13" x14ac:dyDescent="0.15">
      <c r="A103" s="704">
        <v>10</v>
      </c>
      <c r="B103" s="699">
        <v>189</v>
      </c>
      <c r="C103" s="700">
        <v>177</v>
      </c>
      <c r="D103" s="76">
        <v>177</v>
      </c>
      <c r="E103" s="700">
        <v>195</v>
      </c>
      <c r="F103" s="701">
        <v>231</v>
      </c>
      <c r="H103" s="702">
        <f>A103*25.4</f>
        <v>254</v>
      </c>
      <c r="I103" s="703">
        <f t="shared" si="14"/>
        <v>85.7289636</v>
      </c>
      <c r="J103" s="703">
        <f t="shared" si="14"/>
        <v>80.285854799999996</v>
      </c>
      <c r="K103" s="703">
        <f t="shared" si="14"/>
        <v>80.285854799999996</v>
      </c>
      <c r="L103" s="703">
        <f t="shared" si="14"/>
        <v>88.450518000000002</v>
      </c>
      <c r="M103" s="703">
        <f t="shared" si="14"/>
        <v>104.7798444</v>
      </c>
    </row>
    <row r="104" spans="1:13" ht="14" thickBot="1" x14ac:dyDescent="0.2">
      <c r="A104" s="713">
        <v>12</v>
      </c>
      <c r="B104" s="707">
        <v>226</v>
      </c>
      <c r="C104" s="708">
        <v>215</v>
      </c>
      <c r="D104" s="709">
        <v>215</v>
      </c>
      <c r="E104" s="708">
        <v>240</v>
      </c>
      <c r="F104" s="710">
        <v>295</v>
      </c>
      <c r="H104" s="711">
        <f>A104*25.4</f>
        <v>304.79999999999995</v>
      </c>
      <c r="I104" s="703">
        <f t="shared" si="14"/>
        <v>102.5118824</v>
      </c>
      <c r="J104" s="703">
        <f t="shared" si="14"/>
        <v>97.522366000000005</v>
      </c>
      <c r="K104" s="703">
        <f t="shared" si="14"/>
        <v>97.522366000000005</v>
      </c>
      <c r="L104" s="703">
        <f t="shared" si="14"/>
        <v>108.86217600000001</v>
      </c>
      <c r="M104" s="703">
        <f t="shared" si="14"/>
        <v>133.80975799999999</v>
      </c>
    </row>
    <row r="105" spans="1:13" ht="14" thickTop="1" x14ac:dyDescent="0.15">
      <c r="A105" s="712">
        <v>14</v>
      </c>
      <c r="B105" s="692">
        <v>268</v>
      </c>
      <c r="C105" s="693">
        <v>259</v>
      </c>
      <c r="D105" s="694">
        <v>259</v>
      </c>
      <c r="E105" s="693">
        <v>290</v>
      </c>
      <c r="F105" s="695">
        <v>378</v>
      </c>
      <c r="H105" s="696">
        <f>A106*25.4</f>
        <v>406.4</v>
      </c>
      <c r="I105" s="697">
        <f>B105*0.4535924</f>
        <v>121.56276320000001</v>
      </c>
      <c r="J105" s="697">
        <f>C105*0.4535924</f>
        <v>117.4804316</v>
      </c>
      <c r="K105" s="697">
        <f>D105*0.4535924</f>
        <v>117.4804316</v>
      </c>
      <c r="L105" s="697">
        <f>E105*0.4535924</f>
        <v>131.54179600000001</v>
      </c>
      <c r="M105" s="697">
        <f>F105*0.4535924</f>
        <v>171.4579272</v>
      </c>
    </row>
    <row r="106" spans="1:13" x14ac:dyDescent="0.15">
      <c r="A106" s="704">
        <v>16</v>
      </c>
      <c r="B106" s="699">
        <v>481</v>
      </c>
      <c r="C106" s="700">
        <v>366</v>
      </c>
      <c r="D106" s="76">
        <v>366</v>
      </c>
      <c r="E106" s="700">
        <v>400</v>
      </c>
      <c r="F106" s="701">
        <v>527</v>
      </c>
      <c r="H106" s="702">
        <f>A106*25.4</f>
        <v>406.4</v>
      </c>
      <c r="I106" s="703">
        <f t="shared" ref="I106:M109" si="15">B106*0.4535924</f>
        <v>218.1779444</v>
      </c>
      <c r="J106" s="703">
        <f t="shared" si="15"/>
        <v>166.0148184</v>
      </c>
      <c r="K106" s="703">
        <f t="shared" si="15"/>
        <v>166.0148184</v>
      </c>
      <c r="L106" s="703">
        <f t="shared" si="15"/>
        <v>181.43696</v>
      </c>
      <c r="M106" s="703">
        <f t="shared" si="15"/>
        <v>239.04319480000001</v>
      </c>
    </row>
    <row r="107" spans="1:13" x14ac:dyDescent="0.15">
      <c r="A107" s="704">
        <v>18</v>
      </c>
      <c r="B107" s="699">
        <v>555</v>
      </c>
      <c r="C107" s="700">
        <v>476</v>
      </c>
      <c r="D107" s="76">
        <v>476</v>
      </c>
      <c r="E107" s="700">
        <v>469</v>
      </c>
      <c r="F107" s="701">
        <v>665</v>
      </c>
      <c r="H107" s="702">
        <f>A107*25.4</f>
        <v>457.2</v>
      </c>
      <c r="I107" s="703">
        <f t="shared" si="15"/>
        <v>251.74378200000001</v>
      </c>
      <c r="J107" s="703">
        <f t="shared" si="15"/>
        <v>215.90998239999999</v>
      </c>
      <c r="K107" s="703">
        <f t="shared" si="15"/>
        <v>215.90998239999999</v>
      </c>
      <c r="L107" s="703">
        <f t="shared" si="15"/>
        <v>212.7348356</v>
      </c>
      <c r="M107" s="703">
        <f t="shared" si="15"/>
        <v>301.63894600000003</v>
      </c>
    </row>
    <row r="108" spans="1:13" x14ac:dyDescent="0.15">
      <c r="A108" s="704">
        <v>20</v>
      </c>
      <c r="B108" s="699">
        <v>690</v>
      </c>
      <c r="C108" s="700">
        <v>612</v>
      </c>
      <c r="D108" s="76">
        <v>612</v>
      </c>
      <c r="E108" s="700">
        <v>604</v>
      </c>
      <c r="F108" s="701">
        <v>855</v>
      </c>
      <c r="H108" s="702">
        <f>A108*25.4</f>
        <v>508</v>
      </c>
      <c r="I108" s="703">
        <f t="shared" si="15"/>
        <v>312.97875600000003</v>
      </c>
      <c r="J108" s="703">
        <f t="shared" si="15"/>
        <v>277.5985488</v>
      </c>
      <c r="K108" s="703">
        <f t="shared" si="15"/>
        <v>277.5985488</v>
      </c>
      <c r="L108" s="703">
        <f t="shared" si="15"/>
        <v>273.96980960000002</v>
      </c>
      <c r="M108" s="703">
        <f t="shared" si="15"/>
        <v>387.82150200000001</v>
      </c>
    </row>
    <row r="109" spans="1:13" ht="14" thickBot="1" x14ac:dyDescent="0.2">
      <c r="A109" s="713">
        <v>24</v>
      </c>
      <c r="B109" s="707">
        <v>977</v>
      </c>
      <c r="C109" s="708">
        <v>876</v>
      </c>
      <c r="D109" s="709">
        <v>876</v>
      </c>
      <c r="E109" s="708">
        <v>866</v>
      </c>
      <c r="F109" s="710">
        <v>1175</v>
      </c>
      <c r="H109" s="711">
        <f>A109*25.4</f>
        <v>609.59999999999991</v>
      </c>
      <c r="I109" s="714">
        <f t="shared" si="15"/>
        <v>443.15977479999998</v>
      </c>
      <c r="J109" s="714">
        <f t="shared" si="15"/>
        <v>397.34694239999999</v>
      </c>
      <c r="K109" s="714">
        <f t="shared" si="15"/>
        <v>397.34694239999999</v>
      </c>
      <c r="L109" s="714">
        <f t="shared" si="15"/>
        <v>392.81101840000002</v>
      </c>
      <c r="M109" s="714">
        <f t="shared" si="15"/>
        <v>532.97107000000005</v>
      </c>
    </row>
    <row r="110" spans="1:13" ht="14" thickTop="1" x14ac:dyDescent="0.15"/>
    <row r="111" spans="1:13" ht="20" x14ac:dyDescent="0.2">
      <c r="D111" s="689"/>
      <c r="E111" s="463" t="s">
        <v>1864</v>
      </c>
    </row>
    <row r="112" spans="1:13" ht="17" thickBot="1" x14ac:dyDescent="0.25">
      <c r="C112" s="35" t="s">
        <v>1756</v>
      </c>
      <c r="J112" s="35" t="s">
        <v>1757</v>
      </c>
    </row>
    <row r="113" spans="1:13" ht="14" thickTop="1" x14ac:dyDescent="0.15">
      <c r="A113" s="490" t="s">
        <v>1818</v>
      </c>
      <c r="B113" s="690" t="s">
        <v>1865</v>
      </c>
      <c r="C113" s="690" t="s">
        <v>1865</v>
      </c>
      <c r="D113" s="690" t="s">
        <v>1865</v>
      </c>
      <c r="E113" s="690" t="s">
        <v>1865</v>
      </c>
      <c r="F113" s="690" t="s">
        <v>1865</v>
      </c>
      <c r="G113" s="28"/>
      <c r="H113" s="490" t="s">
        <v>1818</v>
      </c>
      <c r="I113" s="690" t="s">
        <v>1865</v>
      </c>
      <c r="J113" s="690" t="s">
        <v>1865</v>
      </c>
      <c r="K113" s="690" t="s">
        <v>1865</v>
      </c>
      <c r="L113" s="690" t="s">
        <v>1865</v>
      </c>
      <c r="M113" s="690" t="s">
        <v>1865</v>
      </c>
    </row>
    <row r="114" spans="1:13" x14ac:dyDescent="0.15">
      <c r="A114" s="498" t="s">
        <v>1507</v>
      </c>
      <c r="B114" s="501" t="s">
        <v>1851</v>
      </c>
      <c r="C114" s="501" t="s">
        <v>1852</v>
      </c>
      <c r="D114" s="501" t="s">
        <v>1853</v>
      </c>
      <c r="E114" s="501" t="s">
        <v>1854</v>
      </c>
      <c r="F114" s="501" t="s">
        <v>1855</v>
      </c>
      <c r="G114" s="28"/>
      <c r="H114" s="498" t="s">
        <v>1507</v>
      </c>
      <c r="I114" s="501" t="s">
        <v>1851</v>
      </c>
      <c r="J114" s="501" t="s">
        <v>1852</v>
      </c>
      <c r="K114" s="501" t="s">
        <v>1853</v>
      </c>
      <c r="L114" s="501" t="s">
        <v>1854</v>
      </c>
      <c r="M114" s="501" t="s">
        <v>1855</v>
      </c>
    </row>
    <row r="115" spans="1:13" x14ac:dyDescent="0.15">
      <c r="A115" s="498" t="s">
        <v>845</v>
      </c>
      <c r="B115" s="501" t="s">
        <v>1856</v>
      </c>
      <c r="C115" s="501" t="s">
        <v>1856</v>
      </c>
      <c r="D115" s="501" t="s">
        <v>1856</v>
      </c>
      <c r="E115" s="501" t="s">
        <v>1856</v>
      </c>
      <c r="F115" s="501" t="s">
        <v>1856</v>
      </c>
      <c r="G115" s="28"/>
      <c r="H115" s="498" t="s">
        <v>845</v>
      </c>
      <c r="I115" s="501" t="s">
        <v>1856</v>
      </c>
      <c r="J115" s="501" t="s">
        <v>1856</v>
      </c>
      <c r="K115" s="501" t="s">
        <v>1856</v>
      </c>
      <c r="L115" s="501" t="s">
        <v>1856</v>
      </c>
      <c r="M115" s="501" t="s">
        <v>1856</v>
      </c>
    </row>
    <row r="116" spans="1:13" ht="14" thickBot="1" x14ac:dyDescent="0.2">
      <c r="A116" s="505" t="s">
        <v>1753</v>
      </c>
      <c r="B116" s="688" t="s">
        <v>1857</v>
      </c>
      <c r="C116" s="688" t="s">
        <v>1857</v>
      </c>
      <c r="D116" s="688" t="s">
        <v>1857</v>
      </c>
      <c r="E116" s="688" t="s">
        <v>1857</v>
      </c>
      <c r="F116" s="688" t="s">
        <v>1857</v>
      </c>
      <c r="G116" s="28"/>
      <c r="H116" s="505" t="s">
        <v>1754</v>
      </c>
      <c r="I116" s="505" t="s">
        <v>1791</v>
      </c>
      <c r="J116" s="505" t="s">
        <v>1791</v>
      </c>
      <c r="K116" s="505" t="s">
        <v>1791</v>
      </c>
      <c r="L116" s="505" t="s">
        <v>1791</v>
      </c>
      <c r="M116" s="505" t="s">
        <v>1791</v>
      </c>
    </row>
    <row r="117" spans="1:13" ht="14" thickTop="1" x14ac:dyDescent="0.15">
      <c r="A117" s="691">
        <v>0.5</v>
      </c>
      <c r="B117" s="692">
        <v>7</v>
      </c>
      <c r="C117" s="693">
        <v>6</v>
      </c>
      <c r="D117" s="694">
        <v>6</v>
      </c>
      <c r="E117" s="693">
        <v>6</v>
      </c>
      <c r="F117" s="695">
        <v>4</v>
      </c>
      <c r="H117" s="696">
        <f>A117*25.4</f>
        <v>12.7</v>
      </c>
      <c r="I117" s="697">
        <f>B117*0.4535924</f>
        <v>3.1751468000000003</v>
      </c>
      <c r="J117" s="697">
        <f>C117*0.4535924</f>
        <v>2.7215544</v>
      </c>
      <c r="K117" s="697">
        <f>D117*0.4535924</f>
        <v>2.7215544</v>
      </c>
      <c r="L117" s="697">
        <f>E117*0.4535924</f>
        <v>2.7215544</v>
      </c>
      <c r="M117" s="697">
        <f>F117*0.4535924</f>
        <v>1.8143696</v>
      </c>
    </row>
    <row r="118" spans="1:13" x14ac:dyDescent="0.15">
      <c r="A118" s="698">
        <v>0.75</v>
      </c>
      <c r="B118" s="699">
        <v>7</v>
      </c>
      <c r="C118" s="700">
        <v>6</v>
      </c>
      <c r="D118" s="76">
        <v>6</v>
      </c>
      <c r="E118" s="700">
        <v>6</v>
      </c>
      <c r="F118" s="701">
        <v>6</v>
      </c>
      <c r="H118" s="702">
        <f>A118*25.4</f>
        <v>19.049999999999997</v>
      </c>
      <c r="I118" s="703">
        <f t="shared" ref="I118:M121" si="16">B118*0.4535924</f>
        <v>3.1751468000000003</v>
      </c>
      <c r="J118" s="703">
        <f t="shared" si="16"/>
        <v>2.7215544</v>
      </c>
      <c r="K118" s="703">
        <f t="shared" si="16"/>
        <v>2.7215544</v>
      </c>
      <c r="L118" s="703">
        <f t="shared" si="16"/>
        <v>2.7215544</v>
      </c>
      <c r="M118" s="703">
        <f t="shared" si="16"/>
        <v>2.7215544</v>
      </c>
    </row>
    <row r="119" spans="1:13" x14ac:dyDescent="0.15">
      <c r="A119" s="704">
        <v>1</v>
      </c>
      <c r="B119" s="699">
        <v>8.5</v>
      </c>
      <c r="C119" s="700">
        <v>7.5</v>
      </c>
      <c r="D119" s="76">
        <v>7.5</v>
      </c>
      <c r="E119" s="700">
        <v>7.5</v>
      </c>
      <c r="F119" s="701">
        <v>9</v>
      </c>
      <c r="H119" s="702">
        <f>A119*25.4</f>
        <v>25.4</v>
      </c>
      <c r="I119" s="703">
        <f t="shared" si="16"/>
        <v>3.8555353999999999</v>
      </c>
      <c r="J119" s="703">
        <f t="shared" si="16"/>
        <v>3.4019430000000002</v>
      </c>
      <c r="K119" s="703">
        <f t="shared" si="16"/>
        <v>3.4019430000000002</v>
      </c>
      <c r="L119" s="703">
        <f t="shared" si="16"/>
        <v>3.4019430000000002</v>
      </c>
      <c r="M119" s="703">
        <f t="shared" si="16"/>
        <v>4.0823315999999998</v>
      </c>
    </row>
    <row r="120" spans="1:13" x14ac:dyDescent="0.15">
      <c r="A120" s="705">
        <v>1.25</v>
      </c>
      <c r="B120" s="699">
        <v>10</v>
      </c>
      <c r="C120" s="700">
        <v>10</v>
      </c>
      <c r="D120" s="76">
        <v>10</v>
      </c>
      <c r="E120" s="700">
        <v>10</v>
      </c>
      <c r="F120" s="701">
        <v>10</v>
      </c>
      <c r="H120" s="702">
        <f>A120*25.4</f>
        <v>31.75</v>
      </c>
      <c r="I120" s="703">
        <f t="shared" si="16"/>
        <v>4.5359239999999996</v>
      </c>
      <c r="J120" s="703">
        <f t="shared" si="16"/>
        <v>4.5359239999999996</v>
      </c>
      <c r="K120" s="703">
        <f t="shared" si="16"/>
        <v>4.5359239999999996</v>
      </c>
      <c r="L120" s="703">
        <f t="shared" si="16"/>
        <v>4.5359239999999996</v>
      </c>
      <c r="M120" s="703">
        <f t="shared" si="16"/>
        <v>4.5359239999999996</v>
      </c>
    </row>
    <row r="121" spans="1:13" ht="14" thickBot="1" x14ac:dyDescent="0.2">
      <c r="A121" s="706">
        <v>1.5</v>
      </c>
      <c r="B121" s="707">
        <v>14</v>
      </c>
      <c r="C121" s="708">
        <v>14</v>
      </c>
      <c r="D121" s="709">
        <v>14</v>
      </c>
      <c r="E121" s="708">
        <v>14</v>
      </c>
      <c r="F121" s="710">
        <v>14</v>
      </c>
      <c r="H121" s="711">
        <f>A121*25.4</f>
        <v>38.099999999999994</v>
      </c>
      <c r="I121" s="703">
        <f t="shared" si="16"/>
        <v>6.3502936000000005</v>
      </c>
      <c r="J121" s="703">
        <f t="shared" si="16"/>
        <v>6.3502936000000005</v>
      </c>
      <c r="K121" s="703">
        <f t="shared" si="16"/>
        <v>6.3502936000000005</v>
      </c>
      <c r="L121" s="703">
        <f t="shared" si="16"/>
        <v>6.3502936000000005</v>
      </c>
      <c r="M121" s="703">
        <f t="shared" si="16"/>
        <v>6.3502936000000005</v>
      </c>
    </row>
    <row r="122" spans="1:13" ht="14" thickTop="1" x14ac:dyDescent="0.15">
      <c r="A122" s="712">
        <v>2</v>
      </c>
      <c r="B122" s="692">
        <v>24</v>
      </c>
      <c r="C122" s="693">
        <v>22</v>
      </c>
      <c r="D122" s="694">
        <v>22</v>
      </c>
      <c r="E122" s="693">
        <v>21</v>
      </c>
      <c r="F122" s="695">
        <v>25</v>
      </c>
      <c r="H122" s="696">
        <f>A123*25.4</f>
        <v>63.5</v>
      </c>
      <c r="I122" s="697">
        <f>B122*0.4535924</f>
        <v>10.8862176</v>
      </c>
      <c r="J122" s="697">
        <f>C122*0.4535924</f>
        <v>9.9790328000000006</v>
      </c>
      <c r="K122" s="697">
        <f>D122*0.4535924</f>
        <v>9.9790328000000006</v>
      </c>
      <c r="L122" s="697">
        <f>E122*0.4535924</f>
        <v>9.5254404000000008</v>
      </c>
      <c r="M122" s="697">
        <f>F122*0.4535924</f>
        <v>11.33981</v>
      </c>
    </row>
    <row r="123" spans="1:13" x14ac:dyDescent="0.15">
      <c r="A123" s="705">
        <v>2.5</v>
      </c>
      <c r="B123" s="699">
        <v>36</v>
      </c>
      <c r="C123" s="700">
        <v>36</v>
      </c>
      <c r="D123" s="76">
        <v>36</v>
      </c>
      <c r="E123" s="700">
        <v>29</v>
      </c>
      <c r="F123" s="701">
        <v>35</v>
      </c>
      <c r="H123" s="702">
        <f>A123*25.4</f>
        <v>63.5</v>
      </c>
      <c r="I123" s="703">
        <f t="shared" ref="I123:M125" si="17">B123*0.4535924</f>
        <v>16.329326399999999</v>
      </c>
      <c r="J123" s="703">
        <f t="shared" si="17"/>
        <v>16.329326399999999</v>
      </c>
      <c r="K123" s="703">
        <f t="shared" si="17"/>
        <v>16.329326399999999</v>
      </c>
      <c r="L123" s="703">
        <f t="shared" si="17"/>
        <v>13.154179600000001</v>
      </c>
      <c r="M123" s="703">
        <f t="shared" si="17"/>
        <v>15.875734</v>
      </c>
    </row>
    <row r="124" spans="1:13" x14ac:dyDescent="0.15">
      <c r="A124" s="704">
        <v>3</v>
      </c>
      <c r="B124" s="699">
        <v>29</v>
      </c>
      <c r="C124" s="700">
        <v>31</v>
      </c>
      <c r="D124" s="76">
        <v>31</v>
      </c>
      <c r="E124" s="700">
        <v>25</v>
      </c>
      <c r="F124" s="701">
        <v>32</v>
      </c>
      <c r="H124" s="702">
        <f>A124*25.4</f>
        <v>76.199999999999989</v>
      </c>
      <c r="I124" s="703">
        <f t="shared" si="17"/>
        <v>13.154179600000001</v>
      </c>
      <c r="J124" s="703">
        <f t="shared" si="17"/>
        <v>14.0613644</v>
      </c>
      <c r="K124" s="703">
        <f t="shared" si="17"/>
        <v>14.0613644</v>
      </c>
      <c r="L124" s="703">
        <f t="shared" si="17"/>
        <v>11.33981</v>
      </c>
      <c r="M124" s="703">
        <f t="shared" si="17"/>
        <v>14.5149568</v>
      </c>
    </row>
    <row r="125" spans="1:13" ht="14" thickBot="1" x14ac:dyDescent="0.2">
      <c r="A125" s="713">
        <v>4</v>
      </c>
      <c r="B125" s="707">
        <v>51</v>
      </c>
      <c r="C125" s="708">
        <v>53</v>
      </c>
      <c r="D125" s="709">
        <v>53</v>
      </c>
      <c r="E125" s="708">
        <v>51</v>
      </c>
      <c r="F125" s="710">
        <v>54</v>
      </c>
      <c r="H125" s="711">
        <f>A125*25.4</f>
        <v>101.6</v>
      </c>
      <c r="I125" s="703">
        <f t="shared" si="17"/>
        <v>23.133212400000001</v>
      </c>
      <c r="J125" s="703">
        <f t="shared" si="17"/>
        <v>24.040397200000001</v>
      </c>
      <c r="K125" s="703">
        <f t="shared" si="17"/>
        <v>24.040397200000001</v>
      </c>
      <c r="L125" s="703">
        <f t="shared" si="17"/>
        <v>23.133212400000001</v>
      </c>
      <c r="M125" s="703">
        <f t="shared" si="17"/>
        <v>24.493989599999999</v>
      </c>
    </row>
    <row r="126" spans="1:13" ht="14" thickTop="1" x14ac:dyDescent="0.15">
      <c r="A126" s="712">
        <v>5</v>
      </c>
      <c r="B126" s="692">
        <v>86</v>
      </c>
      <c r="C126" s="693">
        <v>83</v>
      </c>
      <c r="D126" s="694">
        <v>83</v>
      </c>
      <c r="E126" s="693">
        <v>81</v>
      </c>
      <c r="F126" s="695">
        <v>87</v>
      </c>
      <c r="H126" s="696">
        <f>A127*25.4</f>
        <v>152.39999999999998</v>
      </c>
      <c r="I126" s="697">
        <f>B126*0.4535924</f>
        <v>39.008946399999999</v>
      </c>
      <c r="J126" s="697">
        <f>C126*0.4535924</f>
        <v>37.648169199999998</v>
      </c>
      <c r="K126" s="697">
        <f>D126*0.4535924</f>
        <v>37.648169199999998</v>
      </c>
      <c r="L126" s="697">
        <f>E126*0.4535924</f>
        <v>36.740984400000002</v>
      </c>
      <c r="M126" s="697">
        <f>F126*0.4535924</f>
        <v>39.462538799999997</v>
      </c>
    </row>
    <row r="127" spans="1:13" x14ac:dyDescent="0.15">
      <c r="A127" s="704">
        <v>6</v>
      </c>
      <c r="B127" s="699">
        <v>110</v>
      </c>
      <c r="C127" s="700">
        <v>108</v>
      </c>
      <c r="D127" s="76">
        <v>108</v>
      </c>
      <c r="E127" s="700">
        <v>105</v>
      </c>
      <c r="F127" s="701">
        <v>113</v>
      </c>
      <c r="H127" s="702">
        <f>A127*25.4</f>
        <v>152.39999999999998</v>
      </c>
      <c r="I127" s="703">
        <f t="shared" ref="I127:M130" si="18">B127*0.4535924</f>
        <v>49.895164000000001</v>
      </c>
      <c r="J127" s="703">
        <f t="shared" si="18"/>
        <v>48.987979199999998</v>
      </c>
      <c r="K127" s="703">
        <f t="shared" si="18"/>
        <v>48.987979199999998</v>
      </c>
      <c r="L127" s="703">
        <f t="shared" si="18"/>
        <v>47.627202000000004</v>
      </c>
      <c r="M127" s="703">
        <f t="shared" si="18"/>
        <v>51.255941200000002</v>
      </c>
    </row>
    <row r="128" spans="1:13" x14ac:dyDescent="0.15">
      <c r="A128" s="704">
        <v>8</v>
      </c>
      <c r="B128" s="699">
        <v>187</v>
      </c>
      <c r="C128" s="700">
        <v>172</v>
      </c>
      <c r="D128" s="76">
        <v>172</v>
      </c>
      <c r="E128" s="700">
        <v>188</v>
      </c>
      <c r="F128" s="701">
        <v>197</v>
      </c>
      <c r="H128" s="702">
        <f>A128*25.4</f>
        <v>203.2</v>
      </c>
      <c r="I128" s="703">
        <f t="shared" si="18"/>
        <v>84.821778800000004</v>
      </c>
      <c r="J128" s="703">
        <f t="shared" si="18"/>
        <v>78.017892799999998</v>
      </c>
      <c r="K128" s="703">
        <f t="shared" si="18"/>
        <v>78.017892799999998</v>
      </c>
      <c r="L128" s="703">
        <f t="shared" si="18"/>
        <v>85.275371199999995</v>
      </c>
      <c r="M128" s="703">
        <f t="shared" si="18"/>
        <v>89.357702799999998</v>
      </c>
    </row>
    <row r="129" spans="1:13" x14ac:dyDescent="0.15">
      <c r="A129" s="704">
        <v>10</v>
      </c>
      <c r="B129" s="699">
        <v>268</v>
      </c>
      <c r="C129" s="700">
        <v>245</v>
      </c>
      <c r="D129" s="76">
        <v>245</v>
      </c>
      <c r="E129" s="700">
        <v>277</v>
      </c>
      <c r="F129" s="701">
        <v>290</v>
      </c>
      <c r="H129" s="702">
        <f>A129*25.4</f>
        <v>254</v>
      </c>
      <c r="I129" s="703">
        <f t="shared" si="18"/>
        <v>121.56276320000001</v>
      </c>
      <c r="J129" s="703">
        <f t="shared" si="18"/>
        <v>111.130138</v>
      </c>
      <c r="K129" s="703">
        <f t="shared" si="18"/>
        <v>111.130138</v>
      </c>
      <c r="L129" s="703">
        <f t="shared" si="18"/>
        <v>125.6450948</v>
      </c>
      <c r="M129" s="703">
        <f t="shared" si="18"/>
        <v>131.54179600000001</v>
      </c>
    </row>
    <row r="130" spans="1:13" ht="14" thickBot="1" x14ac:dyDescent="0.2">
      <c r="A130" s="713">
        <v>12</v>
      </c>
      <c r="B130" s="707">
        <v>372</v>
      </c>
      <c r="C130" s="708">
        <v>326</v>
      </c>
      <c r="D130" s="709">
        <v>326</v>
      </c>
      <c r="E130" s="708">
        <v>371</v>
      </c>
      <c r="F130" s="710">
        <v>413</v>
      </c>
      <c r="H130" s="711">
        <f>A130*25.4</f>
        <v>304.79999999999995</v>
      </c>
      <c r="I130" s="703">
        <f t="shared" si="18"/>
        <v>168.7363728</v>
      </c>
      <c r="J130" s="703">
        <f t="shared" si="18"/>
        <v>147.87112239999999</v>
      </c>
      <c r="K130" s="703">
        <f t="shared" si="18"/>
        <v>147.87112239999999</v>
      </c>
      <c r="L130" s="703">
        <f t="shared" si="18"/>
        <v>168.28278040000001</v>
      </c>
      <c r="M130" s="703">
        <f t="shared" si="18"/>
        <v>187.33366119999999</v>
      </c>
    </row>
    <row r="131" spans="1:13" ht="14" thickTop="1" x14ac:dyDescent="0.15">
      <c r="A131" s="712">
        <v>14</v>
      </c>
      <c r="B131" s="692">
        <v>562</v>
      </c>
      <c r="C131" s="693">
        <v>380</v>
      </c>
      <c r="D131" s="694">
        <v>380</v>
      </c>
      <c r="E131" s="693">
        <v>397</v>
      </c>
      <c r="F131" s="695">
        <v>494</v>
      </c>
      <c r="H131" s="696">
        <f>A132*25.4</f>
        <v>406.4</v>
      </c>
      <c r="I131" s="697">
        <f>B131*0.4535924</f>
        <v>254.9189288</v>
      </c>
      <c r="J131" s="697">
        <f>C131*0.4535924</f>
        <v>172.36511200000001</v>
      </c>
      <c r="K131" s="697">
        <f>D131*0.4535924</f>
        <v>172.36511200000001</v>
      </c>
      <c r="L131" s="697">
        <f>E131*0.4535924</f>
        <v>180.0761828</v>
      </c>
      <c r="M131" s="697">
        <f>F131*0.4535924</f>
        <v>224.0746456</v>
      </c>
    </row>
    <row r="132" spans="1:13" x14ac:dyDescent="0.15">
      <c r="A132" s="704">
        <v>16</v>
      </c>
      <c r="B132" s="699">
        <v>685</v>
      </c>
      <c r="C132" s="700">
        <v>459</v>
      </c>
      <c r="D132" s="76">
        <v>459</v>
      </c>
      <c r="E132" s="700">
        <v>488</v>
      </c>
      <c r="F132" s="701">
        <v>619</v>
      </c>
      <c r="H132" s="702">
        <f>A132*25.4</f>
        <v>406.4</v>
      </c>
      <c r="I132" s="703">
        <f t="shared" ref="I132:M135" si="19">B132*0.4535924</f>
        <v>310.71079400000002</v>
      </c>
      <c r="J132" s="703">
        <f t="shared" si="19"/>
        <v>208.1989116</v>
      </c>
      <c r="K132" s="703">
        <f t="shared" si="19"/>
        <v>208.1989116</v>
      </c>
      <c r="L132" s="703">
        <f t="shared" si="19"/>
        <v>221.35309119999999</v>
      </c>
      <c r="M132" s="703">
        <f t="shared" si="19"/>
        <v>280.7736956</v>
      </c>
    </row>
    <row r="133" spans="1:13" x14ac:dyDescent="0.15">
      <c r="A133" s="704">
        <v>18</v>
      </c>
      <c r="B133" s="699">
        <v>924</v>
      </c>
      <c r="C133" s="700">
        <v>647</v>
      </c>
      <c r="D133" s="76">
        <v>647</v>
      </c>
      <c r="E133" s="700">
        <v>670</v>
      </c>
      <c r="F133" s="701">
        <v>880</v>
      </c>
      <c r="H133" s="702">
        <f>A133*25.4</f>
        <v>457.2</v>
      </c>
      <c r="I133" s="703">
        <f t="shared" si="19"/>
        <v>419.11937760000001</v>
      </c>
      <c r="J133" s="703">
        <f t="shared" si="19"/>
        <v>293.47428280000003</v>
      </c>
      <c r="K133" s="703">
        <f t="shared" si="19"/>
        <v>293.47428280000003</v>
      </c>
      <c r="L133" s="703">
        <f t="shared" si="19"/>
        <v>303.90690799999999</v>
      </c>
      <c r="M133" s="703">
        <f t="shared" si="19"/>
        <v>399.16131200000001</v>
      </c>
    </row>
    <row r="134" spans="1:13" x14ac:dyDescent="0.15">
      <c r="A134" s="704">
        <v>20</v>
      </c>
      <c r="B134" s="699">
        <v>1164</v>
      </c>
      <c r="C134" s="700">
        <v>792</v>
      </c>
      <c r="D134" s="76">
        <v>792</v>
      </c>
      <c r="E134" s="700">
        <v>868</v>
      </c>
      <c r="F134" s="701">
        <v>1107</v>
      </c>
      <c r="H134" s="702">
        <f>A134*25.4</f>
        <v>508</v>
      </c>
      <c r="I134" s="703">
        <f t="shared" si="19"/>
        <v>527.98155359999998</v>
      </c>
      <c r="J134" s="703">
        <f t="shared" si="19"/>
        <v>359.24518080000001</v>
      </c>
      <c r="K134" s="703">
        <f t="shared" si="19"/>
        <v>359.24518080000001</v>
      </c>
      <c r="L134" s="703">
        <f t="shared" si="19"/>
        <v>393.7182032</v>
      </c>
      <c r="M134" s="703">
        <f t="shared" si="19"/>
        <v>502.12678679999999</v>
      </c>
    </row>
    <row r="135" spans="1:13" ht="14" thickBot="1" x14ac:dyDescent="0.2">
      <c r="A135" s="713">
        <v>24</v>
      </c>
      <c r="B135" s="707">
        <v>2107</v>
      </c>
      <c r="C135" s="708">
        <v>1480</v>
      </c>
      <c r="D135" s="709">
        <v>1480</v>
      </c>
      <c r="E135" s="708">
        <v>1659</v>
      </c>
      <c r="F135" s="710">
        <v>2099</v>
      </c>
      <c r="H135" s="711">
        <f>A135*25.4</f>
        <v>609.59999999999991</v>
      </c>
      <c r="I135" s="714">
        <f t="shared" si="19"/>
        <v>955.71918679999999</v>
      </c>
      <c r="J135" s="714">
        <f t="shared" si="19"/>
        <v>671.31675200000006</v>
      </c>
      <c r="K135" s="714">
        <f t="shared" si="19"/>
        <v>671.31675200000006</v>
      </c>
      <c r="L135" s="714">
        <f t="shared" si="19"/>
        <v>752.50979159999997</v>
      </c>
      <c r="M135" s="714">
        <f t="shared" si="19"/>
        <v>952.09044760000006</v>
      </c>
    </row>
    <row r="136" spans="1:13" ht="14" thickTop="1" x14ac:dyDescent="0.15"/>
    <row r="137" spans="1:13" ht="20" x14ac:dyDescent="0.2">
      <c r="D137" s="689"/>
      <c r="E137" s="463" t="s">
        <v>1866</v>
      </c>
    </row>
    <row r="138" spans="1:13" ht="17" thickBot="1" x14ac:dyDescent="0.25">
      <c r="C138" s="35" t="s">
        <v>1756</v>
      </c>
      <c r="J138" s="35" t="s">
        <v>1757</v>
      </c>
    </row>
    <row r="139" spans="1:13" ht="14" thickTop="1" x14ac:dyDescent="0.15">
      <c r="A139" s="490" t="s">
        <v>1818</v>
      </c>
      <c r="B139" s="690" t="s">
        <v>1867</v>
      </c>
      <c r="C139" s="690" t="s">
        <v>1867</v>
      </c>
      <c r="D139" s="690" t="s">
        <v>1867</v>
      </c>
      <c r="E139" s="690" t="s">
        <v>1867</v>
      </c>
      <c r="F139" s="690" t="s">
        <v>1867</v>
      </c>
      <c r="G139" s="28"/>
      <c r="H139" s="490" t="s">
        <v>1818</v>
      </c>
      <c r="I139" s="690" t="s">
        <v>1867</v>
      </c>
      <c r="J139" s="690" t="s">
        <v>1867</v>
      </c>
      <c r="K139" s="690" t="s">
        <v>1867</v>
      </c>
      <c r="L139" s="690" t="s">
        <v>1867</v>
      </c>
      <c r="M139" s="690" t="s">
        <v>1867</v>
      </c>
    </row>
    <row r="140" spans="1:13" x14ac:dyDescent="0.15">
      <c r="A140" s="498" t="s">
        <v>1507</v>
      </c>
      <c r="B140" s="501" t="s">
        <v>1851</v>
      </c>
      <c r="C140" s="501" t="s">
        <v>1852</v>
      </c>
      <c r="D140" s="501" t="s">
        <v>1853</v>
      </c>
      <c r="E140" s="501" t="s">
        <v>1854</v>
      </c>
      <c r="F140" s="501" t="s">
        <v>1855</v>
      </c>
      <c r="G140" s="28"/>
      <c r="H140" s="498" t="s">
        <v>1507</v>
      </c>
      <c r="I140" s="501" t="s">
        <v>1851</v>
      </c>
      <c r="J140" s="501" t="s">
        <v>1852</v>
      </c>
      <c r="K140" s="501" t="s">
        <v>1853</v>
      </c>
      <c r="L140" s="501" t="s">
        <v>1854</v>
      </c>
      <c r="M140" s="501" t="s">
        <v>1855</v>
      </c>
    </row>
    <row r="141" spans="1:13" x14ac:dyDescent="0.15">
      <c r="A141" s="498" t="s">
        <v>845</v>
      </c>
      <c r="B141" s="501" t="s">
        <v>1856</v>
      </c>
      <c r="C141" s="501" t="s">
        <v>1856</v>
      </c>
      <c r="D141" s="501" t="s">
        <v>1856</v>
      </c>
      <c r="E141" s="501" t="s">
        <v>1856</v>
      </c>
      <c r="F141" s="501" t="s">
        <v>1856</v>
      </c>
      <c r="G141" s="28"/>
      <c r="H141" s="498" t="s">
        <v>845</v>
      </c>
      <c r="I141" s="501" t="s">
        <v>1856</v>
      </c>
      <c r="J141" s="501" t="s">
        <v>1856</v>
      </c>
      <c r="K141" s="501" t="s">
        <v>1856</v>
      </c>
      <c r="L141" s="501" t="s">
        <v>1856</v>
      </c>
      <c r="M141" s="501" t="s">
        <v>1856</v>
      </c>
    </row>
    <row r="142" spans="1:13" ht="14" thickBot="1" x14ac:dyDescent="0.2">
      <c r="A142" s="505" t="s">
        <v>1753</v>
      </c>
      <c r="B142" s="688" t="s">
        <v>1857</v>
      </c>
      <c r="C142" s="688" t="s">
        <v>1857</v>
      </c>
      <c r="D142" s="688" t="s">
        <v>1857</v>
      </c>
      <c r="E142" s="688" t="s">
        <v>1857</v>
      </c>
      <c r="F142" s="688" t="s">
        <v>1857</v>
      </c>
      <c r="G142" s="28"/>
      <c r="H142" s="505" t="s">
        <v>1754</v>
      </c>
      <c r="I142" s="505" t="s">
        <v>1791</v>
      </c>
      <c r="J142" s="505" t="s">
        <v>1791</v>
      </c>
      <c r="K142" s="505" t="s">
        <v>1791</v>
      </c>
      <c r="L142" s="505" t="s">
        <v>1791</v>
      </c>
      <c r="M142" s="505" t="s">
        <v>1791</v>
      </c>
    </row>
    <row r="143" spans="1:13" ht="14" thickTop="1" x14ac:dyDescent="0.15">
      <c r="A143" s="691">
        <v>0.5</v>
      </c>
      <c r="B143" s="692">
        <v>7</v>
      </c>
      <c r="C143" s="693">
        <v>6</v>
      </c>
      <c r="D143" s="694">
        <v>6</v>
      </c>
      <c r="E143" s="693">
        <v>6</v>
      </c>
      <c r="F143" s="695">
        <v>7</v>
      </c>
      <c r="H143" s="696">
        <f>A143*25.4</f>
        <v>12.7</v>
      </c>
      <c r="I143" s="697">
        <f>B143*0.4535924</f>
        <v>3.1751468000000003</v>
      </c>
      <c r="J143" s="697">
        <f>C143*0.4535924</f>
        <v>2.7215544</v>
      </c>
      <c r="K143" s="697">
        <f>D143*0.4535924</f>
        <v>2.7215544</v>
      </c>
      <c r="L143" s="697">
        <f>E143*0.4535924</f>
        <v>2.7215544</v>
      </c>
      <c r="M143" s="697">
        <f>F143*0.4535924</f>
        <v>3.1751468000000003</v>
      </c>
    </row>
    <row r="144" spans="1:13" x14ac:dyDescent="0.15">
      <c r="A144" s="698">
        <v>0.75</v>
      </c>
      <c r="B144" s="699">
        <v>7</v>
      </c>
      <c r="C144" s="700">
        <v>6</v>
      </c>
      <c r="D144" s="76">
        <v>6</v>
      </c>
      <c r="E144" s="700">
        <v>6</v>
      </c>
      <c r="F144" s="701">
        <v>10</v>
      </c>
      <c r="H144" s="702">
        <f>A144*25.4</f>
        <v>19.049999999999997</v>
      </c>
      <c r="I144" s="703">
        <f t="shared" ref="I144:M147" si="20">B144*0.4535924</f>
        <v>3.1751468000000003</v>
      </c>
      <c r="J144" s="703">
        <f t="shared" si="20"/>
        <v>2.7215544</v>
      </c>
      <c r="K144" s="703">
        <f t="shared" si="20"/>
        <v>2.7215544</v>
      </c>
      <c r="L144" s="703">
        <f t="shared" si="20"/>
        <v>2.7215544</v>
      </c>
      <c r="M144" s="703">
        <f t="shared" si="20"/>
        <v>4.5359239999999996</v>
      </c>
    </row>
    <row r="145" spans="1:13" x14ac:dyDescent="0.15">
      <c r="A145" s="704">
        <v>1</v>
      </c>
      <c r="B145" s="699">
        <v>8.5</v>
      </c>
      <c r="C145" s="700">
        <v>7.5</v>
      </c>
      <c r="D145" s="76">
        <v>7.5</v>
      </c>
      <c r="E145" s="700">
        <v>7.5</v>
      </c>
      <c r="F145" s="701">
        <v>12</v>
      </c>
      <c r="H145" s="702">
        <f>A145*25.4</f>
        <v>25.4</v>
      </c>
      <c r="I145" s="703">
        <f t="shared" si="20"/>
        <v>3.8555353999999999</v>
      </c>
      <c r="J145" s="703">
        <f t="shared" si="20"/>
        <v>3.4019430000000002</v>
      </c>
      <c r="K145" s="703">
        <f t="shared" si="20"/>
        <v>3.4019430000000002</v>
      </c>
      <c r="L145" s="703">
        <f t="shared" si="20"/>
        <v>3.4019430000000002</v>
      </c>
      <c r="M145" s="703">
        <f t="shared" si="20"/>
        <v>5.4431088000000001</v>
      </c>
    </row>
    <row r="146" spans="1:13" x14ac:dyDescent="0.15">
      <c r="A146" s="705">
        <v>1.25</v>
      </c>
      <c r="B146" s="699">
        <v>10</v>
      </c>
      <c r="C146" s="700">
        <v>10</v>
      </c>
      <c r="D146" s="76">
        <v>10</v>
      </c>
      <c r="E146" s="700">
        <v>10</v>
      </c>
      <c r="F146" s="701">
        <v>18</v>
      </c>
      <c r="H146" s="702">
        <f>A146*25.4</f>
        <v>31.75</v>
      </c>
      <c r="I146" s="703">
        <f t="shared" si="20"/>
        <v>4.5359239999999996</v>
      </c>
      <c r="J146" s="703">
        <f t="shared" si="20"/>
        <v>4.5359239999999996</v>
      </c>
      <c r="K146" s="703">
        <f t="shared" si="20"/>
        <v>4.5359239999999996</v>
      </c>
      <c r="L146" s="703">
        <f t="shared" si="20"/>
        <v>4.5359239999999996</v>
      </c>
      <c r="M146" s="703">
        <f t="shared" si="20"/>
        <v>8.1646631999999997</v>
      </c>
    </row>
    <row r="147" spans="1:13" ht="14" thickBot="1" x14ac:dyDescent="0.2">
      <c r="A147" s="706">
        <v>1.5</v>
      </c>
      <c r="B147" s="707">
        <v>14</v>
      </c>
      <c r="C147" s="708">
        <v>14</v>
      </c>
      <c r="D147" s="709">
        <v>14</v>
      </c>
      <c r="E147" s="708">
        <v>14</v>
      </c>
      <c r="F147" s="710">
        <v>25</v>
      </c>
      <c r="H147" s="711">
        <f>A147*25.4</f>
        <v>38.099999999999994</v>
      </c>
      <c r="I147" s="703">
        <f t="shared" si="20"/>
        <v>6.3502936000000005</v>
      </c>
      <c r="J147" s="703">
        <f t="shared" si="20"/>
        <v>6.3502936000000005</v>
      </c>
      <c r="K147" s="703">
        <f t="shared" si="20"/>
        <v>6.3502936000000005</v>
      </c>
      <c r="L147" s="703">
        <f t="shared" si="20"/>
        <v>6.3502936000000005</v>
      </c>
      <c r="M147" s="703">
        <f t="shared" si="20"/>
        <v>11.33981</v>
      </c>
    </row>
    <row r="148" spans="1:13" ht="14" thickTop="1" x14ac:dyDescent="0.15">
      <c r="A148" s="712">
        <v>2</v>
      </c>
      <c r="B148" s="692">
        <v>24</v>
      </c>
      <c r="C148" s="693">
        <v>22</v>
      </c>
      <c r="D148" s="694">
        <v>23</v>
      </c>
      <c r="E148" s="693">
        <v>21</v>
      </c>
      <c r="F148" s="695">
        <v>39</v>
      </c>
      <c r="H148" s="696">
        <f>A149*25.4</f>
        <v>63.5</v>
      </c>
      <c r="I148" s="697">
        <f>B148*0.4535924</f>
        <v>10.8862176</v>
      </c>
      <c r="J148" s="697">
        <f>C148*0.4535924</f>
        <v>9.9790328000000006</v>
      </c>
      <c r="K148" s="697">
        <f>D148*0.4535924</f>
        <v>10.4326252</v>
      </c>
      <c r="L148" s="697">
        <f>E148*0.4535924</f>
        <v>9.5254404000000008</v>
      </c>
      <c r="M148" s="697">
        <f>F148*0.4535924</f>
        <v>17.6901036</v>
      </c>
    </row>
    <row r="149" spans="1:13" x14ac:dyDescent="0.15">
      <c r="A149" s="705">
        <v>2.5</v>
      </c>
      <c r="B149" s="699">
        <v>36</v>
      </c>
      <c r="C149" s="700">
        <v>36</v>
      </c>
      <c r="D149" s="76">
        <v>36</v>
      </c>
      <c r="E149" s="700">
        <v>29</v>
      </c>
      <c r="F149" s="701">
        <v>56</v>
      </c>
      <c r="H149" s="702">
        <f>A149*25.4</f>
        <v>63.5</v>
      </c>
      <c r="I149" s="703">
        <f t="shared" ref="I149:M151" si="21">B149*0.4535924</f>
        <v>16.329326399999999</v>
      </c>
      <c r="J149" s="703">
        <f t="shared" si="21"/>
        <v>16.329326399999999</v>
      </c>
      <c r="K149" s="703">
        <f t="shared" si="21"/>
        <v>16.329326399999999</v>
      </c>
      <c r="L149" s="703">
        <f t="shared" si="21"/>
        <v>13.154179600000001</v>
      </c>
      <c r="M149" s="703">
        <f t="shared" si="21"/>
        <v>25.401174400000002</v>
      </c>
    </row>
    <row r="150" spans="1:13" x14ac:dyDescent="0.15">
      <c r="A150" s="704">
        <v>3</v>
      </c>
      <c r="B150" s="699">
        <v>48</v>
      </c>
      <c r="C150" s="700">
        <v>48</v>
      </c>
      <c r="D150" s="76">
        <v>48</v>
      </c>
      <c r="E150" s="700">
        <v>38</v>
      </c>
      <c r="F150" s="701">
        <v>86</v>
      </c>
      <c r="H150" s="702">
        <f>A150*25.4</f>
        <v>76.199999999999989</v>
      </c>
      <c r="I150" s="703">
        <f t="shared" si="21"/>
        <v>21.7724352</v>
      </c>
      <c r="J150" s="703">
        <f t="shared" si="21"/>
        <v>21.7724352</v>
      </c>
      <c r="K150" s="703">
        <f t="shared" si="21"/>
        <v>21.7724352</v>
      </c>
      <c r="L150" s="703">
        <f t="shared" si="21"/>
        <v>17.236511199999999</v>
      </c>
      <c r="M150" s="703">
        <f t="shared" si="21"/>
        <v>39.008946399999999</v>
      </c>
    </row>
    <row r="151" spans="1:13" ht="14" thickBot="1" x14ac:dyDescent="0.2">
      <c r="A151" s="713">
        <v>4</v>
      </c>
      <c r="B151" s="707">
        <v>69</v>
      </c>
      <c r="C151" s="708">
        <v>73</v>
      </c>
      <c r="D151" s="709">
        <v>73</v>
      </c>
      <c r="E151" s="708">
        <v>75</v>
      </c>
      <c r="F151" s="710">
        <v>133</v>
      </c>
      <c r="H151" s="711">
        <f>A151*25.4</f>
        <v>101.6</v>
      </c>
      <c r="I151" s="703">
        <f t="shared" si="21"/>
        <v>31.297875600000001</v>
      </c>
      <c r="J151" s="703">
        <f t="shared" si="21"/>
        <v>33.112245200000004</v>
      </c>
      <c r="K151" s="703">
        <f t="shared" si="21"/>
        <v>33.112245200000004</v>
      </c>
      <c r="L151" s="703">
        <f t="shared" si="21"/>
        <v>34.01943</v>
      </c>
      <c r="M151" s="703">
        <f t="shared" si="21"/>
        <v>60.327789199999998</v>
      </c>
    </row>
    <row r="152" spans="1:13" ht="14" thickTop="1" x14ac:dyDescent="0.15">
      <c r="A152" s="712">
        <v>5</v>
      </c>
      <c r="B152" s="692">
        <v>132</v>
      </c>
      <c r="C152" s="693">
        <v>132</v>
      </c>
      <c r="D152" s="694">
        <v>132</v>
      </c>
      <c r="E152" s="693">
        <v>138</v>
      </c>
      <c r="F152" s="695">
        <v>223</v>
      </c>
      <c r="H152" s="696">
        <f>A153*25.4</f>
        <v>152.39999999999998</v>
      </c>
      <c r="I152" s="697">
        <f>B152*0.4535924</f>
        <v>59.8741968</v>
      </c>
      <c r="J152" s="697">
        <f>C152*0.4535924</f>
        <v>59.8741968</v>
      </c>
      <c r="K152" s="697">
        <f>D152*0.4535924</f>
        <v>59.8741968</v>
      </c>
      <c r="L152" s="697">
        <f>E152*0.4535924</f>
        <v>62.595751200000002</v>
      </c>
      <c r="M152" s="697">
        <f>F152*0.4535924</f>
        <v>101.1511052</v>
      </c>
    </row>
    <row r="153" spans="1:13" x14ac:dyDescent="0.15">
      <c r="A153" s="704">
        <v>6</v>
      </c>
      <c r="B153" s="699">
        <v>164</v>
      </c>
      <c r="C153" s="700">
        <v>164</v>
      </c>
      <c r="D153" s="76">
        <v>164</v>
      </c>
      <c r="E153" s="700">
        <v>170</v>
      </c>
      <c r="F153" s="701">
        <v>345</v>
      </c>
      <c r="H153" s="702">
        <f>A153*25.4</f>
        <v>152.39999999999998</v>
      </c>
      <c r="I153" s="703">
        <f t="shared" ref="I153:M156" si="22">B153*0.4535924</f>
        <v>74.3891536</v>
      </c>
      <c r="J153" s="703">
        <f t="shared" si="22"/>
        <v>74.3891536</v>
      </c>
      <c r="K153" s="703">
        <f t="shared" si="22"/>
        <v>74.3891536</v>
      </c>
      <c r="L153" s="703">
        <f t="shared" si="22"/>
        <v>77.110708000000002</v>
      </c>
      <c r="M153" s="703">
        <f t="shared" si="22"/>
        <v>156.48937800000002</v>
      </c>
    </row>
    <row r="154" spans="1:13" x14ac:dyDescent="0.15">
      <c r="A154" s="704">
        <v>8</v>
      </c>
      <c r="B154" s="699">
        <v>273</v>
      </c>
      <c r="C154" s="700">
        <v>258</v>
      </c>
      <c r="D154" s="76">
        <v>258</v>
      </c>
      <c r="E154" s="700">
        <v>286</v>
      </c>
      <c r="F154" s="701">
        <v>533</v>
      </c>
      <c r="H154" s="702">
        <f>A154*25.4</f>
        <v>203.2</v>
      </c>
      <c r="I154" s="703">
        <f t="shared" si="22"/>
        <v>123.8307252</v>
      </c>
      <c r="J154" s="703">
        <f t="shared" si="22"/>
        <v>117.0268392</v>
      </c>
      <c r="K154" s="703">
        <f t="shared" si="22"/>
        <v>117.0268392</v>
      </c>
      <c r="L154" s="703">
        <f t="shared" si="22"/>
        <v>129.72742640000001</v>
      </c>
      <c r="M154" s="703">
        <f t="shared" si="22"/>
        <v>241.76474920000001</v>
      </c>
    </row>
    <row r="155" spans="1:13" x14ac:dyDescent="0.15">
      <c r="A155" s="704">
        <v>10</v>
      </c>
      <c r="B155" s="699">
        <v>454</v>
      </c>
      <c r="C155" s="700">
        <v>436</v>
      </c>
      <c r="D155" s="76">
        <v>436</v>
      </c>
      <c r="E155" s="700">
        <v>485</v>
      </c>
      <c r="F155" s="701">
        <v>1025</v>
      </c>
      <c r="H155" s="702">
        <f>A155*25.4</f>
        <v>254</v>
      </c>
      <c r="I155" s="703">
        <f t="shared" si="22"/>
        <v>205.93094959999999</v>
      </c>
      <c r="J155" s="703">
        <f t="shared" si="22"/>
        <v>197.76628640000001</v>
      </c>
      <c r="K155" s="703">
        <f t="shared" si="22"/>
        <v>197.76628640000001</v>
      </c>
      <c r="L155" s="703">
        <f t="shared" si="22"/>
        <v>219.99231399999999</v>
      </c>
      <c r="M155" s="703">
        <f t="shared" si="22"/>
        <v>464.93221</v>
      </c>
    </row>
    <row r="156" spans="1:13" ht="14" thickBot="1" x14ac:dyDescent="0.2">
      <c r="A156" s="713">
        <v>12</v>
      </c>
      <c r="B156" s="707">
        <v>690</v>
      </c>
      <c r="C156" s="708">
        <v>667</v>
      </c>
      <c r="D156" s="709">
        <v>667</v>
      </c>
      <c r="E156" s="708">
        <v>749</v>
      </c>
      <c r="F156" s="710">
        <v>1464</v>
      </c>
      <c r="H156" s="711">
        <f>A156*25.4</f>
        <v>304.79999999999995</v>
      </c>
      <c r="I156" s="703">
        <f t="shared" si="22"/>
        <v>312.97875600000003</v>
      </c>
      <c r="J156" s="703">
        <f t="shared" si="22"/>
        <v>302.54613080000001</v>
      </c>
      <c r="K156" s="703">
        <f t="shared" si="22"/>
        <v>302.54613080000001</v>
      </c>
      <c r="L156" s="703">
        <f t="shared" si="22"/>
        <v>339.74070760000001</v>
      </c>
      <c r="M156" s="703">
        <f t="shared" si="22"/>
        <v>664.05927359999998</v>
      </c>
    </row>
    <row r="157" spans="1:13" ht="14" thickTop="1" x14ac:dyDescent="0.15">
      <c r="A157" s="712">
        <v>14</v>
      </c>
      <c r="B157" s="715"/>
      <c r="C157" s="715"/>
      <c r="D157" s="715"/>
      <c r="E157" s="715"/>
      <c r="F157" s="715"/>
      <c r="H157" s="696">
        <f>A158*25.4</f>
        <v>406.4</v>
      </c>
      <c r="I157" s="715"/>
      <c r="J157" s="715"/>
      <c r="K157" s="715"/>
      <c r="L157" s="715"/>
      <c r="M157" s="715"/>
    </row>
    <row r="158" spans="1:13" x14ac:dyDescent="0.15">
      <c r="A158" s="704">
        <v>16</v>
      </c>
      <c r="B158" s="716"/>
      <c r="C158" s="716"/>
      <c r="D158" s="716"/>
      <c r="E158" s="716"/>
      <c r="F158" s="716"/>
      <c r="H158" s="702">
        <f>A158*25.4</f>
        <v>406.4</v>
      </c>
      <c r="I158" s="716"/>
      <c r="J158" s="716"/>
      <c r="K158" s="716"/>
      <c r="L158" s="716"/>
      <c r="M158" s="716"/>
    </row>
    <row r="159" spans="1:13" x14ac:dyDescent="0.15">
      <c r="A159" s="704">
        <v>18</v>
      </c>
      <c r="B159" s="716"/>
      <c r="C159" s="716"/>
      <c r="D159" s="716"/>
      <c r="E159" s="716"/>
      <c r="F159" s="716"/>
      <c r="H159" s="702">
        <f>A159*25.4</f>
        <v>457.2</v>
      </c>
      <c r="I159" s="716"/>
      <c r="J159" s="716"/>
      <c r="K159" s="716"/>
      <c r="L159" s="716"/>
      <c r="M159" s="716"/>
    </row>
    <row r="160" spans="1:13" x14ac:dyDescent="0.15">
      <c r="A160" s="704">
        <v>20</v>
      </c>
      <c r="B160" s="716"/>
      <c r="C160" s="716"/>
      <c r="D160" s="716"/>
      <c r="E160" s="716"/>
      <c r="F160" s="716"/>
      <c r="H160" s="702">
        <f>A160*25.4</f>
        <v>508</v>
      </c>
      <c r="I160" s="716"/>
      <c r="J160" s="716"/>
      <c r="K160" s="716"/>
      <c r="L160" s="716"/>
      <c r="M160" s="716"/>
    </row>
    <row r="161" spans="1:13" ht="14" thickBot="1" x14ac:dyDescent="0.2">
      <c r="A161" s="713">
        <v>24</v>
      </c>
      <c r="B161" s="717"/>
      <c r="C161" s="717"/>
      <c r="D161" s="717"/>
      <c r="E161" s="717"/>
      <c r="F161" s="717"/>
      <c r="H161" s="711">
        <f>A161*25.4</f>
        <v>609.59999999999991</v>
      </c>
      <c r="I161" s="717"/>
      <c r="J161" s="717"/>
      <c r="K161" s="717"/>
      <c r="L161" s="717"/>
      <c r="M161" s="717"/>
    </row>
    <row r="162" spans="1:13" ht="14" thickTop="1" x14ac:dyDescent="0.15"/>
    <row r="163" spans="1:13" ht="20" x14ac:dyDescent="0.2">
      <c r="D163" s="689"/>
      <c r="E163" s="463" t="s">
        <v>1868</v>
      </c>
    </row>
    <row r="164" spans="1:13" ht="17" thickBot="1" x14ac:dyDescent="0.25">
      <c r="C164" s="35" t="s">
        <v>1756</v>
      </c>
      <c r="J164" s="35" t="s">
        <v>1757</v>
      </c>
    </row>
    <row r="165" spans="1:13" ht="14" thickTop="1" x14ac:dyDescent="0.15">
      <c r="A165" s="490" t="s">
        <v>1818</v>
      </c>
      <c r="B165" s="690" t="s">
        <v>1869</v>
      </c>
      <c r="C165" s="690" t="s">
        <v>1869</v>
      </c>
      <c r="D165" s="690" t="s">
        <v>1869</v>
      </c>
      <c r="E165" s="690" t="s">
        <v>1869</v>
      </c>
      <c r="F165" s="690" t="s">
        <v>1869</v>
      </c>
      <c r="G165" s="28"/>
      <c r="H165" s="490" t="s">
        <v>1818</v>
      </c>
      <c r="I165" s="690" t="s">
        <v>1869</v>
      </c>
      <c r="J165" s="690" t="s">
        <v>1869</v>
      </c>
      <c r="K165" s="690" t="s">
        <v>1869</v>
      </c>
      <c r="L165" s="690" t="s">
        <v>1869</v>
      </c>
      <c r="M165" s="690" t="s">
        <v>1869</v>
      </c>
    </row>
    <row r="166" spans="1:13" x14ac:dyDescent="0.15">
      <c r="A166" s="498" t="s">
        <v>1507</v>
      </c>
      <c r="B166" s="501" t="s">
        <v>1851</v>
      </c>
      <c r="C166" s="501" t="s">
        <v>1852</v>
      </c>
      <c r="D166" s="501" t="s">
        <v>1853</v>
      </c>
      <c r="E166" s="501" t="s">
        <v>1854</v>
      </c>
      <c r="F166" s="501" t="s">
        <v>1855</v>
      </c>
      <c r="G166" s="28"/>
      <c r="H166" s="498" t="s">
        <v>1507</v>
      </c>
      <c r="I166" s="501" t="s">
        <v>1851</v>
      </c>
      <c r="J166" s="501" t="s">
        <v>1852</v>
      </c>
      <c r="K166" s="501" t="s">
        <v>1853</v>
      </c>
      <c r="L166" s="501" t="s">
        <v>1854</v>
      </c>
      <c r="M166" s="501" t="s">
        <v>1855</v>
      </c>
    </row>
    <row r="167" spans="1:13" x14ac:dyDescent="0.15">
      <c r="A167" s="498" t="s">
        <v>845</v>
      </c>
      <c r="B167" s="501" t="s">
        <v>1856</v>
      </c>
      <c r="C167" s="501" t="s">
        <v>1856</v>
      </c>
      <c r="D167" s="501" t="s">
        <v>1856</v>
      </c>
      <c r="E167" s="501" t="s">
        <v>1856</v>
      </c>
      <c r="F167" s="501" t="s">
        <v>1856</v>
      </c>
      <c r="G167" s="28"/>
      <c r="H167" s="498" t="s">
        <v>845</v>
      </c>
      <c r="I167" s="501" t="s">
        <v>1856</v>
      </c>
      <c r="J167" s="501" t="s">
        <v>1856</v>
      </c>
      <c r="K167" s="501" t="s">
        <v>1856</v>
      </c>
      <c r="L167" s="501" t="s">
        <v>1856</v>
      </c>
      <c r="M167" s="501" t="s">
        <v>1856</v>
      </c>
    </row>
    <row r="168" spans="1:13" ht="14" thickBot="1" x14ac:dyDescent="0.2">
      <c r="A168" s="505" t="s">
        <v>1753</v>
      </c>
      <c r="B168" s="688" t="s">
        <v>1857</v>
      </c>
      <c r="C168" s="688" t="s">
        <v>1857</v>
      </c>
      <c r="D168" s="688" t="s">
        <v>1857</v>
      </c>
      <c r="E168" s="688" t="s">
        <v>1857</v>
      </c>
      <c r="F168" s="688" t="s">
        <v>1857</v>
      </c>
      <c r="G168" s="28"/>
      <c r="H168" s="505" t="s">
        <v>1754</v>
      </c>
      <c r="I168" s="505" t="s">
        <v>1791</v>
      </c>
      <c r="J168" s="505" t="s">
        <v>1791</v>
      </c>
      <c r="K168" s="505" t="s">
        <v>1791</v>
      </c>
      <c r="L168" s="505" t="s">
        <v>1791</v>
      </c>
      <c r="M168" s="505" t="s">
        <v>1791</v>
      </c>
    </row>
    <row r="169" spans="1:13" ht="14" thickTop="1" x14ac:dyDescent="0.15">
      <c r="A169" s="691">
        <v>0.5</v>
      </c>
      <c r="B169" s="692">
        <v>8</v>
      </c>
      <c r="C169" s="693">
        <v>7</v>
      </c>
      <c r="D169" s="694">
        <v>7</v>
      </c>
      <c r="E169" s="693">
        <v>7</v>
      </c>
      <c r="F169" s="695">
        <v>7</v>
      </c>
      <c r="H169" s="696">
        <f>A169*25.4</f>
        <v>12.7</v>
      </c>
      <c r="I169" s="697">
        <f>B169*0.4535924</f>
        <v>3.6287392000000001</v>
      </c>
      <c r="J169" s="697">
        <f>C169*0.4535924</f>
        <v>3.1751468000000003</v>
      </c>
      <c r="K169" s="697">
        <f>D169*0.4535924</f>
        <v>3.1751468000000003</v>
      </c>
      <c r="L169" s="697">
        <f>E169*0.4535924</f>
        <v>3.1751468000000003</v>
      </c>
      <c r="M169" s="697">
        <f>F169*0.4535924</f>
        <v>3.1751468000000003</v>
      </c>
    </row>
    <row r="170" spans="1:13" x14ac:dyDescent="0.15">
      <c r="A170" s="698">
        <v>0.75</v>
      </c>
      <c r="B170" s="699">
        <v>9</v>
      </c>
      <c r="C170" s="700">
        <v>9</v>
      </c>
      <c r="D170" s="76">
        <v>9</v>
      </c>
      <c r="E170" s="700">
        <v>8</v>
      </c>
      <c r="F170" s="701">
        <v>10</v>
      </c>
      <c r="H170" s="702">
        <f>A170*25.4</f>
        <v>19.049999999999997</v>
      </c>
      <c r="I170" s="703">
        <f t="shared" ref="I170:M173" si="23">B170*0.4535924</f>
        <v>4.0823315999999998</v>
      </c>
      <c r="J170" s="703">
        <f t="shared" si="23"/>
        <v>4.0823315999999998</v>
      </c>
      <c r="K170" s="703">
        <f t="shared" si="23"/>
        <v>4.0823315999999998</v>
      </c>
      <c r="L170" s="703">
        <f t="shared" si="23"/>
        <v>3.6287392000000001</v>
      </c>
      <c r="M170" s="703">
        <f t="shared" si="23"/>
        <v>4.5359239999999996</v>
      </c>
    </row>
    <row r="171" spans="1:13" x14ac:dyDescent="0.15">
      <c r="A171" s="704">
        <v>1</v>
      </c>
      <c r="B171" s="699">
        <v>13</v>
      </c>
      <c r="C171" s="700">
        <v>12</v>
      </c>
      <c r="D171" s="76">
        <v>12</v>
      </c>
      <c r="E171" s="700">
        <v>12</v>
      </c>
      <c r="F171" s="701">
        <v>12</v>
      </c>
      <c r="H171" s="702">
        <f>A171*25.4</f>
        <v>25.4</v>
      </c>
      <c r="I171" s="703">
        <f t="shared" si="23"/>
        <v>5.8967011999999999</v>
      </c>
      <c r="J171" s="703">
        <f t="shared" si="23"/>
        <v>5.4431088000000001</v>
      </c>
      <c r="K171" s="703">
        <f t="shared" si="23"/>
        <v>5.4431088000000001</v>
      </c>
      <c r="L171" s="703">
        <f t="shared" si="23"/>
        <v>5.4431088000000001</v>
      </c>
      <c r="M171" s="703">
        <f t="shared" si="23"/>
        <v>5.4431088000000001</v>
      </c>
    </row>
    <row r="172" spans="1:13" x14ac:dyDescent="0.15">
      <c r="A172" s="705">
        <v>1.25</v>
      </c>
      <c r="B172" s="699">
        <v>20</v>
      </c>
      <c r="C172" s="700">
        <v>18</v>
      </c>
      <c r="D172" s="76">
        <v>18</v>
      </c>
      <c r="E172" s="700">
        <v>17</v>
      </c>
      <c r="F172" s="701">
        <v>18</v>
      </c>
      <c r="H172" s="702">
        <f>A172*25.4</f>
        <v>31.75</v>
      </c>
      <c r="I172" s="703">
        <f t="shared" si="23"/>
        <v>9.0718479999999992</v>
      </c>
      <c r="J172" s="703">
        <f t="shared" si="23"/>
        <v>8.1646631999999997</v>
      </c>
      <c r="K172" s="703">
        <f t="shared" si="23"/>
        <v>8.1646631999999997</v>
      </c>
      <c r="L172" s="703">
        <f t="shared" si="23"/>
        <v>7.7110707999999999</v>
      </c>
      <c r="M172" s="703">
        <f t="shared" si="23"/>
        <v>8.1646631999999997</v>
      </c>
    </row>
    <row r="173" spans="1:13" ht="14" thickBot="1" x14ac:dyDescent="0.2">
      <c r="A173" s="706">
        <v>1.5</v>
      </c>
      <c r="B173" s="707">
        <v>28</v>
      </c>
      <c r="C173" s="708">
        <v>25</v>
      </c>
      <c r="D173" s="709">
        <v>25</v>
      </c>
      <c r="E173" s="708">
        <v>24</v>
      </c>
      <c r="F173" s="710">
        <v>25</v>
      </c>
      <c r="H173" s="711">
        <f>A173*25.4</f>
        <v>38.099999999999994</v>
      </c>
      <c r="I173" s="703">
        <f t="shared" si="23"/>
        <v>12.700587200000001</v>
      </c>
      <c r="J173" s="703">
        <f t="shared" si="23"/>
        <v>11.33981</v>
      </c>
      <c r="K173" s="703">
        <f t="shared" si="23"/>
        <v>11.33981</v>
      </c>
      <c r="L173" s="703">
        <f t="shared" si="23"/>
        <v>10.8862176</v>
      </c>
      <c r="M173" s="703">
        <f t="shared" si="23"/>
        <v>11.33981</v>
      </c>
    </row>
    <row r="174" spans="1:13" ht="14" thickTop="1" x14ac:dyDescent="0.15">
      <c r="A174" s="712">
        <v>2</v>
      </c>
      <c r="B174" s="692">
        <v>42</v>
      </c>
      <c r="C174" s="693">
        <v>38</v>
      </c>
      <c r="D174" s="694">
        <v>38</v>
      </c>
      <c r="E174" s="693">
        <v>37</v>
      </c>
      <c r="F174" s="695">
        <v>39</v>
      </c>
      <c r="H174" s="696">
        <f>A175*25.4</f>
        <v>63.5</v>
      </c>
      <c r="I174" s="697">
        <f>B174*0.4535924</f>
        <v>19.050880800000002</v>
      </c>
      <c r="J174" s="697">
        <f>C174*0.4535924</f>
        <v>17.236511199999999</v>
      </c>
      <c r="K174" s="697">
        <f>D174*0.4535924</f>
        <v>17.236511199999999</v>
      </c>
      <c r="L174" s="697">
        <f>E174*0.4535924</f>
        <v>16.782918800000001</v>
      </c>
      <c r="M174" s="697">
        <f>F174*0.4535924</f>
        <v>17.6901036</v>
      </c>
    </row>
    <row r="175" spans="1:13" x14ac:dyDescent="0.15">
      <c r="A175" s="705">
        <v>2.5</v>
      </c>
      <c r="B175" s="699">
        <v>52</v>
      </c>
      <c r="C175" s="700">
        <v>55</v>
      </c>
      <c r="D175" s="76">
        <v>55</v>
      </c>
      <c r="E175" s="700">
        <v>53</v>
      </c>
      <c r="F175" s="701">
        <v>56</v>
      </c>
      <c r="H175" s="702">
        <f>A175*25.4</f>
        <v>63.5</v>
      </c>
      <c r="I175" s="703">
        <f t="shared" ref="I175:M177" si="24">B175*0.4535924</f>
        <v>23.586804799999999</v>
      </c>
      <c r="J175" s="703">
        <f t="shared" si="24"/>
        <v>24.947582000000001</v>
      </c>
      <c r="K175" s="703">
        <f t="shared" si="24"/>
        <v>24.947582000000001</v>
      </c>
      <c r="L175" s="703">
        <f t="shared" si="24"/>
        <v>24.040397200000001</v>
      </c>
      <c r="M175" s="703">
        <f t="shared" si="24"/>
        <v>25.401174400000002</v>
      </c>
    </row>
    <row r="176" spans="1:13" x14ac:dyDescent="0.15">
      <c r="A176" s="704">
        <v>3</v>
      </c>
      <c r="B176" s="699">
        <v>94</v>
      </c>
      <c r="C176" s="700">
        <v>83</v>
      </c>
      <c r="D176" s="76">
        <v>83</v>
      </c>
      <c r="E176" s="700">
        <v>80</v>
      </c>
      <c r="F176" s="701">
        <v>86</v>
      </c>
      <c r="H176" s="702">
        <f>A176*25.4</f>
        <v>76.199999999999989</v>
      </c>
      <c r="I176" s="703">
        <f t="shared" si="24"/>
        <v>42.637685599999998</v>
      </c>
      <c r="J176" s="703">
        <f t="shared" si="24"/>
        <v>37.648169199999998</v>
      </c>
      <c r="K176" s="703">
        <f t="shared" si="24"/>
        <v>37.648169199999998</v>
      </c>
      <c r="L176" s="703">
        <f t="shared" si="24"/>
        <v>36.287391999999997</v>
      </c>
      <c r="M176" s="703">
        <f t="shared" si="24"/>
        <v>39.008946399999999</v>
      </c>
    </row>
    <row r="177" spans="1:13" ht="14" thickBot="1" x14ac:dyDescent="0.2">
      <c r="A177" s="713">
        <v>4</v>
      </c>
      <c r="B177" s="707">
        <v>146</v>
      </c>
      <c r="C177" s="708">
        <v>127</v>
      </c>
      <c r="D177" s="709">
        <v>127</v>
      </c>
      <c r="E177" s="708">
        <v>122</v>
      </c>
      <c r="F177" s="710">
        <v>133</v>
      </c>
      <c r="H177" s="711">
        <f>A177*25.4</f>
        <v>101.6</v>
      </c>
      <c r="I177" s="703">
        <f t="shared" si="24"/>
        <v>66.224490400000008</v>
      </c>
      <c r="J177" s="703">
        <f t="shared" si="24"/>
        <v>57.606234800000003</v>
      </c>
      <c r="K177" s="703">
        <f t="shared" si="24"/>
        <v>57.606234800000003</v>
      </c>
      <c r="L177" s="703">
        <f t="shared" si="24"/>
        <v>55.338272799999999</v>
      </c>
      <c r="M177" s="703">
        <f t="shared" si="24"/>
        <v>60.327789199999998</v>
      </c>
    </row>
    <row r="178" spans="1:13" ht="14" thickTop="1" x14ac:dyDescent="0.15">
      <c r="A178" s="712">
        <v>5</v>
      </c>
      <c r="B178" s="692">
        <v>244</v>
      </c>
      <c r="C178" s="693">
        <v>210</v>
      </c>
      <c r="D178" s="694">
        <v>210</v>
      </c>
      <c r="E178" s="693">
        <v>204</v>
      </c>
      <c r="F178" s="695">
        <v>223</v>
      </c>
      <c r="H178" s="696">
        <f>A179*25.4</f>
        <v>152.39999999999998</v>
      </c>
      <c r="I178" s="697">
        <f>B178*0.4535924</f>
        <v>110.6765456</v>
      </c>
      <c r="J178" s="697">
        <f>C178*0.4535924</f>
        <v>95.254404000000008</v>
      </c>
      <c r="K178" s="697">
        <f>D178*0.4535924</f>
        <v>95.254404000000008</v>
      </c>
      <c r="L178" s="697">
        <f>E178*0.4535924</f>
        <v>92.532849600000006</v>
      </c>
      <c r="M178" s="697">
        <f>F178*0.4535924</f>
        <v>101.1511052</v>
      </c>
    </row>
    <row r="179" spans="1:13" x14ac:dyDescent="0.15">
      <c r="A179" s="704">
        <v>6</v>
      </c>
      <c r="B179" s="699">
        <v>378</v>
      </c>
      <c r="C179" s="700">
        <v>323</v>
      </c>
      <c r="D179" s="76">
        <v>323</v>
      </c>
      <c r="E179" s="700">
        <v>314</v>
      </c>
      <c r="F179" s="701">
        <v>345</v>
      </c>
      <c r="H179" s="702">
        <f>A179*25.4</f>
        <v>152.39999999999998</v>
      </c>
      <c r="I179" s="703">
        <f t="shared" ref="I179:M182" si="25">B179*0.4535924</f>
        <v>171.4579272</v>
      </c>
      <c r="J179" s="703">
        <f t="shared" si="25"/>
        <v>146.51034519999999</v>
      </c>
      <c r="K179" s="703">
        <f t="shared" si="25"/>
        <v>146.51034519999999</v>
      </c>
      <c r="L179" s="703">
        <f t="shared" si="25"/>
        <v>142.42801360000001</v>
      </c>
      <c r="M179" s="703">
        <f t="shared" si="25"/>
        <v>156.48937800000002</v>
      </c>
    </row>
    <row r="180" spans="1:13" x14ac:dyDescent="0.15">
      <c r="A180" s="704">
        <v>8</v>
      </c>
      <c r="B180" s="699">
        <v>576</v>
      </c>
      <c r="C180" s="700">
        <v>485</v>
      </c>
      <c r="D180" s="76">
        <v>485</v>
      </c>
      <c r="E180" s="700">
        <v>471</v>
      </c>
      <c r="F180" s="701">
        <v>533</v>
      </c>
      <c r="H180" s="702">
        <f>A180*25.4</f>
        <v>203.2</v>
      </c>
      <c r="I180" s="703">
        <f t="shared" si="25"/>
        <v>261.26922239999999</v>
      </c>
      <c r="J180" s="703">
        <f t="shared" si="25"/>
        <v>219.99231399999999</v>
      </c>
      <c r="K180" s="703">
        <f t="shared" si="25"/>
        <v>219.99231399999999</v>
      </c>
      <c r="L180" s="703">
        <f t="shared" si="25"/>
        <v>213.64202040000001</v>
      </c>
      <c r="M180" s="703">
        <f t="shared" si="25"/>
        <v>241.76474920000001</v>
      </c>
    </row>
    <row r="181" spans="1:13" x14ac:dyDescent="0.15">
      <c r="A181" s="704">
        <v>10</v>
      </c>
      <c r="B181" s="699">
        <v>1068</v>
      </c>
      <c r="C181" s="700">
        <v>925</v>
      </c>
      <c r="D181" s="76">
        <v>925</v>
      </c>
      <c r="E181" s="700">
        <v>897</v>
      </c>
      <c r="F181" s="701">
        <v>1025</v>
      </c>
      <c r="H181" s="702">
        <f>A181*25.4</f>
        <v>254</v>
      </c>
      <c r="I181" s="703">
        <f t="shared" si="25"/>
        <v>484.4366832</v>
      </c>
      <c r="J181" s="703">
        <f t="shared" si="25"/>
        <v>419.57297</v>
      </c>
      <c r="K181" s="703">
        <f t="shared" si="25"/>
        <v>419.57297</v>
      </c>
      <c r="L181" s="703">
        <f t="shared" si="25"/>
        <v>406.87238280000003</v>
      </c>
      <c r="M181" s="703">
        <f t="shared" si="25"/>
        <v>464.93221</v>
      </c>
    </row>
    <row r="182" spans="1:13" ht="14" thickBot="1" x14ac:dyDescent="0.2">
      <c r="A182" s="713">
        <v>12</v>
      </c>
      <c r="B182" s="707">
        <v>1608</v>
      </c>
      <c r="C182" s="708">
        <v>1300</v>
      </c>
      <c r="D182" s="709">
        <v>1300</v>
      </c>
      <c r="E182" s="708">
        <v>1262</v>
      </c>
      <c r="F182" s="710">
        <v>1464</v>
      </c>
      <c r="H182" s="711">
        <f>A182*25.4</f>
        <v>304.79999999999995</v>
      </c>
      <c r="I182" s="703">
        <f t="shared" si="25"/>
        <v>729.37657920000004</v>
      </c>
      <c r="J182" s="703">
        <f t="shared" si="25"/>
        <v>589.67012</v>
      </c>
      <c r="K182" s="703">
        <f t="shared" si="25"/>
        <v>589.67012</v>
      </c>
      <c r="L182" s="703">
        <f t="shared" si="25"/>
        <v>572.4336088</v>
      </c>
      <c r="M182" s="703">
        <f t="shared" si="25"/>
        <v>664.05927359999998</v>
      </c>
    </row>
    <row r="183" spans="1:13" ht="14" thickTop="1" x14ac:dyDescent="0.15">
      <c r="A183" s="712">
        <v>14</v>
      </c>
      <c r="B183" s="715"/>
      <c r="C183" s="715"/>
      <c r="D183" s="715"/>
      <c r="E183" s="715"/>
      <c r="F183" s="715"/>
      <c r="H183" s="696">
        <f>A184*25.4</f>
        <v>406.4</v>
      </c>
      <c r="I183" s="715"/>
      <c r="J183" s="715"/>
      <c r="K183" s="715"/>
      <c r="L183" s="715"/>
      <c r="M183" s="715"/>
    </row>
    <row r="184" spans="1:13" x14ac:dyDescent="0.15">
      <c r="A184" s="704">
        <v>16</v>
      </c>
      <c r="B184" s="716"/>
      <c r="C184" s="716"/>
      <c r="D184" s="716"/>
      <c r="E184" s="716"/>
      <c r="F184" s="716"/>
      <c r="H184" s="702">
        <f>A184*25.4</f>
        <v>406.4</v>
      </c>
      <c r="I184" s="716"/>
      <c r="J184" s="716"/>
      <c r="K184" s="716"/>
      <c r="L184" s="716"/>
      <c r="M184" s="716"/>
    </row>
    <row r="185" spans="1:13" x14ac:dyDescent="0.15">
      <c r="A185" s="704">
        <v>18</v>
      </c>
      <c r="B185" s="716"/>
      <c r="C185" s="716"/>
      <c r="D185" s="716"/>
      <c r="E185" s="716"/>
      <c r="F185" s="716"/>
      <c r="H185" s="702">
        <f>A185*25.4</f>
        <v>457.2</v>
      </c>
      <c r="I185" s="716"/>
      <c r="J185" s="716"/>
      <c r="K185" s="716"/>
      <c r="L185" s="716"/>
      <c r="M185" s="716"/>
    </row>
    <row r="186" spans="1:13" x14ac:dyDescent="0.15">
      <c r="A186" s="704">
        <v>20</v>
      </c>
      <c r="B186" s="716"/>
      <c r="C186" s="716"/>
      <c r="D186" s="716"/>
      <c r="E186" s="716"/>
      <c r="F186" s="716"/>
      <c r="H186" s="702">
        <f>A186*25.4</f>
        <v>508</v>
      </c>
      <c r="I186" s="716"/>
      <c r="J186" s="716"/>
      <c r="K186" s="716"/>
      <c r="L186" s="716"/>
      <c r="M186" s="716"/>
    </row>
    <row r="187" spans="1:13" ht="14" thickBot="1" x14ac:dyDescent="0.2">
      <c r="A187" s="713">
        <v>24</v>
      </c>
      <c r="B187" s="717"/>
      <c r="C187" s="717"/>
      <c r="D187" s="717"/>
      <c r="E187" s="717"/>
      <c r="F187" s="717"/>
      <c r="H187" s="711">
        <f>A187*25.4</f>
        <v>609.59999999999991</v>
      </c>
      <c r="I187" s="717"/>
      <c r="J187" s="717"/>
      <c r="K187" s="717"/>
      <c r="L187" s="717"/>
      <c r="M187" s="717"/>
    </row>
    <row r="188" spans="1:13" ht="14" thickTop="1" x14ac:dyDescent="0.15"/>
  </sheetData>
  <phoneticPr fontId="8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FA173-4EE7-1142-9FCE-203087C056C4}">
  <sheetPr codeName="Sheet3"/>
  <dimension ref="B1:O196"/>
  <sheetViews>
    <sheetView showGridLines="0" zoomScale="95" workbookViewId="0">
      <pane ySplit="18" topLeftCell="A19" activePane="bottomLeft" state="frozen"/>
      <selection pane="bottomLeft" activeCell="S16" sqref="S16"/>
    </sheetView>
  </sheetViews>
  <sheetFormatPr baseColWidth="10" defaultColWidth="8.83203125" defaultRowHeight="13" x14ac:dyDescent="0.15"/>
  <cols>
    <col min="1" max="1" width="2.83203125" customWidth="1"/>
    <col min="2" max="2" width="8.83203125" customWidth="1"/>
    <col min="3" max="3" width="8.5" customWidth="1"/>
    <col min="4" max="4" width="8.83203125" customWidth="1"/>
    <col min="5" max="5" width="9.6640625" customWidth="1"/>
    <col min="6" max="6" width="9.33203125" customWidth="1"/>
    <col min="7" max="7" width="8.1640625" customWidth="1"/>
    <col min="8" max="8" width="8.83203125" customWidth="1"/>
    <col min="9" max="9" width="8.33203125" customWidth="1"/>
    <col min="10" max="10" width="9.6640625" customWidth="1"/>
    <col min="11" max="11" width="8.83203125" customWidth="1"/>
    <col min="12" max="12" width="13.5" customWidth="1"/>
    <col min="13" max="13" width="13.6640625" customWidth="1"/>
    <col min="14" max="14" width="8.83203125" customWidth="1"/>
    <col min="15" max="15" width="5.5" hidden="1" customWidth="1"/>
  </cols>
  <sheetData>
    <row r="1" spans="2:11" x14ac:dyDescent="0.15">
      <c r="B1" s="112">
        <f ca="1">NOW()</f>
        <v>45636.449309606483</v>
      </c>
    </row>
    <row r="2" spans="2:11" ht="16" x14ac:dyDescent="0.2">
      <c r="B2" s="113"/>
      <c r="H2" s="35" t="s">
        <v>1679</v>
      </c>
    </row>
    <row r="3" spans="2:11" ht="23" x14ac:dyDescent="0.25">
      <c r="C3" s="188" t="s">
        <v>1059</v>
      </c>
      <c r="H3" s="35" t="s">
        <v>1674</v>
      </c>
    </row>
    <row r="4" spans="2:11" x14ac:dyDescent="0.15">
      <c r="H4" s="187"/>
    </row>
    <row r="5" spans="2:11" ht="16" x14ac:dyDescent="0.2">
      <c r="H5" s="35"/>
    </row>
    <row r="6" spans="2:11" ht="16" x14ac:dyDescent="0.2">
      <c r="D6" s="35" t="s">
        <v>1678</v>
      </c>
      <c r="E6" s="35"/>
      <c r="F6" s="187"/>
      <c r="K6" s="35" t="s">
        <v>1681</v>
      </c>
    </row>
    <row r="9" spans="2:11" ht="16" x14ac:dyDescent="0.2">
      <c r="K9" s="35" t="s">
        <v>1677</v>
      </c>
    </row>
    <row r="11" spans="2:11" ht="16" x14ac:dyDescent="0.2">
      <c r="F11" s="35" t="s">
        <v>846</v>
      </c>
    </row>
    <row r="12" spans="2:11" ht="16" x14ac:dyDescent="0.2">
      <c r="F12" s="35" t="s">
        <v>1685</v>
      </c>
    </row>
    <row r="13" spans="2:11" ht="16" x14ac:dyDescent="0.2">
      <c r="I13" s="35" t="s">
        <v>1670</v>
      </c>
    </row>
    <row r="14" spans="2:11" ht="16" x14ac:dyDescent="0.2">
      <c r="J14" s="29" t="s">
        <v>1680</v>
      </c>
    </row>
    <row r="16" spans="2:11" ht="14" thickBot="1" x14ac:dyDescent="0.2">
      <c r="B16" s="17"/>
    </row>
    <row r="17" spans="2:15" ht="16" x14ac:dyDescent="0.2">
      <c r="B17" s="361" t="s">
        <v>844</v>
      </c>
      <c r="C17" s="362" t="s">
        <v>846</v>
      </c>
      <c r="D17" s="362" t="s">
        <v>856</v>
      </c>
      <c r="E17" s="362" t="s">
        <v>858</v>
      </c>
      <c r="F17" s="362" t="s">
        <v>1108</v>
      </c>
      <c r="G17" s="363" t="s">
        <v>860</v>
      </c>
      <c r="H17" s="362" t="s">
        <v>1062</v>
      </c>
      <c r="I17" s="365" t="s">
        <v>1051</v>
      </c>
      <c r="J17" s="362" t="s">
        <v>847</v>
      </c>
      <c r="K17" s="377" t="s">
        <v>1047</v>
      </c>
      <c r="L17" s="365" t="s">
        <v>1514</v>
      </c>
      <c r="M17" s="365" t="s">
        <v>1743</v>
      </c>
      <c r="N17" s="365" t="s">
        <v>1435</v>
      </c>
    </row>
    <row r="18" spans="2:15" ht="17" thickBot="1" x14ac:dyDescent="0.25">
      <c r="B18" s="366" t="s">
        <v>845</v>
      </c>
      <c r="C18" s="367" t="s">
        <v>855</v>
      </c>
      <c r="D18" s="367" t="s">
        <v>857</v>
      </c>
      <c r="E18" s="367" t="s">
        <v>1046</v>
      </c>
      <c r="F18" s="367" t="s">
        <v>892</v>
      </c>
      <c r="G18" s="369"/>
      <c r="H18" s="371"/>
      <c r="I18" s="370" t="s">
        <v>1052</v>
      </c>
      <c r="J18" s="371" t="s">
        <v>848</v>
      </c>
      <c r="K18" s="369" t="s">
        <v>848</v>
      </c>
      <c r="L18" s="370" t="s">
        <v>1515</v>
      </c>
      <c r="M18" s="372" t="s">
        <v>1744</v>
      </c>
      <c r="N18" s="372" t="s">
        <v>1764</v>
      </c>
    </row>
    <row r="19" spans="2:15" x14ac:dyDescent="0.15">
      <c r="B19" s="127" t="s">
        <v>1060</v>
      </c>
      <c r="C19" s="130">
        <v>24.5</v>
      </c>
      <c r="D19" s="129">
        <v>0.8125</v>
      </c>
      <c r="E19" s="130">
        <v>8</v>
      </c>
      <c r="F19" s="129">
        <v>1.0625</v>
      </c>
      <c r="G19" s="174">
        <v>2</v>
      </c>
      <c r="H19" s="174">
        <v>1.125</v>
      </c>
      <c r="I19" s="174">
        <v>1</v>
      </c>
      <c r="J19" s="130" t="s">
        <v>850</v>
      </c>
      <c r="K19" s="129" t="s">
        <v>850</v>
      </c>
      <c r="L19" s="175">
        <f>((C19-(F19*2))*2+(E19*4)+(F19*4)-(D19*2))*12/144</f>
        <v>6.614583333333333</v>
      </c>
      <c r="M19" s="273">
        <f>L19*3.2808399*0.09290304</f>
        <v>2.0161250030645101</v>
      </c>
      <c r="N19" s="273">
        <f>O19*3.2808399*0.4535924</f>
        <v>180.06784935506798</v>
      </c>
      <c r="O19">
        <v>121</v>
      </c>
    </row>
    <row r="20" spans="2:15" x14ac:dyDescent="0.15">
      <c r="B20" s="18" t="s">
        <v>1061</v>
      </c>
      <c r="C20" s="22">
        <v>24.5</v>
      </c>
      <c r="D20" s="21">
        <v>0.625</v>
      </c>
      <c r="E20" s="22">
        <v>7.875</v>
      </c>
      <c r="F20" s="21">
        <v>1.0625</v>
      </c>
      <c r="G20" s="21">
        <v>2</v>
      </c>
      <c r="H20" s="21">
        <v>1.125</v>
      </c>
      <c r="I20" s="21">
        <v>1</v>
      </c>
      <c r="J20" s="22" t="s">
        <v>850</v>
      </c>
      <c r="K20" s="21" t="s">
        <v>850</v>
      </c>
      <c r="L20" s="318">
        <f t="shared" ref="L20:L63" si="0">((C20-(F20*2))*2+(E20*4)+(F20*4)-(D20*2))*12/144</f>
        <v>6.604166666666667</v>
      </c>
      <c r="M20" s="333">
        <f t="shared" ref="M20:M63" si="1">L20*3.2808399*0.09290304</f>
        <v>2.0129500030596841</v>
      </c>
      <c r="N20" s="274">
        <f t="shared" ref="N20:N63" si="2">O20*3.2808399*0.4535924</f>
        <v>157.74538869121656</v>
      </c>
      <c r="O20">
        <v>106</v>
      </c>
    </row>
    <row r="21" spans="2:15" x14ac:dyDescent="0.15">
      <c r="B21" s="307"/>
      <c r="C21" s="315"/>
      <c r="D21" s="315"/>
      <c r="E21" s="315"/>
      <c r="F21" s="315"/>
      <c r="G21" s="315"/>
      <c r="H21" s="315"/>
      <c r="I21" s="315"/>
      <c r="J21" s="315"/>
      <c r="K21" s="315"/>
      <c r="L21" s="316"/>
      <c r="M21" s="317"/>
      <c r="N21" s="334"/>
    </row>
    <row r="22" spans="2:15" x14ac:dyDescent="0.15">
      <c r="B22" s="127" t="s">
        <v>1063</v>
      </c>
      <c r="C22" s="130">
        <v>24</v>
      </c>
      <c r="D22" s="129">
        <v>0.75</v>
      </c>
      <c r="E22" s="130">
        <v>7.25</v>
      </c>
      <c r="F22" s="129">
        <v>0.875</v>
      </c>
      <c r="G22" s="129">
        <v>1.75</v>
      </c>
      <c r="H22" s="129">
        <v>0.875</v>
      </c>
      <c r="I22" s="129">
        <v>1</v>
      </c>
      <c r="J22" s="130">
        <v>4</v>
      </c>
      <c r="K22" s="129">
        <v>3</v>
      </c>
      <c r="L22" s="119">
        <f t="shared" si="0"/>
        <v>6.291666666666667</v>
      </c>
      <c r="M22" s="274">
        <f t="shared" si="1"/>
        <v>1.9177000029149041</v>
      </c>
      <c r="N22" s="274">
        <f t="shared" si="2"/>
        <v>148.81640442567601</v>
      </c>
      <c r="O22">
        <v>100</v>
      </c>
    </row>
    <row r="23" spans="2:15" x14ac:dyDescent="0.15">
      <c r="B23" s="18" t="s">
        <v>1064</v>
      </c>
      <c r="C23" s="20">
        <v>24</v>
      </c>
      <c r="D23" s="19">
        <v>0.625</v>
      </c>
      <c r="E23" s="20">
        <v>7.125</v>
      </c>
      <c r="F23" s="19">
        <v>0.875</v>
      </c>
      <c r="G23" s="19">
        <v>1.75</v>
      </c>
      <c r="H23" s="19">
        <v>0.875</v>
      </c>
      <c r="I23" s="19">
        <v>1</v>
      </c>
      <c r="J23" s="20">
        <v>4</v>
      </c>
      <c r="K23" s="19">
        <v>3</v>
      </c>
      <c r="L23" s="132">
        <f t="shared" si="0"/>
        <v>6.270833333333333</v>
      </c>
      <c r="M23" s="274">
        <f t="shared" si="1"/>
        <v>1.9113500029052521</v>
      </c>
      <c r="N23" s="274">
        <f t="shared" si="2"/>
        <v>133.93476398310841</v>
      </c>
      <c r="O23">
        <v>90</v>
      </c>
    </row>
    <row r="24" spans="2:15" x14ac:dyDescent="0.15">
      <c r="B24" s="127" t="s">
        <v>1065</v>
      </c>
      <c r="C24" s="130">
        <v>24</v>
      </c>
      <c r="D24" s="129">
        <v>0.5</v>
      </c>
      <c r="E24" s="130">
        <v>7</v>
      </c>
      <c r="F24" s="129">
        <v>0.875</v>
      </c>
      <c r="G24" s="129">
        <v>1.75</v>
      </c>
      <c r="H24" s="129">
        <v>0.875</v>
      </c>
      <c r="I24" s="129">
        <v>1</v>
      </c>
      <c r="J24" s="130" t="s">
        <v>850</v>
      </c>
      <c r="K24" s="129" t="s">
        <v>850</v>
      </c>
      <c r="L24" s="318">
        <f t="shared" si="0"/>
        <v>6.25</v>
      </c>
      <c r="M24" s="333">
        <f t="shared" si="1"/>
        <v>1.9050000028956002</v>
      </c>
      <c r="N24" s="274">
        <f t="shared" si="2"/>
        <v>119.05312354054081</v>
      </c>
      <c r="O24">
        <v>80</v>
      </c>
    </row>
    <row r="25" spans="2:15" x14ac:dyDescent="0.15">
      <c r="B25" s="307" t="s">
        <v>850</v>
      </c>
      <c r="C25" s="315"/>
      <c r="D25" s="315"/>
      <c r="E25" s="315"/>
      <c r="F25" s="315"/>
      <c r="G25" s="315"/>
      <c r="H25" s="315"/>
      <c r="I25" s="315"/>
      <c r="J25" s="315"/>
      <c r="K25" s="315"/>
      <c r="L25" s="316"/>
      <c r="M25" s="317"/>
      <c r="N25" s="334"/>
    </row>
    <row r="26" spans="2:15" x14ac:dyDescent="0.15">
      <c r="B26" s="127" t="s">
        <v>1066</v>
      </c>
      <c r="C26" s="130">
        <v>20.25</v>
      </c>
      <c r="D26" s="129">
        <v>0.8125</v>
      </c>
      <c r="E26" s="130">
        <v>7.25</v>
      </c>
      <c r="F26" s="129">
        <v>0.9375</v>
      </c>
      <c r="G26" s="129">
        <v>1.75</v>
      </c>
      <c r="H26" s="129">
        <v>0.9375</v>
      </c>
      <c r="I26" s="129">
        <v>1</v>
      </c>
      <c r="J26" s="130" t="s">
        <v>850</v>
      </c>
      <c r="K26" s="129" t="s">
        <v>850</v>
      </c>
      <c r="L26" s="119">
        <f t="shared" si="0"/>
        <v>5.65625</v>
      </c>
      <c r="M26" s="274">
        <f t="shared" si="1"/>
        <v>1.7240250026205179</v>
      </c>
      <c r="N26" s="274">
        <f t="shared" si="2"/>
        <v>142.86374824864896</v>
      </c>
      <c r="O26">
        <v>96</v>
      </c>
    </row>
    <row r="27" spans="2:15" x14ac:dyDescent="0.15">
      <c r="B27" s="18" t="s">
        <v>1067</v>
      </c>
      <c r="C27" s="22">
        <v>20.25</v>
      </c>
      <c r="D27" s="21">
        <v>0.6875</v>
      </c>
      <c r="E27" s="22">
        <v>7</v>
      </c>
      <c r="F27" s="21">
        <v>0.9375</v>
      </c>
      <c r="G27" s="21">
        <v>1.75</v>
      </c>
      <c r="H27" s="21">
        <v>0.9375</v>
      </c>
      <c r="I27" s="21">
        <v>1</v>
      </c>
      <c r="J27" s="22" t="s">
        <v>850</v>
      </c>
      <c r="K27" s="21" t="s">
        <v>850</v>
      </c>
      <c r="L27" s="318">
        <f t="shared" si="0"/>
        <v>5.59375</v>
      </c>
      <c r="M27" s="333">
        <f t="shared" si="1"/>
        <v>1.7049750025915622</v>
      </c>
      <c r="N27" s="274">
        <f t="shared" si="2"/>
        <v>127.98210780608136</v>
      </c>
      <c r="O27">
        <v>86</v>
      </c>
    </row>
    <row r="28" spans="2:15" x14ac:dyDescent="0.15">
      <c r="B28" s="307"/>
      <c r="C28" s="315"/>
      <c r="D28" s="315"/>
      <c r="E28" s="315"/>
      <c r="F28" s="315"/>
      <c r="G28" s="315"/>
      <c r="H28" s="315"/>
      <c r="I28" s="315"/>
      <c r="J28" s="315"/>
      <c r="K28" s="315"/>
      <c r="L28" s="316"/>
      <c r="M28" s="317"/>
      <c r="N28" s="334"/>
    </row>
    <row r="29" spans="2:15" x14ac:dyDescent="0.15">
      <c r="B29" s="127" t="s">
        <v>1068</v>
      </c>
      <c r="C29" s="130">
        <v>20</v>
      </c>
      <c r="D29" s="129">
        <v>0.625</v>
      </c>
      <c r="E29" s="130">
        <v>6.375</v>
      </c>
      <c r="F29" s="129">
        <v>0.8125</v>
      </c>
      <c r="G29" s="129">
        <v>1.625</v>
      </c>
      <c r="H29" s="129">
        <v>0.8125</v>
      </c>
      <c r="I29" s="129">
        <v>0.875</v>
      </c>
      <c r="J29" s="130">
        <v>3.5</v>
      </c>
      <c r="K29" s="129">
        <v>3</v>
      </c>
      <c r="L29" s="119">
        <f t="shared" si="0"/>
        <v>5.354166666666667</v>
      </c>
      <c r="M29" s="274">
        <f t="shared" si="1"/>
        <v>1.6319500024805644</v>
      </c>
      <c r="N29" s="274">
        <f t="shared" si="2"/>
        <v>111.61230331925701</v>
      </c>
      <c r="O29">
        <v>75</v>
      </c>
    </row>
    <row r="30" spans="2:15" x14ac:dyDescent="0.15">
      <c r="B30" s="18" t="s">
        <v>1069</v>
      </c>
      <c r="C30" s="22">
        <v>20</v>
      </c>
      <c r="D30" s="21">
        <v>0.5</v>
      </c>
      <c r="E30" s="22">
        <v>6.25</v>
      </c>
      <c r="F30" s="21">
        <v>0.8125</v>
      </c>
      <c r="G30" s="21">
        <v>1.625</v>
      </c>
      <c r="H30" s="21">
        <v>0.8125</v>
      </c>
      <c r="I30" s="21">
        <v>0.875</v>
      </c>
      <c r="J30" s="22" t="s">
        <v>850</v>
      </c>
      <c r="K30" s="21" t="s">
        <v>850</v>
      </c>
      <c r="L30" s="318">
        <f t="shared" si="0"/>
        <v>5.333333333333333</v>
      </c>
      <c r="M30" s="274">
        <f t="shared" si="1"/>
        <v>1.6256000024709119</v>
      </c>
      <c r="N30" s="274">
        <f t="shared" si="2"/>
        <v>98.218826920946171</v>
      </c>
      <c r="O30">
        <v>66</v>
      </c>
    </row>
    <row r="31" spans="2:15" x14ac:dyDescent="0.15">
      <c r="B31" s="311" t="s">
        <v>850</v>
      </c>
      <c r="C31" s="315" t="s">
        <v>850</v>
      </c>
      <c r="D31" s="315" t="s">
        <v>850</v>
      </c>
      <c r="E31" s="315" t="s">
        <v>850</v>
      </c>
      <c r="F31" s="315" t="s">
        <v>850</v>
      </c>
      <c r="G31" s="315" t="s">
        <v>850</v>
      </c>
      <c r="H31" s="315"/>
      <c r="I31" s="315" t="s">
        <v>850</v>
      </c>
      <c r="J31" s="315" t="s">
        <v>850</v>
      </c>
      <c r="K31" s="315" t="s">
        <v>850</v>
      </c>
      <c r="L31" s="316"/>
      <c r="M31" s="334"/>
      <c r="N31" s="335"/>
    </row>
    <row r="32" spans="2:15" x14ac:dyDescent="0.15">
      <c r="B32" s="18" t="s">
        <v>1070</v>
      </c>
      <c r="C32" s="156">
        <v>18</v>
      </c>
      <c r="D32" s="131">
        <v>0.6875</v>
      </c>
      <c r="E32" s="156">
        <v>6.25</v>
      </c>
      <c r="F32" s="131">
        <v>0.6875</v>
      </c>
      <c r="G32" s="131">
        <v>1.5</v>
      </c>
      <c r="H32" s="131">
        <v>0.6875</v>
      </c>
      <c r="I32" s="131">
        <v>0.875</v>
      </c>
      <c r="J32" s="156">
        <v>3.5</v>
      </c>
      <c r="K32" s="131">
        <v>2.75</v>
      </c>
      <c r="L32" s="119">
        <f t="shared" si="0"/>
        <v>4.96875</v>
      </c>
      <c r="M32" s="274">
        <f t="shared" si="1"/>
        <v>1.5144750023020019</v>
      </c>
      <c r="N32" s="274">
        <f t="shared" si="2"/>
        <v>104.17148309797321</v>
      </c>
      <c r="O32">
        <v>70</v>
      </c>
    </row>
    <row r="33" spans="2:15" x14ac:dyDescent="0.15">
      <c r="B33" s="18" t="s">
        <v>1071</v>
      </c>
      <c r="C33" s="22">
        <v>18</v>
      </c>
      <c r="D33" s="21">
        <v>0.4375</v>
      </c>
      <c r="E33" s="22">
        <v>6</v>
      </c>
      <c r="F33" s="21">
        <v>0.6875</v>
      </c>
      <c r="G33" s="21">
        <v>1.5</v>
      </c>
      <c r="H33" s="21">
        <v>0.6875</v>
      </c>
      <c r="I33" s="21">
        <v>0.875</v>
      </c>
      <c r="J33" s="22">
        <v>3.5</v>
      </c>
      <c r="K33" s="21">
        <v>2.75</v>
      </c>
      <c r="L33" s="318">
        <f t="shared" si="0"/>
        <v>4.927083333333333</v>
      </c>
      <c r="M33" s="333">
        <f t="shared" si="1"/>
        <v>1.5017750022826981</v>
      </c>
      <c r="N33" s="274">
        <f t="shared" si="2"/>
        <v>81.402573220844786</v>
      </c>
      <c r="O33">
        <v>54.7</v>
      </c>
    </row>
    <row r="34" spans="2:15" x14ac:dyDescent="0.15">
      <c r="B34" s="307" t="s">
        <v>850</v>
      </c>
      <c r="C34" s="315" t="s">
        <v>850</v>
      </c>
      <c r="D34" s="315" t="s">
        <v>850</v>
      </c>
      <c r="E34" s="315" t="s">
        <v>850</v>
      </c>
      <c r="F34" s="315" t="s">
        <v>850</v>
      </c>
      <c r="G34" s="315" t="s">
        <v>850</v>
      </c>
      <c r="H34" s="315"/>
      <c r="I34" s="315" t="s">
        <v>850</v>
      </c>
      <c r="J34" s="315" t="s">
        <v>850</v>
      </c>
      <c r="K34" s="315" t="s">
        <v>850</v>
      </c>
      <c r="L34" s="316"/>
      <c r="M34" s="317"/>
      <c r="N34" s="334"/>
    </row>
    <row r="35" spans="2:15" x14ac:dyDescent="0.15">
      <c r="B35" s="127" t="s">
        <v>1072</v>
      </c>
      <c r="C35" s="130">
        <v>15</v>
      </c>
      <c r="D35" s="129">
        <v>0.5625</v>
      </c>
      <c r="E35" s="130">
        <v>5.625</v>
      </c>
      <c r="F35" s="129">
        <v>0.625</v>
      </c>
      <c r="G35" s="129">
        <v>1.375</v>
      </c>
      <c r="H35" s="129">
        <v>0.5625</v>
      </c>
      <c r="I35" s="129">
        <v>0.75</v>
      </c>
      <c r="J35" s="130">
        <v>3.5</v>
      </c>
      <c r="K35" s="129">
        <v>2.75</v>
      </c>
      <c r="L35" s="119">
        <f t="shared" si="0"/>
        <v>4.28125</v>
      </c>
      <c r="M35" s="274">
        <f t="shared" si="1"/>
        <v>1.3049250019834862</v>
      </c>
      <c r="N35" s="274">
        <f t="shared" si="2"/>
        <v>74.408202212838006</v>
      </c>
      <c r="O35">
        <v>50</v>
      </c>
    </row>
    <row r="36" spans="2:15" x14ac:dyDescent="0.15">
      <c r="B36" s="18" t="s">
        <v>1073</v>
      </c>
      <c r="C36" s="22">
        <v>15</v>
      </c>
      <c r="D36" s="21">
        <v>0.4375</v>
      </c>
      <c r="E36" s="22">
        <v>5.5</v>
      </c>
      <c r="F36" s="21">
        <v>0.625</v>
      </c>
      <c r="G36" s="21">
        <v>1.375</v>
      </c>
      <c r="H36" s="21">
        <v>0.5625</v>
      </c>
      <c r="I36" s="21">
        <v>0.75</v>
      </c>
      <c r="J36" s="22">
        <v>3.5</v>
      </c>
      <c r="K36" s="21">
        <v>2.75</v>
      </c>
      <c r="L36" s="318">
        <f t="shared" si="0"/>
        <v>4.260416666666667</v>
      </c>
      <c r="M36" s="333">
        <f t="shared" si="1"/>
        <v>1.2985750019738342</v>
      </c>
      <c r="N36" s="274">
        <f t="shared" si="2"/>
        <v>63.842237498614999</v>
      </c>
      <c r="O36">
        <v>42.9</v>
      </c>
    </row>
    <row r="37" spans="2:15" x14ac:dyDescent="0.15">
      <c r="B37" s="311" t="s">
        <v>850</v>
      </c>
      <c r="C37" s="315" t="s">
        <v>850</v>
      </c>
      <c r="D37" s="315" t="s">
        <v>850</v>
      </c>
      <c r="E37" s="315" t="s">
        <v>850</v>
      </c>
      <c r="F37" s="315" t="s">
        <v>850</v>
      </c>
      <c r="G37" s="315" t="s">
        <v>850</v>
      </c>
      <c r="H37" s="315"/>
      <c r="I37" s="315" t="s">
        <v>850</v>
      </c>
      <c r="J37" s="315" t="s">
        <v>850</v>
      </c>
      <c r="K37" s="315" t="s">
        <v>850</v>
      </c>
      <c r="L37" s="316"/>
      <c r="M37" s="317"/>
      <c r="N37" s="334"/>
    </row>
    <row r="38" spans="2:15" x14ac:dyDescent="0.15">
      <c r="B38" s="18" t="s">
        <v>1074</v>
      </c>
      <c r="C38" s="156">
        <v>12</v>
      </c>
      <c r="D38" s="131">
        <v>0.6875</v>
      </c>
      <c r="E38" s="156">
        <v>5.5</v>
      </c>
      <c r="F38" s="131">
        <v>0.6875</v>
      </c>
      <c r="G38" s="131">
        <v>1.4375</v>
      </c>
      <c r="H38" s="131">
        <v>0.6875</v>
      </c>
      <c r="I38" s="131">
        <v>0.75</v>
      </c>
      <c r="J38" s="156">
        <v>3</v>
      </c>
      <c r="K38" s="131">
        <v>2.75</v>
      </c>
      <c r="L38" s="119">
        <f t="shared" si="0"/>
        <v>3.71875</v>
      </c>
      <c r="M38" s="274">
        <f t="shared" si="1"/>
        <v>1.1334750017228821</v>
      </c>
      <c r="N38" s="274">
        <f t="shared" si="2"/>
        <v>74.408202212838006</v>
      </c>
      <c r="O38">
        <v>50</v>
      </c>
    </row>
    <row r="39" spans="2:15" x14ac:dyDescent="0.15">
      <c r="B39" s="18" t="s">
        <v>1075</v>
      </c>
      <c r="C39" s="22">
        <v>12</v>
      </c>
      <c r="D39" s="21">
        <v>0.4375</v>
      </c>
      <c r="E39" s="22">
        <v>5.25</v>
      </c>
      <c r="F39" s="21">
        <v>0.6875</v>
      </c>
      <c r="G39" s="21">
        <v>1.4375</v>
      </c>
      <c r="H39" s="21">
        <v>0.625</v>
      </c>
      <c r="I39" s="21">
        <v>0.75</v>
      </c>
      <c r="J39" s="22">
        <v>3</v>
      </c>
      <c r="K39" s="21">
        <v>2.75</v>
      </c>
      <c r="L39" s="318">
        <f t="shared" si="0"/>
        <v>3.6770833333333335</v>
      </c>
      <c r="M39" s="333">
        <f t="shared" si="1"/>
        <v>1.1207750017035782</v>
      </c>
      <c r="N39" s="274">
        <f t="shared" si="2"/>
        <v>60.717093005675807</v>
      </c>
      <c r="O39">
        <v>40.799999999999997</v>
      </c>
    </row>
    <row r="40" spans="2:15" x14ac:dyDescent="0.15">
      <c r="B40" s="311"/>
      <c r="C40" s="315"/>
      <c r="D40" s="315"/>
      <c r="E40" s="315"/>
      <c r="F40" s="315"/>
      <c r="G40" s="315"/>
      <c r="H40" s="315"/>
      <c r="I40" s="315"/>
      <c r="J40" s="315"/>
      <c r="K40" s="315"/>
      <c r="L40" s="316"/>
      <c r="M40" s="317"/>
      <c r="N40" s="334"/>
    </row>
    <row r="41" spans="2:15" x14ac:dyDescent="0.15">
      <c r="B41" s="18" t="s">
        <v>1076</v>
      </c>
      <c r="C41" s="156">
        <v>12</v>
      </c>
      <c r="D41" s="131">
        <v>0.4375</v>
      </c>
      <c r="E41" s="156">
        <v>5.125</v>
      </c>
      <c r="F41" s="131">
        <v>0.5625</v>
      </c>
      <c r="G41" s="131">
        <v>1.1875</v>
      </c>
      <c r="H41" s="131">
        <v>0.5</v>
      </c>
      <c r="I41" s="131">
        <v>0.75</v>
      </c>
      <c r="J41" s="156">
        <v>3</v>
      </c>
      <c r="K41" s="131">
        <v>2.5</v>
      </c>
      <c r="L41" s="119">
        <f t="shared" si="0"/>
        <v>3.6354166666666665</v>
      </c>
      <c r="M41" s="274">
        <f t="shared" si="1"/>
        <v>1.108075001684274</v>
      </c>
      <c r="N41" s="274">
        <f t="shared" si="2"/>
        <v>52.085741548986604</v>
      </c>
      <c r="O41">
        <v>35</v>
      </c>
    </row>
    <row r="42" spans="2:15" x14ac:dyDescent="0.15">
      <c r="B42" s="127" t="s">
        <v>1077</v>
      </c>
      <c r="C42" s="130">
        <v>12</v>
      </c>
      <c r="D42" s="129">
        <v>0.375</v>
      </c>
      <c r="E42" s="130">
        <v>5</v>
      </c>
      <c r="F42" s="129">
        <v>0.5625</v>
      </c>
      <c r="G42" s="129">
        <v>1.1875</v>
      </c>
      <c r="H42" s="129">
        <v>0.5</v>
      </c>
      <c r="I42" s="129">
        <v>0.75</v>
      </c>
      <c r="J42" s="130">
        <v>3</v>
      </c>
      <c r="K42" s="129">
        <v>2.5</v>
      </c>
      <c r="L42" s="318">
        <f t="shared" si="0"/>
        <v>3.6041666666666665</v>
      </c>
      <c r="M42" s="333">
        <f t="shared" si="1"/>
        <v>1.098550001669796</v>
      </c>
      <c r="N42" s="274">
        <f t="shared" si="2"/>
        <v>47.323616607364976</v>
      </c>
      <c r="O42">
        <v>31.8</v>
      </c>
    </row>
    <row r="43" spans="2:15" x14ac:dyDescent="0.15">
      <c r="B43" s="307" t="s">
        <v>850</v>
      </c>
      <c r="C43" s="315" t="s">
        <v>850</v>
      </c>
      <c r="D43" s="315" t="s">
        <v>850</v>
      </c>
      <c r="E43" s="315" t="s">
        <v>850</v>
      </c>
      <c r="F43" s="315" t="s">
        <v>850</v>
      </c>
      <c r="G43" s="315" t="s">
        <v>850</v>
      </c>
      <c r="H43" s="315"/>
      <c r="I43" s="315" t="s">
        <v>850</v>
      </c>
      <c r="J43" s="315" t="s">
        <v>850</v>
      </c>
      <c r="K43" s="315" t="s">
        <v>850</v>
      </c>
      <c r="L43" s="316"/>
      <c r="M43" s="317"/>
      <c r="N43" s="334"/>
    </row>
    <row r="44" spans="2:15" x14ac:dyDescent="0.15">
      <c r="B44" s="127" t="s">
        <v>1078</v>
      </c>
      <c r="C44" s="130">
        <v>10</v>
      </c>
      <c r="D44" s="129">
        <v>0.625</v>
      </c>
      <c r="E44" s="130">
        <v>5</v>
      </c>
      <c r="F44" s="129">
        <v>0.5</v>
      </c>
      <c r="G44" s="129">
        <v>1.125</v>
      </c>
      <c r="H44" s="129">
        <v>0.5</v>
      </c>
      <c r="I44" s="129">
        <v>0.75</v>
      </c>
      <c r="J44" s="130">
        <v>2.75</v>
      </c>
      <c r="K44" s="129">
        <v>2.5</v>
      </c>
      <c r="L44" s="119">
        <f t="shared" si="0"/>
        <v>3.2291666666666665</v>
      </c>
      <c r="M44" s="274">
        <f t="shared" si="1"/>
        <v>0.98425000149606012</v>
      </c>
      <c r="N44" s="274">
        <f t="shared" si="2"/>
        <v>52.085741548986604</v>
      </c>
      <c r="O44">
        <v>35</v>
      </c>
    </row>
    <row r="45" spans="2:15" x14ac:dyDescent="0.15">
      <c r="B45" s="18" t="s">
        <v>1079</v>
      </c>
      <c r="C45" s="22">
        <v>10</v>
      </c>
      <c r="D45" s="21">
        <v>0.3125</v>
      </c>
      <c r="E45" s="22">
        <v>4.625</v>
      </c>
      <c r="F45" s="21">
        <v>0.5</v>
      </c>
      <c r="G45" s="21">
        <v>1.125</v>
      </c>
      <c r="H45" s="21">
        <v>0.5</v>
      </c>
      <c r="I45" s="21">
        <v>0.75</v>
      </c>
      <c r="J45" s="22">
        <v>2.75</v>
      </c>
      <c r="K45" s="21">
        <v>2.5</v>
      </c>
      <c r="L45" s="318">
        <f t="shared" si="0"/>
        <v>3.15625</v>
      </c>
      <c r="M45" s="333">
        <f t="shared" si="1"/>
        <v>0.9620250014622781</v>
      </c>
      <c r="N45" s="274">
        <f t="shared" si="2"/>
        <v>37.799366724121704</v>
      </c>
      <c r="O45">
        <v>25.4</v>
      </c>
    </row>
    <row r="46" spans="2:15" x14ac:dyDescent="0.15">
      <c r="B46" s="307" t="s">
        <v>850</v>
      </c>
      <c r="C46" s="315" t="s">
        <v>850</v>
      </c>
      <c r="D46" s="315" t="s">
        <v>850</v>
      </c>
      <c r="E46" s="315" t="s">
        <v>850</v>
      </c>
      <c r="F46" s="315" t="s">
        <v>850</v>
      </c>
      <c r="G46" s="315" t="s">
        <v>850</v>
      </c>
      <c r="H46" s="315"/>
      <c r="I46" s="315" t="s">
        <v>850</v>
      </c>
      <c r="J46" s="315" t="s">
        <v>850</v>
      </c>
      <c r="K46" s="315" t="s">
        <v>850</v>
      </c>
      <c r="L46" s="316"/>
      <c r="M46" s="317"/>
      <c r="N46" s="334"/>
    </row>
    <row r="47" spans="2:15" x14ac:dyDescent="0.15">
      <c r="B47" s="18" t="s">
        <v>1080</v>
      </c>
      <c r="C47" s="156">
        <v>8</v>
      </c>
      <c r="D47" s="131">
        <v>0.4375</v>
      </c>
      <c r="E47" s="156">
        <v>4.125</v>
      </c>
      <c r="F47" s="131">
        <v>0.4375</v>
      </c>
      <c r="G47" s="131">
        <v>1</v>
      </c>
      <c r="H47" s="131">
        <v>0.4375</v>
      </c>
      <c r="I47" s="131">
        <v>0.75</v>
      </c>
      <c r="J47" s="156">
        <v>2.25</v>
      </c>
      <c r="K47" s="131">
        <v>2.5</v>
      </c>
      <c r="L47" s="119">
        <f t="shared" si="0"/>
        <v>2.6354166666666665</v>
      </c>
      <c r="M47" s="274">
        <f t="shared" si="1"/>
        <v>0.80327500122097806</v>
      </c>
      <c r="N47" s="274">
        <f t="shared" si="2"/>
        <v>34.227773017905477</v>
      </c>
      <c r="O47">
        <v>23</v>
      </c>
    </row>
    <row r="48" spans="2:15" x14ac:dyDescent="0.15">
      <c r="B48" s="127" t="s">
        <v>1081</v>
      </c>
      <c r="C48" s="130">
        <v>8</v>
      </c>
      <c r="D48" s="129">
        <v>0.25</v>
      </c>
      <c r="E48" s="130">
        <v>4</v>
      </c>
      <c r="F48" s="129">
        <v>0.4375</v>
      </c>
      <c r="G48" s="129">
        <v>1</v>
      </c>
      <c r="H48" s="129">
        <v>0.4375</v>
      </c>
      <c r="I48" s="129">
        <v>0.75</v>
      </c>
      <c r="J48" s="130">
        <v>2.25</v>
      </c>
      <c r="K48" s="129">
        <v>2.5</v>
      </c>
      <c r="L48" s="318">
        <f t="shared" si="0"/>
        <v>2.625</v>
      </c>
      <c r="M48" s="333">
        <f t="shared" si="1"/>
        <v>0.8001000012161521</v>
      </c>
      <c r="N48" s="274">
        <f t="shared" si="2"/>
        <v>27.382218414324385</v>
      </c>
      <c r="O48">
        <v>18.399999999999999</v>
      </c>
    </row>
    <row r="49" spans="2:15" x14ac:dyDescent="0.15">
      <c r="B49" s="307" t="s">
        <v>850</v>
      </c>
      <c r="C49" s="315" t="s">
        <v>850</v>
      </c>
      <c r="D49" s="315" t="s">
        <v>850</v>
      </c>
      <c r="E49" s="315" t="s">
        <v>850</v>
      </c>
      <c r="F49" s="315" t="s">
        <v>850</v>
      </c>
      <c r="G49" s="315" t="s">
        <v>850</v>
      </c>
      <c r="H49" s="315"/>
      <c r="I49" s="315" t="s">
        <v>850</v>
      </c>
      <c r="J49" s="315" t="s">
        <v>850</v>
      </c>
      <c r="K49" s="315" t="s">
        <v>850</v>
      </c>
      <c r="L49" s="316"/>
      <c r="M49" s="317"/>
      <c r="N49" s="334"/>
    </row>
    <row r="50" spans="2:15" x14ac:dyDescent="0.15">
      <c r="B50" s="127" t="s">
        <v>1082</v>
      </c>
      <c r="C50" s="130">
        <v>7</v>
      </c>
      <c r="D50" s="129">
        <v>0.4375</v>
      </c>
      <c r="E50" s="130">
        <v>3.875</v>
      </c>
      <c r="F50" s="129">
        <v>0.375</v>
      </c>
      <c r="G50" s="129">
        <v>0.9375</v>
      </c>
      <c r="H50" s="129">
        <v>0.375</v>
      </c>
      <c r="I50" s="129">
        <v>0.625</v>
      </c>
      <c r="J50" s="130" t="s">
        <v>850</v>
      </c>
      <c r="K50" s="129" t="s">
        <v>850</v>
      </c>
      <c r="L50" s="119">
        <f t="shared" si="0"/>
        <v>2.3854166666666665</v>
      </c>
      <c r="M50" s="274">
        <f t="shared" si="1"/>
        <v>0.727075001105154</v>
      </c>
      <c r="N50" s="274">
        <f t="shared" si="2"/>
        <v>29.763280885135202</v>
      </c>
      <c r="O50">
        <v>20</v>
      </c>
    </row>
    <row r="51" spans="2:15" x14ac:dyDescent="0.15">
      <c r="B51" s="18" t="s">
        <v>1083</v>
      </c>
      <c r="C51" s="22">
        <v>7</v>
      </c>
      <c r="D51" s="21">
        <v>0.25</v>
      </c>
      <c r="E51" s="22">
        <v>3.625</v>
      </c>
      <c r="F51" s="21">
        <v>0.375</v>
      </c>
      <c r="G51" s="21">
        <v>0.9375</v>
      </c>
      <c r="H51" s="21">
        <v>0.375</v>
      </c>
      <c r="I51" s="21">
        <v>0.625</v>
      </c>
      <c r="J51" s="22">
        <v>2.25</v>
      </c>
      <c r="K51" s="21">
        <v>2.5</v>
      </c>
      <c r="L51" s="318">
        <f t="shared" si="0"/>
        <v>2.3333333333333335</v>
      </c>
      <c r="M51" s="333">
        <f t="shared" si="1"/>
        <v>0.7112000010810241</v>
      </c>
      <c r="N51" s="274">
        <f t="shared" si="2"/>
        <v>22.768909877128429</v>
      </c>
      <c r="O51">
        <v>15.3</v>
      </c>
    </row>
    <row r="52" spans="2:15" x14ac:dyDescent="0.15">
      <c r="B52" s="311" t="s">
        <v>850</v>
      </c>
      <c r="C52" s="315" t="s">
        <v>850</v>
      </c>
      <c r="D52" s="315" t="s">
        <v>850</v>
      </c>
      <c r="E52" s="315" t="s">
        <v>850</v>
      </c>
      <c r="F52" s="315" t="s">
        <v>850</v>
      </c>
      <c r="G52" s="315" t="s">
        <v>850</v>
      </c>
      <c r="H52" s="315"/>
      <c r="I52" s="315" t="s">
        <v>850</v>
      </c>
      <c r="J52" s="315" t="s">
        <v>850</v>
      </c>
      <c r="K52" s="315" t="s">
        <v>850</v>
      </c>
      <c r="L52" s="336"/>
      <c r="M52" s="317"/>
      <c r="N52" s="334"/>
    </row>
    <row r="53" spans="2:15" x14ac:dyDescent="0.15">
      <c r="B53" s="18" t="s">
        <v>1084</v>
      </c>
      <c r="C53" s="156">
        <v>6</v>
      </c>
      <c r="D53" s="131">
        <v>0.4375</v>
      </c>
      <c r="E53" s="156">
        <v>3.625</v>
      </c>
      <c r="F53" s="131">
        <v>0.375</v>
      </c>
      <c r="G53" s="131">
        <v>0.875</v>
      </c>
      <c r="H53" s="131">
        <v>0.375</v>
      </c>
      <c r="I53" s="131">
        <v>0.625</v>
      </c>
      <c r="J53" s="156">
        <v>2</v>
      </c>
      <c r="K53" s="131">
        <v>2.25</v>
      </c>
      <c r="L53" s="119">
        <f t="shared" si="0"/>
        <v>2.1354166666666665</v>
      </c>
      <c r="M53" s="274">
        <f t="shared" si="1"/>
        <v>0.65087500098933004</v>
      </c>
      <c r="N53" s="274">
        <f t="shared" si="2"/>
        <v>25.670829763429111</v>
      </c>
      <c r="O53">
        <v>17.25</v>
      </c>
    </row>
    <row r="54" spans="2:15" x14ac:dyDescent="0.15">
      <c r="B54" s="127" t="s">
        <v>1085</v>
      </c>
      <c r="C54" s="130">
        <v>6</v>
      </c>
      <c r="D54" s="129">
        <v>0.25</v>
      </c>
      <c r="E54" s="130">
        <v>3.375</v>
      </c>
      <c r="F54" s="129">
        <v>0.375</v>
      </c>
      <c r="G54" s="129">
        <v>0.875</v>
      </c>
      <c r="H54" s="129">
        <v>0.375</v>
      </c>
      <c r="I54" s="176" t="s">
        <v>1054</v>
      </c>
      <c r="J54" s="177" t="s">
        <v>1054</v>
      </c>
      <c r="K54" s="129">
        <v>2.25</v>
      </c>
      <c r="L54" s="318">
        <f t="shared" si="0"/>
        <v>2.0833333333333335</v>
      </c>
      <c r="M54" s="333">
        <f t="shared" si="1"/>
        <v>0.63500000096520015</v>
      </c>
      <c r="N54" s="274">
        <f t="shared" si="2"/>
        <v>18.602050553209502</v>
      </c>
      <c r="O54">
        <v>12.5</v>
      </c>
    </row>
    <row r="55" spans="2:15" x14ac:dyDescent="0.15">
      <c r="B55" s="307" t="s">
        <v>850</v>
      </c>
      <c r="C55" s="315" t="s">
        <v>850</v>
      </c>
      <c r="D55" s="315" t="s">
        <v>850</v>
      </c>
      <c r="E55" s="315" t="s">
        <v>850</v>
      </c>
      <c r="F55" s="315" t="s">
        <v>850</v>
      </c>
      <c r="G55" s="315" t="s">
        <v>850</v>
      </c>
      <c r="H55" s="315"/>
      <c r="I55" s="337" t="s">
        <v>850</v>
      </c>
      <c r="J55" s="337" t="s">
        <v>850</v>
      </c>
      <c r="K55" s="315" t="s">
        <v>850</v>
      </c>
      <c r="L55" s="336"/>
      <c r="M55" s="317"/>
      <c r="N55" s="334"/>
    </row>
    <row r="56" spans="2:15" x14ac:dyDescent="0.15">
      <c r="B56" s="127" t="s">
        <v>1086</v>
      </c>
      <c r="C56" s="130">
        <v>5</v>
      </c>
      <c r="D56" s="129">
        <v>0.5</v>
      </c>
      <c r="E56" s="130">
        <v>3.25</v>
      </c>
      <c r="F56" s="129">
        <v>0.3125</v>
      </c>
      <c r="G56" s="129">
        <v>0.8125</v>
      </c>
      <c r="H56" s="129">
        <v>0.3125</v>
      </c>
      <c r="I56" s="176" t="s">
        <v>1054</v>
      </c>
      <c r="J56" s="178" t="s">
        <v>850</v>
      </c>
      <c r="K56" s="129" t="s">
        <v>850</v>
      </c>
      <c r="L56" s="119">
        <f t="shared" si="0"/>
        <v>1.8333333333333333</v>
      </c>
      <c r="M56" s="274">
        <f t="shared" si="1"/>
        <v>0.55880000084937598</v>
      </c>
      <c r="N56" s="274">
        <f t="shared" si="2"/>
        <v>21.950419652787211</v>
      </c>
      <c r="O56">
        <v>14.75</v>
      </c>
    </row>
    <row r="57" spans="2:15" x14ac:dyDescent="0.15">
      <c r="B57" s="18" t="s">
        <v>1087</v>
      </c>
      <c r="C57" s="22">
        <v>5</v>
      </c>
      <c r="D57" s="21">
        <v>0.1875</v>
      </c>
      <c r="E57" s="22">
        <v>3</v>
      </c>
      <c r="F57" s="21">
        <v>0.3125</v>
      </c>
      <c r="G57" s="21">
        <v>0.8125</v>
      </c>
      <c r="H57" s="21">
        <v>0.3125</v>
      </c>
      <c r="I57" s="338" t="s">
        <v>1054</v>
      </c>
      <c r="J57" s="339" t="s">
        <v>1054</v>
      </c>
      <c r="K57" s="21">
        <v>2.25</v>
      </c>
      <c r="L57" s="318">
        <f t="shared" si="0"/>
        <v>1.8020833333333333</v>
      </c>
      <c r="M57" s="333">
        <f t="shared" si="1"/>
        <v>0.549275000834898</v>
      </c>
      <c r="N57" s="274">
        <f t="shared" si="2"/>
        <v>14.881640442567601</v>
      </c>
      <c r="O57">
        <v>10</v>
      </c>
    </row>
    <row r="58" spans="2:15" x14ac:dyDescent="0.15">
      <c r="B58" s="307" t="s">
        <v>850</v>
      </c>
      <c r="C58" s="315"/>
      <c r="D58" s="315"/>
      <c r="E58" s="315"/>
      <c r="F58" s="315"/>
      <c r="G58" s="315"/>
      <c r="H58" s="315"/>
      <c r="I58" s="337"/>
      <c r="J58" s="337"/>
      <c r="K58" s="315"/>
      <c r="L58" s="336"/>
      <c r="M58" s="317"/>
      <c r="N58" s="334"/>
    </row>
    <row r="59" spans="2:15" x14ac:dyDescent="0.15">
      <c r="B59" s="18" t="s">
        <v>1088</v>
      </c>
      <c r="C59" s="156">
        <v>4</v>
      </c>
      <c r="D59" s="131">
        <v>0.3125</v>
      </c>
      <c r="E59" s="156">
        <v>2.75</v>
      </c>
      <c r="F59" s="131">
        <v>0.3125</v>
      </c>
      <c r="G59" s="131">
        <v>0.75</v>
      </c>
      <c r="H59" s="131">
        <v>0.3125</v>
      </c>
      <c r="I59" s="340" t="s">
        <v>1054</v>
      </c>
      <c r="J59" s="341" t="s">
        <v>1054</v>
      </c>
      <c r="K59" s="131">
        <v>2</v>
      </c>
      <c r="L59" s="119">
        <f t="shared" si="0"/>
        <v>1.53125</v>
      </c>
      <c r="M59" s="274">
        <f t="shared" si="1"/>
        <v>0.46672500070942202</v>
      </c>
      <c r="N59" s="274">
        <f t="shared" si="2"/>
        <v>14.13755842043922</v>
      </c>
      <c r="O59">
        <v>9.5</v>
      </c>
    </row>
    <row r="60" spans="2:15" x14ac:dyDescent="0.15">
      <c r="B60" s="127" t="s">
        <v>1089</v>
      </c>
      <c r="C60" s="130">
        <v>4</v>
      </c>
      <c r="D60" s="129">
        <v>0.1875</v>
      </c>
      <c r="E60" s="130">
        <v>2.625</v>
      </c>
      <c r="F60" s="129">
        <v>0.3125</v>
      </c>
      <c r="G60" s="129">
        <v>0.75</v>
      </c>
      <c r="H60" s="129">
        <v>0.3125</v>
      </c>
      <c r="I60" s="176" t="s">
        <v>1054</v>
      </c>
      <c r="J60" s="177" t="s">
        <v>1054</v>
      </c>
      <c r="K60" s="129">
        <v>2</v>
      </c>
      <c r="L60" s="318">
        <f t="shared" si="0"/>
        <v>1.5104166666666667</v>
      </c>
      <c r="M60" s="333">
        <f t="shared" si="1"/>
        <v>0.46037500069977011</v>
      </c>
      <c r="N60" s="274">
        <f t="shared" si="2"/>
        <v>11.458863140777053</v>
      </c>
      <c r="O60">
        <v>7.7</v>
      </c>
    </row>
    <row r="61" spans="2:15" x14ac:dyDescent="0.15">
      <c r="B61" s="307" t="s">
        <v>850</v>
      </c>
      <c r="C61" s="315" t="s">
        <v>850</v>
      </c>
      <c r="D61" s="315" t="s">
        <v>850</v>
      </c>
      <c r="E61" s="315" t="s">
        <v>850</v>
      </c>
      <c r="F61" s="315" t="s">
        <v>850</v>
      </c>
      <c r="G61" s="315" t="s">
        <v>850</v>
      </c>
      <c r="H61" s="315"/>
      <c r="I61" s="337" t="s">
        <v>850</v>
      </c>
      <c r="J61" s="337" t="s">
        <v>850</v>
      </c>
      <c r="K61" s="315" t="s">
        <v>850</v>
      </c>
      <c r="L61" s="336"/>
      <c r="M61" s="317"/>
      <c r="N61" s="334"/>
    </row>
    <row r="62" spans="2:15" x14ac:dyDescent="0.15">
      <c r="B62" s="127" t="s">
        <v>1090</v>
      </c>
      <c r="C62" s="130">
        <v>3</v>
      </c>
      <c r="D62" s="129">
        <v>0.375</v>
      </c>
      <c r="E62" s="130">
        <v>2.5</v>
      </c>
      <c r="F62" s="129">
        <v>0.25</v>
      </c>
      <c r="G62" s="129">
        <v>0.6875</v>
      </c>
      <c r="H62" s="129">
        <v>0.25</v>
      </c>
      <c r="I62" s="176" t="s">
        <v>1054</v>
      </c>
      <c r="J62" s="177" t="s">
        <v>1054</v>
      </c>
      <c r="K62" s="176" t="s">
        <v>1054</v>
      </c>
      <c r="L62" s="119">
        <f t="shared" si="0"/>
        <v>1.2708333333333333</v>
      </c>
      <c r="M62" s="274">
        <f t="shared" si="1"/>
        <v>0.38735000058877206</v>
      </c>
      <c r="N62" s="274">
        <f t="shared" si="2"/>
        <v>11.161230331925699</v>
      </c>
      <c r="O62">
        <v>7.5</v>
      </c>
    </row>
    <row r="63" spans="2:15" x14ac:dyDescent="0.15">
      <c r="B63" s="18" t="s">
        <v>1091</v>
      </c>
      <c r="C63" s="20">
        <v>3</v>
      </c>
      <c r="D63" s="19">
        <v>0.1875</v>
      </c>
      <c r="E63" s="20">
        <v>2.375</v>
      </c>
      <c r="F63" s="19">
        <v>0.25</v>
      </c>
      <c r="G63" s="19">
        <v>0.6875</v>
      </c>
      <c r="H63" s="19">
        <v>0.25</v>
      </c>
      <c r="I63" s="179" t="s">
        <v>1054</v>
      </c>
      <c r="J63" s="180" t="s">
        <v>1054</v>
      </c>
      <c r="K63" s="179" t="s">
        <v>1054</v>
      </c>
      <c r="L63" s="132">
        <f t="shared" si="0"/>
        <v>1.2604166666666667</v>
      </c>
      <c r="M63" s="274">
        <f t="shared" si="1"/>
        <v>0.3841750005839461</v>
      </c>
      <c r="N63" s="274">
        <f t="shared" si="2"/>
        <v>8.4825350522635325</v>
      </c>
      <c r="O63">
        <v>5.7</v>
      </c>
    </row>
    <row r="64" spans="2:15" x14ac:dyDescent="0.15">
      <c r="L64" s="133"/>
    </row>
    <row r="65" spans="2:12" x14ac:dyDescent="0.15">
      <c r="L65" s="133"/>
    </row>
    <row r="66" spans="2:12" x14ac:dyDescent="0.15">
      <c r="L66" s="133"/>
    </row>
    <row r="67" spans="2:12" x14ac:dyDescent="0.15">
      <c r="L67" s="133"/>
    </row>
    <row r="68" spans="2:12" x14ac:dyDescent="0.15">
      <c r="L68" s="133"/>
    </row>
    <row r="69" spans="2:12" x14ac:dyDescent="0.15">
      <c r="L69" s="133"/>
    </row>
    <row r="70" spans="2:12" x14ac:dyDescent="0.15">
      <c r="L70" s="133"/>
    </row>
    <row r="71" spans="2:12" x14ac:dyDescent="0.15">
      <c r="L71" s="133"/>
    </row>
    <row r="72" spans="2:12" x14ac:dyDescent="0.15">
      <c r="L72" s="133"/>
    </row>
    <row r="73" spans="2:12" x14ac:dyDescent="0.15">
      <c r="L73" s="133"/>
    </row>
    <row r="74" spans="2:12" x14ac:dyDescent="0.15">
      <c r="B74" s="127" t="s">
        <v>850</v>
      </c>
      <c r="C74" s="130" t="s">
        <v>850</v>
      </c>
      <c r="D74" s="129" t="s">
        <v>850</v>
      </c>
      <c r="E74" s="130" t="s">
        <v>850</v>
      </c>
      <c r="F74" s="129" t="s">
        <v>850</v>
      </c>
      <c r="G74" s="129" t="s">
        <v>850</v>
      </c>
      <c r="H74" s="129"/>
      <c r="I74" s="129" t="s">
        <v>850</v>
      </c>
      <c r="J74" s="130" t="s">
        <v>850</v>
      </c>
      <c r="K74" s="129" t="s">
        <v>850</v>
      </c>
      <c r="L74" s="133"/>
    </row>
    <row r="75" spans="2:12" x14ac:dyDescent="0.15">
      <c r="B75" s="18" t="s">
        <v>850</v>
      </c>
      <c r="C75" s="20" t="s">
        <v>850</v>
      </c>
      <c r="D75" s="19" t="s">
        <v>850</v>
      </c>
      <c r="E75" s="20" t="s">
        <v>850</v>
      </c>
      <c r="F75" s="19" t="s">
        <v>850</v>
      </c>
      <c r="G75" s="19" t="s">
        <v>850</v>
      </c>
      <c r="H75" s="19"/>
      <c r="I75" s="19" t="s">
        <v>850</v>
      </c>
      <c r="J75" s="20" t="s">
        <v>850</v>
      </c>
      <c r="K75" s="19" t="s">
        <v>850</v>
      </c>
      <c r="L75" s="133"/>
    </row>
    <row r="76" spans="2:12" x14ac:dyDescent="0.15">
      <c r="B76" s="127" t="s">
        <v>850</v>
      </c>
      <c r="C76" s="130" t="s">
        <v>850</v>
      </c>
      <c r="D76" s="129" t="s">
        <v>850</v>
      </c>
      <c r="E76" s="130" t="s">
        <v>850</v>
      </c>
      <c r="F76" s="129" t="s">
        <v>850</v>
      </c>
      <c r="G76" s="129" t="s">
        <v>850</v>
      </c>
      <c r="H76" s="129"/>
      <c r="I76" s="129" t="s">
        <v>850</v>
      </c>
      <c r="J76" s="130" t="s">
        <v>850</v>
      </c>
      <c r="K76" s="129" t="s">
        <v>850</v>
      </c>
      <c r="L76" s="133"/>
    </row>
    <row r="77" spans="2:12" x14ac:dyDescent="0.15">
      <c r="B77" s="18" t="s">
        <v>850</v>
      </c>
      <c r="C77" s="20" t="s">
        <v>850</v>
      </c>
      <c r="D77" s="19" t="s">
        <v>850</v>
      </c>
      <c r="E77" s="20" t="s">
        <v>850</v>
      </c>
      <c r="F77" s="19" t="s">
        <v>850</v>
      </c>
      <c r="G77" s="19" t="s">
        <v>850</v>
      </c>
      <c r="H77" s="19"/>
      <c r="I77" s="19" t="s">
        <v>850</v>
      </c>
      <c r="J77" s="20" t="s">
        <v>850</v>
      </c>
      <c r="K77" s="19" t="s">
        <v>850</v>
      </c>
      <c r="L77" s="133"/>
    </row>
    <row r="78" spans="2:12" x14ac:dyDescent="0.15">
      <c r="B78" s="7" t="s">
        <v>850</v>
      </c>
      <c r="C78" s="8" t="s">
        <v>850</v>
      </c>
      <c r="D78" s="9" t="s">
        <v>850</v>
      </c>
      <c r="E78" s="8" t="s">
        <v>850</v>
      </c>
      <c r="F78" s="9" t="s">
        <v>850</v>
      </c>
      <c r="G78" s="9" t="s">
        <v>850</v>
      </c>
      <c r="H78" s="9"/>
      <c r="I78" s="9" t="s">
        <v>850</v>
      </c>
      <c r="J78" s="8" t="s">
        <v>850</v>
      </c>
      <c r="K78" s="9" t="s">
        <v>850</v>
      </c>
    </row>
    <row r="79" spans="2:12" x14ac:dyDescent="0.15">
      <c r="B79" s="4" t="s">
        <v>850</v>
      </c>
      <c r="C79" s="5" t="s">
        <v>850</v>
      </c>
      <c r="D79" s="6" t="s">
        <v>850</v>
      </c>
      <c r="E79" s="5" t="s">
        <v>850</v>
      </c>
      <c r="F79" s="6" t="s">
        <v>850</v>
      </c>
      <c r="G79" s="6" t="s">
        <v>850</v>
      </c>
      <c r="H79" s="6"/>
      <c r="I79" s="6" t="s">
        <v>850</v>
      </c>
      <c r="J79" s="5" t="s">
        <v>850</v>
      </c>
      <c r="K79" s="6" t="s">
        <v>850</v>
      </c>
    </row>
    <row r="80" spans="2:12" x14ac:dyDescent="0.15">
      <c r="B80" s="7" t="s">
        <v>850</v>
      </c>
      <c r="C80" s="8" t="s">
        <v>850</v>
      </c>
      <c r="D80" s="9" t="s">
        <v>850</v>
      </c>
      <c r="E80" s="8" t="s">
        <v>850</v>
      </c>
      <c r="F80" s="9" t="s">
        <v>850</v>
      </c>
      <c r="G80" s="9" t="s">
        <v>850</v>
      </c>
      <c r="H80" s="9"/>
      <c r="I80" s="9" t="s">
        <v>850</v>
      </c>
      <c r="J80" s="8" t="s">
        <v>850</v>
      </c>
      <c r="K80" s="9" t="s">
        <v>850</v>
      </c>
    </row>
    <row r="81" spans="2:11" x14ac:dyDescent="0.15">
      <c r="B81" s="4" t="s">
        <v>850</v>
      </c>
      <c r="C81" s="5" t="s">
        <v>850</v>
      </c>
      <c r="D81" s="6" t="s">
        <v>850</v>
      </c>
      <c r="E81" s="5" t="s">
        <v>850</v>
      </c>
      <c r="F81" s="6" t="s">
        <v>850</v>
      </c>
      <c r="G81" s="6" t="s">
        <v>850</v>
      </c>
      <c r="H81" s="6"/>
      <c r="I81" s="6" t="s">
        <v>850</v>
      </c>
      <c r="J81" s="5" t="s">
        <v>850</v>
      </c>
      <c r="K81" s="6" t="s">
        <v>850</v>
      </c>
    </row>
    <row r="82" spans="2:11" x14ac:dyDescent="0.15">
      <c r="B82" s="12" t="s">
        <v>850</v>
      </c>
      <c r="C82" s="14" t="s">
        <v>850</v>
      </c>
      <c r="D82" s="2" t="s">
        <v>850</v>
      </c>
      <c r="E82" s="14" t="s">
        <v>850</v>
      </c>
      <c r="F82" s="2" t="s">
        <v>850</v>
      </c>
      <c r="G82" s="2" t="s">
        <v>850</v>
      </c>
      <c r="H82" s="2"/>
      <c r="I82" s="2" t="s">
        <v>850</v>
      </c>
      <c r="J82" s="14" t="s">
        <v>850</v>
      </c>
      <c r="K82" s="2" t="s">
        <v>850</v>
      </c>
    </row>
    <row r="83" spans="2:11" x14ac:dyDescent="0.15">
      <c r="B83" s="4" t="s">
        <v>850</v>
      </c>
      <c r="C83" s="5" t="s">
        <v>850</v>
      </c>
      <c r="D83" s="6" t="s">
        <v>850</v>
      </c>
      <c r="E83" s="5" t="s">
        <v>850</v>
      </c>
      <c r="F83" s="6" t="s">
        <v>850</v>
      </c>
      <c r="G83" s="6" t="s">
        <v>850</v>
      </c>
      <c r="H83" s="6"/>
      <c r="I83" s="6" t="s">
        <v>850</v>
      </c>
      <c r="J83" s="5" t="s">
        <v>850</v>
      </c>
      <c r="K83" s="6" t="s">
        <v>850</v>
      </c>
    </row>
    <row r="84" spans="2:11" x14ac:dyDescent="0.15">
      <c r="B84" s="7" t="s">
        <v>850</v>
      </c>
      <c r="C84" s="8" t="s">
        <v>850</v>
      </c>
      <c r="D84" s="9" t="s">
        <v>850</v>
      </c>
      <c r="E84" s="8" t="s">
        <v>850</v>
      </c>
      <c r="F84" s="9" t="s">
        <v>850</v>
      </c>
      <c r="G84" s="9" t="s">
        <v>850</v>
      </c>
      <c r="H84" s="9"/>
      <c r="I84" s="9" t="s">
        <v>850</v>
      </c>
      <c r="J84" s="8" t="s">
        <v>850</v>
      </c>
      <c r="K84" s="9" t="s">
        <v>850</v>
      </c>
    </row>
    <row r="85" spans="2:11" x14ac:dyDescent="0.15">
      <c r="B85" s="4" t="s">
        <v>850</v>
      </c>
      <c r="C85" s="5" t="s">
        <v>850</v>
      </c>
      <c r="D85" s="6" t="s">
        <v>850</v>
      </c>
      <c r="E85" s="5" t="s">
        <v>850</v>
      </c>
      <c r="F85" s="6" t="s">
        <v>850</v>
      </c>
      <c r="G85" s="6" t="s">
        <v>850</v>
      </c>
      <c r="H85" s="6"/>
      <c r="I85" s="6" t="s">
        <v>850</v>
      </c>
      <c r="J85" s="5" t="s">
        <v>850</v>
      </c>
      <c r="K85" s="6" t="s">
        <v>850</v>
      </c>
    </row>
    <row r="86" spans="2:11" x14ac:dyDescent="0.15">
      <c r="B86" s="7" t="s">
        <v>850</v>
      </c>
      <c r="C86" s="8" t="s">
        <v>850</v>
      </c>
      <c r="D86" s="9" t="s">
        <v>850</v>
      </c>
      <c r="E86" s="8" t="s">
        <v>850</v>
      </c>
      <c r="F86" s="9" t="s">
        <v>850</v>
      </c>
      <c r="G86" s="9" t="s">
        <v>850</v>
      </c>
      <c r="H86" s="9"/>
      <c r="I86" s="9" t="s">
        <v>850</v>
      </c>
      <c r="J86" s="8" t="s">
        <v>850</v>
      </c>
      <c r="K86" s="9" t="s">
        <v>850</v>
      </c>
    </row>
    <row r="87" spans="2:11" x14ac:dyDescent="0.15">
      <c r="B87" s="4" t="s">
        <v>850</v>
      </c>
      <c r="C87" s="5" t="s">
        <v>850</v>
      </c>
      <c r="D87" s="6" t="s">
        <v>850</v>
      </c>
      <c r="E87" s="5" t="s">
        <v>850</v>
      </c>
      <c r="F87" s="6" t="s">
        <v>850</v>
      </c>
      <c r="G87" s="6" t="s">
        <v>850</v>
      </c>
      <c r="H87" s="6"/>
      <c r="I87" s="6" t="s">
        <v>850</v>
      </c>
      <c r="J87" s="5" t="s">
        <v>850</v>
      </c>
      <c r="K87" s="6" t="s">
        <v>850</v>
      </c>
    </row>
    <row r="88" spans="2:11" x14ac:dyDescent="0.15">
      <c r="B88" s="7" t="s">
        <v>850</v>
      </c>
      <c r="C88" s="8" t="s">
        <v>850</v>
      </c>
      <c r="D88" s="9" t="s">
        <v>850</v>
      </c>
      <c r="E88" s="8" t="s">
        <v>850</v>
      </c>
      <c r="F88" s="9" t="s">
        <v>850</v>
      </c>
      <c r="G88" s="9" t="s">
        <v>850</v>
      </c>
      <c r="H88" s="9"/>
      <c r="I88" s="9" t="s">
        <v>850</v>
      </c>
      <c r="J88" s="8" t="s">
        <v>850</v>
      </c>
      <c r="K88" s="9" t="s">
        <v>850</v>
      </c>
    </row>
    <row r="89" spans="2:11" x14ac:dyDescent="0.15">
      <c r="B89" s="4" t="s">
        <v>850</v>
      </c>
      <c r="C89" s="5" t="s">
        <v>850</v>
      </c>
      <c r="D89" s="6" t="s">
        <v>850</v>
      </c>
      <c r="E89" s="5" t="s">
        <v>850</v>
      </c>
      <c r="F89" s="6" t="s">
        <v>850</v>
      </c>
      <c r="G89" s="6" t="s">
        <v>850</v>
      </c>
      <c r="H89" s="6"/>
      <c r="I89" s="6" t="s">
        <v>850</v>
      </c>
      <c r="J89" s="5" t="s">
        <v>850</v>
      </c>
      <c r="K89" s="6" t="s">
        <v>850</v>
      </c>
    </row>
    <row r="90" spans="2:11" x14ac:dyDescent="0.15">
      <c r="B90" s="7" t="s">
        <v>850</v>
      </c>
      <c r="C90" s="8" t="s">
        <v>850</v>
      </c>
      <c r="D90" s="9" t="s">
        <v>850</v>
      </c>
      <c r="E90" s="8" t="s">
        <v>850</v>
      </c>
      <c r="F90" s="9" t="s">
        <v>850</v>
      </c>
      <c r="G90" s="9" t="s">
        <v>850</v>
      </c>
      <c r="H90" s="9"/>
      <c r="I90" s="9" t="s">
        <v>850</v>
      </c>
      <c r="J90" s="8" t="s">
        <v>850</v>
      </c>
      <c r="K90" s="9" t="s">
        <v>850</v>
      </c>
    </row>
    <row r="91" spans="2:11" x14ac:dyDescent="0.15">
      <c r="B91" s="4" t="s">
        <v>850</v>
      </c>
      <c r="C91" s="5" t="s">
        <v>850</v>
      </c>
      <c r="D91" s="6" t="s">
        <v>850</v>
      </c>
      <c r="E91" s="5" t="s">
        <v>850</v>
      </c>
      <c r="F91" s="6" t="s">
        <v>850</v>
      </c>
      <c r="G91" s="6" t="s">
        <v>850</v>
      </c>
      <c r="H91" s="6"/>
      <c r="I91" s="6" t="s">
        <v>850</v>
      </c>
      <c r="J91" s="5" t="s">
        <v>850</v>
      </c>
      <c r="K91" s="6" t="s">
        <v>850</v>
      </c>
    </row>
    <row r="92" spans="2:11" x14ac:dyDescent="0.15">
      <c r="B92" s="7" t="s">
        <v>850</v>
      </c>
      <c r="C92" s="8" t="s">
        <v>850</v>
      </c>
      <c r="D92" s="9" t="s">
        <v>850</v>
      </c>
      <c r="E92" s="8" t="s">
        <v>850</v>
      </c>
      <c r="F92" s="9" t="s">
        <v>850</v>
      </c>
      <c r="G92" s="9" t="s">
        <v>850</v>
      </c>
      <c r="H92" s="9"/>
      <c r="I92" s="9" t="s">
        <v>850</v>
      </c>
      <c r="J92" s="8" t="s">
        <v>850</v>
      </c>
      <c r="K92" s="9" t="s">
        <v>850</v>
      </c>
    </row>
    <row r="93" spans="2:11" x14ac:dyDescent="0.15">
      <c r="B93" s="4" t="s">
        <v>850</v>
      </c>
      <c r="C93" s="5" t="s">
        <v>850</v>
      </c>
      <c r="D93" s="6" t="s">
        <v>850</v>
      </c>
      <c r="E93" s="5" t="s">
        <v>850</v>
      </c>
      <c r="F93" s="6" t="s">
        <v>850</v>
      </c>
      <c r="G93" s="6" t="s">
        <v>850</v>
      </c>
      <c r="H93" s="6"/>
      <c r="I93" s="6" t="s">
        <v>850</v>
      </c>
      <c r="J93" s="5" t="s">
        <v>850</v>
      </c>
      <c r="K93" s="6" t="s">
        <v>850</v>
      </c>
    </row>
    <row r="94" spans="2:11" x14ac:dyDescent="0.15">
      <c r="B94" s="12" t="s">
        <v>850</v>
      </c>
      <c r="C94" s="13" t="s">
        <v>850</v>
      </c>
      <c r="D94" s="2" t="s">
        <v>850</v>
      </c>
      <c r="E94" s="14" t="s">
        <v>850</v>
      </c>
      <c r="F94" s="2" t="s">
        <v>850</v>
      </c>
      <c r="G94" s="2" t="s">
        <v>850</v>
      </c>
      <c r="H94" s="2"/>
      <c r="I94" s="2" t="s">
        <v>850</v>
      </c>
      <c r="J94" s="14" t="s">
        <v>850</v>
      </c>
      <c r="K94" s="2" t="s">
        <v>850</v>
      </c>
    </row>
    <row r="95" spans="2:11" x14ac:dyDescent="0.15">
      <c r="B95" s="4" t="s">
        <v>850</v>
      </c>
      <c r="C95" s="5" t="s">
        <v>850</v>
      </c>
      <c r="D95" s="6" t="s">
        <v>850</v>
      </c>
      <c r="E95" s="5" t="s">
        <v>850</v>
      </c>
      <c r="F95" s="6" t="s">
        <v>850</v>
      </c>
      <c r="G95" s="6" t="s">
        <v>850</v>
      </c>
      <c r="H95" s="6"/>
      <c r="I95" s="6" t="s">
        <v>850</v>
      </c>
      <c r="J95" s="5" t="s">
        <v>850</v>
      </c>
      <c r="K95" s="6" t="s">
        <v>850</v>
      </c>
    </row>
    <row r="96" spans="2:11" x14ac:dyDescent="0.15">
      <c r="B96" s="7" t="s">
        <v>850</v>
      </c>
      <c r="C96" s="8" t="s">
        <v>850</v>
      </c>
      <c r="D96" s="9" t="s">
        <v>850</v>
      </c>
      <c r="E96" s="8" t="s">
        <v>850</v>
      </c>
      <c r="F96" s="9" t="s">
        <v>850</v>
      </c>
      <c r="G96" s="9" t="s">
        <v>850</v>
      </c>
      <c r="H96" s="9"/>
      <c r="I96" s="9" t="s">
        <v>850</v>
      </c>
      <c r="J96" s="8" t="s">
        <v>850</v>
      </c>
      <c r="K96" s="9" t="s">
        <v>850</v>
      </c>
    </row>
    <row r="97" spans="2:11" x14ac:dyDescent="0.15">
      <c r="B97" s="4" t="s">
        <v>850</v>
      </c>
      <c r="C97" s="5" t="s">
        <v>850</v>
      </c>
      <c r="D97" s="6" t="s">
        <v>850</v>
      </c>
      <c r="E97" s="5" t="s">
        <v>850</v>
      </c>
      <c r="F97" s="6" t="s">
        <v>850</v>
      </c>
      <c r="G97" s="6" t="s">
        <v>850</v>
      </c>
      <c r="H97" s="6"/>
      <c r="I97" s="6" t="s">
        <v>850</v>
      </c>
      <c r="J97" s="5" t="s">
        <v>850</v>
      </c>
      <c r="K97" s="6" t="s">
        <v>850</v>
      </c>
    </row>
    <row r="98" spans="2:11" x14ac:dyDescent="0.15">
      <c r="B98" s="7" t="s">
        <v>850</v>
      </c>
      <c r="C98" s="8" t="s">
        <v>850</v>
      </c>
      <c r="D98" s="9" t="s">
        <v>850</v>
      </c>
      <c r="E98" s="8" t="s">
        <v>850</v>
      </c>
      <c r="F98" s="9" t="s">
        <v>850</v>
      </c>
      <c r="G98" s="9" t="s">
        <v>850</v>
      </c>
      <c r="H98" s="9"/>
      <c r="I98" s="9" t="s">
        <v>850</v>
      </c>
      <c r="J98" s="8" t="s">
        <v>850</v>
      </c>
      <c r="K98" s="9" t="s">
        <v>850</v>
      </c>
    </row>
    <row r="99" spans="2:11" x14ac:dyDescent="0.15">
      <c r="B99" s="4" t="s">
        <v>850</v>
      </c>
      <c r="C99" s="5" t="s">
        <v>850</v>
      </c>
      <c r="D99" s="6" t="s">
        <v>850</v>
      </c>
      <c r="E99" s="5" t="s">
        <v>850</v>
      </c>
      <c r="F99" s="6" t="s">
        <v>850</v>
      </c>
      <c r="G99" s="6" t="s">
        <v>850</v>
      </c>
      <c r="H99" s="6"/>
      <c r="I99" s="6" t="s">
        <v>850</v>
      </c>
      <c r="J99" s="5" t="s">
        <v>850</v>
      </c>
      <c r="K99" s="6" t="s">
        <v>850</v>
      </c>
    </row>
    <row r="100" spans="2:11" x14ac:dyDescent="0.15">
      <c r="B100" s="7" t="s">
        <v>850</v>
      </c>
      <c r="C100" s="10" t="s">
        <v>850</v>
      </c>
      <c r="D100" s="9" t="s">
        <v>850</v>
      </c>
      <c r="E100" s="8" t="s">
        <v>850</v>
      </c>
      <c r="F100" s="9" t="s">
        <v>850</v>
      </c>
      <c r="G100" s="9" t="s">
        <v>850</v>
      </c>
      <c r="H100" s="9"/>
      <c r="I100" s="9" t="s">
        <v>850</v>
      </c>
      <c r="J100" s="8" t="s">
        <v>850</v>
      </c>
      <c r="K100" s="9" t="s">
        <v>850</v>
      </c>
    </row>
    <row r="101" spans="2:11" x14ac:dyDescent="0.15">
      <c r="B101" s="4" t="s">
        <v>850</v>
      </c>
      <c r="C101" s="5" t="s">
        <v>850</v>
      </c>
      <c r="D101" s="6" t="s">
        <v>850</v>
      </c>
      <c r="E101" s="5" t="s">
        <v>850</v>
      </c>
      <c r="F101" s="6" t="s">
        <v>850</v>
      </c>
      <c r="G101" s="6" t="s">
        <v>850</v>
      </c>
      <c r="H101" s="6"/>
      <c r="I101" s="6" t="s">
        <v>850</v>
      </c>
      <c r="J101" s="5" t="s">
        <v>850</v>
      </c>
      <c r="K101" s="6" t="s">
        <v>850</v>
      </c>
    </row>
    <row r="102" spans="2:11" x14ac:dyDescent="0.15">
      <c r="B102" s="7" t="s">
        <v>850</v>
      </c>
      <c r="C102" s="8" t="s">
        <v>850</v>
      </c>
      <c r="D102" s="9" t="s">
        <v>850</v>
      </c>
      <c r="E102" s="8" t="s">
        <v>850</v>
      </c>
      <c r="F102" s="9" t="s">
        <v>850</v>
      </c>
      <c r="G102" s="9" t="s">
        <v>850</v>
      </c>
      <c r="H102" s="9"/>
      <c r="I102" s="9" t="s">
        <v>850</v>
      </c>
      <c r="J102" s="8" t="s">
        <v>850</v>
      </c>
      <c r="K102" s="9" t="s">
        <v>850</v>
      </c>
    </row>
    <row r="103" spans="2:11" x14ac:dyDescent="0.15">
      <c r="B103" s="4" t="s">
        <v>850</v>
      </c>
      <c r="C103" s="5" t="s">
        <v>850</v>
      </c>
      <c r="D103" s="6" t="s">
        <v>850</v>
      </c>
      <c r="E103" s="5" t="s">
        <v>850</v>
      </c>
      <c r="F103" s="6" t="s">
        <v>850</v>
      </c>
      <c r="G103" s="6" t="s">
        <v>850</v>
      </c>
      <c r="H103" s="6"/>
      <c r="I103" s="6" t="s">
        <v>850</v>
      </c>
      <c r="J103" s="5" t="s">
        <v>850</v>
      </c>
      <c r="K103" s="6" t="s">
        <v>850</v>
      </c>
    </row>
    <row r="104" spans="2:11" x14ac:dyDescent="0.15">
      <c r="B104" s="7" t="s">
        <v>850</v>
      </c>
      <c r="C104" s="8" t="s">
        <v>850</v>
      </c>
      <c r="D104" s="9" t="s">
        <v>850</v>
      </c>
      <c r="E104" s="8" t="s">
        <v>850</v>
      </c>
      <c r="F104" s="9" t="s">
        <v>850</v>
      </c>
      <c r="G104" s="9" t="s">
        <v>850</v>
      </c>
      <c r="H104" s="9"/>
      <c r="I104" s="9" t="s">
        <v>850</v>
      </c>
      <c r="J104" s="8" t="s">
        <v>850</v>
      </c>
      <c r="K104" s="9" t="s">
        <v>850</v>
      </c>
    </row>
    <row r="105" spans="2:11" x14ac:dyDescent="0.15">
      <c r="B105" s="4" t="s">
        <v>850</v>
      </c>
      <c r="C105" s="5" t="s">
        <v>850</v>
      </c>
      <c r="D105" s="6" t="s">
        <v>850</v>
      </c>
      <c r="E105" s="5" t="s">
        <v>850</v>
      </c>
      <c r="F105" s="6" t="s">
        <v>850</v>
      </c>
      <c r="G105" s="6" t="s">
        <v>850</v>
      </c>
      <c r="H105" s="6"/>
      <c r="I105" s="6" t="s">
        <v>850</v>
      </c>
      <c r="J105" s="5" t="s">
        <v>850</v>
      </c>
      <c r="K105" s="6" t="s">
        <v>850</v>
      </c>
    </row>
    <row r="106" spans="2:11" x14ac:dyDescent="0.15">
      <c r="B106" s="12" t="s">
        <v>850</v>
      </c>
      <c r="C106" s="13" t="s">
        <v>850</v>
      </c>
      <c r="D106" s="2" t="s">
        <v>850</v>
      </c>
      <c r="E106" s="14" t="s">
        <v>850</v>
      </c>
      <c r="F106" s="2" t="s">
        <v>850</v>
      </c>
      <c r="G106" s="2" t="s">
        <v>850</v>
      </c>
      <c r="H106" s="2"/>
      <c r="I106" s="2" t="s">
        <v>850</v>
      </c>
      <c r="J106" s="14" t="s">
        <v>850</v>
      </c>
      <c r="K106" s="2" t="s">
        <v>850</v>
      </c>
    </row>
    <row r="107" spans="2:11" x14ac:dyDescent="0.15">
      <c r="B107" s="4" t="s">
        <v>850</v>
      </c>
      <c r="C107" s="5" t="s">
        <v>850</v>
      </c>
      <c r="D107" s="6" t="s">
        <v>850</v>
      </c>
      <c r="E107" s="5" t="s">
        <v>850</v>
      </c>
      <c r="F107" s="6" t="s">
        <v>850</v>
      </c>
      <c r="G107" s="6" t="s">
        <v>850</v>
      </c>
      <c r="H107" s="6"/>
      <c r="I107" s="6" t="s">
        <v>850</v>
      </c>
      <c r="J107" s="5" t="s">
        <v>850</v>
      </c>
      <c r="K107" s="6" t="s">
        <v>850</v>
      </c>
    </row>
    <row r="108" spans="2:11" x14ac:dyDescent="0.15">
      <c r="B108" s="7" t="s">
        <v>850</v>
      </c>
      <c r="C108" s="8" t="s">
        <v>850</v>
      </c>
      <c r="D108" s="9" t="s">
        <v>850</v>
      </c>
      <c r="E108" s="8" t="s">
        <v>850</v>
      </c>
      <c r="F108" s="9" t="s">
        <v>850</v>
      </c>
      <c r="G108" s="9" t="s">
        <v>850</v>
      </c>
      <c r="H108" s="9"/>
      <c r="I108" s="9" t="s">
        <v>850</v>
      </c>
      <c r="J108" s="8" t="s">
        <v>850</v>
      </c>
      <c r="K108" s="9" t="s">
        <v>850</v>
      </c>
    </row>
    <row r="109" spans="2:11" x14ac:dyDescent="0.15">
      <c r="B109" s="4" t="s">
        <v>850</v>
      </c>
      <c r="C109" s="5" t="s">
        <v>850</v>
      </c>
      <c r="D109" s="6" t="s">
        <v>850</v>
      </c>
      <c r="E109" s="5" t="s">
        <v>850</v>
      </c>
      <c r="F109" s="6" t="s">
        <v>850</v>
      </c>
      <c r="G109" s="6" t="s">
        <v>850</v>
      </c>
      <c r="H109" s="6"/>
      <c r="I109" s="6" t="s">
        <v>850</v>
      </c>
      <c r="J109" s="5" t="s">
        <v>850</v>
      </c>
      <c r="K109" s="6" t="s">
        <v>850</v>
      </c>
    </row>
    <row r="110" spans="2:11" x14ac:dyDescent="0.15">
      <c r="B110" s="7" t="s">
        <v>850</v>
      </c>
      <c r="C110" s="8" t="s">
        <v>850</v>
      </c>
      <c r="D110" s="9" t="s">
        <v>850</v>
      </c>
      <c r="E110" s="8" t="s">
        <v>850</v>
      </c>
      <c r="F110" s="9" t="s">
        <v>850</v>
      </c>
      <c r="G110" s="9" t="s">
        <v>850</v>
      </c>
      <c r="H110" s="9"/>
      <c r="I110" s="9" t="s">
        <v>850</v>
      </c>
      <c r="J110" s="8" t="s">
        <v>850</v>
      </c>
      <c r="K110" s="9" t="s">
        <v>850</v>
      </c>
    </row>
    <row r="111" spans="2:11" x14ac:dyDescent="0.15">
      <c r="B111" s="4" t="s">
        <v>850</v>
      </c>
      <c r="C111" s="5" t="s">
        <v>850</v>
      </c>
      <c r="D111" s="6" t="s">
        <v>850</v>
      </c>
      <c r="E111" s="5" t="s">
        <v>850</v>
      </c>
      <c r="F111" s="6" t="s">
        <v>850</v>
      </c>
      <c r="G111" s="6" t="s">
        <v>850</v>
      </c>
      <c r="H111" s="6"/>
      <c r="I111" s="6" t="s">
        <v>850</v>
      </c>
      <c r="J111" s="5" t="s">
        <v>850</v>
      </c>
      <c r="K111" s="6" t="s">
        <v>850</v>
      </c>
    </row>
    <row r="112" spans="2:11" x14ac:dyDescent="0.15">
      <c r="B112" s="7" t="s">
        <v>850</v>
      </c>
      <c r="C112" s="10" t="s">
        <v>850</v>
      </c>
      <c r="D112" s="9" t="s">
        <v>850</v>
      </c>
      <c r="E112" s="8" t="s">
        <v>850</v>
      </c>
      <c r="F112" s="9" t="s">
        <v>850</v>
      </c>
      <c r="G112" s="9" t="s">
        <v>850</v>
      </c>
      <c r="H112" s="9"/>
      <c r="I112" s="9" t="s">
        <v>850</v>
      </c>
      <c r="J112" s="8" t="s">
        <v>850</v>
      </c>
      <c r="K112" s="9" t="s">
        <v>850</v>
      </c>
    </row>
    <row r="113" spans="2:11" x14ac:dyDescent="0.15">
      <c r="B113" s="4" t="s">
        <v>850</v>
      </c>
      <c r="C113" s="5" t="s">
        <v>850</v>
      </c>
      <c r="D113" s="6" t="s">
        <v>850</v>
      </c>
      <c r="E113" s="5" t="s">
        <v>850</v>
      </c>
      <c r="F113" s="6" t="s">
        <v>850</v>
      </c>
      <c r="G113" s="6" t="s">
        <v>850</v>
      </c>
      <c r="H113" s="6"/>
      <c r="I113" s="6" t="s">
        <v>850</v>
      </c>
      <c r="J113" s="5" t="s">
        <v>850</v>
      </c>
      <c r="K113" s="6" t="s">
        <v>850</v>
      </c>
    </row>
    <row r="114" spans="2:11" x14ac:dyDescent="0.15">
      <c r="B114" s="7" t="s">
        <v>850</v>
      </c>
      <c r="C114" s="8" t="s">
        <v>850</v>
      </c>
      <c r="D114" s="9" t="s">
        <v>850</v>
      </c>
      <c r="E114" s="8" t="s">
        <v>850</v>
      </c>
      <c r="F114" s="9" t="s">
        <v>850</v>
      </c>
      <c r="G114" s="9" t="s">
        <v>850</v>
      </c>
      <c r="H114" s="9"/>
      <c r="I114" s="9" t="s">
        <v>850</v>
      </c>
      <c r="J114" s="8" t="s">
        <v>850</v>
      </c>
      <c r="K114" s="9" t="s">
        <v>850</v>
      </c>
    </row>
    <row r="115" spans="2:11" x14ac:dyDescent="0.15">
      <c r="B115" s="4" t="s">
        <v>850</v>
      </c>
      <c r="C115" s="5" t="s">
        <v>850</v>
      </c>
      <c r="D115" s="6" t="s">
        <v>850</v>
      </c>
      <c r="E115" s="5" t="s">
        <v>850</v>
      </c>
      <c r="F115" s="6" t="s">
        <v>850</v>
      </c>
      <c r="G115" s="6" t="s">
        <v>850</v>
      </c>
      <c r="H115" s="6"/>
      <c r="I115" s="6" t="s">
        <v>850</v>
      </c>
      <c r="J115" s="5" t="s">
        <v>850</v>
      </c>
      <c r="K115" s="6" t="s">
        <v>850</v>
      </c>
    </row>
    <row r="116" spans="2:11" x14ac:dyDescent="0.15">
      <c r="B116" s="7" t="s">
        <v>850</v>
      </c>
      <c r="C116" s="8" t="s">
        <v>850</v>
      </c>
      <c r="D116" s="9" t="s">
        <v>850</v>
      </c>
      <c r="E116" s="8" t="s">
        <v>850</v>
      </c>
      <c r="F116" s="9" t="s">
        <v>850</v>
      </c>
      <c r="G116" s="9" t="s">
        <v>850</v>
      </c>
      <c r="H116" s="9"/>
      <c r="I116" s="9" t="s">
        <v>850</v>
      </c>
      <c r="J116" s="8" t="s">
        <v>850</v>
      </c>
      <c r="K116" s="9" t="s">
        <v>850</v>
      </c>
    </row>
    <row r="117" spans="2:11" x14ac:dyDescent="0.15">
      <c r="B117" s="4" t="s">
        <v>850</v>
      </c>
      <c r="C117" s="5" t="s">
        <v>850</v>
      </c>
      <c r="D117" s="6" t="s">
        <v>850</v>
      </c>
      <c r="E117" s="5" t="s">
        <v>850</v>
      </c>
      <c r="F117" s="6" t="s">
        <v>850</v>
      </c>
      <c r="G117" s="6" t="s">
        <v>850</v>
      </c>
      <c r="H117" s="6"/>
      <c r="I117" s="6" t="s">
        <v>850</v>
      </c>
      <c r="J117" s="5" t="s">
        <v>850</v>
      </c>
      <c r="K117" s="6" t="s">
        <v>850</v>
      </c>
    </row>
    <row r="118" spans="2:11" x14ac:dyDescent="0.15">
      <c r="B118" s="12" t="s">
        <v>850</v>
      </c>
      <c r="C118" s="13" t="s">
        <v>850</v>
      </c>
      <c r="D118" s="2" t="s">
        <v>850</v>
      </c>
      <c r="E118" s="14" t="s">
        <v>850</v>
      </c>
      <c r="F118" s="2" t="s">
        <v>850</v>
      </c>
      <c r="G118" s="2" t="s">
        <v>850</v>
      </c>
      <c r="H118" s="2"/>
      <c r="I118" s="2" t="s">
        <v>850</v>
      </c>
      <c r="J118" s="14" t="s">
        <v>850</v>
      </c>
      <c r="K118" s="2" t="s">
        <v>850</v>
      </c>
    </row>
    <row r="119" spans="2:11" x14ac:dyDescent="0.15">
      <c r="I119" s="15"/>
    </row>
    <row r="120" spans="2:11" x14ac:dyDescent="0.15">
      <c r="I120" s="15"/>
    </row>
    <row r="121" spans="2:11" x14ac:dyDescent="0.15">
      <c r="I121" s="15"/>
    </row>
    <row r="122" spans="2:11" x14ac:dyDescent="0.15">
      <c r="I122" s="15"/>
    </row>
    <row r="123" spans="2:11" x14ac:dyDescent="0.15">
      <c r="I123" s="15"/>
    </row>
    <row r="124" spans="2:11" x14ac:dyDescent="0.15">
      <c r="I124" s="15"/>
    </row>
    <row r="125" spans="2:11" x14ac:dyDescent="0.15">
      <c r="I125" s="15"/>
    </row>
    <row r="126" spans="2:11" x14ac:dyDescent="0.15">
      <c r="I126" s="15"/>
    </row>
    <row r="127" spans="2:11" x14ac:dyDescent="0.15">
      <c r="I127" s="15"/>
    </row>
    <row r="128" spans="2:11" x14ac:dyDescent="0.15">
      <c r="I128" s="15"/>
    </row>
    <row r="129" spans="9:9" x14ac:dyDescent="0.15">
      <c r="I129" s="15"/>
    </row>
    <row r="130" spans="9:9" x14ac:dyDescent="0.15">
      <c r="I130" s="15"/>
    </row>
    <row r="131" spans="9:9" x14ac:dyDescent="0.15">
      <c r="I131" s="15"/>
    </row>
    <row r="132" spans="9:9" x14ac:dyDescent="0.15">
      <c r="I132" s="15"/>
    </row>
    <row r="133" spans="9:9" x14ac:dyDescent="0.15">
      <c r="I133" s="15"/>
    </row>
    <row r="134" spans="9:9" x14ac:dyDescent="0.15">
      <c r="I134" s="15"/>
    </row>
    <row r="135" spans="9:9" x14ac:dyDescent="0.15">
      <c r="I135" s="15"/>
    </row>
    <row r="136" spans="9:9" x14ac:dyDescent="0.15">
      <c r="I136" s="15"/>
    </row>
    <row r="137" spans="9:9" x14ac:dyDescent="0.15">
      <c r="I137" s="15"/>
    </row>
    <row r="138" spans="9:9" x14ac:dyDescent="0.15">
      <c r="I138" s="15"/>
    </row>
    <row r="139" spans="9:9" x14ac:dyDescent="0.15">
      <c r="I139" s="15"/>
    </row>
    <row r="140" spans="9:9" x14ac:dyDescent="0.15">
      <c r="I140" s="15"/>
    </row>
    <row r="141" spans="9:9" x14ac:dyDescent="0.15">
      <c r="I141" s="15"/>
    </row>
    <row r="142" spans="9:9" x14ac:dyDescent="0.15">
      <c r="I142" s="15"/>
    </row>
    <row r="143" spans="9:9" x14ac:dyDescent="0.15">
      <c r="I143" s="15"/>
    </row>
    <row r="144" spans="9:9" x14ac:dyDescent="0.15">
      <c r="I144" s="15"/>
    </row>
    <row r="145" spans="9:9" x14ac:dyDescent="0.15">
      <c r="I145" s="15"/>
    </row>
    <row r="146" spans="9:9" x14ac:dyDescent="0.15">
      <c r="I146" s="15"/>
    </row>
    <row r="147" spans="9:9" x14ac:dyDescent="0.15">
      <c r="I147" s="15"/>
    </row>
    <row r="148" spans="9:9" x14ac:dyDescent="0.15">
      <c r="I148" s="15"/>
    </row>
    <row r="149" spans="9:9" x14ac:dyDescent="0.15">
      <c r="I149" s="15"/>
    </row>
    <row r="150" spans="9:9" x14ac:dyDescent="0.15">
      <c r="I150" s="15"/>
    </row>
    <row r="151" spans="9:9" x14ac:dyDescent="0.15">
      <c r="I151" s="15"/>
    </row>
    <row r="152" spans="9:9" x14ac:dyDescent="0.15">
      <c r="I152" s="15"/>
    </row>
    <row r="153" spans="9:9" x14ac:dyDescent="0.15">
      <c r="I153" s="15"/>
    </row>
    <row r="154" spans="9:9" x14ac:dyDescent="0.15">
      <c r="I154" s="15"/>
    </row>
    <row r="155" spans="9:9" x14ac:dyDescent="0.15">
      <c r="I155" s="15"/>
    </row>
    <row r="156" spans="9:9" x14ac:dyDescent="0.15">
      <c r="I156" s="15"/>
    </row>
    <row r="157" spans="9:9" x14ac:dyDescent="0.15">
      <c r="I157" s="15"/>
    </row>
    <row r="158" spans="9:9" x14ac:dyDescent="0.15">
      <c r="I158" s="15"/>
    </row>
    <row r="159" spans="9:9" x14ac:dyDescent="0.15">
      <c r="I159" s="15"/>
    </row>
    <row r="160" spans="9:9" x14ac:dyDescent="0.15">
      <c r="I160" s="15"/>
    </row>
    <row r="161" spans="9:9" x14ac:dyDescent="0.15">
      <c r="I161" s="15"/>
    </row>
    <row r="162" spans="9:9" x14ac:dyDescent="0.15">
      <c r="I162" s="15"/>
    </row>
    <row r="163" spans="9:9" x14ac:dyDescent="0.15">
      <c r="I163" s="15"/>
    </row>
    <row r="164" spans="9:9" x14ac:dyDescent="0.15">
      <c r="I164" s="15"/>
    </row>
    <row r="165" spans="9:9" x14ac:dyDescent="0.15">
      <c r="I165" s="15"/>
    </row>
    <row r="166" spans="9:9" x14ac:dyDescent="0.15">
      <c r="I166" s="15"/>
    </row>
    <row r="167" spans="9:9" x14ac:dyDescent="0.15">
      <c r="I167" s="15"/>
    </row>
    <row r="168" spans="9:9" x14ac:dyDescent="0.15">
      <c r="I168" s="15"/>
    </row>
    <row r="169" spans="9:9" x14ac:dyDescent="0.15">
      <c r="I169" s="15"/>
    </row>
    <row r="170" spans="9:9" x14ac:dyDescent="0.15">
      <c r="I170" s="15"/>
    </row>
    <row r="171" spans="9:9" x14ac:dyDescent="0.15">
      <c r="I171" s="15"/>
    </row>
    <row r="172" spans="9:9" x14ac:dyDescent="0.15">
      <c r="I172" s="15"/>
    </row>
    <row r="173" spans="9:9" x14ac:dyDescent="0.15">
      <c r="I173" s="15"/>
    </row>
    <row r="174" spans="9:9" x14ac:dyDescent="0.15">
      <c r="I174" s="15"/>
    </row>
    <row r="175" spans="9:9" x14ac:dyDescent="0.15">
      <c r="I175" s="15"/>
    </row>
    <row r="176" spans="9:9" x14ac:dyDescent="0.15">
      <c r="I176" s="15"/>
    </row>
    <row r="177" spans="9:9" x14ac:dyDescent="0.15">
      <c r="I177" s="15"/>
    </row>
    <row r="178" spans="9:9" x14ac:dyDescent="0.15">
      <c r="I178" s="15"/>
    </row>
    <row r="179" spans="9:9" x14ac:dyDescent="0.15">
      <c r="I179" s="15"/>
    </row>
    <row r="180" spans="9:9" x14ac:dyDescent="0.15">
      <c r="I180" s="15"/>
    </row>
    <row r="181" spans="9:9" x14ac:dyDescent="0.15">
      <c r="I181" s="15"/>
    </row>
    <row r="182" spans="9:9" x14ac:dyDescent="0.15">
      <c r="I182" s="15"/>
    </row>
    <row r="183" spans="9:9" x14ac:dyDescent="0.15">
      <c r="I183" s="15"/>
    </row>
    <row r="184" spans="9:9" x14ac:dyDescent="0.15">
      <c r="I184" s="15"/>
    </row>
    <row r="185" spans="9:9" x14ac:dyDescent="0.15">
      <c r="I185" s="15"/>
    </row>
    <row r="186" spans="9:9" x14ac:dyDescent="0.15">
      <c r="I186" s="15"/>
    </row>
    <row r="187" spans="9:9" x14ac:dyDescent="0.15">
      <c r="I187" s="15"/>
    </row>
    <row r="188" spans="9:9" x14ac:dyDescent="0.15">
      <c r="I188" s="15"/>
    </row>
    <row r="189" spans="9:9" x14ac:dyDescent="0.15">
      <c r="I189" s="15"/>
    </row>
    <row r="190" spans="9:9" x14ac:dyDescent="0.15">
      <c r="I190" s="15"/>
    </row>
    <row r="191" spans="9:9" x14ac:dyDescent="0.15">
      <c r="I191" s="15"/>
    </row>
    <row r="192" spans="9:9" x14ac:dyDescent="0.15">
      <c r="I192" s="15"/>
    </row>
    <row r="193" spans="9:9" x14ac:dyDescent="0.15">
      <c r="I193" s="15"/>
    </row>
    <row r="194" spans="9:9" x14ac:dyDescent="0.15">
      <c r="I194" s="15"/>
    </row>
    <row r="195" spans="9:9" x14ac:dyDescent="0.15">
      <c r="I195" s="15"/>
    </row>
    <row r="196" spans="9:9" x14ac:dyDescent="0.15">
      <c r="I196" s="15"/>
    </row>
  </sheetData>
  <phoneticPr fontId="80" type="noConversion"/>
  <pageMargins left="0.75" right="0.75" top="1" bottom="1" header="0.5" footer="0.5"/>
  <pageSetup orientation="portrait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3D8B7-93F1-5C4D-B545-A93BEF0E617B}">
  <sheetPr codeName="Sheet4"/>
  <dimension ref="B1:L64"/>
  <sheetViews>
    <sheetView showGridLines="0" zoomScale="95" workbookViewId="0">
      <pane ySplit="18" topLeftCell="A19" activePane="bottomLeft" state="frozen"/>
      <selection pane="bottomLeft" activeCell="B1" sqref="B1"/>
    </sheetView>
  </sheetViews>
  <sheetFormatPr baseColWidth="10" defaultColWidth="8.83203125" defaultRowHeight="13" x14ac:dyDescent="0.15"/>
  <cols>
    <col min="1" max="1" width="2.6640625" customWidth="1"/>
    <col min="2" max="2" width="10.33203125" customWidth="1"/>
    <col min="3" max="4" width="8.83203125" customWidth="1"/>
    <col min="5" max="5" width="9.6640625" customWidth="1"/>
    <col min="6" max="8" width="8.83203125" customWidth="1"/>
    <col min="9" max="10" width="12.6640625" customWidth="1"/>
    <col min="11" max="11" width="8.83203125" customWidth="1"/>
    <col min="12" max="12" width="4.1640625" hidden="1" customWidth="1"/>
  </cols>
  <sheetData>
    <row r="1" spans="2:10" ht="16" x14ac:dyDescent="0.2">
      <c r="B1" s="112">
        <f ca="1">NOW()</f>
        <v>45636.449309606483</v>
      </c>
      <c r="G1" s="35" t="s">
        <v>1673</v>
      </c>
    </row>
    <row r="2" spans="2:10" ht="16" x14ac:dyDescent="0.2">
      <c r="B2" s="113"/>
      <c r="G2" s="35" t="s">
        <v>1674</v>
      </c>
    </row>
    <row r="3" spans="2:10" x14ac:dyDescent="0.15">
      <c r="G3" s="187"/>
    </row>
    <row r="4" spans="2:10" ht="23" x14ac:dyDescent="0.25">
      <c r="B4" s="188" t="s">
        <v>1092</v>
      </c>
      <c r="G4" s="35" t="s">
        <v>1675</v>
      </c>
    </row>
    <row r="5" spans="2:10" ht="16" x14ac:dyDescent="0.2">
      <c r="D5" s="35" t="s">
        <v>1671</v>
      </c>
      <c r="E5" s="187"/>
      <c r="J5" s="35" t="s">
        <v>1676</v>
      </c>
    </row>
    <row r="8" spans="2:10" ht="16" x14ac:dyDescent="0.2">
      <c r="J8" s="35" t="s">
        <v>1677</v>
      </c>
    </row>
    <row r="10" spans="2:10" ht="16" x14ac:dyDescent="0.2">
      <c r="E10" s="35" t="s">
        <v>846</v>
      </c>
    </row>
    <row r="11" spans="2:10" ht="16" x14ac:dyDescent="0.2">
      <c r="E11" s="35" t="s">
        <v>1672</v>
      </c>
    </row>
    <row r="12" spans="2:10" ht="16" x14ac:dyDescent="0.2">
      <c r="H12" s="35" t="s">
        <v>1670</v>
      </c>
    </row>
    <row r="16" spans="2:10" ht="14" thickBot="1" x14ac:dyDescent="0.2"/>
    <row r="17" spans="2:12" ht="16" x14ac:dyDescent="0.2">
      <c r="B17" s="361" t="s">
        <v>844</v>
      </c>
      <c r="C17" s="362" t="s">
        <v>846</v>
      </c>
      <c r="D17" s="362" t="s">
        <v>856</v>
      </c>
      <c r="E17" s="362" t="s">
        <v>858</v>
      </c>
      <c r="F17" s="362" t="s">
        <v>859</v>
      </c>
      <c r="G17" s="363" t="s">
        <v>860</v>
      </c>
      <c r="H17" s="364" t="s">
        <v>861</v>
      </c>
      <c r="I17" s="365" t="s">
        <v>1514</v>
      </c>
      <c r="J17" s="365" t="s">
        <v>1743</v>
      </c>
      <c r="K17" s="365" t="s">
        <v>1435</v>
      </c>
    </row>
    <row r="18" spans="2:12" ht="17" thickBot="1" x14ac:dyDescent="0.25">
      <c r="B18" s="366" t="s">
        <v>845</v>
      </c>
      <c r="C18" s="367" t="s">
        <v>855</v>
      </c>
      <c r="D18" s="367" t="s">
        <v>857</v>
      </c>
      <c r="E18" s="367" t="s">
        <v>1046</v>
      </c>
      <c r="F18" s="367" t="s">
        <v>892</v>
      </c>
      <c r="G18" s="369"/>
      <c r="H18" s="370"/>
      <c r="I18" s="370" t="s">
        <v>1515</v>
      </c>
      <c r="J18" s="372" t="s">
        <v>1744</v>
      </c>
      <c r="K18" s="372" t="s">
        <v>1764</v>
      </c>
    </row>
    <row r="19" spans="2:12" x14ac:dyDescent="0.15">
      <c r="B19" s="127" t="s">
        <v>1093</v>
      </c>
      <c r="C19" s="128">
        <v>14.25</v>
      </c>
      <c r="D19" s="129">
        <v>0.8125</v>
      </c>
      <c r="E19" s="130">
        <v>14.875</v>
      </c>
      <c r="F19" s="129">
        <v>0.8125</v>
      </c>
      <c r="G19" s="174">
        <v>1.5</v>
      </c>
      <c r="H19" s="181">
        <v>1.0625</v>
      </c>
      <c r="I19" s="175">
        <f>((C19-(D19*2))*2+(E19*4)+(F19*4)-(D19*2))*12/144</f>
        <v>7.197916666666667</v>
      </c>
      <c r="J19" s="273">
        <f>I19*3.2808399*0.09290304</f>
        <v>2.1939250033347664</v>
      </c>
      <c r="K19" s="273">
        <f>L19*3.2808399*0.4535924</f>
        <v>174.11519317804093</v>
      </c>
      <c r="L19">
        <v>117</v>
      </c>
    </row>
    <row r="20" spans="2:12" x14ac:dyDescent="0.15">
      <c r="B20" s="18" t="s">
        <v>1094</v>
      </c>
      <c r="C20" s="20">
        <v>14</v>
      </c>
      <c r="D20" s="19">
        <v>0.6875</v>
      </c>
      <c r="E20" s="20">
        <v>14.75</v>
      </c>
      <c r="F20" s="19">
        <v>0.6875</v>
      </c>
      <c r="G20" s="19">
        <v>1.375</v>
      </c>
      <c r="H20" s="19">
        <v>1</v>
      </c>
      <c r="I20" s="132">
        <f>((C20-(D20*2))*2+(E20*4)+(F20*4)-(D20*2))*12/144</f>
        <v>7.135416666666667</v>
      </c>
      <c r="J20" s="274">
        <f t="shared" ref="J20:J37" si="0">I20*3.2808399*0.09290304</f>
        <v>2.1748750033058104</v>
      </c>
      <c r="K20" s="274">
        <f t="shared" ref="K20:K37" si="1">L20*3.2808399*0.4535924</f>
        <v>151.79273251418954</v>
      </c>
      <c r="L20">
        <v>102</v>
      </c>
    </row>
    <row r="21" spans="2:12" x14ac:dyDescent="0.15">
      <c r="B21" s="127" t="s">
        <v>1095</v>
      </c>
      <c r="C21" s="130">
        <v>13.875</v>
      </c>
      <c r="D21" s="129">
        <v>0.625</v>
      </c>
      <c r="E21" s="130">
        <v>14.75</v>
      </c>
      <c r="F21" s="129">
        <v>0.625</v>
      </c>
      <c r="G21" s="129">
        <v>1.3125</v>
      </c>
      <c r="H21" s="129">
        <v>0.9375</v>
      </c>
      <c r="I21" s="119">
        <f>((C21-(D21*2))*2+(E21*4)+(F21*4)-(D21*2))*12/144</f>
        <v>7.125</v>
      </c>
      <c r="J21" s="274">
        <f t="shared" si="0"/>
        <v>2.1717000033009839</v>
      </c>
      <c r="K21" s="274">
        <f t="shared" si="1"/>
        <v>132.44659993885165</v>
      </c>
      <c r="L21">
        <v>89</v>
      </c>
    </row>
    <row r="22" spans="2:12" x14ac:dyDescent="0.15">
      <c r="B22" s="18" t="s">
        <v>1096</v>
      </c>
      <c r="C22" s="22">
        <v>13.625</v>
      </c>
      <c r="D22" s="21">
        <v>0.5</v>
      </c>
      <c r="E22" s="22">
        <v>14.625</v>
      </c>
      <c r="F22" s="21">
        <v>0.5</v>
      </c>
      <c r="G22" s="21">
        <v>1.1875</v>
      </c>
      <c r="H22" s="21">
        <v>0.875</v>
      </c>
      <c r="I22" s="313">
        <f>((C22-(D22*2))*2+(E22*4)+(F22*4)-(D22*2))*12/144</f>
        <v>7.0625</v>
      </c>
      <c r="J22" s="333">
        <f t="shared" si="0"/>
        <v>2.1526500032720284</v>
      </c>
      <c r="K22" s="274">
        <f t="shared" si="1"/>
        <v>108.63597523074348</v>
      </c>
      <c r="L22">
        <v>73</v>
      </c>
    </row>
    <row r="23" spans="2:12" x14ac:dyDescent="0.15">
      <c r="B23" s="343"/>
      <c r="C23" s="315"/>
      <c r="D23" s="315"/>
      <c r="E23" s="315"/>
      <c r="F23" s="315"/>
      <c r="G23" s="315"/>
      <c r="H23" s="315"/>
      <c r="I23" s="316"/>
      <c r="J23" s="317"/>
      <c r="K23" s="334"/>
    </row>
    <row r="24" spans="2:12" x14ac:dyDescent="0.15">
      <c r="B24" s="18" t="s">
        <v>1097</v>
      </c>
      <c r="C24" s="156">
        <v>13.125</v>
      </c>
      <c r="D24" s="131">
        <v>0.75</v>
      </c>
      <c r="E24" s="156">
        <v>13.25</v>
      </c>
      <c r="F24" s="131">
        <v>0.75</v>
      </c>
      <c r="G24" s="131">
        <v>1.4375</v>
      </c>
      <c r="H24" s="131">
        <v>1</v>
      </c>
      <c r="I24" s="119">
        <f>((C24-(D24*2))*2+(E24*4)+(F24*4)-(D24*2))*12/144</f>
        <v>6.479166666666667</v>
      </c>
      <c r="J24" s="274">
        <f t="shared" si="0"/>
        <v>1.9748500030017724</v>
      </c>
      <c r="K24" s="274">
        <f t="shared" si="1"/>
        <v>148.81640442567601</v>
      </c>
      <c r="L24">
        <v>100</v>
      </c>
    </row>
    <row r="25" spans="2:12" x14ac:dyDescent="0.15">
      <c r="B25" s="127" t="s">
        <v>1098</v>
      </c>
      <c r="C25" s="130">
        <v>13</v>
      </c>
      <c r="D25" s="129">
        <v>0.6875</v>
      </c>
      <c r="E25" s="130">
        <v>13.125</v>
      </c>
      <c r="F25" s="129">
        <v>0.6875</v>
      </c>
      <c r="G25" s="129">
        <v>1.375</v>
      </c>
      <c r="H25" s="129">
        <v>0.9375</v>
      </c>
      <c r="I25" s="119">
        <f>((C25-(D25*2))*2+(E25*4)+(F25*4)-(D25*2))*12/144</f>
        <v>6.427083333333333</v>
      </c>
      <c r="J25" s="274">
        <f t="shared" si="0"/>
        <v>1.958975002977642</v>
      </c>
      <c r="K25" s="274">
        <f t="shared" si="1"/>
        <v>129.47027185033812</v>
      </c>
      <c r="L25">
        <v>87</v>
      </c>
    </row>
    <row r="26" spans="2:12" x14ac:dyDescent="0.15">
      <c r="B26" s="18" t="s">
        <v>1099</v>
      </c>
      <c r="C26" s="20">
        <v>12.75</v>
      </c>
      <c r="D26" s="19">
        <v>0.5625</v>
      </c>
      <c r="E26" s="20">
        <v>13</v>
      </c>
      <c r="F26" s="19">
        <v>0.5625</v>
      </c>
      <c r="G26" s="19">
        <v>1.25</v>
      </c>
      <c r="H26" s="19">
        <v>0.9375</v>
      </c>
      <c r="I26" s="119">
        <f>((C26-(D26*2))*2+(E26*4)+(F26*4)-(D26*2))*12/144</f>
        <v>6.364583333333333</v>
      </c>
      <c r="J26" s="274">
        <f t="shared" si="0"/>
        <v>1.9399250029486861</v>
      </c>
      <c r="K26" s="274">
        <f t="shared" si="1"/>
        <v>108.63597523074348</v>
      </c>
      <c r="L26">
        <v>73</v>
      </c>
    </row>
    <row r="27" spans="2:12" x14ac:dyDescent="0.15">
      <c r="B27" s="127" t="s">
        <v>1100</v>
      </c>
      <c r="C27" s="130">
        <v>12.5</v>
      </c>
      <c r="D27" s="129">
        <v>0.4375</v>
      </c>
      <c r="E27" s="130">
        <v>12.875</v>
      </c>
      <c r="F27" s="129">
        <v>0.4375</v>
      </c>
      <c r="G27" s="129">
        <v>1.125</v>
      </c>
      <c r="H27" s="129">
        <v>0.875</v>
      </c>
      <c r="I27" s="313">
        <f>((C27-(D27*2))*2+(E27*4)+(F27*4)-(D27*2))*12/144</f>
        <v>6.302083333333333</v>
      </c>
      <c r="J27" s="333">
        <f t="shared" si="0"/>
        <v>1.9208750029197301</v>
      </c>
      <c r="K27" s="274">
        <f t="shared" si="1"/>
        <v>89.289842655405593</v>
      </c>
      <c r="L27">
        <v>60</v>
      </c>
    </row>
    <row r="28" spans="2:12" x14ac:dyDescent="0.15">
      <c r="B28" s="307"/>
      <c r="C28" s="315"/>
      <c r="D28" s="315"/>
      <c r="E28" s="315"/>
      <c r="F28" s="315"/>
      <c r="G28" s="315"/>
      <c r="H28" s="315"/>
      <c r="I28" s="316"/>
      <c r="J28" s="317"/>
      <c r="K28" s="334"/>
    </row>
    <row r="29" spans="2:12" x14ac:dyDescent="0.15">
      <c r="B29" s="127" t="s">
        <v>1101</v>
      </c>
      <c r="C29" s="128">
        <v>12.25</v>
      </c>
      <c r="D29" s="129">
        <v>0.6875</v>
      </c>
      <c r="E29" s="130">
        <v>12.25</v>
      </c>
      <c r="F29" s="129">
        <v>0.6875</v>
      </c>
      <c r="G29" s="129">
        <v>1.375</v>
      </c>
      <c r="H29" s="172">
        <v>1</v>
      </c>
      <c r="I29" s="119">
        <f>((C29-(D29*2))*2+(E29*4)+(F29*4)-(D29*2))*12/144</f>
        <v>6.010416666666667</v>
      </c>
      <c r="J29" s="274">
        <f t="shared" si="0"/>
        <v>1.8319750027846022</v>
      </c>
      <c r="K29" s="274">
        <f t="shared" si="1"/>
        <v>125.00577971756785</v>
      </c>
      <c r="L29">
        <v>84</v>
      </c>
    </row>
    <row r="30" spans="2:12" x14ac:dyDescent="0.15">
      <c r="B30" s="18" t="s">
        <v>1102</v>
      </c>
      <c r="C30" s="20">
        <v>12.125</v>
      </c>
      <c r="D30" s="19">
        <v>0.625</v>
      </c>
      <c r="E30" s="20">
        <v>12.25</v>
      </c>
      <c r="F30" s="19">
        <v>0.625</v>
      </c>
      <c r="G30" s="19">
        <v>1.3125</v>
      </c>
      <c r="H30" s="19">
        <v>0.9375</v>
      </c>
      <c r="I30" s="119">
        <f>((C30-(D30*2))*2+(E30*4)+(F30*4)-(D30*2))*12/144</f>
        <v>6</v>
      </c>
      <c r="J30" s="274">
        <f t="shared" si="0"/>
        <v>1.8288000027797762</v>
      </c>
      <c r="K30" s="274">
        <f t="shared" si="1"/>
        <v>110.12413927500025</v>
      </c>
      <c r="L30">
        <v>74</v>
      </c>
    </row>
    <row r="31" spans="2:12" x14ac:dyDescent="0.15">
      <c r="B31" s="18" t="s">
        <v>1103</v>
      </c>
      <c r="C31" s="20">
        <v>12</v>
      </c>
      <c r="D31" s="19">
        <v>0.5</v>
      </c>
      <c r="E31" s="20">
        <v>12.125</v>
      </c>
      <c r="F31" s="19">
        <v>0.5</v>
      </c>
      <c r="G31" s="19">
        <v>1.25</v>
      </c>
      <c r="H31" s="19">
        <v>0.875</v>
      </c>
      <c r="I31" s="119">
        <f>((C31-(D31*2))*2+(E31*4)+(F31*4)-(D31*2))*12/144</f>
        <v>5.958333333333333</v>
      </c>
      <c r="J31" s="274">
        <f t="shared" si="0"/>
        <v>1.8161000027604721</v>
      </c>
      <c r="K31" s="274">
        <f t="shared" si="1"/>
        <v>93.754334788175896</v>
      </c>
      <c r="L31">
        <v>63</v>
      </c>
    </row>
    <row r="32" spans="2:12" x14ac:dyDescent="0.15">
      <c r="B32" s="127" t="s">
        <v>1104</v>
      </c>
      <c r="C32" s="130">
        <v>11.75</v>
      </c>
      <c r="D32" s="129">
        <v>0.4375</v>
      </c>
      <c r="E32" s="130">
        <v>12</v>
      </c>
      <c r="F32" s="129">
        <v>0.4375</v>
      </c>
      <c r="G32" s="129">
        <v>1.125</v>
      </c>
      <c r="H32" s="129">
        <v>0.875</v>
      </c>
      <c r="I32" s="318">
        <f>((C32-(D32*2))*2+(E32*4)+(F32*4)-(D32*2))*12/144</f>
        <v>5.885416666666667</v>
      </c>
      <c r="J32" s="333">
        <f t="shared" si="0"/>
        <v>1.7938750027266903</v>
      </c>
      <c r="K32" s="274">
        <f t="shared" si="1"/>
        <v>78.872694345608281</v>
      </c>
      <c r="L32">
        <v>53</v>
      </c>
    </row>
    <row r="33" spans="2:12" x14ac:dyDescent="0.15">
      <c r="B33" s="307" t="s">
        <v>850</v>
      </c>
      <c r="C33" s="315" t="s">
        <v>850</v>
      </c>
      <c r="D33" s="315" t="s">
        <v>850</v>
      </c>
      <c r="E33" s="315" t="s">
        <v>850</v>
      </c>
      <c r="F33" s="315" t="s">
        <v>850</v>
      </c>
      <c r="G33" s="315" t="s">
        <v>850</v>
      </c>
      <c r="H33" s="315" t="s">
        <v>850</v>
      </c>
      <c r="I33" s="316"/>
      <c r="J33" s="317"/>
      <c r="K33" s="334"/>
    </row>
    <row r="34" spans="2:12" x14ac:dyDescent="0.15">
      <c r="B34" s="18" t="s">
        <v>1105</v>
      </c>
      <c r="C34" s="156">
        <v>10</v>
      </c>
      <c r="D34" s="131">
        <v>0.5625</v>
      </c>
      <c r="E34" s="156">
        <v>10.25</v>
      </c>
      <c r="F34" s="131">
        <v>0.5625</v>
      </c>
      <c r="G34" s="131">
        <v>1.1875</v>
      </c>
      <c r="H34" s="131">
        <v>0.8125</v>
      </c>
      <c r="I34" s="119">
        <f>((C34-(D34*2))*2+(E34*4)+(F34*4)-(D34*2))*12/144</f>
        <v>4.989583333333333</v>
      </c>
      <c r="J34" s="274">
        <f t="shared" si="0"/>
        <v>1.5208250023116541</v>
      </c>
      <c r="K34" s="274">
        <f t="shared" si="1"/>
        <v>84.825350522635318</v>
      </c>
      <c r="L34">
        <v>57</v>
      </c>
    </row>
    <row r="35" spans="2:12" x14ac:dyDescent="0.15">
      <c r="B35" s="127" t="s">
        <v>1106</v>
      </c>
      <c r="C35" s="130">
        <v>9.75</v>
      </c>
      <c r="D35" s="129">
        <v>0.4375</v>
      </c>
      <c r="E35" s="130">
        <v>10.125</v>
      </c>
      <c r="F35" s="129">
        <v>0.4375</v>
      </c>
      <c r="G35" s="129">
        <v>1.0625</v>
      </c>
      <c r="H35" s="129">
        <v>0.75</v>
      </c>
      <c r="I35" s="313">
        <f>((C35-(D35*2))*2+(E35*4)+(F35*4)-(D35*2))*12/144</f>
        <v>4.927083333333333</v>
      </c>
      <c r="J35" s="333">
        <f t="shared" si="0"/>
        <v>1.5017750022826981</v>
      </c>
      <c r="K35" s="274">
        <f t="shared" si="1"/>
        <v>62.502889858783924</v>
      </c>
      <c r="L35">
        <v>42</v>
      </c>
    </row>
    <row r="36" spans="2:12" x14ac:dyDescent="0.15">
      <c r="B36" s="307" t="s">
        <v>850</v>
      </c>
      <c r="C36" s="315" t="s">
        <v>850</v>
      </c>
      <c r="D36" s="315" t="s">
        <v>850</v>
      </c>
      <c r="E36" s="315" t="s">
        <v>850</v>
      </c>
      <c r="F36" s="315" t="s">
        <v>850</v>
      </c>
      <c r="G36" s="315" t="s">
        <v>850</v>
      </c>
      <c r="H36" s="315" t="s">
        <v>850</v>
      </c>
      <c r="I36" s="316"/>
      <c r="J36" s="317"/>
      <c r="K36" s="334"/>
    </row>
    <row r="37" spans="2:12" x14ac:dyDescent="0.15">
      <c r="B37" s="18" t="s">
        <v>1107</v>
      </c>
      <c r="C37" s="20">
        <v>8</v>
      </c>
      <c r="D37" s="19">
        <v>0.4375</v>
      </c>
      <c r="E37" s="20">
        <v>8.125</v>
      </c>
      <c r="F37" s="19">
        <v>0.4375</v>
      </c>
      <c r="G37" s="19">
        <v>0.9375</v>
      </c>
      <c r="H37" s="19">
        <v>0.625</v>
      </c>
      <c r="I37" s="132">
        <f>((C37-(D37*2))*2+(E37*4)+(F37*4)-(D37*2))*12/144</f>
        <v>3.96875</v>
      </c>
      <c r="J37" s="272">
        <f t="shared" si="0"/>
        <v>1.2096750018387061</v>
      </c>
      <c r="K37" s="274">
        <f t="shared" si="1"/>
        <v>53.57390559324336</v>
      </c>
      <c r="L37">
        <v>36</v>
      </c>
    </row>
    <row r="38" spans="2:12" x14ac:dyDescent="0.15">
      <c r="B38" s="162" t="s">
        <v>850</v>
      </c>
      <c r="C38" s="163" t="s">
        <v>850</v>
      </c>
      <c r="D38" s="163" t="s">
        <v>850</v>
      </c>
      <c r="E38" s="163" t="s">
        <v>850</v>
      </c>
      <c r="F38" s="163" t="s">
        <v>850</v>
      </c>
      <c r="G38" s="163" t="s">
        <v>850</v>
      </c>
      <c r="H38" s="163" t="s">
        <v>850</v>
      </c>
      <c r="I38" s="283"/>
    </row>
    <row r="39" spans="2:12" x14ac:dyDescent="0.15">
      <c r="B39" s="162" t="s">
        <v>850</v>
      </c>
      <c r="C39" s="163" t="s">
        <v>850</v>
      </c>
      <c r="D39" s="163" t="s">
        <v>850</v>
      </c>
      <c r="E39" s="163" t="s">
        <v>850</v>
      </c>
      <c r="F39" s="163" t="s">
        <v>850</v>
      </c>
      <c r="G39" s="163" t="s">
        <v>850</v>
      </c>
      <c r="H39" s="163" t="s">
        <v>850</v>
      </c>
      <c r="I39" s="283"/>
    </row>
    <row r="40" spans="2:12" x14ac:dyDescent="0.15">
      <c r="B40" s="162" t="s">
        <v>850</v>
      </c>
      <c r="C40" s="163" t="s">
        <v>850</v>
      </c>
      <c r="D40" s="163" t="s">
        <v>850</v>
      </c>
      <c r="E40" s="163" t="s">
        <v>850</v>
      </c>
      <c r="F40" s="163" t="s">
        <v>850</v>
      </c>
      <c r="G40" s="163" t="s">
        <v>850</v>
      </c>
      <c r="H40" s="163" t="s">
        <v>850</v>
      </c>
      <c r="I40" s="133"/>
    </row>
    <row r="41" spans="2:12" x14ac:dyDescent="0.15">
      <c r="B41" s="162" t="s">
        <v>850</v>
      </c>
      <c r="C41" s="163" t="s">
        <v>850</v>
      </c>
      <c r="D41" s="163" t="s">
        <v>850</v>
      </c>
      <c r="E41" s="163" t="s">
        <v>850</v>
      </c>
      <c r="F41" s="163" t="s">
        <v>850</v>
      </c>
      <c r="G41" s="163" t="s">
        <v>850</v>
      </c>
      <c r="H41" s="163" t="s">
        <v>850</v>
      </c>
      <c r="I41" s="133"/>
    </row>
    <row r="42" spans="2:12" x14ac:dyDescent="0.15">
      <c r="B42" s="162" t="s">
        <v>850</v>
      </c>
      <c r="C42" s="163" t="s">
        <v>850</v>
      </c>
      <c r="D42" s="163" t="s">
        <v>850</v>
      </c>
      <c r="E42" s="163" t="s">
        <v>850</v>
      </c>
      <c r="F42" s="163" t="s">
        <v>850</v>
      </c>
      <c r="G42" s="163" t="s">
        <v>850</v>
      </c>
      <c r="H42" s="163" t="s">
        <v>850</v>
      </c>
      <c r="I42" s="133"/>
    </row>
    <row r="43" spans="2:12" x14ac:dyDescent="0.15">
      <c r="B43" s="162" t="s">
        <v>850</v>
      </c>
      <c r="C43" s="163" t="s">
        <v>850</v>
      </c>
      <c r="D43" s="163" t="s">
        <v>850</v>
      </c>
      <c r="E43" s="163" t="s">
        <v>850</v>
      </c>
      <c r="F43" s="163" t="s">
        <v>850</v>
      </c>
      <c r="G43" s="163" t="s">
        <v>850</v>
      </c>
      <c r="H43" s="163" t="s">
        <v>850</v>
      </c>
      <c r="I43" s="133"/>
    </row>
    <row r="44" spans="2:12" x14ac:dyDescent="0.15">
      <c r="B44" s="162" t="s">
        <v>850</v>
      </c>
      <c r="C44" s="163" t="s">
        <v>850</v>
      </c>
      <c r="D44" s="163" t="s">
        <v>850</v>
      </c>
      <c r="E44" s="163" t="s">
        <v>850</v>
      </c>
      <c r="F44" s="163" t="s">
        <v>850</v>
      </c>
      <c r="G44" s="163" t="s">
        <v>850</v>
      </c>
      <c r="H44" s="163" t="s">
        <v>850</v>
      </c>
      <c r="I44" s="133"/>
    </row>
    <row r="45" spans="2:12" x14ac:dyDescent="0.15">
      <c r="B45" s="162" t="s">
        <v>850</v>
      </c>
      <c r="C45" s="163" t="s">
        <v>850</v>
      </c>
      <c r="D45" s="163" t="s">
        <v>850</v>
      </c>
      <c r="E45" s="163" t="s">
        <v>850</v>
      </c>
      <c r="F45" s="163" t="s">
        <v>850</v>
      </c>
      <c r="G45" s="163" t="s">
        <v>850</v>
      </c>
      <c r="H45" s="163" t="s">
        <v>850</v>
      </c>
      <c r="I45" s="133"/>
    </row>
    <row r="46" spans="2:12" x14ac:dyDescent="0.15">
      <c r="B46" s="162" t="s">
        <v>850</v>
      </c>
      <c r="C46" s="163" t="s">
        <v>850</v>
      </c>
      <c r="D46" s="163" t="s">
        <v>850</v>
      </c>
      <c r="E46" s="163" t="s">
        <v>850</v>
      </c>
      <c r="F46" s="163" t="s">
        <v>850</v>
      </c>
      <c r="G46" s="163" t="s">
        <v>850</v>
      </c>
      <c r="H46" s="163" t="s">
        <v>850</v>
      </c>
      <c r="I46" s="133"/>
    </row>
    <row r="47" spans="2:12" x14ac:dyDescent="0.15">
      <c r="B47" s="162" t="s">
        <v>850</v>
      </c>
      <c r="C47" s="163" t="s">
        <v>850</v>
      </c>
      <c r="D47" s="163" t="s">
        <v>850</v>
      </c>
      <c r="E47" s="163" t="s">
        <v>850</v>
      </c>
      <c r="F47" s="163" t="s">
        <v>850</v>
      </c>
      <c r="G47" s="163" t="s">
        <v>850</v>
      </c>
      <c r="H47" s="163" t="s">
        <v>850</v>
      </c>
      <c r="I47" s="133"/>
    </row>
    <row r="48" spans="2:12" x14ac:dyDescent="0.15">
      <c r="B48" s="162" t="s">
        <v>850</v>
      </c>
      <c r="C48" s="163" t="s">
        <v>850</v>
      </c>
      <c r="D48" s="163" t="s">
        <v>850</v>
      </c>
      <c r="E48" s="163" t="s">
        <v>850</v>
      </c>
      <c r="F48" s="163" t="s">
        <v>850</v>
      </c>
      <c r="G48" s="163" t="s">
        <v>850</v>
      </c>
      <c r="H48" s="163" t="s">
        <v>850</v>
      </c>
      <c r="I48" s="133"/>
    </row>
    <row r="49" spans="2:9" x14ac:dyDescent="0.15">
      <c r="B49" s="162" t="s">
        <v>850</v>
      </c>
      <c r="C49" s="163" t="s">
        <v>850</v>
      </c>
      <c r="D49" s="163" t="s">
        <v>850</v>
      </c>
      <c r="E49" s="163" t="s">
        <v>850</v>
      </c>
      <c r="F49" s="163" t="s">
        <v>850</v>
      </c>
      <c r="G49" s="163" t="s">
        <v>850</v>
      </c>
      <c r="H49" s="163" t="s">
        <v>850</v>
      </c>
      <c r="I49" s="133"/>
    </row>
    <row r="50" spans="2:9" x14ac:dyDescent="0.15">
      <c r="B50" s="162" t="s">
        <v>850</v>
      </c>
      <c r="C50" s="163" t="s">
        <v>850</v>
      </c>
      <c r="D50" s="163" t="s">
        <v>850</v>
      </c>
      <c r="E50" s="163" t="s">
        <v>850</v>
      </c>
      <c r="F50" s="163" t="s">
        <v>850</v>
      </c>
      <c r="G50" s="163" t="s">
        <v>850</v>
      </c>
      <c r="H50" s="163" t="s">
        <v>850</v>
      </c>
      <c r="I50" s="133"/>
    </row>
    <row r="51" spans="2:9" x14ac:dyDescent="0.15">
      <c r="B51" s="133"/>
      <c r="C51" s="133"/>
      <c r="D51" s="133"/>
      <c r="E51" s="133"/>
      <c r="F51" s="133"/>
      <c r="G51" s="133"/>
      <c r="H51" s="133"/>
      <c r="I51" s="133"/>
    </row>
    <row r="52" spans="2:9" x14ac:dyDescent="0.15">
      <c r="B52" s="133"/>
      <c r="C52" s="133"/>
      <c r="D52" s="133"/>
      <c r="E52" s="133"/>
      <c r="F52" s="133"/>
      <c r="G52" s="133"/>
      <c r="H52" s="133"/>
      <c r="I52" s="133"/>
    </row>
    <row r="53" spans="2:9" x14ac:dyDescent="0.15">
      <c r="B53" s="133"/>
      <c r="C53" s="133"/>
      <c r="D53" s="133"/>
      <c r="E53" s="133"/>
      <c r="F53" s="133"/>
      <c r="G53" s="133"/>
      <c r="H53" s="133"/>
      <c r="I53" s="133"/>
    </row>
    <row r="54" spans="2:9" x14ac:dyDescent="0.15">
      <c r="B54" s="133"/>
      <c r="C54" s="133"/>
      <c r="D54" s="133"/>
      <c r="E54" s="133"/>
      <c r="F54" s="133"/>
      <c r="G54" s="133"/>
      <c r="H54" s="133"/>
      <c r="I54" s="133"/>
    </row>
    <row r="55" spans="2:9" x14ac:dyDescent="0.15">
      <c r="B55" s="133"/>
      <c r="C55" s="133"/>
      <c r="D55" s="133"/>
      <c r="E55" s="133"/>
      <c r="F55" s="133"/>
      <c r="G55" s="133"/>
      <c r="H55" s="133"/>
      <c r="I55" s="133"/>
    </row>
    <row r="56" spans="2:9" x14ac:dyDescent="0.15">
      <c r="B56" s="133"/>
      <c r="C56" s="133"/>
      <c r="D56" s="133"/>
      <c r="E56" s="133"/>
      <c r="F56" s="133"/>
      <c r="G56" s="133"/>
      <c r="H56" s="133"/>
      <c r="I56" s="133"/>
    </row>
    <row r="57" spans="2:9" x14ac:dyDescent="0.15">
      <c r="B57" s="133"/>
      <c r="C57" s="133"/>
      <c r="D57" s="133"/>
      <c r="E57" s="133"/>
      <c r="F57" s="133"/>
      <c r="G57" s="133"/>
      <c r="H57" s="133"/>
      <c r="I57" s="133"/>
    </row>
    <row r="58" spans="2:9" x14ac:dyDescent="0.15">
      <c r="B58" s="133"/>
      <c r="C58" s="133"/>
      <c r="D58" s="133"/>
      <c r="E58" s="133"/>
      <c r="F58" s="133"/>
      <c r="G58" s="133"/>
      <c r="H58" s="133"/>
      <c r="I58" s="133"/>
    </row>
    <row r="59" spans="2:9" x14ac:dyDescent="0.15">
      <c r="B59" s="133"/>
      <c r="C59" s="133"/>
      <c r="D59" s="133"/>
      <c r="E59" s="133"/>
      <c r="F59" s="133"/>
      <c r="G59" s="133"/>
      <c r="H59" s="133"/>
      <c r="I59" s="133"/>
    </row>
    <row r="60" spans="2:9" x14ac:dyDescent="0.15">
      <c r="B60" s="133"/>
      <c r="C60" s="133"/>
      <c r="D60" s="133"/>
      <c r="E60" s="133"/>
      <c r="F60" s="133"/>
      <c r="G60" s="133"/>
      <c r="H60" s="133"/>
      <c r="I60" s="133"/>
    </row>
    <row r="61" spans="2:9" x14ac:dyDescent="0.15">
      <c r="B61" s="133"/>
      <c r="C61" s="133"/>
      <c r="D61" s="133"/>
      <c r="E61" s="133"/>
      <c r="F61" s="133"/>
      <c r="G61" s="133"/>
      <c r="H61" s="133"/>
      <c r="I61" s="133"/>
    </row>
    <row r="62" spans="2:9" x14ac:dyDescent="0.15">
      <c r="B62" s="133"/>
      <c r="C62" s="133"/>
      <c r="D62" s="133"/>
      <c r="E62" s="133"/>
      <c r="F62" s="133"/>
      <c r="G62" s="133"/>
      <c r="H62" s="133"/>
      <c r="I62" s="133"/>
    </row>
    <row r="63" spans="2:9" x14ac:dyDescent="0.15">
      <c r="B63" s="133"/>
      <c r="C63" s="133"/>
      <c r="D63" s="133"/>
      <c r="E63" s="133"/>
      <c r="F63" s="133"/>
      <c r="G63" s="133"/>
      <c r="H63" s="133"/>
      <c r="I63" s="133"/>
    </row>
    <row r="64" spans="2:9" x14ac:dyDescent="0.15">
      <c r="B64" s="133"/>
      <c r="C64" s="133"/>
      <c r="D64" s="133"/>
      <c r="E64" s="133"/>
      <c r="F64" s="133"/>
      <c r="G64" s="133"/>
      <c r="H64" s="133"/>
      <c r="I64" s="133"/>
    </row>
  </sheetData>
  <phoneticPr fontId="80" type="noConversion"/>
  <pageMargins left="0.75" right="0.75" top="1" bottom="1" header="0.5" footer="0.5"/>
  <pageSetup orientation="portrait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91E5C-5DE3-DD40-A9DC-D66BBE309450}">
  <sheetPr codeName="Sheet5"/>
  <dimension ref="B1:O62"/>
  <sheetViews>
    <sheetView showGridLines="0" zoomScale="90" workbookViewId="0">
      <pane ySplit="18" topLeftCell="A19" activePane="bottomLeft" state="frozen"/>
      <selection pane="bottomLeft" activeCell="T44" sqref="T44"/>
    </sheetView>
  </sheetViews>
  <sheetFormatPr baseColWidth="10" defaultColWidth="8.83203125" defaultRowHeight="13" x14ac:dyDescent="0.15"/>
  <cols>
    <col min="1" max="1" width="3" customWidth="1"/>
    <col min="2" max="2" width="9.6640625" customWidth="1"/>
    <col min="3" max="4" width="8.83203125" customWidth="1"/>
    <col min="5" max="5" width="9.5" customWidth="1"/>
    <col min="6" max="6" width="13.33203125" customWidth="1"/>
    <col min="7" max="9" width="8.83203125" customWidth="1"/>
    <col min="10" max="10" width="10.33203125" customWidth="1"/>
    <col min="11" max="11" width="9.5" customWidth="1"/>
    <col min="12" max="12" width="12.5" customWidth="1"/>
    <col min="13" max="13" width="11.83203125" customWidth="1"/>
    <col min="14" max="14" width="8.83203125" customWidth="1"/>
    <col min="15" max="15" width="5.83203125" hidden="1" customWidth="1"/>
  </cols>
  <sheetData>
    <row r="1" spans="2:13" x14ac:dyDescent="0.15">
      <c r="B1" s="112"/>
    </row>
    <row r="2" spans="2:13" ht="16" x14ac:dyDescent="0.2">
      <c r="B2" s="113"/>
      <c r="H2" s="35" t="s">
        <v>1683</v>
      </c>
    </row>
    <row r="3" spans="2:13" ht="16" x14ac:dyDescent="0.2">
      <c r="H3" s="35"/>
    </row>
    <row r="4" spans="2:13" ht="16" x14ac:dyDescent="0.2">
      <c r="H4" s="35" t="s">
        <v>1766</v>
      </c>
    </row>
    <row r="5" spans="2:13" ht="16" x14ac:dyDescent="0.2">
      <c r="H5" s="35"/>
    </row>
    <row r="6" spans="2:13" ht="18" x14ac:dyDescent="0.2">
      <c r="E6" s="35"/>
      <c r="F6" s="380" t="s">
        <v>1686</v>
      </c>
      <c r="K6" s="35" t="s">
        <v>1684</v>
      </c>
      <c r="M6" s="35"/>
    </row>
    <row r="7" spans="2:13" x14ac:dyDescent="0.15">
      <c r="D7" s="189"/>
    </row>
    <row r="8" spans="2:13" x14ac:dyDescent="0.15">
      <c r="D8" s="189"/>
    </row>
    <row r="9" spans="2:13" ht="23" x14ac:dyDescent="0.25">
      <c r="B9" s="188" t="s">
        <v>1142</v>
      </c>
      <c r="K9" s="35" t="s">
        <v>1677</v>
      </c>
      <c r="M9" s="35"/>
    </row>
    <row r="10" spans="2:13" ht="23" x14ac:dyDescent="0.25">
      <c r="B10" s="188" t="s">
        <v>1145</v>
      </c>
    </row>
    <row r="11" spans="2:13" ht="16" x14ac:dyDescent="0.2">
      <c r="F11" s="35" t="s">
        <v>846</v>
      </c>
    </row>
    <row r="12" spans="2:13" ht="18" x14ac:dyDescent="0.2">
      <c r="F12" s="380" t="s">
        <v>1672</v>
      </c>
    </row>
    <row r="13" spans="2:13" ht="16" x14ac:dyDescent="0.2">
      <c r="I13" s="35" t="s">
        <v>1670</v>
      </c>
    </row>
    <row r="14" spans="2:13" ht="16" x14ac:dyDescent="0.2">
      <c r="J14" s="29" t="s">
        <v>1680</v>
      </c>
    </row>
    <row r="16" spans="2:13" ht="14" thickBot="1" x14ac:dyDescent="0.2"/>
    <row r="17" spans="2:15" ht="16" x14ac:dyDescent="0.2">
      <c r="B17" s="361" t="s">
        <v>1109</v>
      </c>
      <c r="C17" s="362" t="s">
        <v>846</v>
      </c>
      <c r="D17" s="362" t="s">
        <v>856</v>
      </c>
      <c r="E17" s="362" t="s">
        <v>858</v>
      </c>
      <c r="F17" s="362" t="s">
        <v>1141</v>
      </c>
      <c r="G17" s="363" t="s">
        <v>860</v>
      </c>
      <c r="H17" s="377" t="s">
        <v>1062</v>
      </c>
      <c r="I17" s="377" t="s">
        <v>1110</v>
      </c>
      <c r="J17" s="378" t="s">
        <v>847</v>
      </c>
      <c r="K17" s="377" t="s">
        <v>1047</v>
      </c>
      <c r="L17" s="365" t="s">
        <v>1514</v>
      </c>
      <c r="M17" s="365" t="s">
        <v>1743</v>
      </c>
      <c r="N17" s="365" t="s">
        <v>1435</v>
      </c>
    </row>
    <row r="18" spans="2:15" ht="17" thickBot="1" x14ac:dyDescent="0.25">
      <c r="B18" s="366" t="s">
        <v>845</v>
      </c>
      <c r="C18" s="367" t="s">
        <v>855</v>
      </c>
      <c r="D18" s="367" t="s">
        <v>857</v>
      </c>
      <c r="E18" s="367" t="s">
        <v>1046</v>
      </c>
      <c r="F18" s="367" t="s">
        <v>892</v>
      </c>
      <c r="G18" s="369"/>
      <c r="H18" s="369"/>
      <c r="I18" s="369" t="s">
        <v>1052</v>
      </c>
      <c r="J18" s="379" t="s">
        <v>848</v>
      </c>
      <c r="K18" s="369" t="s">
        <v>848</v>
      </c>
      <c r="L18" s="370" t="s">
        <v>1515</v>
      </c>
      <c r="M18" s="372" t="s">
        <v>1744</v>
      </c>
      <c r="N18" s="372" t="s">
        <v>1764</v>
      </c>
    </row>
    <row r="19" spans="2:15" x14ac:dyDescent="0.15">
      <c r="B19" s="127" t="s">
        <v>1111</v>
      </c>
      <c r="C19" s="130">
        <v>15</v>
      </c>
      <c r="D19" s="129">
        <v>0.6875</v>
      </c>
      <c r="E19" s="130">
        <v>3.75</v>
      </c>
      <c r="F19" s="129">
        <v>0.625</v>
      </c>
      <c r="G19" s="174">
        <v>1.4375</v>
      </c>
      <c r="H19" s="181">
        <v>0.625</v>
      </c>
      <c r="I19" s="130">
        <v>1</v>
      </c>
      <c r="J19" s="130">
        <v>2.25</v>
      </c>
      <c r="K19" s="129">
        <v>2.75</v>
      </c>
      <c r="L19" s="175">
        <f>(C19*2-F19*2+(E19*4)-(D19*2))*12/144</f>
        <v>3.53125</v>
      </c>
      <c r="M19" s="273">
        <f>L19*3.2808399*0.09290304</f>
        <v>1.0763250016360142</v>
      </c>
      <c r="N19" s="273">
        <f>O19*3.2808399*0.4535924</f>
        <v>74.408202212838006</v>
      </c>
      <c r="O19">
        <v>50</v>
      </c>
    </row>
    <row r="20" spans="2:15" x14ac:dyDescent="0.15">
      <c r="B20" s="18" t="s">
        <v>1112</v>
      </c>
      <c r="C20" s="20">
        <v>15</v>
      </c>
      <c r="D20" s="19">
        <v>0.5</v>
      </c>
      <c r="E20" s="20">
        <v>3.5</v>
      </c>
      <c r="F20" s="19">
        <v>0.625</v>
      </c>
      <c r="G20" s="19">
        <v>1.4375</v>
      </c>
      <c r="H20" s="19">
        <v>0.625</v>
      </c>
      <c r="I20" s="20">
        <v>1</v>
      </c>
      <c r="J20" s="20">
        <v>2</v>
      </c>
      <c r="K20" s="19">
        <v>2.75</v>
      </c>
      <c r="L20" s="119">
        <f>(C20*2-F20*2+(E20*4)-(D20*2))*12/144</f>
        <v>3.4791666666666665</v>
      </c>
      <c r="M20" s="274">
        <f t="shared" ref="M20:M56" si="0">L20*3.2808399*0.09290304</f>
        <v>1.0604500016118841</v>
      </c>
      <c r="N20" s="274">
        <f t="shared" ref="N20:N56" si="1">O20*3.2808399*0.4535924</f>
        <v>59.526561770270405</v>
      </c>
      <c r="O20">
        <v>40</v>
      </c>
    </row>
    <row r="21" spans="2:15" x14ac:dyDescent="0.15">
      <c r="B21" s="127" t="s">
        <v>1113</v>
      </c>
      <c r="C21" s="130">
        <v>15</v>
      </c>
      <c r="D21" s="129">
        <v>0.375</v>
      </c>
      <c r="E21" s="130">
        <v>3.375</v>
      </c>
      <c r="F21" s="129">
        <v>0.625</v>
      </c>
      <c r="G21" s="129">
        <v>1.4375</v>
      </c>
      <c r="H21" s="129">
        <v>0.625</v>
      </c>
      <c r="I21" s="130">
        <v>1</v>
      </c>
      <c r="J21" s="130">
        <v>2</v>
      </c>
      <c r="K21" s="129">
        <v>2.75</v>
      </c>
      <c r="L21" s="313">
        <f t="shared" ref="L21:L56" si="2">(C21*2-F21*2+(E21*4)-(D21*2))*12/144</f>
        <v>3.4583333333333335</v>
      </c>
      <c r="M21" s="333">
        <f t="shared" si="0"/>
        <v>1.0541000016022322</v>
      </c>
      <c r="N21" s="274">
        <f t="shared" si="1"/>
        <v>50.448761100304168</v>
      </c>
      <c r="O21">
        <v>33.9</v>
      </c>
    </row>
    <row r="22" spans="2:15" x14ac:dyDescent="0.15">
      <c r="B22" s="307"/>
      <c r="C22" s="315" t="s">
        <v>850</v>
      </c>
      <c r="D22" s="315" t="s">
        <v>850</v>
      </c>
      <c r="E22" s="315" t="s">
        <v>850</v>
      </c>
      <c r="F22" s="315" t="s">
        <v>850</v>
      </c>
      <c r="G22" s="315" t="s">
        <v>850</v>
      </c>
      <c r="H22" s="315" t="s">
        <v>850</v>
      </c>
      <c r="I22" s="315"/>
      <c r="J22" s="315" t="s">
        <v>850</v>
      </c>
      <c r="K22" s="315" t="s">
        <v>850</v>
      </c>
      <c r="L22" s="316"/>
      <c r="M22" s="317"/>
      <c r="N22" s="334"/>
    </row>
    <row r="23" spans="2:15" x14ac:dyDescent="0.15">
      <c r="B23" s="127" t="s">
        <v>1114</v>
      </c>
      <c r="C23" s="130">
        <v>12</v>
      </c>
      <c r="D23" s="129">
        <v>0.5</v>
      </c>
      <c r="E23" s="130">
        <v>3.125</v>
      </c>
      <c r="F23" s="129">
        <v>0.5</v>
      </c>
      <c r="G23" s="129">
        <v>1.125</v>
      </c>
      <c r="H23" s="129">
        <v>0.5</v>
      </c>
      <c r="I23" s="130">
        <v>0.875</v>
      </c>
      <c r="J23" s="130">
        <v>1.75</v>
      </c>
      <c r="K23" s="129">
        <v>2.5</v>
      </c>
      <c r="L23" s="119">
        <f t="shared" si="2"/>
        <v>2.875</v>
      </c>
      <c r="M23" s="274">
        <f t="shared" si="0"/>
        <v>0.87630000133197605</v>
      </c>
      <c r="N23" s="274">
        <f t="shared" si="1"/>
        <v>44.644921327702797</v>
      </c>
      <c r="O23">
        <v>30</v>
      </c>
    </row>
    <row r="24" spans="2:15" x14ac:dyDescent="0.15">
      <c r="B24" s="18" t="s">
        <v>1115</v>
      </c>
      <c r="C24" s="20">
        <v>12</v>
      </c>
      <c r="D24" s="19">
        <v>0.375</v>
      </c>
      <c r="E24" s="20">
        <v>3</v>
      </c>
      <c r="F24" s="19">
        <v>0.5</v>
      </c>
      <c r="G24" s="19">
        <v>1.125</v>
      </c>
      <c r="H24" s="19">
        <v>0.5</v>
      </c>
      <c r="I24" s="20">
        <v>0.875</v>
      </c>
      <c r="J24" s="20">
        <v>1.75</v>
      </c>
      <c r="K24" s="19">
        <v>2.5</v>
      </c>
      <c r="L24" s="119">
        <f t="shared" si="2"/>
        <v>2.8541666666666665</v>
      </c>
      <c r="M24" s="274">
        <f t="shared" si="0"/>
        <v>0.86995000132232414</v>
      </c>
      <c r="N24" s="274">
        <f t="shared" si="1"/>
        <v>37.204101106419003</v>
      </c>
      <c r="O24">
        <v>25</v>
      </c>
    </row>
    <row r="25" spans="2:15" x14ac:dyDescent="0.15">
      <c r="B25" s="127" t="s">
        <v>1116</v>
      </c>
      <c r="C25" s="130">
        <v>12</v>
      </c>
      <c r="D25" s="129">
        <v>0.3125</v>
      </c>
      <c r="E25" s="130">
        <v>3</v>
      </c>
      <c r="F25" s="129">
        <v>0.5</v>
      </c>
      <c r="G25" s="129">
        <v>1.125</v>
      </c>
      <c r="H25" s="129">
        <v>0.5</v>
      </c>
      <c r="I25" s="130">
        <v>0.875</v>
      </c>
      <c r="J25" s="130">
        <v>1.75</v>
      </c>
      <c r="K25" s="129">
        <v>2.5</v>
      </c>
      <c r="L25" s="313">
        <f t="shared" si="2"/>
        <v>2.8645833333333335</v>
      </c>
      <c r="M25" s="333">
        <f t="shared" si="0"/>
        <v>0.87312500132715021</v>
      </c>
      <c r="N25" s="274">
        <f t="shared" si="1"/>
        <v>30.804995716114934</v>
      </c>
      <c r="O25">
        <v>20.7</v>
      </c>
    </row>
    <row r="26" spans="2:15" x14ac:dyDescent="0.15">
      <c r="B26" s="307" t="s">
        <v>850</v>
      </c>
      <c r="C26" s="315" t="s">
        <v>850</v>
      </c>
      <c r="D26" s="315" t="s">
        <v>850</v>
      </c>
      <c r="E26" s="315" t="s">
        <v>850</v>
      </c>
      <c r="F26" s="315" t="s">
        <v>850</v>
      </c>
      <c r="G26" s="315" t="s">
        <v>850</v>
      </c>
      <c r="H26" s="315" t="s">
        <v>850</v>
      </c>
      <c r="I26" s="315"/>
      <c r="J26" s="315" t="s">
        <v>850</v>
      </c>
      <c r="K26" s="315" t="s">
        <v>850</v>
      </c>
      <c r="L26" s="316"/>
      <c r="M26" s="317"/>
      <c r="N26" s="334"/>
    </row>
    <row r="27" spans="2:15" x14ac:dyDescent="0.15">
      <c r="B27" s="18" t="s">
        <v>1139</v>
      </c>
      <c r="C27" s="131">
        <v>10</v>
      </c>
      <c r="D27" s="156">
        <v>0.6875</v>
      </c>
      <c r="E27" s="131">
        <v>3</v>
      </c>
      <c r="F27" s="131">
        <v>0.4375</v>
      </c>
      <c r="G27" s="131">
        <v>1</v>
      </c>
      <c r="H27" s="156">
        <v>0.4375</v>
      </c>
      <c r="I27" s="156">
        <v>0.75</v>
      </c>
      <c r="J27" s="131">
        <v>1.75</v>
      </c>
      <c r="K27" s="344">
        <v>2.5</v>
      </c>
      <c r="L27" s="119">
        <f t="shared" si="2"/>
        <v>2.4791666666666665</v>
      </c>
      <c r="M27" s="274">
        <f t="shared" si="0"/>
        <v>0.75565000114858805</v>
      </c>
      <c r="N27" s="274">
        <f t="shared" si="1"/>
        <v>44.644921327702797</v>
      </c>
      <c r="O27">
        <v>30</v>
      </c>
    </row>
    <row r="28" spans="2:15" x14ac:dyDescent="0.15">
      <c r="B28" s="127" t="s">
        <v>1117</v>
      </c>
      <c r="C28" s="130">
        <v>10</v>
      </c>
      <c r="D28" s="129">
        <v>0.5</v>
      </c>
      <c r="E28" s="130">
        <v>2.875</v>
      </c>
      <c r="F28" s="129">
        <v>0.4375</v>
      </c>
      <c r="G28" s="129">
        <v>1</v>
      </c>
      <c r="H28" s="129">
        <v>0.4375</v>
      </c>
      <c r="I28" s="130">
        <v>0.75</v>
      </c>
      <c r="J28" s="130">
        <v>1.75</v>
      </c>
      <c r="K28" s="129">
        <v>2.5</v>
      </c>
      <c r="L28" s="119">
        <f t="shared" si="2"/>
        <v>2.46875</v>
      </c>
      <c r="M28" s="274">
        <f t="shared" si="0"/>
        <v>0.75247500114376209</v>
      </c>
      <c r="N28" s="274">
        <f t="shared" si="1"/>
        <v>37.204101106419003</v>
      </c>
      <c r="O28">
        <v>25</v>
      </c>
    </row>
    <row r="29" spans="2:15" x14ac:dyDescent="0.15">
      <c r="B29" s="18" t="s">
        <v>1118</v>
      </c>
      <c r="C29" s="20">
        <v>10</v>
      </c>
      <c r="D29" s="19">
        <v>0.375</v>
      </c>
      <c r="E29" s="20">
        <v>2.75</v>
      </c>
      <c r="F29" s="19">
        <v>0.4375</v>
      </c>
      <c r="G29" s="19">
        <v>1</v>
      </c>
      <c r="H29" s="19">
        <v>0.4375</v>
      </c>
      <c r="I29" s="20">
        <v>0.75</v>
      </c>
      <c r="J29" s="20">
        <v>1.5</v>
      </c>
      <c r="K29" s="19">
        <v>2.5</v>
      </c>
      <c r="L29" s="119">
        <f t="shared" si="2"/>
        <v>2.4479166666666665</v>
      </c>
      <c r="M29" s="274">
        <f t="shared" si="0"/>
        <v>0.74612500113411007</v>
      </c>
      <c r="N29" s="274">
        <f t="shared" si="1"/>
        <v>29.763280885135202</v>
      </c>
      <c r="O29">
        <v>20</v>
      </c>
    </row>
    <row r="30" spans="2:15" x14ac:dyDescent="0.15">
      <c r="B30" s="127" t="s">
        <v>1119</v>
      </c>
      <c r="C30" s="130">
        <v>10</v>
      </c>
      <c r="D30" s="129">
        <v>0.25</v>
      </c>
      <c r="E30" s="130">
        <v>2.625</v>
      </c>
      <c r="F30" s="129">
        <v>0.4375</v>
      </c>
      <c r="G30" s="129">
        <v>1</v>
      </c>
      <c r="H30" s="129">
        <v>0.4375</v>
      </c>
      <c r="I30" s="130">
        <v>0.75</v>
      </c>
      <c r="J30" s="130">
        <v>1.5</v>
      </c>
      <c r="K30" s="129">
        <v>2.5</v>
      </c>
      <c r="L30" s="313">
        <f t="shared" si="2"/>
        <v>2.4270833333333335</v>
      </c>
      <c r="M30" s="333">
        <f t="shared" si="0"/>
        <v>0.73977500112445815</v>
      </c>
      <c r="N30" s="274">
        <f t="shared" si="1"/>
        <v>22.768909877128429</v>
      </c>
      <c r="O30">
        <v>15.3</v>
      </c>
    </row>
    <row r="31" spans="2:15" x14ac:dyDescent="0.15">
      <c r="B31" s="307" t="s">
        <v>850</v>
      </c>
      <c r="C31" s="315" t="s">
        <v>850</v>
      </c>
      <c r="D31" s="315" t="s">
        <v>850</v>
      </c>
      <c r="E31" s="315" t="s">
        <v>850</v>
      </c>
      <c r="F31" s="315" t="s">
        <v>850</v>
      </c>
      <c r="G31" s="315" t="s">
        <v>850</v>
      </c>
      <c r="H31" s="315" t="s">
        <v>850</v>
      </c>
      <c r="I31" s="315"/>
      <c r="J31" s="315" t="s">
        <v>850</v>
      </c>
      <c r="K31" s="315" t="s">
        <v>850</v>
      </c>
      <c r="L31" s="316"/>
      <c r="M31" s="317"/>
      <c r="N31" s="334"/>
    </row>
    <row r="32" spans="2:15" x14ac:dyDescent="0.15">
      <c r="B32" s="127" t="s">
        <v>1120</v>
      </c>
      <c r="C32" s="130">
        <v>9</v>
      </c>
      <c r="D32" s="129">
        <v>0.4375</v>
      </c>
      <c r="E32" s="130">
        <v>2.625</v>
      </c>
      <c r="F32" s="129">
        <v>0.4375</v>
      </c>
      <c r="G32" s="131">
        <v>0.9375</v>
      </c>
      <c r="H32" s="131">
        <v>0.4375</v>
      </c>
      <c r="I32" s="345">
        <v>0.75</v>
      </c>
      <c r="J32" s="130" t="s">
        <v>850</v>
      </c>
      <c r="K32" s="129" t="s">
        <v>850</v>
      </c>
      <c r="L32" s="119">
        <f t="shared" si="2"/>
        <v>2.2291666666666665</v>
      </c>
      <c r="M32" s="274">
        <f t="shared" si="0"/>
        <v>0.67945000103276409</v>
      </c>
      <c r="N32" s="274">
        <f t="shared" si="1"/>
        <v>29.763280885135202</v>
      </c>
      <c r="O32">
        <v>20</v>
      </c>
    </row>
    <row r="33" spans="2:15" x14ac:dyDescent="0.15">
      <c r="B33" s="18" t="s">
        <v>1121</v>
      </c>
      <c r="C33" s="20">
        <v>9</v>
      </c>
      <c r="D33" s="19">
        <v>0.3125</v>
      </c>
      <c r="E33" s="20">
        <v>2.5</v>
      </c>
      <c r="F33" s="19">
        <v>0.4375</v>
      </c>
      <c r="G33" s="19">
        <v>0.9375</v>
      </c>
      <c r="H33" s="19">
        <v>0.4375</v>
      </c>
      <c r="I33" s="20">
        <v>0.75</v>
      </c>
      <c r="J33" s="20">
        <v>1.375</v>
      </c>
      <c r="K33" s="19">
        <v>2.5</v>
      </c>
      <c r="L33" s="119">
        <f t="shared" si="2"/>
        <v>2.2083333333333335</v>
      </c>
      <c r="M33" s="274">
        <f t="shared" si="0"/>
        <v>0.67310000102311218</v>
      </c>
      <c r="N33" s="274">
        <f t="shared" si="1"/>
        <v>22.322460663851398</v>
      </c>
      <c r="O33">
        <v>15</v>
      </c>
    </row>
    <row r="34" spans="2:15" x14ac:dyDescent="0.15">
      <c r="B34" s="127" t="s">
        <v>1122</v>
      </c>
      <c r="C34" s="130">
        <v>9</v>
      </c>
      <c r="D34" s="129">
        <v>0.25</v>
      </c>
      <c r="E34" s="130">
        <v>2.375</v>
      </c>
      <c r="F34" s="129">
        <v>0.4375</v>
      </c>
      <c r="G34" s="129">
        <v>0.9375</v>
      </c>
      <c r="H34" s="129">
        <v>0.4375</v>
      </c>
      <c r="I34" s="130">
        <v>0.75</v>
      </c>
      <c r="J34" s="130">
        <v>1.375</v>
      </c>
      <c r="K34" s="129">
        <v>2.5</v>
      </c>
      <c r="L34" s="313">
        <f t="shared" si="2"/>
        <v>2.1770833333333335</v>
      </c>
      <c r="M34" s="333">
        <f t="shared" si="0"/>
        <v>0.66357500100863409</v>
      </c>
      <c r="N34" s="274">
        <f t="shared" si="1"/>
        <v>19.941398193040587</v>
      </c>
      <c r="O34">
        <v>13.4</v>
      </c>
    </row>
    <row r="35" spans="2:15" x14ac:dyDescent="0.15">
      <c r="B35" s="307" t="s">
        <v>850</v>
      </c>
      <c r="C35" s="315" t="s">
        <v>850</v>
      </c>
      <c r="D35" s="315" t="s">
        <v>850</v>
      </c>
      <c r="E35" s="315" t="s">
        <v>850</v>
      </c>
      <c r="F35" s="315" t="s">
        <v>850</v>
      </c>
      <c r="G35" s="315" t="s">
        <v>850</v>
      </c>
      <c r="H35" s="315" t="s">
        <v>850</v>
      </c>
      <c r="I35" s="315"/>
      <c r="J35" s="315" t="s">
        <v>850</v>
      </c>
      <c r="K35" s="315" t="s">
        <v>850</v>
      </c>
      <c r="L35" s="316"/>
      <c r="M35" s="317"/>
      <c r="N35" s="334"/>
    </row>
    <row r="36" spans="2:15" x14ac:dyDescent="0.15">
      <c r="B36" s="127" t="s">
        <v>1123</v>
      </c>
      <c r="C36" s="130">
        <v>8</v>
      </c>
      <c r="D36" s="129">
        <v>0.5</v>
      </c>
      <c r="E36" s="130">
        <v>2.5</v>
      </c>
      <c r="F36" s="129">
        <v>0.375</v>
      </c>
      <c r="G36" s="129">
        <v>0.9375</v>
      </c>
      <c r="H36" s="129">
        <v>0.375</v>
      </c>
      <c r="I36" s="130">
        <v>0.75</v>
      </c>
      <c r="J36" s="130">
        <v>1.5</v>
      </c>
      <c r="K36" s="129">
        <v>2.5</v>
      </c>
      <c r="L36" s="119">
        <f t="shared" si="2"/>
        <v>2.0208333333333335</v>
      </c>
      <c r="M36" s="274">
        <f t="shared" si="0"/>
        <v>0.61595000093624408</v>
      </c>
      <c r="N36" s="274">
        <f t="shared" si="1"/>
        <v>27.903075829814252</v>
      </c>
      <c r="O36">
        <v>18.75</v>
      </c>
    </row>
    <row r="37" spans="2:15" x14ac:dyDescent="0.15">
      <c r="B37" s="18" t="s">
        <v>1124</v>
      </c>
      <c r="C37" s="20">
        <v>8</v>
      </c>
      <c r="D37" s="19">
        <v>0.3125</v>
      </c>
      <c r="E37" s="20">
        <v>2.375</v>
      </c>
      <c r="F37" s="19">
        <v>0.375</v>
      </c>
      <c r="G37" s="19">
        <v>0.9375</v>
      </c>
      <c r="H37" s="19">
        <v>0.375</v>
      </c>
      <c r="I37" s="20">
        <v>0.75</v>
      </c>
      <c r="J37" s="20">
        <v>1.375</v>
      </c>
      <c r="K37" s="19">
        <v>2.5</v>
      </c>
      <c r="L37" s="119">
        <f t="shared" si="2"/>
        <v>2.0104166666666665</v>
      </c>
      <c r="M37" s="274">
        <f t="shared" si="0"/>
        <v>0.61277500093141801</v>
      </c>
      <c r="N37" s="274">
        <f t="shared" si="1"/>
        <v>20.462255608530452</v>
      </c>
      <c r="O37">
        <v>13.75</v>
      </c>
    </row>
    <row r="38" spans="2:15" x14ac:dyDescent="0.15">
      <c r="B38" s="127" t="s">
        <v>1125</v>
      </c>
      <c r="C38" s="130">
        <v>8</v>
      </c>
      <c r="D38" s="129">
        <v>0.25</v>
      </c>
      <c r="E38" s="130">
        <v>2.25</v>
      </c>
      <c r="F38" s="129">
        <v>0.375</v>
      </c>
      <c r="G38" s="129">
        <v>0.9375</v>
      </c>
      <c r="H38" s="129">
        <v>0.375</v>
      </c>
      <c r="I38" s="130">
        <v>0.75</v>
      </c>
      <c r="J38" s="130">
        <v>1.375</v>
      </c>
      <c r="K38" s="129">
        <v>2.5</v>
      </c>
      <c r="L38" s="313">
        <f t="shared" si="2"/>
        <v>1.9791666666666667</v>
      </c>
      <c r="M38" s="333">
        <f t="shared" si="0"/>
        <v>0.60325000091694003</v>
      </c>
      <c r="N38" s="274">
        <f t="shared" si="1"/>
        <v>17.113886508952739</v>
      </c>
      <c r="O38">
        <v>11.5</v>
      </c>
    </row>
    <row r="39" spans="2:15" x14ac:dyDescent="0.15">
      <c r="B39" s="18"/>
      <c r="C39" s="182" t="s">
        <v>850</v>
      </c>
      <c r="D39" s="182" t="s">
        <v>850</v>
      </c>
      <c r="E39" s="182" t="s">
        <v>850</v>
      </c>
      <c r="F39" s="182" t="s">
        <v>850</v>
      </c>
      <c r="G39" s="182" t="s">
        <v>850</v>
      </c>
      <c r="H39" s="182" t="s">
        <v>850</v>
      </c>
      <c r="I39" s="182"/>
      <c r="J39" s="182" t="s">
        <v>850</v>
      </c>
      <c r="K39" s="182" t="s">
        <v>850</v>
      </c>
      <c r="L39" s="331"/>
      <c r="M39" s="332"/>
      <c r="N39" s="327"/>
    </row>
    <row r="40" spans="2:15" x14ac:dyDescent="0.15">
      <c r="B40" s="127" t="s">
        <v>1126</v>
      </c>
      <c r="C40" s="130">
        <v>7</v>
      </c>
      <c r="D40" s="129">
        <v>0.4375</v>
      </c>
      <c r="E40" s="130">
        <v>2.25</v>
      </c>
      <c r="F40" s="129">
        <v>0.375</v>
      </c>
      <c r="G40" s="129">
        <v>0.875</v>
      </c>
      <c r="H40" s="129">
        <v>0.375</v>
      </c>
      <c r="I40" s="130">
        <v>0.625</v>
      </c>
      <c r="J40" s="130">
        <v>1.25</v>
      </c>
      <c r="K40" s="129">
        <v>2.5</v>
      </c>
      <c r="L40" s="119">
        <f t="shared" si="2"/>
        <v>1.78125</v>
      </c>
      <c r="M40" s="274">
        <f t="shared" si="0"/>
        <v>0.54292500082524597</v>
      </c>
      <c r="N40" s="274">
        <f t="shared" si="1"/>
        <v>21.950419652787211</v>
      </c>
      <c r="O40">
        <v>14.75</v>
      </c>
    </row>
    <row r="41" spans="2:15" x14ac:dyDescent="0.15">
      <c r="B41" s="18" t="s">
        <v>1127</v>
      </c>
      <c r="C41" s="20">
        <v>7</v>
      </c>
      <c r="D41" s="19">
        <v>0.3125</v>
      </c>
      <c r="E41" s="20">
        <v>2.25</v>
      </c>
      <c r="F41" s="19">
        <v>0.375</v>
      </c>
      <c r="G41" s="19">
        <v>0.875</v>
      </c>
      <c r="H41" s="19">
        <v>0.375</v>
      </c>
      <c r="I41" s="20">
        <v>0.625</v>
      </c>
      <c r="J41" s="20">
        <v>1.25</v>
      </c>
      <c r="K41" s="19">
        <v>2.5</v>
      </c>
      <c r="L41" s="119">
        <f t="shared" si="2"/>
        <v>1.8020833333333333</v>
      </c>
      <c r="M41" s="274">
        <f t="shared" si="0"/>
        <v>0.549275000834898</v>
      </c>
      <c r="N41" s="274">
        <f t="shared" si="1"/>
        <v>18.230009542145311</v>
      </c>
      <c r="O41">
        <v>12.25</v>
      </c>
    </row>
    <row r="42" spans="2:15" x14ac:dyDescent="0.15">
      <c r="B42" s="127" t="s">
        <v>1128</v>
      </c>
      <c r="C42" s="130">
        <v>7</v>
      </c>
      <c r="D42" s="129">
        <v>0.1875</v>
      </c>
      <c r="E42" s="130">
        <v>2.125</v>
      </c>
      <c r="F42" s="129">
        <v>0.375</v>
      </c>
      <c r="G42" s="129">
        <v>0.875</v>
      </c>
      <c r="H42" s="129">
        <v>0.375</v>
      </c>
      <c r="I42" s="130">
        <v>0.625</v>
      </c>
      <c r="J42" s="130">
        <v>1.25</v>
      </c>
      <c r="K42" s="129">
        <v>2.25</v>
      </c>
      <c r="L42" s="313">
        <f t="shared" si="2"/>
        <v>1.78125</v>
      </c>
      <c r="M42" s="333">
        <f t="shared" si="0"/>
        <v>0.54292500082524597</v>
      </c>
      <c r="N42" s="274">
        <f t="shared" si="1"/>
        <v>14.584007633716249</v>
      </c>
      <c r="O42">
        <v>9.8000000000000007</v>
      </c>
    </row>
    <row r="43" spans="2:15" x14ac:dyDescent="0.15">
      <c r="B43" s="307" t="s">
        <v>850</v>
      </c>
      <c r="C43" s="315" t="s">
        <v>850</v>
      </c>
      <c r="D43" s="315" t="s">
        <v>850</v>
      </c>
      <c r="E43" s="315" t="s">
        <v>850</v>
      </c>
      <c r="F43" s="315" t="s">
        <v>850</v>
      </c>
      <c r="G43" s="315" t="s">
        <v>850</v>
      </c>
      <c r="H43" s="315" t="s">
        <v>850</v>
      </c>
      <c r="I43" s="315"/>
      <c r="J43" s="315" t="s">
        <v>850</v>
      </c>
      <c r="K43" s="315" t="s">
        <v>850</v>
      </c>
      <c r="L43" s="316"/>
      <c r="M43" s="317"/>
      <c r="N43" s="334"/>
    </row>
    <row r="44" spans="2:15" x14ac:dyDescent="0.15">
      <c r="B44" s="127" t="s">
        <v>1129</v>
      </c>
      <c r="C44" s="130">
        <v>6</v>
      </c>
      <c r="D44" s="129">
        <v>0.4375</v>
      </c>
      <c r="E44" s="130">
        <v>2.125</v>
      </c>
      <c r="F44" s="129">
        <v>0.3125</v>
      </c>
      <c r="G44" s="129">
        <v>0.8125</v>
      </c>
      <c r="H44" s="129">
        <v>0.3125</v>
      </c>
      <c r="I44" s="128">
        <v>0.625</v>
      </c>
      <c r="J44" s="130">
        <v>1.375</v>
      </c>
      <c r="K44" s="129">
        <v>2.25</v>
      </c>
      <c r="L44" s="119">
        <f t="shared" si="2"/>
        <v>1.5833333333333333</v>
      </c>
      <c r="M44" s="274">
        <f t="shared" si="0"/>
        <v>0.48260000073355197</v>
      </c>
      <c r="N44" s="274">
        <f t="shared" si="1"/>
        <v>19.346132575337883</v>
      </c>
      <c r="O44">
        <v>13</v>
      </c>
    </row>
    <row r="45" spans="2:15" x14ac:dyDescent="0.15">
      <c r="B45" s="18" t="s">
        <v>1130</v>
      </c>
      <c r="C45" s="20">
        <v>6</v>
      </c>
      <c r="D45" s="19">
        <v>0.3125</v>
      </c>
      <c r="E45" s="20">
        <v>2</v>
      </c>
      <c r="F45" s="19">
        <v>0.3125</v>
      </c>
      <c r="G45" s="19">
        <v>0.8125</v>
      </c>
      <c r="H45" s="19">
        <v>0.375</v>
      </c>
      <c r="I45" s="20">
        <v>0.625</v>
      </c>
      <c r="J45" s="20">
        <v>1.125</v>
      </c>
      <c r="K45" s="19">
        <v>2.25</v>
      </c>
      <c r="L45" s="119">
        <f t="shared" si="2"/>
        <v>1.5625</v>
      </c>
      <c r="M45" s="274">
        <f t="shared" si="0"/>
        <v>0.47625000072390006</v>
      </c>
      <c r="N45" s="274">
        <f t="shared" si="1"/>
        <v>15.625722464695981</v>
      </c>
      <c r="O45">
        <v>10.5</v>
      </c>
    </row>
    <row r="46" spans="2:15" x14ac:dyDescent="0.15">
      <c r="B46" s="127" t="s">
        <v>1131</v>
      </c>
      <c r="C46" s="130">
        <v>6</v>
      </c>
      <c r="D46" s="129">
        <v>0.1875</v>
      </c>
      <c r="E46" s="130">
        <v>1.875</v>
      </c>
      <c r="F46" s="129">
        <v>0.3125</v>
      </c>
      <c r="G46" s="129">
        <v>0.8125</v>
      </c>
      <c r="H46" s="129">
        <v>0.3125</v>
      </c>
      <c r="I46" s="130">
        <v>0.625</v>
      </c>
      <c r="J46" s="130">
        <v>1.125</v>
      </c>
      <c r="K46" s="129">
        <v>2.25</v>
      </c>
      <c r="L46" s="313">
        <f t="shared" si="2"/>
        <v>1.5416666666666667</v>
      </c>
      <c r="M46" s="333">
        <f t="shared" si="0"/>
        <v>0.46990000071424809</v>
      </c>
      <c r="N46" s="274">
        <f t="shared" si="1"/>
        <v>12.202945162905433</v>
      </c>
      <c r="O46">
        <v>8.1999999999999993</v>
      </c>
    </row>
    <row r="47" spans="2:15" x14ac:dyDescent="0.15">
      <c r="B47" s="307" t="s">
        <v>850</v>
      </c>
      <c r="C47" s="315" t="s">
        <v>850</v>
      </c>
      <c r="D47" s="315" t="s">
        <v>850</v>
      </c>
      <c r="E47" s="315" t="s">
        <v>850</v>
      </c>
      <c r="F47" s="315" t="s">
        <v>850</v>
      </c>
      <c r="G47" s="315" t="s">
        <v>850</v>
      </c>
      <c r="H47" s="315" t="s">
        <v>850</v>
      </c>
      <c r="I47" s="315"/>
      <c r="J47" s="315" t="s">
        <v>850</v>
      </c>
      <c r="K47" s="315" t="s">
        <v>850</v>
      </c>
      <c r="L47" s="316"/>
      <c r="M47" s="317"/>
      <c r="N47" s="334"/>
    </row>
    <row r="48" spans="2:15" x14ac:dyDescent="0.15">
      <c r="B48" s="127" t="s">
        <v>1132</v>
      </c>
      <c r="C48" s="130">
        <v>5</v>
      </c>
      <c r="D48" s="129">
        <v>0.3125</v>
      </c>
      <c r="E48" s="130">
        <v>1.875</v>
      </c>
      <c r="F48" s="129">
        <v>0.3125</v>
      </c>
      <c r="G48" s="129">
        <v>0.75</v>
      </c>
      <c r="H48" s="129">
        <v>0.3125</v>
      </c>
      <c r="I48" s="130">
        <v>0.625</v>
      </c>
      <c r="J48" s="130">
        <v>1.125</v>
      </c>
      <c r="K48" s="129">
        <v>2.25</v>
      </c>
      <c r="L48" s="119">
        <f t="shared" si="2"/>
        <v>1.3541666666666667</v>
      </c>
      <c r="M48" s="274">
        <f t="shared" si="0"/>
        <v>0.4127500006273801</v>
      </c>
      <c r="N48" s="274">
        <f t="shared" si="1"/>
        <v>13.39347639831084</v>
      </c>
      <c r="O48">
        <v>9</v>
      </c>
    </row>
    <row r="49" spans="2:15" x14ac:dyDescent="0.15">
      <c r="B49" s="18" t="s">
        <v>1133</v>
      </c>
      <c r="C49" s="22">
        <v>5</v>
      </c>
      <c r="D49" s="21">
        <v>0.1875</v>
      </c>
      <c r="E49" s="22">
        <v>1.75</v>
      </c>
      <c r="F49" s="21">
        <v>0.3125</v>
      </c>
      <c r="G49" s="21">
        <v>0.75</v>
      </c>
      <c r="H49" s="346" t="s">
        <v>1054</v>
      </c>
      <c r="I49" s="347" t="s">
        <v>1054</v>
      </c>
      <c r="J49" s="347" t="s">
        <v>1054</v>
      </c>
      <c r="K49" s="21">
        <v>2.25</v>
      </c>
      <c r="L49" s="313">
        <f t="shared" si="2"/>
        <v>1.3333333333333333</v>
      </c>
      <c r="M49" s="333">
        <f t="shared" si="0"/>
        <v>0.40640000061772796</v>
      </c>
      <c r="N49" s="274">
        <f t="shared" si="1"/>
        <v>9.9706990965202937</v>
      </c>
      <c r="O49">
        <v>6.7</v>
      </c>
    </row>
    <row r="50" spans="2:15" x14ac:dyDescent="0.15">
      <c r="B50" s="311" t="s">
        <v>850</v>
      </c>
      <c r="C50" s="315" t="s">
        <v>850</v>
      </c>
      <c r="D50" s="315" t="s">
        <v>850</v>
      </c>
      <c r="E50" s="315" t="s">
        <v>850</v>
      </c>
      <c r="F50" s="315" t="s">
        <v>850</v>
      </c>
      <c r="G50" s="315" t="s">
        <v>850</v>
      </c>
      <c r="H50" s="315" t="s">
        <v>850</v>
      </c>
      <c r="I50" s="315"/>
      <c r="J50" s="315" t="s">
        <v>850</v>
      </c>
      <c r="K50" s="315" t="s">
        <v>850</v>
      </c>
      <c r="L50" s="316"/>
      <c r="M50" s="317"/>
      <c r="N50" s="334"/>
    </row>
    <row r="51" spans="2:15" x14ac:dyDescent="0.15">
      <c r="B51" s="18" t="s">
        <v>1134</v>
      </c>
      <c r="C51" s="156">
        <v>4</v>
      </c>
      <c r="D51" s="131">
        <v>0.3125</v>
      </c>
      <c r="E51" s="156">
        <v>1.75</v>
      </c>
      <c r="F51" s="131">
        <v>0.3125</v>
      </c>
      <c r="G51" s="131">
        <v>0.6875</v>
      </c>
      <c r="H51" s="131">
        <v>0.3125</v>
      </c>
      <c r="I51" s="156">
        <v>0.625</v>
      </c>
      <c r="J51" s="156">
        <v>1</v>
      </c>
      <c r="K51" s="131">
        <v>2</v>
      </c>
      <c r="L51" s="119">
        <f t="shared" si="2"/>
        <v>1.1458333333333333</v>
      </c>
      <c r="M51" s="274">
        <f t="shared" si="0"/>
        <v>0.34925000053086003</v>
      </c>
      <c r="N51" s="274">
        <f t="shared" si="1"/>
        <v>10.78918932086151</v>
      </c>
      <c r="O51">
        <v>7.25</v>
      </c>
    </row>
    <row r="52" spans="2:15" x14ac:dyDescent="0.15">
      <c r="B52" s="127" t="s">
        <v>1135</v>
      </c>
      <c r="C52" s="130">
        <v>4</v>
      </c>
      <c r="D52" s="129">
        <v>0.1875</v>
      </c>
      <c r="E52" s="130">
        <v>1.625</v>
      </c>
      <c r="F52" s="129">
        <v>0.3125</v>
      </c>
      <c r="G52" s="129">
        <v>0.6875</v>
      </c>
      <c r="H52" s="170" t="s">
        <v>1054</v>
      </c>
      <c r="I52" s="183" t="s">
        <v>1054</v>
      </c>
      <c r="J52" s="183" t="s">
        <v>1054</v>
      </c>
      <c r="K52" s="129">
        <v>2</v>
      </c>
      <c r="L52" s="313">
        <f t="shared" si="2"/>
        <v>1.125</v>
      </c>
      <c r="M52" s="333">
        <f t="shared" si="0"/>
        <v>0.34290000052120806</v>
      </c>
      <c r="N52" s="274">
        <f t="shared" si="1"/>
        <v>8.0360858389865051</v>
      </c>
      <c r="O52">
        <v>5.4</v>
      </c>
    </row>
    <row r="53" spans="2:15" x14ac:dyDescent="0.15">
      <c r="B53" s="307" t="s">
        <v>850</v>
      </c>
      <c r="C53" s="315" t="s">
        <v>850</v>
      </c>
      <c r="D53" s="315" t="s">
        <v>850</v>
      </c>
      <c r="E53" s="315" t="s">
        <v>850</v>
      </c>
      <c r="F53" s="315" t="s">
        <v>850</v>
      </c>
      <c r="G53" s="315" t="s">
        <v>850</v>
      </c>
      <c r="H53" s="315" t="s">
        <v>850</v>
      </c>
      <c r="I53" s="315"/>
      <c r="J53" s="315" t="s">
        <v>850</v>
      </c>
      <c r="K53" s="315" t="s">
        <v>850</v>
      </c>
      <c r="L53" s="316"/>
      <c r="M53" s="317"/>
      <c r="N53" s="334"/>
    </row>
    <row r="54" spans="2:15" x14ac:dyDescent="0.15">
      <c r="B54" s="127" t="s">
        <v>1136</v>
      </c>
      <c r="C54" s="130">
        <v>3</v>
      </c>
      <c r="D54" s="129">
        <v>0.375</v>
      </c>
      <c r="E54" s="130">
        <v>1.625</v>
      </c>
      <c r="F54" s="129">
        <v>0.25</v>
      </c>
      <c r="G54" s="129">
        <v>0.6875</v>
      </c>
      <c r="H54" s="170" t="s">
        <v>1054</v>
      </c>
      <c r="I54" s="183" t="s">
        <v>1054</v>
      </c>
      <c r="J54" s="183" t="s">
        <v>1054</v>
      </c>
      <c r="K54" s="170" t="s">
        <v>1054</v>
      </c>
      <c r="L54" s="119">
        <f t="shared" si="2"/>
        <v>0.9375</v>
      </c>
      <c r="M54" s="274">
        <f t="shared" si="0"/>
        <v>0.28575000043434001</v>
      </c>
      <c r="N54" s="274">
        <f t="shared" si="1"/>
        <v>8.92898426554056</v>
      </c>
      <c r="O54">
        <v>6</v>
      </c>
    </row>
    <row r="55" spans="2:15" x14ac:dyDescent="0.15">
      <c r="B55" s="18" t="s">
        <v>1137</v>
      </c>
      <c r="C55" s="20">
        <v>3</v>
      </c>
      <c r="D55" s="19">
        <v>0.25</v>
      </c>
      <c r="E55" s="20">
        <v>1.5</v>
      </c>
      <c r="F55" s="19">
        <v>0.25</v>
      </c>
      <c r="G55" s="19">
        <v>0.6875</v>
      </c>
      <c r="H55" s="23" t="s">
        <v>1054</v>
      </c>
      <c r="I55" s="24" t="s">
        <v>1054</v>
      </c>
      <c r="J55" s="24" t="s">
        <v>1054</v>
      </c>
      <c r="K55" s="23" t="s">
        <v>1054</v>
      </c>
      <c r="L55" s="119">
        <f t="shared" si="2"/>
        <v>0.91666666666666663</v>
      </c>
      <c r="M55" s="274">
        <f t="shared" si="0"/>
        <v>0.27940000042468799</v>
      </c>
      <c r="N55" s="274">
        <f t="shared" si="1"/>
        <v>7.4408202212838006</v>
      </c>
      <c r="O55">
        <v>5</v>
      </c>
    </row>
    <row r="56" spans="2:15" x14ac:dyDescent="0.15">
      <c r="B56" s="127" t="s">
        <v>1138</v>
      </c>
      <c r="C56" s="130">
        <v>3</v>
      </c>
      <c r="D56" s="129">
        <v>0.1875</v>
      </c>
      <c r="E56" s="130">
        <v>1.375</v>
      </c>
      <c r="F56" s="129">
        <v>0.25</v>
      </c>
      <c r="G56" s="129">
        <v>0.6875</v>
      </c>
      <c r="H56" s="171" t="s">
        <v>1054</v>
      </c>
      <c r="I56" s="184" t="s">
        <v>1054</v>
      </c>
      <c r="J56" s="183" t="s">
        <v>1054</v>
      </c>
      <c r="K56" s="170" t="s">
        <v>1054</v>
      </c>
      <c r="L56" s="313">
        <f t="shared" si="2"/>
        <v>0.88541666666666663</v>
      </c>
      <c r="M56" s="333">
        <f t="shared" si="0"/>
        <v>0.26987500041021001</v>
      </c>
      <c r="N56" s="274">
        <f t="shared" si="1"/>
        <v>6.1014725814527164</v>
      </c>
      <c r="O56">
        <v>4.0999999999999996</v>
      </c>
    </row>
    <row r="57" spans="2:15" x14ac:dyDescent="0.15">
      <c r="B57" s="307" t="s">
        <v>850</v>
      </c>
      <c r="C57" s="315" t="s">
        <v>850</v>
      </c>
      <c r="D57" s="315" t="s">
        <v>1140</v>
      </c>
      <c r="E57" s="315" t="s">
        <v>850</v>
      </c>
      <c r="F57" s="315" t="s">
        <v>850</v>
      </c>
      <c r="G57" s="315" t="s">
        <v>850</v>
      </c>
      <c r="H57" s="315" t="s">
        <v>850</v>
      </c>
      <c r="I57" s="315"/>
      <c r="J57" s="315" t="s">
        <v>850</v>
      </c>
      <c r="K57" s="315" t="s">
        <v>850</v>
      </c>
      <c r="L57" s="316"/>
      <c r="M57" s="317"/>
      <c r="N57" s="334"/>
    </row>
    <row r="58" spans="2:15" x14ac:dyDescent="0.15">
      <c r="B58" s="133"/>
      <c r="C58" s="133"/>
      <c r="D58" s="133"/>
      <c r="E58" s="133"/>
      <c r="F58" s="133"/>
      <c r="G58" s="133"/>
      <c r="H58" s="133"/>
      <c r="I58" s="133"/>
      <c r="J58" s="133"/>
      <c r="K58" s="133"/>
      <c r="L58" s="133"/>
    </row>
    <row r="59" spans="2:15" x14ac:dyDescent="0.15">
      <c r="B59" s="133"/>
      <c r="C59" s="133"/>
      <c r="D59" s="133"/>
      <c r="E59" s="133"/>
      <c r="F59" s="133"/>
      <c r="G59" s="133"/>
      <c r="H59" s="133"/>
      <c r="I59" s="133"/>
      <c r="J59" s="133"/>
      <c r="K59" s="133"/>
      <c r="L59" s="133"/>
    </row>
    <row r="60" spans="2:15" x14ac:dyDescent="0.15">
      <c r="B60" s="133"/>
      <c r="C60" s="133"/>
      <c r="D60" s="133"/>
      <c r="E60" s="133"/>
      <c r="F60" s="133"/>
      <c r="G60" s="133"/>
      <c r="H60" s="133"/>
      <c r="I60" s="133"/>
      <c r="J60" s="133"/>
      <c r="K60" s="133"/>
      <c r="L60" s="133"/>
    </row>
    <row r="61" spans="2:15" x14ac:dyDescent="0.15">
      <c r="B61" s="133"/>
      <c r="C61" s="133"/>
      <c r="D61" s="133"/>
      <c r="E61" s="133"/>
      <c r="F61" s="133"/>
      <c r="G61" s="133"/>
      <c r="H61" s="133"/>
      <c r="I61" s="133"/>
      <c r="J61" s="133"/>
      <c r="K61" s="133"/>
      <c r="L61" s="133"/>
    </row>
    <row r="62" spans="2:15" x14ac:dyDescent="0.15">
      <c r="B62" s="133"/>
      <c r="C62" s="133"/>
      <c r="D62" s="133"/>
      <c r="E62" s="133"/>
      <c r="F62" s="133"/>
      <c r="G62" s="133"/>
      <c r="H62" s="133"/>
      <c r="I62" s="133"/>
      <c r="J62" s="133"/>
      <c r="K62" s="133"/>
      <c r="L62" s="133"/>
    </row>
  </sheetData>
  <phoneticPr fontId="80" type="noConversion"/>
  <pageMargins left="0.75" right="0.75" top="1" bottom="1" header="0.5" footer="0.5"/>
  <pageSetup orientation="portrait"/>
  <headerFooter alignWithMargin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A55C6-C232-5847-A8A8-6342316ECF01}">
  <sheetPr codeName="Sheet6"/>
  <dimension ref="B1:O78"/>
  <sheetViews>
    <sheetView showGridLines="0" zoomScale="90" workbookViewId="0">
      <pane ySplit="18" topLeftCell="A19" activePane="bottomLeft" state="frozen"/>
      <selection pane="bottomLeft" activeCell="T27" sqref="T27"/>
    </sheetView>
  </sheetViews>
  <sheetFormatPr baseColWidth="10" defaultColWidth="8.83203125" defaultRowHeight="13" x14ac:dyDescent="0.15"/>
  <cols>
    <col min="1" max="1" width="3.5" customWidth="1"/>
    <col min="2" max="2" width="10.5" customWidth="1"/>
    <col min="3" max="4" width="8.83203125" customWidth="1"/>
    <col min="5" max="5" width="10.5" customWidth="1"/>
    <col min="6" max="6" width="12.5" customWidth="1"/>
    <col min="7" max="7" width="7.6640625" customWidth="1"/>
    <col min="8" max="10" width="8.83203125" customWidth="1"/>
    <col min="11" max="11" width="9.5" customWidth="1"/>
    <col min="12" max="12" width="12.5" customWidth="1"/>
    <col min="13" max="13" width="13.1640625" customWidth="1"/>
    <col min="14" max="14" width="8.83203125" customWidth="1"/>
    <col min="15" max="15" width="5.6640625" hidden="1" customWidth="1"/>
  </cols>
  <sheetData>
    <row r="1" spans="2:11" x14ac:dyDescent="0.15">
      <c r="B1" s="112"/>
    </row>
    <row r="2" spans="2:11" ht="16" x14ac:dyDescent="0.2">
      <c r="B2" s="113"/>
      <c r="H2" s="35" t="s">
        <v>1683</v>
      </c>
    </row>
    <row r="3" spans="2:11" ht="16" x14ac:dyDescent="0.2">
      <c r="H3" s="35"/>
    </row>
    <row r="4" spans="2:11" ht="23" x14ac:dyDescent="0.25">
      <c r="C4" s="188" t="s">
        <v>1142</v>
      </c>
      <c r="H4" s="35" t="s">
        <v>1682</v>
      </c>
    </row>
    <row r="5" spans="2:11" ht="23" x14ac:dyDescent="0.25">
      <c r="C5" s="188" t="s">
        <v>1143</v>
      </c>
      <c r="H5" s="35"/>
    </row>
    <row r="6" spans="2:11" ht="16" x14ac:dyDescent="0.2">
      <c r="E6" s="35"/>
      <c r="F6" s="35" t="s">
        <v>1686</v>
      </c>
      <c r="K6" s="35" t="s">
        <v>1684</v>
      </c>
    </row>
    <row r="9" spans="2:11" ht="16" x14ac:dyDescent="0.2">
      <c r="K9" s="35" t="s">
        <v>1677</v>
      </c>
    </row>
    <row r="11" spans="2:11" ht="16" x14ac:dyDescent="0.2">
      <c r="F11" s="35" t="s">
        <v>846</v>
      </c>
    </row>
    <row r="12" spans="2:11" ht="16" x14ac:dyDescent="0.2">
      <c r="F12" s="35" t="s">
        <v>1672</v>
      </c>
    </row>
    <row r="13" spans="2:11" ht="16" x14ac:dyDescent="0.2">
      <c r="I13" s="35" t="s">
        <v>1670</v>
      </c>
    </row>
    <row r="14" spans="2:11" ht="16" x14ac:dyDescent="0.2">
      <c r="J14" s="29" t="s">
        <v>1680</v>
      </c>
    </row>
    <row r="16" spans="2:11" ht="14" thickBot="1" x14ac:dyDescent="0.2">
      <c r="B16" s="17"/>
    </row>
    <row r="17" spans="2:15" ht="16" x14ac:dyDescent="0.2">
      <c r="B17" s="361" t="s">
        <v>1109</v>
      </c>
      <c r="C17" s="362" t="s">
        <v>846</v>
      </c>
      <c r="D17" s="362" t="s">
        <v>856</v>
      </c>
      <c r="E17" s="362" t="s">
        <v>858</v>
      </c>
      <c r="F17" s="362" t="s">
        <v>1141</v>
      </c>
      <c r="G17" s="363" t="s">
        <v>860</v>
      </c>
      <c r="H17" s="377" t="s">
        <v>1062</v>
      </c>
      <c r="I17" s="377" t="s">
        <v>1110</v>
      </c>
      <c r="J17" s="378" t="s">
        <v>847</v>
      </c>
      <c r="K17" s="377" t="s">
        <v>1047</v>
      </c>
      <c r="L17" s="365" t="s">
        <v>1514</v>
      </c>
      <c r="M17" s="365" t="s">
        <v>1743</v>
      </c>
      <c r="N17" s="365" t="s">
        <v>1435</v>
      </c>
    </row>
    <row r="18" spans="2:15" ht="17" thickBot="1" x14ac:dyDescent="0.25">
      <c r="B18" s="366" t="s">
        <v>845</v>
      </c>
      <c r="C18" s="367" t="s">
        <v>855</v>
      </c>
      <c r="D18" s="367" t="s">
        <v>857</v>
      </c>
      <c r="E18" s="367" t="s">
        <v>1046</v>
      </c>
      <c r="F18" s="367" t="s">
        <v>892</v>
      </c>
      <c r="G18" s="369"/>
      <c r="H18" s="369"/>
      <c r="I18" s="369" t="s">
        <v>1052</v>
      </c>
      <c r="J18" s="379" t="s">
        <v>848</v>
      </c>
      <c r="K18" s="369" t="s">
        <v>848</v>
      </c>
      <c r="L18" s="370" t="s">
        <v>1515</v>
      </c>
      <c r="M18" s="370" t="s">
        <v>1744</v>
      </c>
      <c r="N18" s="370" t="s">
        <v>1764</v>
      </c>
    </row>
    <row r="19" spans="2:15" x14ac:dyDescent="0.15">
      <c r="B19" s="127" t="s">
        <v>1146</v>
      </c>
      <c r="C19" s="130">
        <v>18</v>
      </c>
      <c r="D19" s="129">
        <v>0.6875</v>
      </c>
      <c r="E19" s="130">
        <v>4.25</v>
      </c>
      <c r="F19" s="129">
        <v>0.625</v>
      </c>
      <c r="G19" s="174">
        <v>1.375</v>
      </c>
      <c r="H19" s="181">
        <v>0.625</v>
      </c>
      <c r="I19" s="130">
        <v>1</v>
      </c>
      <c r="J19" s="130" t="s">
        <v>850</v>
      </c>
      <c r="K19" s="129" t="s">
        <v>850</v>
      </c>
      <c r="L19" s="175">
        <f>(C19*2-F19*2+(E19*4)-(D19*2))*12/144</f>
        <v>4.197916666666667</v>
      </c>
      <c r="M19" s="273">
        <f>L19*3.2808399*0.09290304</f>
        <v>1.2795250019448781</v>
      </c>
      <c r="N19" s="273">
        <f>O19*3.2808399*0.4535924</f>
        <v>86.313514566892081</v>
      </c>
      <c r="O19">
        <v>58</v>
      </c>
    </row>
    <row r="20" spans="2:15" x14ac:dyDescent="0.15">
      <c r="B20" s="18" t="s">
        <v>1147</v>
      </c>
      <c r="C20" s="20">
        <v>18</v>
      </c>
      <c r="D20" s="19">
        <v>0.625</v>
      </c>
      <c r="E20" s="20">
        <v>4.125</v>
      </c>
      <c r="F20" s="19">
        <v>0.625</v>
      </c>
      <c r="G20" s="19">
        <v>1.375</v>
      </c>
      <c r="H20" s="19">
        <v>0.625</v>
      </c>
      <c r="I20" s="20">
        <v>1</v>
      </c>
      <c r="J20" s="20" t="s">
        <v>850</v>
      </c>
      <c r="K20" s="19" t="s">
        <v>850</v>
      </c>
      <c r="L20" s="119">
        <f>(C20*2-F20*2+(E20*4)-(D20*2))*12/144</f>
        <v>4.166666666666667</v>
      </c>
      <c r="M20" s="274">
        <f t="shared" ref="M20:M68" si="0">L20*3.2808399*0.09290304</f>
        <v>1.2700000019304003</v>
      </c>
      <c r="N20" s="274">
        <f t="shared" ref="N20:N68" si="1">O20*3.2808399*0.4535924</f>
        <v>77.235713896925844</v>
      </c>
      <c r="O20">
        <v>51.9</v>
      </c>
    </row>
    <row r="21" spans="2:15" x14ac:dyDescent="0.15">
      <c r="B21" s="127" t="s">
        <v>1148</v>
      </c>
      <c r="C21" s="130">
        <v>18</v>
      </c>
      <c r="D21" s="129">
        <v>0.5</v>
      </c>
      <c r="E21" s="130">
        <v>4</v>
      </c>
      <c r="F21" s="129">
        <v>0.625</v>
      </c>
      <c r="G21" s="129">
        <v>1.375</v>
      </c>
      <c r="H21" s="129">
        <v>0.625</v>
      </c>
      <c r="I21" s="130">
        <v>1</v>
      </c>
      <c r="J21" s="130" t="s">
        <v>850</v>
      </c>
      <c r="K21" s="129" t="s">
        <v>850</v>
      </c>
      <c r="L21" s="119">
        <f>(C21*2-F21*2+(E21*4)-(D21*2))*12/144</f>
        <v>4.145833333333333</v>
      </c>
      <c r="M21" s="274">
        <f t="shared" si="0"/>
        <v>1.2636500019207482</v>
      </c>
      <c r="N21" s="274">
        <f t="shared" si="1"/>
        <v>68.157913226959607</v>
      </c>
      <c r="O21">
        <v>45.8</v>
      </c>
    </row>
    <row r="22" spans="2:15" x14ac:dyDescent="0.15">
      <c r="B22" s="18" t="s">
        <v>1149</v>
      </c>
      <c r="C22" s="22">
        <v>18</v>
      </c>
      <c r="D22" s="21">
        <v>0.4375</v>
      </c>
      <c r="E22" s="22">
        <v>4</v>
      </c>
      <c r="F22" s="21">
        <v>0.625</v>
      </c>
      <c r="G22" s="21">
        <v>1.375</v>
      </c>
      <c r="H22" s="21">
        <v>0.625</v>
      </c>
      <c r="I22" s="22">
        <v>1</v>
      </c>
      <c r="J22" s="22" t="s">
        <v>850</v>
      </c>
      <c r="K22" s="21" t="s">
        <v>850</v>
      </c>
      <c r="L22" s="313">
        <f>(C22*2-F22*2+(E22*4)-(D22*2))*12/144</f>
        <v>4.15625</v>
      </c>
      <c r="M22" s="333">
        <f t="shared" si="0"/>
        <v>1.2668250019255742</v>
      </c>
      <c r="N22" s="274">
        <f t="shared" si="1"/>
        <v>63.544604689763666</v>
      </c>
      <c r="O22">
        <v>42.7</v>
      </c>
    </row>
    <row r="23" spans="2:15" x14ac:dyDescent="0.15">
      <c r="B23" s="311" t="s">
        <v>850</v>
      </c>
      <c r="C23" s="315" t="s">
        <v>850</v>
      </c>
      <c r="D23" s="315" t="s">
        <v>850</v>
      </c>
      <c r="E23" s="315" t="s">
        <v>850</v>
      </c>
      <c r="F23" s="315" t="s">
        <v>850</v>
      </c>
      <c r="G23" s="315" t="s">
        <v>850</v>
      </c>
      <c r="H23" s="315" t="s">
        <v>850</v>
      </c>
      <c r="I23" s="315" t="s">
        <v>850</v>
      </c>
      <c r="J23" s="315" t="s">
        <v>850</v>
      </c>
      <c r="K23" s="315" t="s">
        <v>850</v>
      </c>
      <c r="L23" s="316"/>
      <c r="M23" s="317"/>
      <c r="N23" s="334"/>
    </row>
    <row r="24" spans="2:15" x14ac:dyDescent="0.15">
      <c r="B24" s="18" t="s">
        <v>1150</v>
      </c>
      <c r="C24" s="156">
        <v>13</v>
      </c>
      <c r="D24" s="131">
        <v>0.8125</v>
      </c>
      <c r="E24" s="156">
        <v>4.375</v>
      </c>
      <c r="F24" s="131">
        <v>0.625</v>
      </c>
      <c r="G24" s="131">
        <v>1.375</v>
      </c>
      <c r="H24" s="131">
        <v>0.625</v>
      </c>
      <c r="I24" s="156">
        <v>1</v>
      </c>
      <c r="J24" s="156" t="s">
        <v>850</v>
      </c>
      <c r="K24" s="131" t="s">
        <v>850</v>
      </c>
      <c r="L24" s="119">
        <f>(C24*2-F24*2+(E24*4)-(D24*2))*12/144</f>
        <v>3.3854166666666665</v>
      </c>
      <c r="M24" s="274">
        <f t="shared" si="0"/>
        <v>1.0318750015684501</v>
      </c>
      <c r="N24" s="274">
        <f t="shared" si="1"/>
        <v>74.408202212838006</v>
      </c>
      <c r="O24">
        <v>50</v>
      </c>
    </row>
    <row r="25" spans="2:15" x14ac:dyDescent="0.15">
      <c r="B25" s="127" t="s">
        <v>1151</v>
      </c>
      <c r="C25" s="130">
        <v>13</v>
      </c>
      <c r="D25" s="129">
        <v>0.5625</v>
      </c>
      <c r="E25" s="130">
        <v>4.125</v>
      </c>
      <c r="F25" s="129">
        <v>0.625</v>
      </c>
      <c r="G25" s="129">
        <v>1.375</v>
      </c>
      <c r="H25" s="129">
        <v>0.5625</v>
      </c>
      <c r="I25" s="130">
        <v>1</v>
      </c>
      <c r="J25" s="130" t="s">
        <v>850</v>
      </c>
      <c r="K25" s="129" t="s">
        <v>850</v>
      </c>
      <c r="L25" s="119">
        <f>(C25*2-F25*2+(E25*4)-(D25*2))*12/144</f>
        <v>3.34375</v>
      </c>
      <c r="M25" s="274">
        <f t="shared" si="0"/>
        <v>1.0191750015491461</v>
      </c>
      <c r="N25" s="274">
        <f t="shared" si="1"/>
        <v>59.526561770270405</v>
      </c>
      <c r="O25">
        <v>40</v>
      </c>
    </row>
    <row r="26" spans="2:15" x14ac:dyDescent="0.15">
      <c r="B26" s="18" t="s">
        <v>1152</v>
      </c>
      <c r="C26" s="20">
        <v>13</v>
      </c>
      <c r="D26" s="19">
        <v>0.4375</v>
      </c>
      <c r="E26" s="20">
        <v>4.125</v>
      </c>
      <c r="F26" s="19">
        <v>0.625</v>
      </c>
      <c r="G26" s="19">
        <v>1.375</v>
      </c>
      <c r="H26" s="19">
        <v>0.5625</v>
      </c>
      <c r="I26" s="20">
        <v>1</v>
      </c>
      <c r="J26" s="20" t="s">
        <v>850</v>
      </c>
      <c r="K26" s="19" t="s">
        <v>850</v>
      </c>
      <c r="L26" s="119">
        <f>(C26*2-F26*2+(E26*4)-(D26*2))*12/144</f>
        <v>3.3645833333333335</v>
      </c>
      <c r="M26" s="274">
        <f t="shared" si="0"/>
        <v>1.0255250015587982</v>
      </c>
      <c r="N26" s="274">
        <f t="shared" si="1"/>
        <v>52.085741548986604</v>
      </c>
      <c r="O26">
        <v>35</v>
      </c>
    </row>
    <row r="27" spans="2:15" x14ac:dyDescent="0.15">
      <c r="B27" s="127" t="s">
        <v>1153</v>
      </c>
      <c r="C27" s="130">
        <v>13</v>
      </c>
      <c r="D27" s="129">
        <v>0.375</v>
      </c>
      <c r="E27" s="130">
        <v>4</v>
      </c>
      <c r="F27" s="129">
        <v>0.625</v>
      </c>
      <c r="G27" s="129">
        <v>1.375</v>
      </c>
      <c r="H27" s="129">
        <v>0.5625</v>
      </c>
      <c r="I27" s="130">
        <v>1</v>
      </c>
      <c r="J27" s="130" t="s">
        <v>850</v>
      </c>
      <c r="K27" s="129" t="s">
        <v>850</v>
      </c>
      <c r="L27" s="313">
        <f>(C27*2-F27*2+(E27*4)-(D27*2))*12/144</f>
        <v>3.3333333333333335</v>
      </c>
      <c r="M27" s="333">
        <f t="shared" si="0"/>
        <v>1.0160000015443202</v>
      </c>
      <c r="N27" s="274">
        <f t="shared" si="1"/>
        <v>47.323616607364976</v>
      </c>
      <c r="O27">
        <v>31.8</v>
      </c>
    </row>
    <row r="28" spans="2:15" x14ac:dyDescent="0.15">
      <c r="B28" s="307"/>
      <c r="C28" s="315" t="s">
        <v>850</v>
      </c>
      <c r="D28" s="315" t="s">
        <v>850</v>
      </c>
      <c r="E28" s="315" t="s">
        <v>850</v>
      </c>
      <c r="F28" s="315" t="s">
        <v>850</v>
      </c>
      <c r="G28" s="315" t="s">
        <v>850</v>
      </c>
      <c r="H28" s="315" t="s">
        <v>850</v>
      </c>
      <c r="I28" s="315"/>
      <c r="J28" s="315" t="s">
        <v>850</v>
      </c>
      <c r="K28" s="315" t="s">
        <v>850</v>
      </c>
      <c r="L28" s="316"/>
      <c r="M28" s="317"/>
      <c r="N28" s="334"/>
    </row>
    <row r="29" spans="2:15" x14ac:dyDescent="0.15">
      <c r="B29" s="127" t="s">
        <v>1154</v>
      </c>
      <c r="C29" s="130">
        <v>12</v>
      </c>
      <c r="D29" s="129">
        <v>0.8125</v>
      </c>
      <c r="E29" s="130">
        <v>4.125</v>
      </c>
      <c r="F29" s="129">
        <v>0.6875</v>
      </c>
      <c r="G29" s="129">
        <v>1.3125</v>
      </c>
      <c r="H29" s="129">
        <v>0.6875</v>
      </c>
      <c r="I29" s="130">
        <v>1</v>
      </c>
      <c r="J29" s="130" t="s">
        <v>850</v>
      </c>
      <c r="K29" s="129" t="s">
        <v>850</v>
      </c>
      <c r="L29" s="119">
        <f>(C29*2-F29*2+(E29*4)-(D29*2))*12/144</f>
        <v>3.125</v>
      </c>
      <c r="M29" s="274">
        <f t="shared" si="0"/>
        <v>0.95250000144780012</v>
      </c>
      <c r="N29" s="274">
        <f t="shared" si="1"/>
        <v>74.408202212838006</v>
      </c>
      <c r="O29">
        <v>50</v>
      </c>
    </row>
    <row r="30" spans="2:15" x14ac:dyDescent="0.15">
      <c r="B30" s="18" t="s">
        <v>1155</v>
      </c>
      <c r="C30" s="20">
        <v>12</v>
      </c>
      <c r="D30" s="19">
        <v>0.6875</v>
      </c>
      <c r="E30" s="20">
        <v>4</v>
      </c>
      <c r="F30" s="19">
        <v>0.6875</v>
      </c>
      <c r="G30" s="19">
        <v>1.3125</v>
      </c>
      <c r="H30" s="19">
        <v>0.6875</v>
      </c>
      <c r="I30" s="20">
        <v>1</v>
      </c>
      <c r="J30" s="20" t="s">
        <v>850</v>
      </c>
      <c r="K30" s="19" t="s">
        <v>850</v>
      </c>
      <c r="L30" s="119">
        <f>(C30*2-F30*2+(E30*4)-(D30*2))*12/144</f>
        <v>3.1041666666666665</v>
      </c>
      <c r="M30" s="274">
        <f t="shared" si="0"/>
        <v>0.94615000143814809</v>
      </c>
      <c r="N30" s="274">
        <f t="shared" si="1"/>
        <v>66.967381991554205</v>
      </c>
      <c r="O30">
        <v>45</v>
      </c>
    </row>
    <row r="31" spans="2:15" x14ac:dyDescent="0.15">
      <c r="B31" s="127" t="s">
        <v>1156</v>
      </c>
      <c r="C31" s="130">
        <v>12</v>
      </c>
      <c r="D31" s="129">
        <v>0.5625</v>
      </c>
      <c r="E31" s="130">
        <v>3.875</v>
      </c>
      <c r="F31" s="129">
        <v>0.6875</v>
      </c>
      <c r="G31" s="129">
        <v>1.3125</v>
      </c>
      <c r="H31" s="129">
        <v>0.6875</v>
      </c>
      <c r="I31" s="130">
        <v>1</v>
      </c>
      <c r="J31" s="130" t="s">
        <v>850</v>
      </c>
      <c r="K31" s="129" t="s">
        <v>850</v>
      </c>
      <c r="L31" s="119">
        <f>(C31*2-F31*2+(E31*4)-(D31*2))*12/144</f>
        <v>3.0833333333333335</v>
      </c>
      <c r="M31" s="274">
        <f t="shared" si="0"/>
        <v>0.93980000142849618</v>
      </c>
      <c r="N31" s="274">
        <f t="shared" si="1"/>
        <v>59.526561770270405</v>
      </c>
      <c r="O31">
        <v>40</v>
      </c>
    </row>
    <row r="32" spans="2:15" x14ac:dyDescent="0.15">
      <c r="B32" s="18" t="s">
        <v>1157</v>
      </c>
      <c r="C32" s="20">
        <v>12</v>
      </c>
      <c r="D32" s="19">
        <v>0.4375</v>
      </c>
      <c r="E32" s="20">
        <v>3.75</v>
      </c>
      <c r="F32" s="19">
        <v>0.6875</v>
      </c>
      <c r="G32" s="19">
        <v>1.3125</v>
      </c>
      <c r="H32" s="19">
        <v>0.6875</v>
      </c>
      <c r="I32" s="20">
        <v>1</v>
      </c>
      <c r="J32" s="20" t="s">
        <v>850</v>
      </c>
      <c r="K32" s="19" t="s">
        <v>850</v>
      </c>
      <c r="L32" s="119">
        <f>(C32*2-F32*2+(E32*4)-(D32*2))*12/144</f>
        <v>3.0625</v>
      </c>
      <c r="M32" s="274">
        <f t="shared" si="0"/>
        <v>0.93345000141884404</v>
      </c>
      <c r="N32" s="274">
        <f t="shared" si="1"/>
        <v>52.085741548986604</v>
      </c>
      <c r="O32">
        <v>35</v>
      </c>
    </row>
    <row r="33" spans="2:15" x14ac:dyDescent="0.15">
      <c r="B33" s="18" t="s">
        <v>1660</v>
      </c>
      <c r="C33" s="22">
        <v>12</v>
      </c>
      <c r="D33" s="21">
        <v>0.375</v>
      </c>
      <c r="E33" s="22">
        <v>3.625</v>
      </c>
      <c r="F33" s="21">
        <v>0.6875</v>
      </c>
      <c r="G33" s="21">
        <v>1.3125</v>
      </c>
      <c r="H33" s="21">
        <v>0.6875</v>
      </c>
      <c r="I33" s="22">
        <v>1</v>
      </c>
      <c r="J33" s="22"/>
      <c r="K33" s="21"/>
      <c r="L33" s="313">
        <f>(C33*2-F33*2+(E33*4)-(D33*2))*12/144</f>
        <v>3.03125</v>
      </c>
      <c r="M33" s="333">
        <f t="shared" si="0"/>
        <v>0.92392500140436606</v>
      </c>
      <c r="N33" s="274">
        <f t="shared" si="1"/>
        <v>46.133085371959559</v>
      </c>
      <c r="O33">
        <v>31</v>
      </c>
    </row>
    <row r="34" spans="2:15" x14ac:dyDescent="0.15">
      <c r="B34" s="307" t="s">
        <v>850</v>
      </c>
      <c r="C34" s="315" t="s">
        <v>850</v>
      </c>
      <c r="D34" s="315" t="s">
        <v>850</v>
      </c>
      <c r="E34" s="315" t="s">
        <v>850</v>
      </c>
      <c r="F34" s="315" t="s">
        <v>850</v>
      </c>
      <c r="G34" s="315" t="s">
        <v>850</v>
      </c>
      <c r="H34" s="315" t="s">
        <v>850</v>
      </c>
      <c r="I34" s="315" t="s">
        <v>850</v>
      </c>
      <c r="J34" s="315" t="s">
        <v>850</v>
      </c>
      <c r="K34" s="315" t="s">
        <v>850</v>
      </c>
      <c r="L34" s="316"/>
      <c r="M34" s="317"/>
      <c r="N34" s="334"/>
    </row>
    <row r="35" spans="2:15" x14ac:dyDescent="0.15">
      <c r="B35" s="127" t="s">
        <v>1158</v>
      </c>
      <c r="C35" s="130">
        <v>12</v>
      </c>
      <c r="D35" s="129">
        <v>0.1875</v>
      </c>
      <c r="E35" s="130">
        <v>1.5</v>
      </c>
      <c r="F35" s="129">
        <v>0.3125</v>
      </c>
      <c r="G35" s="129">
        <v>0.6875</v>
      </c>
      <c r="H35" s="170" t="s">
        <v>1054</v>
      </c>
      <c r="I35" s="183" t="s">
        <v>1054</v>
      </c>
      <c r="J35" s="130" t="s">
        <v>850</v>
      </c>
      <c r="K35" s="129" t="s">
        <v>850</v>
      </c>
      <c r="L35" s="119">
        <f>(C35*2-F35*2+(E35*4)-(D35*2))*12/144</f>
        <v>2.4166666666666665</v>
      </c>
      <c r="M35" s="274">
        <f t="shared" si="0"/>
        <v>0.73660000111963209</v>
      </c>
      <c r="N35" s="274">
        <f t="shared" si="1"/>
        <v>15.774538869121656</v>
      </c>
      <c r="O35">
        <v>10.6</v>
      </c>
    </row>
    <row r="36" spans="2:15" x14ac:dyDescent="0.15">
      <c r="B36" s="18" t="s">
        <v>850</v>
      </c>
      <c r="C36" s="20" t="s">
        <v>850</v>
      </c>
      <c r="D36" s="19" t="s">
        <v>850</v>
      </c>
      <c r="E36" s="20" t="s">
        <v>850</v>
      </c>
      <c r="F36" s="19" t="s">
        <v>850</v>
      </c>
      <c r="G36" s="19" t="s">
        <v>850</v>
      </c>
      <c r="H36" s="19" t="s">
        <v>850</v>
      </c>
      <c r="I36" s="20"/>
      <c r="J36" s="20" t="s">
        <v>850</v>
      </c>
      <c r="K36" s="19" t="s">
        <v>850</v>
      </c>
      <c r="L36" s="119"/>
      <c r="M36" s="274"/>
      <c r="N36" s="274"/>
    </row>
    <row r="37" spans="2:15" x14ac:dyDescent="0.15">
      <c r="B37" s="127" t="s">
        <v>1159</v>
      </c>
      <c r="C37" s="130">
        <v>10</v>
      </c>
      <c r="D37" s="129">
        <v>0.8125</v>
      </c>
      <c r="E37" s="130">
        <v>4.375</v>
      </c>
      <c r="F37" s="129">
        <v>0.5625</v>
      </c>
      <c r="G37" s="129">
        <v>1.25</v>
      </c>
      <c r="H37" s="129">
        <v>0.5625</v>
      </c>
      <c r="I37" s="130">
        <v>0.875</v>
      </c>
      <c r="J37" s="130" t="s">
        <v>850</v>
      </c>
      <c r="K37" s="129" t="s">
        <v>850</v>
      </c>
      <c r="L37" s="119">
        <f>(C37*2-F37*2+(E37*4)-(D37*2))*12/144</f>
        <v>2.8958333333333335</v>
      </c>
      <c r="M37" s="274">
        <f t="shared" si="0"/>
        <v>0.88265000134162819</v>
      </c>
      <c r="N37" s="274">
        <f t="shared" si="1"/>
        <v>61.163542218952841</v>
      </c>
      <c r="O37">
        <v>41.1</v>
      </c>
    </row>
    <row r="38" spans="2:15" x14ac:dyDescent="0.15">
      <c r="B38" s="18" t="s">
        <v>1160</v>
      </c>
      <c r="C38" s="20">
        <v>10</v>
      </c>
      <c r="D38" s="19">
        <v>0.5625</v>
      </c>
      <c r="E38" s="20">
        <v>4.125</v>
      </c>
      <c r="F38" s="19">
        <v>0.5625</v>
      </c>
      <c r="G38" s="19">
        <v>1.25</v>
      </c>
      <c r="H38" s="19">
        <v>0.5625</v>
      </c>
      <c r="I38" s="20">
        <v>0.875</v>
      </c>
      <c r="J38" s="20" t="s">
        <v>850</v>
      </c>
      <c r="K38" s="19" t="s">
        <v>850</v>
      </c>
      <c r="L38" s="119">
        <f>(C38*2-F38*2+(E38*4)-(D38*2))*12/144</f>
        <v>2.8541666666666665</v>
      </c>
      <c r="M38" s="274">
        <f t="shared" si="0"/>
        <v>0.86995000132232414</v>
      </c>
      <c r="N38" s="274">
        <f t="shared" si="1"/>
        <v>50.00231188702714</v>
      </c>
      <c r="O38">
        <v>33.6</v>
      </c>
    </row>
    <row r="39" spans="2:15" x14ac:dyDescent="0.15">
      <c r="B39" s="127" t="s">
        <v>1161</v>
      </c>
      <c r="C39" s="130">
        <v>10</v>
      </c>
      <c r="D39" s="129">
        <v>0.4375</v>
      </c>
      <c r="E39" s="130">
        <v>4</v>
      </c>
      <c r="F39" s="129">
        <v>0.5625</v>
      </c>
      <c r="G39" s="129">
        <v>1.25</v>
      </c>
      <c r="H39" s="129">
        <v>0.5625</v>
      </c>
      <c r="I39" s="130">
        <v>0.875</v>
      </c>
      <c r="J39" s="130" t="s">
        <v>850</v>
      </c>
      <c r="K39" s="129" t="s">
        <v>850</v>
      </c>
      <c r="L39" s="313">
        <f>(C39*2-F39*2+(E39*4)-(D39*2))*12/144</f>
        <v>2.8333333333333335</v>
      </c>
      <c r="M39" s="333">
        <f t="shared" si="0"/>
        <v>0.86360000131267223</v>
      </c>
      <c r="N39" s="274">
        <f t="shared" si="1"/>
        <v>42.412675261317659</v>
      </c>
      <c r="O39">
        <v>28.5</v>
      </c>
    </row>
    <row r="40" spans="2:15" x14ac:dyDescent="0.15">
      <c r="B40" s="307" t="s">
        <v>850</v>
      </c>
      <c r="C40" s="315" t="s">
        <v>850</v>
      </c>
      <c r="D40" s="315" t="s">
        <v>850</v>
      </c>
      <c r="E40" s="315" t="s">
        <v>850</v>
      </c>
      <c r="F40" s="315" t="s">
        <v>850</v>
      </c>
      <c r="G40" s="315" t="s">
        <v>850</v>
      </c>
      <c r="H40" s="315" t="s">
        <v>850</v>
      </c>
      <c r="I40" s="315" t="s">
        <v>850</v>
      </c>
      <c r="J40" s="315" t="s">
        <v>850</v>
      </c>
      <c r="K40" s="315" t="s">
        <v>850</v>
      </c>
      <c r="L40" s="316"/>
      <c r="M40" s="317"/>
      <c r="N40" s="334"/>
    </row>
    <row r="41" spans="2:15" x14ac:dyDescent="0.15">
      <c r="B41" s="127" t="s">
        <v>1661</v>
      </c>
      <c r="C41" s="130">
        <v>10</v>
      </c>
      <c r="D41" s="129">
        <v>0.375</v>
      </c>
      <c r="E41" s="130">
        <v>3.375</v>
      </c>
      <c r="F41" s="129">
        <v>0.5625</v>
      </c>
      <c r="G41" s="129">
        <v>1.25</v>
      </c>
      <c r="H41" s="129">
        <v>0.5625</v>
      </c>
      <c r="I41" s="130">
        <v>0.875</v>
      </c>
      <c r="J41" s="130" t="s">
        <v>850</v>
      </c>
      <c r="K41" s="129" t="s">
        <v>850</v>
      </c>
      <c r="L41" s="119">
        <f>(C41*2-F41*2+(E41*4)-(D41*2))*12/144</f>
        <v>2.6354166666666665</v>
      </c>
      <c r="M41" s="274">
        <f t="shared" si="0"/>
        <v>0.80327500122097806</v>
      </c>
      <c r="N41" s="274">
        <f t="shared" si="1"/>
        <v>37.204101106419003</v>
      </c>
      <c r="O41">
        <v>25</v>
      </c>
    </row>
    <row r="42" spans="2:15" x14ac:dyDescent="0.15">
      <c r="B42" s="18" t="s">
        <v>1662</v>
      </c>
      <c r="C42" s="22">
        <v>10</v>
      </c>
      <c r="D42" s="21">
        <v>0.3125</v>
      </c>
      <c r="E42" s="22">
        <v>3.375</v>
      </c>
      <c r="F42" s="21">
        <v>0.5625</v>
      </c>
      <c r="G42" s="21">
        <v>1.25</v>
      </c>
      <c r="H42" s="21">
        <v>0.5625</v>
      </c>
      <c r="I42" s="22">
        <v>0.875</v>
      </c>
      <c r="J42" s="22" t="s">
        <v>850</v>
      </c>
      <c r="K42" s="21" t="s">
        <v>850</v>
      </c>
      <c r="L42" s="313">
        <f>(C42*2-F42*2+(E42*4)-(D42*2))*12/144</f>
        <v>2.6458333333333335</v>
      </c>
      <c r="M42" s="333">
        <f t="shared" si="0"/>
        <v>0.80645000122580401</v>
      </c>
      <c r="N42" s="274">
        <f t="shared" si="1"/>
        <v>32.739608973648721</v>
      </c>
      <c r="O42">
        <v>22</v>
      </c>
    </row>
    <row r="43" spans="2:15" x14ac:dyDescent="0.15">
      <c r="B43" s="311" t="s">
        <v>850</v>
      </c>
      <c r="C43" s="315" t="s">
        <v>850</v>
      </c>
      <c r="D43" s="315" t="s">
        <v>850</v>
      </c>
      <c r="E43" s="315" t="s">
        <v>850</v>
      </c>
      <c r="F43" s="315" t="s">
        <v>850</v>
      </c>
      <c r="G43" s="315" t="s">
        <v>850</v>
      </c>
      <c r="H43" s="315" t="s">
        <v>850</v>
      </c>
      <c r="I43" s="315" t="s">
        <v>850</v>
      </c>
      <c r="J43" s="315" t="s">
        <v>850</v>
      </c>
      <c r="K43" s="315" t="s">
        <v>850</v>
      </c>
      <c r="L43" s="316"/>
      <c r="M43" s="317"/>
      <c r="N43" s="334"/>
    </row>
    <row r="44" spans="2:15" x14ac:dyDescent="0.15">
      <c r="B44" s="18" t="s">
        <v>1162</v>
      </c>
      <c r="C44" s="130">
        <v>10</v>
      </c>
      <c r="D44" s="129">
        <v>0.1875</v>
      </c>
      <c r="E44" s="130">
        <v>1.5</v>
      </c>
      <c r="F44" s="129">
        <v>0.25</v>
      </c>
      <c r="G44" s="129">
        <v>0.6875</v>
      </c>
      <c r="H44" s="170" t="s">
        <v>1054</v>
      </c>
      <c r="I44" s="183" t="s">
        <v>1054</v>
      </c>
      <c r="J44" s="130" t="s">
        <v>850</v>
      </c>
      <c r="K44" s="129" t="s">
        <v>850</v>
      </c>
      <c r="L44" s="313">
        <f>(C44*2-F44*2+(E44*4)-(D44*2))*12/144</f>
        <v>2.09375</v>
      </c>
      <c r="M44" s="333">
        <f t="shared" si="0"/>
        <v>0.63817500097002611</v>
      </c>
      <c r="N44" s="274">
        <f t="shared" si="1"/>
        <v>12.500577971756785</v>
      </c>
      <c r="O44">
        <v>8.4</v>
      </c>
    </row>
    <row r="45" spans="2:15" x14ac:dyDescent="0.15">
      <c r="B45" s="307"/>
      <c r="C45" s="315"/>
      <c r="D45" s="315"/>
      <c r="E45" s="315"/>
      <c r="F45" s="315"/>
      <c r="G45" s="315"/>
      <c r="H45" s="348"/>
      <c r="I45" s="348"/>
      <c r="J45" s="315"/>
      <c r="K45" s="315"/>
      <c r="L45" s="316"/>
      <c r="M45" s="317"/>
      <c r="N45" s="334"/>
    </row>
    <row r="46" spans="2:15" x14ac:dyDescent="0.15">
      <c r="B46" s="127" t="s">
        <v>1163</v>
      </c>
      <c r="C46" s="130">
        <v>10</v>
      </c>
      <c r="D46" s="129">
        <v>0.125</v>
      </c>
      <c r="E46" s="130">
        <v>1.125</v>
      </c>
      <c r="F46" s="129">
        <v>0.1875</v>
      </c>
      <c r="G46" s="129">
        <v>0.4375</v>
      </c>
      <c r="H46" s="170" t="s">
        <v>1054</v>
      </c>
      <c r="I46" s="183" t="s">
        <v>1054</v>
      </c>
      <c r="J46" s="130" t="s">
        <v>850</v>
      </c>
      <c r="K46" s="129" t="s">
        <v>850</v>
      </c>
      <c r="L46" s="313">
        <f>(C46*2-F46*2+(E46*4)-(D46*2))*12/144</f>
        <v>1.9895833333333333</v>
      </c>
      <c r="M46" s="333">
        <f t="shared" si="0"/>
        <v>0.60642500092176599</v>
      </c>
      <c r="N46" s="274">
        <f t="shared" si="1"/>
        <v>9.6730662876689415</v>
      </c>
      <c r="O46">
        <v>6.5</v>
      </c>
    </row>
    <row r="47" spans="2:15" x14ac:dyDescent="0.15">
      <c r="B47" s="307" t="s">
        <v>850</v>
      </c>
      <c r="C47" s="315" t="s">
        <v>850</v>
      </c>
      <c r="D47" s="315" t="s">
        <v>850</v>
      </c>
      <c r="E47" s="315" t="s">
        <v>850</v>
      </c>
      <c r="F47" s="315" t="s">
        <v>850</v>
      </c>
      <c r="G47" s="315" t="s">
        <v>850</v>
      </c>
      <c r="H47" s="315" t="s">
        <v>850</v>
      </c>
      <c r="I47" s="315"/>
      <c r="J47" s="315" t="s">
        <v>850</v>
      </c>
      <c r="K47" s="315" t="s">
        <v>850</v>
      </c>
      <c r="L47" s="316"/>
      <c r="M47" s="317"/>
      <c r="N47" s="334"/>
    </row>
    <row r="48" spans="2:15" x14ac:dyDescent="0.15">
      <c r="B48" s="127" t="s">
        <v>1144</v>
      </c>
      <c r="C48" s="130">
        <v>9</v>
      </c>
      <c r="D48" s="129">
        <v>0.4375</v>
      </c>
      <c r="E48" s="130">
        <v>3.5</v>
      </c>
      <c r="F48" s="129">
        <v>0.5625</v>
      </c>
      <c r="G48" s="129">
        <v>1.1875</v>
      </c>
      <c r="H48" s="129">
        <v>0.5625</v>
      </c>
      <c r="I48" s="130">
        <v>0.875</v>
      </c>
      <c r="J48" s="130" t="s">
        <v>850</v>
      </c>
      <c r="K48" s="129" t="s">
        <v>850</v>
      </c>
      <c r="L48" s="119">
        <f>(C48*2-F48*2+(E48*4)-(D48*2))*12/144</f>
        <v>2.5</v>
      </c>
      <c r="M48" s="274">
        <f t="shared" si="0"/>
        <v>0.76200000115824007</v>
      </c>
      <c r="N48" s="274">
        <f t="shared" si="1"/>
        <v>37.799366724121704</v>
      </c>
      <c r="O48">
        <v>25.4</v>
      </c>
    </row>
    <row r="49" spans="2:15" x14ac:dyDescent="0.15">
      <c r="B49" s="18" t="s">
        <v>1164</v>
      </c>
      <c r="C49" s="22">
        <v>9</v>
      </c>
      <c r="D49" s="21">
        <v>0.375</v>
      </c>
      <c r="E49" s="22">
        <v>3.5</v>
      </c>
      <c r="F49" s="21">
        <v>0.5625</v>
      </c>
      <c r="G49" s="21">
        <v>1.1875</v>
      </c>
      <c r="H49" s="21">
        <v>0.5625</v>
      </c>
      <c r="I49" s="22">
        <v>0.875</v>
      </c>
      <c r="J49" s="22" t="s">
        <v>850</v>
      </c>
      <c r="K49" s="21" t="s">
        <v>850</v>
      </c>
      <c r="L49" s="313">
        <f>(C49*2-F49*2+(E49*4)-(D49*2))*12/144</f>
        <v>2.5104166666666665</v>
      </c>
      <c r="M49" s="333">
        <f t="shared" si="0"/>
        <v>0.76517500116306592</v>
      </c>
      <c r="N49" s="274">
        <f t="shared" si="1"/>
        <v>35.56712065773656</v>
      </c>
      <c r="O49">
        <v>23.9</v>
      </c>
    </row>
    <row r="50" spans="2:15" x14ac:dyDescent="0.15">
      <c r="B50" s="311" t="s">
        <v>850</v>
      </c>
      <c r="C50" s="315" t="s">
        <v>850</v>
      </c>
      <c r="D50" s="315" t="s">
        <v>850</v>
      </c>
      <c r="E50" s="315" t="s">
        <v>850</v>
      </c>
      <c r="F50" s="315" t="s">
        <v>850</v>
      </c>
      <c r="G50" s="315" t="s">
        <v>850</v>
      </c>
      <c r="H50" s="315" t="s">
        <v>850</v>
      </c>
      <c r="I50" s="315" t="s">
        <v>850</v>
      </c>
      <c r="J50" s="315" t="s">
        <v>850</v>
      </c>
      <c r="K50" s="315" t="s">
        <v>850</v>
      </c>
      <c r="L50" s="316"/>
      <c r="M50" s="317"/>
      <c r="N50" s="334"/>
    </row>
    <row r="51" spans="2:15" x14ac:dyDescent="0.15">
      <c r="B51" s="18" t="s">
        <v>1165</v>
      </c>
      <c r="C51" s="156">
        <v>8</v>
      </c>
      <c r="D51" s="131">
        <v>0.4375</v>
      </c>
      <c r="E51" s="156">
        <v>3.5</v>
      </c>
      <c r="F51" s="131">
        <v>0.5</v>
      </c>
      <c r="G51" s="131">
        <v>1.1875</v>
      </c>
      <c r="H51" s="131">
        <v>0.5</v>
      </c>
      <c r="I51" s="156">
        <v>0.875</v>
      </c>
      <c r="J51" s="156" t="s">
        <v>850</v>
      </c>
      <c r="K51" s="131" t="s">
        <v>850</v>
      </c>
      <c r="L51" s="119">
        <f>(C51*2-F51*2+(E51*4)-(D51*2))*12/144</f>
        <v>2.34375</v>
      </c>
      <c r="M51" s="274">
        <f t="shared" si="0"/>
        <v>0.71437500108585006</v>
      </c>
      <c r="N51" s="274">
        <f t="shared" si="1"/>
        <v>33.93014020905413</v>
      </c>
      <c r="O51">
        <v>22.8</v>
      </c>
    </row>
    <row r="52" spans="2:15" x14ac:dyDescent="0.15">
      <c r="B52" s="18" t="s">
        <v>1663</v>
      </c>
      <c r="C52" s="22">
        <v>8</v>
      </c>
      <c r="D52" s="21">
        <v>0.375</v>
      </c>
      <c r="E52" s="22">
        <v>3.5</v>
      </c>
      <c r="F52" s="21">
        <v>0.5</v>
      </c>
      <c r="G52" s="21">
        <v>1.1875</v>
      </c>
      <c r="H52" s="21">
        <v>0.5</v>
      </c>
      <c r="I52" s="22">
        <v>0.875</v>
      </c>
      <c r="J52" s="22"/>
      <c r="K52" s="21"/>
      <c r="L52" s="313">
        <f>(C52*2-F52*2+(E52*4)-(D52*2))*12/144</f>
        <v>2.3541666666666665</v>
      </c>
      <c r="M52" s="333">
        <f t="shared" si="0"/>
        <v>0.71755000109067602</v>
      </c>
      <c r="N52" s="274">
        <f t="shared" si="1"/>
        <v>31.846710547094666</v>
      </c>
      <c r="O52">
        <v>21.4</v>
      </c>
    </row>
    <row r="53" spans="2:15" x14ac:dyDescent="0.15">
      <c r="B53" s="307"/>
      <c r="C53" s="315"/>
      <c r="D53" s="315"/>
      <c r="E53" s="315"/>
      <c r="F53" s="315"/>
      <c r="G53" s="315"/>
      <c r="H53" s="315"/>
      <c r="I53" s="315"/>
      <c r="J53" s="315"/>
      <c r="K53" s="315"/>
      <c r="L53" s="316"/>
      <c r="M53" s="317"/>
      <c r="N53" s="334"/>
    </row>
    <row r="54" spans="2:15" x14ac:dyDescent="0.15">
      <c r="B54" s="18" t="s">
        <v>1173</v>
      </c>
      <c r="C54" s="156">
        <v>8</v>
      </c>
      <c r="D54" s="131">
        <v>0.375</v>
      </c>
      <c r="E54" s="156">
        <v>3</v>
      </c>
      <c r="F54" s="131">
        <v>0.5</v>
      </c>
      <c r="G54" s="131">
        <v>1.125</v>
      </c>
      <c r="H54" s="131">
        <v>0.5</v>
      </c>
      <c r="I54" s="156">
        <v>0.875</v>
      </c>
      <c r="J54" s="156" t="s">
        <v>850</v>
      </c>
      <c r="K54" s="131" t="s">
        <v>850</v>
      </c>
      <c r="L54" s="119">
        <f>(C54*2-F54*2+(E54*4)-(D54*2))*12/144</f>
        <v>2.1875</v>
      </c>
      <c r="M54" s="274">
        <f t="shared" si="0"/>
        <v>0.66675000101346005</v>
      </c>
      <c r="N54" s="274">
        <f t="shared" si="1"/>
        <v>29.763280885135202</v>
      </c>
      <c r="O54">
        <v>20</v>
      </c>
    </row>
    <row r="55" spans="2:15" x14ac:dyDescent="0.15">
      <c r="B55" s="127" t="s">
        <v>1166</v>
      </c>
      <c r="C55" s="130">
        <v>8</v>
      </c>
      <c r="D55" s="129">
        <v>0.375</v>
      </c>
      <c r="E55" s="130">
        <v>3</v>
      </c>
      <c r="F55" s="129">
        <v>0.5</v>
      </c>
      <c r="G55" s="129">
        <v>1.1875</v>
      </c>
      <c r="H55" s="129">
        <v>0.5</v>
      </c>
      <c r="I55" s="130">
        <v>0.875</v>
      </c>
      <c r="J55" s="130" t="s">
        <v>850</v>
      </c>
      <c r="K55" s="129" t="s">
        <v>850</v>
      </c>
      <c r="L55" s="119">
        <f>(C55*2-F55*2+(E55*4)-(D55*2))*12/144</f>
        <v>2.1875</v>
      </c>
      <c r="M55" s="274">
        <f t="shared" si="0"/>
        <v>0.66675000101346005</v>
      </c>
      <c r="N55" s="274">
        <f t="shared" si="1"/>
        <v>27.828667627601416</v>
      </c>
      <c r="O55">
        <v>18.7</v>
      </c>
    </row>
    <row r="56" spans="2:15" x14ac:dyDescent="0.15">
      <c r="B56" s="18"/>
      <c r="C56" s="20"/>
      <c r="D56" s="19"/>
      <c r="E56" s="20"/>
      <c r="F56" s="19"/>
      <c r="G56" s="19"/>
      <c r="H56" s="19"/>
      <c r="I56" s="20"/>
      <c r="J56" s="20"/>
      <c r="K56" s="19"/>
      <c r="L56" s="119"/>
      <c r="M56" s="274"/>
      <c r="N56" s="274"/>
    </row>
    <row r="57" spans="2:15" x14ac:dyDescent="0.15">
      <c r="B57" s="127" t="s">
        <v>1167</v>
      </c>
      <c r="C57" s="130">
        <v>8</v>
      </c>
      <c r="D57" s="129">
        <v>0.1875</v>
      </c>
      <c r="E57" s="130">
        <v>1.875</v>
      </c>
      <c r="F57" s="129">
        <v>0.3125</v>
      </c>
      <c r="G57" s="129">
        <v>0.75</v>
      </c>
      <c r="H57" s="129">
        <v>0.3125</v>
      </c>
      <c r="I57" s="130">
        <v>0.625</v>
      </c>
      <c r="J57" s="130" t="s">
        <v>850</v>
      </c>
      <c r="K57" s="129" t="s">
        <v>850</v>
      </c>
      <c r="L57" s="313">
        <f>(C57*2-F57*2+(E57*4)-(D57*2))*12/144</f>
        <v>1.875</v>
      </c>
      <c r="M57" s="333">
        <f t="shared" si="0"/>
        <v>0.57150000086868002</v>
      </c>
      <c r="N57" s="274">
        <f t="shared" si="1"/>
        <v>12.649394376182462</v>
      </c>
      <c r="O57">
        <v>8.5</v>
      </c>
    </row>
    <row r="58" spans="2:15" x14ac:dyDescent="0.15">
      <c r="B58" s="307"/>
      <c r="C58" s="315" t="s">
        <v>850</v>
      </c>
      <c r="D58" s="315" t="s">
        <v>850</v>
      </c>
      <c r="E58" s="315" t="s">
        <v>850</v>
      </c>
      <c r="F58" s="315" t="s">
        <v>850</v>
      </c>
      <c r="G58" s="315" t="s">
        <v>850</v>
      </c>
      <c r="H58" s="315" t="s">
        <v>850</v>
      </c>
      <c r="I58" s="315"/>
      <c r="J58" s="315" t="s">
        <v>850</v>
      </c>
      <c r="K58" s="315" t="s">
        <v>850</v>
      </c>
      <c r="L58" s="316"/>
      <c r="M58" s="317"/>
      <c r="N58" s="334"/>
    </row>
    <row r="59" spans="2:15" x14ac:dyDescent="0.15">
      <c r="B59" s="127" t="s">
        <v>1168</v>
      </c>
      <c r="C59" s="130">
        <v>7</v>
      </c>
      <c r="D59" s="129">
        <v>0.5</v>
      </c>
      <c r="E59" s="130">
        <v>3.625</v>
      </c>
      <c r="F59" s="129">
        <v>0.5</v>
      </c>
      <c r="G59" s="129">
        <v>1.125</v>
      </c>
      <c r="H59" s="129">
        <v>0.5</v>
      </c>
      <c r="I59" s="130">
        <v>0.875</v>
      </c>
      <c r="J59" s="130" t="s">
        <v>850</v>
      </c>
      <c r="K59" s="129" t="s">
        <v>850</v>
      </c>
      <c r="L59" s="119">
        <f>(C59*2-F59*2+(E59*4)-(D59*2))*12/144</f>
        <v>2.2083333333333335</v>
      </c>
      <c r="M59" s="274">
        <f t="shared" si="0"/>
        <v>0.67310000102311218</v>
      </c>
      <c r="N59" s="274">
        <f t="shared" si="1"/>
        <v>33.78132380462845</v>
      </c>
      <c r="O59">
        <v>22.7</v>
      </c>
    </row>
    <row r="60" spans="2:15" x14ac:dyDescent="0.15">
      <c r="B60" s="18" t="s">
        <v>1169</v>
      </c>
      <c r="C60" s="22">
        <v>7</v>
      </c>
      <c r="D60" s="21">
        <v>0.375</v>
      </c>
      <c r="E60" s="22">
        <v>3.5</v>
      </c>
      <c r="F60" s="21">
        <v>0.5</v>
      </c>
      <c r="G60" s="21">
        <v>1.125</v>
      </c>
      <c r="H60" s="21">
        <v>0.5</v>
      </c>
      <c r="I60" s="22">
        <v>0.875</v>
      </c>
      <c r="J60" s="22" t="s">
        <v>850</v>
      </c>
      <c r="K60" s="21" t="s">
        <v>850</v>
      </c>
      <c r="L60" s="313">
        <f>(C60*2-F60*2+(E60*4)-(D60*2))*12/144</f>
        <v>2.1875</v>
      </c>
      <c r="M60" s="333">
        <f t="shared" si="0"/>
        <v>0.66675000101346005</v>
      </c>
      <c r="N60" s="274">
        <f t="shared" si="1"/>
        <v>28.42393324530412</v>
      </c>
      <c r="O60">
        <v>19.100000000000001</v>
      </c>
    </row>
    <row r="61" spans="2:15" x14ac:dyDescent="0.15">
      <c r="B61" s="311" t="s">
        <v>850</v>
      </c>
      <c r="C61" s="315" t="s">
        <v>850</v>
      </c>
      <c r="D61" s="315" t="s">
        <v>850</v>
      </c>
      <c r="E61" s="315" t="s">
        <v>850</v>
      </c>
      <c r="F61" s="315" t="s">
        <v>850</v>
      </c>
      <c r="G61" s="315" t="s">
        <v>850</v>
      </c>
      <c r="H61" s="315" t="s">
        <v>850</v>
      </c>
      <c r="I61" s="315" t="s">
        <v>850</v>
      </c>
      <c r="J61" s="315" t="s">
        <v>850</v>
      </c>
      <c r="K61" s="315" t="s">
        <v>850</v>
      </c>
      <c r="L61" s="316"/>
      <c r="M61" s="317"/>
      <c r="N61" s="334"/>
    </row>
    <row r="62" spans="2:15" x14ac:dyDescent="0.15">
      <c r="B62" s="18" t="s">
        <v>1174</v>
      </c>
      <c r="C62" s="156">
        <v>6</v>
      </c>
      <c r="D62" s="131">
        <v>0.375</v>
      </c>
      <c r="E62" s="156">
        <v>3.5</v>
      </c>
      <c r="F62" s="131">
        <v>0.5</v>
      </c>
      <c r="G62" s="131">
        <v>1.0625</v>
      </c>
      <c r="H62" s="131">
        <v>0.5</v>
      </c>
      <c r="I62" s="156">
        <v>0.875</v>
      </c>
      <c r="J62" s="156" t="s">
        <v>850</v>
      </c>
      <c r="K62" s="131" t="s">
        <v>850</v>
      </c>
      <c r="L62" s="119">
        <f>(C62*2-F62*2+(E62*4)-(D62*2))*12/144</f>
        <v>2.0208333333333335</v>
      </c>
      <c r="M62" s="274">
        <f t="shared" si="0"/>
        <v>0.61595000093624408</v>
      </c>
      <c r="N62" s="274">
        <f t="shared" si="1"/>
        <v>26.78695279662168</v>
      </c>
      <c r="O62">
        <v>18</v>
      </c>
    </row>
    <row r="63" spans="2:15" x14ac:dyDescent="0.15">
      <c r="B63" s="127" t="s">
        <v>1175</v>
      </c>
      <c r="C63" s="130">
        <v>6</v>
      </c>
      <c r="D63" s="129">
        <v>0.3125</v>
      </c>
      <c r="E63" s="130">
        <v>3.5</v>
      </c>
      <c r="F63" s="129">
        <v>0.375</v>
      </c>
      <c r="G63" s="129">
        <v>0.875</v>
      </c>
      <c r="H63" s="129">
        <v>0.375</v>
      </c>
      <c r="I63" s="130">
        <v>0.875</v>
      </c>
      <c r="J63" s="130" t="s">
        <v>850</v>
      </c>
      <c r="K63" s="129" t="s">
        <v>850</v>
      </c>
      <c r="L63" s="313">
        <f>(C63*2-F63*2+(E63*4)-(D63*2))*12/144</f>
        <v>2.0520833333333335</v>
      </c>
      <c r="M63" s="333">
        <f t="shared" si="0"/>
        <v>0.62547500095072217</v>
      </c>
      <c r="N63" s="274">
        <f t="shared" si="1"/>
        <v>22.768909877128429</v>
      </c>
      <c r="O63">
        <v>15.3</v>
      </c>
    </row>
    <row r="64" spans="2:15" x14ac:dyDescent="0.15">
      <c r="B64" s="307"/>
      <c r="C64" s="315"/>
      <c r="D64" s="315"/>
      <c r="E64" s="315"/>
      <c r="F64" s="315"/>
      <c r="G64" s="315"/>
      <c r="H64" s="315"/>
      <c r="I64" s="315"/>
      <c r="J64" s="315"/>
      <c r="K64" s="315"/>
      <c r="L64" s="316"/>
      <c r="M64" s="317"/>
      <c r="N64" s="334"/>
    </row>
    <row r="65" spans="2:15" x14ac:dyDescent="0.15">
      <c r="B65" s="18" t="s">
        <v>1170</v>
      </c>
      <c r="C65" s="156">
        <v>6</v>
      </c>
      <c r="D65" s="131">
        <v>0.375</v>
      </c>
      <c r="E65" s="156">
        <v>3</v>
      </c>
      <c r="F65" s="131">
        <v>0.5</v>
      </c>
      <c r="G65" s="131">
        <v>1.0625</v>
      </c>
      <c r="H65" s="131">
        <v>0.5</v>
      </c>
      <c r="I65" s="156">
        <v>0.75</v>
      </c>
      <c r="J65" s="156" t="s">
        <v>850</v>
      </c>
      <c r="K65" s="131" t="s">
        <v>850</v>
      </c>
      <c r="L65" s="119">
        <f>(C65*2-F65*2+(E65*4)-(D65*2))*12/144</f>
        <v>1.8541666666666667</v>
      </c>
      <c r="M65" s="274">
        <f t="shared" si="0"/>
        <v>0.56515000085902811</v>
      </c>
      <c r="N65" s="274">
        <f t="shared" si="1"/>
        <v>24.257073921385192</v>
      </c>
      <c r="O65">
        <v>16.3</v>
      </c>
    </row>
    <row r="66" spans="2:15" x14ac:dyDescent="0.15">
      <c r="B66" s="127" t="s">
        <v>1171</v>
      </c>
      <c r="C66" s="130">
        <v>6</v>
      </c>
      <c r="D66" s="129">
        <v>0.3125</v>
      </c>
      <c r="E66" s="130">
        <v>3</v>
      </c>
      <c r="F66" s="129">
        <v>0.5</v>
      </c>
      <c r="G66" s="129">
        <v>1.0625</v>
      </c>
      <c r="H66" s="129">
        <v>0.5</v>
      </c>
      <c r="I66" s="130">
        <v>0.75</v>
      </c>
      <c r="J66" s="130" t="s">
        <v>850</v>
      </c>
      <c r="K66" s="129" t="s">
        <v>850</v>
      </c>
      <c r="L66" s="313">
        <f>(C66*2-F66*2+(E66*4)-(D66*2))*12/144</f>
        <v>1.8645833333333333</v>
      </c>
      <c r="M66" s="333">
        <f t="shared" si="0"/>
        <v>0.56832500086385407</v>
      </c>
      <c r="N66" s="274">
        <f t="shared" si="1"/>
        <v>22.471277068277079</v>
      </c>
      <c r="O66">
        <v>15.1</v>
      </c>
    </row>
    <row r="67" spans="2:15" x14ac:dyDescent="0.15">
      <c r="B67" s="307"/>
      <c r="C67" s="315"/>
      <c r="D67" s="315"/>
      <c r="E67" s="315"/>
      <c r="F67" s="315"/>
      <c r="G67" s="315"/>
      <c r="H67" s="315"/>
      <c r="I67" s="315"/>
      <c r="J67" s="315"/>
      <c r="K67" s="315"/>
      <c r="L67" s="315"/>
      <c r="M67" s="317"/>
      <c r="N67" s="334"/>
    </row>
    <row r="68" spans="2:15" x14ac:dyDescent="0.15">
      <c r="B68" s="127" t="s">
        <v>1172</v>
      </c>
      <c r="C68" s="130">
        <v>6</v>
      </c>
      <c r="D68" s="129">
        <v>0.3125</v>
      </c>
      <c r="E68" s="130">
        <v>2.5</v>
      </c>
      <c r="F68" s="129">
        <v>0.375</v>
      </c>
      <c r="G68" s="129">
        <v>0.8125</v>
      </c>
      <c r="H68" s="129">
        <v>0.375</v>
      </c>
      <c r="I68" s="130">
        <v>0.625</v>
      </c>
      <c r="J68" s="130" t="s">
        <v>850</v>
      </c>
      <c r="K68" s="129" t="s">
        <v>850</v>
      </c>
      <c r="L68" s="313">
        <f>(C68*2-F68*2+(E68*4)-(D68*2))*12/144</f>
        <v>1.71875</v>
      </c>
      <c r="M68" s="333">
        <f t="shared" si="0"/>
        <v>0.52387500079629012</v>
      </c>
      <c r="N68" s="274">
        <f t="shared" si="1"/>
        <v>17.85796853108112</v>
      </c>
      <c r="O68">
        <v>12</v>
      </c>
    </row>
    <row r="69" spans="2:15" x14ac:dyDescent="0.15">
      <c r="B69" s="307" t="s">
        <v>850</v>
      </c>
      <c r="C69" s="315" t="s">
        <v>850</v>
      </c>
      <c r="D69" s="315" t="s">
        <v>850</v>
      </c>
      <c r="E69" s="315" t="s">
        <v>850</v>
      </c>
      <c r="F69" s="315" t="s">
        <v>850</v>
      </c>
      <c r="G69" s="315" t="s">
        <v>850</v>
      </c>
      <c r="H69" s="315" t="s">
        <v>850</v>
      </c>
      <c r="I69" s="315"/>
      <c r="J69" s="315" t="s">
        <v>850</v>
      </c>
      <c r="K69" s="315" t="s">
        <v>850</v>
      </c>
      <c r="L69" s="315" t="s">
        <v>850</v>
      </c>
      <c r="M69" s="317"/>
      <c r="N69" s="334"/>
    </row>
    <row r="70" spans="2:15" x14ac:dyDescent="0.15">
      <c r="B70" s="133"/>
      <c r="C70" s="133"/>
      <c r="D70" s="133"/>
      <c r="E70" s="133"/>
      <c r="F70" s="133"/>
      <c r="G70" s="133"/>
      <c r="H70" s="133"/>
      <c r="I70" s="133"/>
      <c r="J70" s="133"/>
      <c r="K70" s="133"/>
      <c r="L70" s="133"/>
    </row>
    <row r="71" spans="2:15" x14ac:dyDescent="0.15">
      <c r="B71" s="133"/>
      <c r="C71" s="133"/>
      <c r="D71" s="133"/>
      <c r="E71" s="133"/>
      <c r="F71" s="133"/>
      <c r="G71" s="133"/>
      <c r="H71" s="133"/>
      <c r="I71" s="133"/>
      <c r="J71" s="133"/>
      <c r="K71" s="133"/>
      <c r="L71" s="133"/>
    </row>
    <row r="72" spans="2:15" x14ac:dyDescent="0.15">
      <c r="B72" s="133"/>
      <c r="C72" s="133"/>
      <c r="D72" s="133"/>
      <c r="E72" s="133"/>
      <c r="F72" s="133"/>
      <c r="G72" s="133"/>
      <c r="H72" s="133"/>
      <c r="I72" s="133"/>
      <c r="J72" s="133"/>
      <c r="K72" s="133"/>
      <c r="L72" s="133"/>
    </row>
    <row r="73" spans="2:15" x14ac:dyDescent="0.15">
      <c r="B73" s="133"/>
      <c r="C73" s="133"/>
      <c r="D73" s="133"/>
      <c r="E73" s="133"/>
      <c r="F73" s="133"/>
      <c r="G73" s="133"/>
      <c r="H73" s="133"/>
      <c r="I73" s="133"/>
      <c r="J73" s="133"/>
      <c r="K73" s="133"/>
      <c r="L73" s="133"/>
    </row>
    <row r="74" spans="2:15" x14ac:dyDescent="0.15">
      <c r="B74" s="133"/>
      <c r="C74" s="133"/>
      <c r="D74" s="133"/>
      <c r="E74" s="133"/>
      <c r="F74" s="133"/>
      <c r="G74" s="133"/>
      <c r="H74" s="133"/>
      <c r="I74" s="133"/>
      <c r="J74" s="133"/>
      <c r="K74" s="133"/>
    </row>
    <row r="75" spans="2:15" x14ac:dyDescent="0.15">
      <c r="B75" s="133"/>
      <c r="C75" s="133"/>
      <c r="D75" s="133"/>
      <c r="E75" s="133"/>
      <c r="F75" s="133"/>
      <c r="G75" s="133"/>
      <c r="H75" s="133"/>
      <c r="I75" s="133"/>
      <c r="J75" s="133"/>
      <c r="K75" s="133"/>
    </row>
    <row r="76" spans="2:15" x14ac:dyDescent="0.15">
      <c r="B76" s="133"/>
      <c r="C76" s="133"/>
      <c r="D76" s="133"/>
      <c r="E76" s="133"/>
      <c r="F76" s="133"/>
      <c r="G76" s="133"/>
      <c r="H76" s="133"/>
      <c r="I76" s="133"/>
      <c r="J76" s="133"/>
      <c r="K76" s="133"/>
    </row>
    <row r="77" spans="2:15" x14ac:dyDescent="0.15">
      <c r="B77" s="133"/>
      <c r="C77" s="133"/>
      <c r="D77" s="133"/>
      <c r="E77" s="133"/>
      <c r="F77" s="133"/>
      <c r="G77" s="133"/>
      <c r="H77" s="133"/>
      <c r="I77" s="133"/>
      <c r="J77" s="133"/>
      <c r="K77" s="133"/>
    </row>
    <row r="78" spans="2:15" x14ac:dyDescent="0.15">
      <c r="B78" s="133"/>
      <c r="C78" s="133"/>
      <c r="D78" s="133"/>
      <c r="E78" s="133"/>
      <c r="F78" s="133"/>
      <c r="G78" s="133"/>
      <c r="H78" s="133"/>
      <c r="I78" s="133"/>
      <c r="J78" s="133"/>
      <c r="K78" s="133"/>
    </row>
  </sheetData>
  <phoneticPr fontId="80" type="noConversion"/>
  <pageMargins left="0.75" right="0.75" top="1" bottom="1" header="0.5" footer="0.5"/>
  <pageSetup orientation="portrait"/>
  <headerFooter alignWithMargin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F3B35-005E-444C-8102-BB21EDFDC617}">
  <dimension ref="B1:AY188"/>
  <sheetViews>
    <sheetView showGridLines="0" zoomScale="90" workbookViewId="0">
      <pane xSplit="16" ySplit="20" topLeftCell="Q21" activePane="bottomRight" state="frozen"/>
      <selection pane="topRight" activeCell="Q1" sqref="Q1"/>
      <selection pane="bottomLeft" activeCell="A21" sqref="A21"/>
      <selection pane="bottomRight" activeCell="Y13" sqref="Y13"/>
    </sheetView>
  </sheetViews>
  <sheetFormatPr baseColWidth="10" defaultColWidth="8.83203125" defaultRowHeight="13" x14ac:dyDescent="0.15"/>
  <cols>
    <col min="1" max="1" width="2" customWidth="1"/>
    <col min="2" max="2" width="8.6640625" customWidth="1"/>
    <col min="3" max="3" width="7.5" customWidth="1"/>
    <col min="4" max="4" width="8.5" customWidth="1"/>
    <col min="5" max="5" width="11.6640625" customWidth="1"/>
    <col min="6" max="6" width="10.33203125" customWidth="1"/>
    <col min="7" max="7" width="10.83203125" customWidth="1"/>
    <col min="8" max="8" width="9.33203125" customWidth="1"/>
    <col min="9" max="9" width="7.5" customWidth="1"/>
    <col min="10" max="10" width="11.5" customWidth="1"/>
    <col min="11" max="12" width="8.83203125" customWidth="1"/>
    <col min="13" max="13" width="9.83203125" customWidth="1"/>
    <col min="14" max="14" width="9.6640625" customWidth="1"/>
    <col min="15" max="15" width="10.1640625" customWidth="1"/>
    <col min="16" max="16" width="10.5" customWidth="1"/>
    <col min="17" max="17" width="4.5" customWidth="1"/>
    <col min="18" max="18" width="7.33203125" customWidth="1"/>
    <col min="19" max="19" width="5.5" customWidth="1"/>
    <col min="20" max="20" width="0.1640625" customWidth="1"/>
    <col min="21" max="21" width="6.1640625" hidden="1" customWidth="1"/>
    <col min="22" max="22" width="6.5" hidden="1" customWidth="1"/>
    <col min="23" max="23" width="4.1640625" hidden="1" customWidth="1"/>
    <col min="24" max="24" width="4.5" hidden="1" customWidth="1"/>
    <col min="25" max="25" width="5.1640625" customWidth="1"/>
    <col min="26" max="26" width="5.5" customWidth="1"/>
    <col min="27" max="30" width="8.83203125" customWidth="1"/>
    <col min="31" max="31" width="9.6640625" customWidth="1"/>
    <col min="32" max="33" width="8.83203125" customWidth="1"/>
    <col min="34" max="34" width="14.5" customWidth="1"/>
    <col min="35" max="43" width="8.83203125" customWidth="1"/>
    <col min="44" max="44" width="2.1640625" customWidth="1"/>
    <col min="45" max="45" width="2.33203125" customWidth="1"/>
    <col min="46" max="46" width="3.33203125" customWidth="1"/>
    <col min="47" max="47" width="4" customWidth="1"/>
    <col min="48" max="48" width="3.1640625" customWidth="1"/>
    <col min="49" max="49" width="4.6640625" customWidth="1"/>
    <col min="50" max="50" width="6.6640625" customWidth="1"/>
  </cols>
  <sheetData>
    <row r="1" spans="2:19" ht="20" x14ac:dyDescent="0.2">
      <c r="B1" s="192" t="s">
        <v>1425</v>
      </c>
      <c r="G1" s="193" t="s">
        <v>1427</v>
      </c>
    </row>
    <row r="2" spans="2:19" x14ac:dyDescent="0.15">
      <c r="B2" s="31"/>
      <c r="C2" s="31"/>
      <c r="D2" s="31"/>
      <c r="E2" s="31"/>
      <c r="F2" s="31"/>
      <c r="G2" s="30"/>
      <c r="H2" s="31"/>
      <c r="I2" s="31"/>
      <c r="J2" s="31"/>
      <c r="K2" s="31"/>
      <c r="L2" s="31"/>
      <c r="M2" s="31"/>
      <c r="N2" s="31"/>
      <c r="O2" s="31"/>
    </row>
    <row r="3" spans="2:19" x14ac:dyDescent="0.15">
      <c r="B3" s="112">
        <f ca="1">NOW()</f>
        <v>45636.449309606483</v>
      </c>
    </row>
    <row r="4" spans="2:19" x14ac:dyDescent="0.15">
      <c r="B4" s="113"/>
    </row>
    <row r="6" spans="2:19" x14ac:dyDescent="0.15">
      <c r="B6" s="31"/>
      <c r="C6" s="31"/>
      <c r="D6" s="31"/>
      <c r="E6" s="31"/>
      <c r="F6" s="31"/>
      <c r="G6" s="31"/>
      <c r="H6" s="31"/>
      <c r="I6" s="31"/>
      <c r="J6" s="31"/>
      <c r="K6" s="31"/>
      <c r="L6" s="32"/>
      <c r="M6" s="31"/>
      <c r="N6" s="31"/>
      <c r="O6" s="31"/>
      <c r="P6" s="31"/>
      <c r="Q6" s="31"/>
      <c r="R6" s="31"/>
      <c r="S6" s="31"/>
    </row>
    <row r="7" spans="2:19" ht="18" x14ac:dyDescent="0.2">
      <c r="B7" s="28"/>
      <c r="C7" s="28"/>
      <c r="D7" s="194" t="s">
        <v>1423</v>
      </c>
      <c r="I7" s="28"/>
      <c r="J7" s="28"/>
    </row>
    <row r="8" spans="2:19" ht="18" x14ac:dyDescent="0.2">
      <c r="L8" s="27"/>
    </row>
    <row r="9" spans="2:19" ht="18" x14ac:dyDescent="0.2">
      <c r="D9" s="194" t="s">
        <v>1424</v>
      </c>
    </row>
    <row r="11" spans="2:19" ht="18" x14ac:dyDescent="0.2">
      <c r="L11" s="27"/>
    </row>
    <row r="12" spans="2:19" ht="18" x14ac:dyDescent="0.2">
      <c r="D12" s="27"/>
    </row>
    <row r="13" spans="2:19" ht="17" thickBot="1" x14ac:dyDescent="0.25">
      <c r="B13" s="29" t="s">
        <v>1429</v>
      </c>
    </row>
    <row r="14" spans="2:19" ht="17" thickBot="1" x14ac:dyDescent="0.25">
      <c r="B14" s="381" t="s">
        <v>1426</v>
      </c>
      <c r="C14" s="54">
        <v>8</v>
      </c>
      <c r="D14" s="54">
        <v>7</v>
      </c>
      <c r="E14" s="54">
        <v>6</v>
      </c>
      <c r="F14" s="54">
        <v>5</v>
      </c>
      <c r="G14" s="54">
        <v>4</v>
      </c>
      <c r="H14" s="55">
        <v>3.5</v>
      </c>
      <c r="I14" s="54">
        <v>3</v>
      </c>
      <c r="J14" s="55">
        <v>2.5</v>
      </c>
      <c r="K14" s="56">
        <v>2</v>
      </c>
      <c r="L14" s="161">
        <v>1.75</v>
      </c>
      <c r="M14" s="161">
        <v>1.375</v>
      </c>
      <c r="N14" s="161">
        <v>1.25</v>
      </c>
      <c r="O14" s="56">
        <v>1</v>
      </c>
    </row>
    <row r="15" spans="2:19" ht="14" x14ac:dyDescent="0.15">
      <c r="B15" s="40" t="s">
        <v>1428</v>
      </c>
      <c r="C15" s="36">
        <v>4.5</v>
      </c>
      <c r="D15" s="50">
        <v>4</v>
      </c>
      <c r="E15" s="36">
        <v>3.5</v>
      </c>
      <c r="F15" s="37">
        <v>3</v>
      </c>
      <c r="G15" s="36">
        <v>2.5</v>
      </c>
      <c r="H15" s="37">
        <v>2</v>
      </c>
      <c r="I15" s="36">
        <v>1.75</v>
      </c>
      <c r="J15" s="48">
        <v>1.375</v>
      </c>
      <c r="K15" s="49">
        <v>1.125</v>
      </c>
      <c r="L15" s="49">
        <v>1</v>
      </c>
      <c r="M15" s="49">
        <v>0.875</v>
      </c>
      <c r="N15" s="49">
        <v>0.75</v>
      </c>
      <c r="O15" s="49">
        <v>0.625</v>
      </c>
    </row>
    <row r="16" spans="2:19" ht="14" x14ac:dyDescent="0.15">
      <c r="B16" s="41" t="s">
        <v>1423</v>
      </c>
      <c r="C16" s="51">
        <v>3</v>
      </c>
      <c r="D16" s="39">
        <v>2.5</v>
      </c>
      <c r="E16" s="38">
        <v>2.25</v>
      </c>
      <c r="F16" s="39">
        <v>2</v>
      </c>
      <c r="G16" s="38"/>
      <c r="H16" s="39"/>
      <c r="I16" s="38"/>
      <c r="J16" s="39"/>
      <c r="K16" s="42"/>
      <c r="L16" s="42"/>
      <c r="M16" s="42"/>
      <c r="N16" s="42"/>
      <c r="O16" s="42"/>
    </row>
    <row r="17" spans="2:51" ht="15" thickBot="1" x14ac:dyDescent="0.2">
      <c r="B17" s="43" t="s">
        <v>1424</v>
      </c>
      <c r="C17" s="52">
        <v>3</v>
      </c>
      <c r="D17" s="53">
        <v>3</v>
      </c>
      <c r="E17" s="44">
        <v>2.5</v>
      </c>
      <c r="F17" s="46">
        <v>1.75</v>
      </c>
      <c r="G17" s="44"/>
      <c r="H17" s="45"/>
      <c r="I17" s="44"/>
      <c r="J17" s="45"/>
      <c r="K17" s="47"/>
      <c r="L17" s="47"/>
      <c r="M17" s="47"/>
      <c r="N17" s="47"/>
      <c r="O17" s="47"/>
    </row>
    <row r="18" spans="2:51" ht="17" thickBot="1" x14ac:dyDescent="0.25">
      <c r="B18" s="35" t="s">
        <v>1178</v>
      </c>
      <c r="C18" s="33"/>
      <c r="D18" s="33"/>
      <c r="E18" s="34"/>
      <c r="F18" s="33"/>
      <c r="G18" s="33"/>
      <c r="H18" s="33"/>
      <c r="I18" s="33"/>
      <c r="J18" s="33"/>
    </row>
    <row r="19" spans="2:51" x14ac:dyDescent="0.15">
      <c r="B19" s="382" t="s">
        <v>845</v>
      </c>
      <c r="C19" s="383" t="s">
        <v>1177</v>
      </c>
      <c r="D19" s="383" t="s">
        <v>860</v>
      </c>
      <c r="E19" s="383" t="s">
        <v>1435</v>
      </c>
      <c r="F19" s="365" t="s">
        <v>1435</v>
      </c>
      <c r="G19" s="383" t="s">
        <v>1746</v>
      </c>
      <c r="H19" s="383" t="s">
        <v>1746</v>
      </c>
      <c r="I19" s="133"/>
      <c r="J19" s="382" t="s">
        <v>845</v>
      </c>
      <c r="K19" s="383" t="s">
        <v>1177</v>
      </c>
      <c r="L19" s="383" t="s">
        <v>860</v>
      </c>
      <c r="M19" s="383" t="s">
        <v>1435</v>
      </c>
      <c r="N19" s="365" t="s">
        <v>1435</v>
      </c>
      <c r="O19" s="383" t="s">
        <v>1746</v>
      </c>
      <c r="P19" s="383" t="s">
        <v>1746</v>
      </c>
      <c r="AA19" s="286"/>
      <c r="AB19" s="286"/>
      <c r="AC19" s="286"/>
      <c r="AD19" s="286"/>
      <c r="AE19" s="286"/>
      <c r="AF19" s="286"/>
      <c r="AG19" s="133"/>
      <c r="AH19" s="294"/>
      <c r="AI19" s="286"/>
      <c r="AJ19" s="286"/>
      <c r="AK19" s="286"/>
      <c r="AL19" s="286"/>
      <c r="AM19" s="286"/>
      <c r="AN19" s="286"/>
      <c r="AO19" s="133"/>
      <c r="AP19" s="133"/>
      <c r="AQ19" s="133"/>
      <c r="AR19" s="133"/>
      <c r="AS19" s="133"/>
      <c r="AT19" s="133"/>
      <c r="AU19" s="133"/>
      <c r="AV19" s="133"/>
      <c r="AW19" s="133"/>
      <c r="AX19" s="133"/>
      <c r="AY19" s="133"/>
    </row>
    <row r="20" spans="2:51" ht="14" thickBot="1" x14ac:dyDescent="0.2">
      <c r="B20" s="384"/>
      <c r="C20" s="385"/>
      <c r="D20" s="386"/>
      <c r="E20" s="386" t="s">
        <v>1745</v>
      </c>
      <c r="F20" s="372" t="s">
        <v>1764</v>
      </c>
      <c r="G20" s="386" t="s">
        <v>1747</v>
      </c>
      <c r="H20" s="387" t="s">
        <v>1748</v>
      </c>
      <c r="I20" s="285"/>
      <c r="J20" s="384"/>
      <c r="K20" s="385"/>
      <c r="L20" s="386"/>
      <c r="M20" s="386" t="s">
        <v>1745</v>
      </c>
      <c r="N20" s="372" t="s">
        <v>1764</v>
      </c>
      <c r="O20" s="386" t="s">
        <v>1747</v>
      </c>
      <c r="P20" s="387" t="s">
        <v>1748</v>
      </c>
      <c r="AA20" s="285"/>
      <c r="AB20" s="286"/>
      <c r="AC20" s="286"/>
      <c r="AD20" s="286"/>
      <c r="AE20" s="286"/>
      <c r="AF20" s="294"/>
      <c r="AG20" s="285"/>
      <c r="AH20" s="284"/>
      <c r="AI20" s="285"/>
      <c r="AJ20" s="286"/>
      <c r="AK20" s="286"/>
      <c r="AL20" s="286"/>
      <c r="AM20" s="286"/>
      <c r="AN20" s="294"/>
      <c r="AO20" s="133"/>
      <c r="AP20" s="133"/>
      <c r="AQ20" s="133"/>
      <c r="AR20" s="133"/>
      <c r="AS20" s="133"/>
      <c r="AT20" s="133"/>
      <c r="AU20" s="133"/>
      <c r="AV20" s="133"/>
      <c r="AW20" s="133"/>
      <c r="AX20" s="133"/>
      <c r="AY20" s="133"/>
    </row>
    <row r="21" spans="2:51" x14ac:dyDescent="0.15">
      <c r="B21" s="116" t="s">
        <v>1176</v>
      </c>
      <c r="C21" s="158">
        <v>0.625</v>
      </c>
      <c r="D21" s="158">
        <v>1.125</v>
      </c>
      <c r="E21" s="150">
        <v>26.3</v>
      </c>
      <c r="F21" s="271">
        <f>E21*3.2808399*0.4535924</f>
        <v>39.138714363952786</v>
      </c>
      <c r="G21" s="269">
        <f>((R21*2)+(S21*2))*12/144</f>
        <v>2.1666666666666665</v>
      </c>
      <c r="H21" s="270">
        <f t="shared" ref="H21:H84" si="0">G21*3.2808399*0.09290304</f>
        <v>0.66040000100380802</v>
      </c>
      <c r="I21" s="163"/>
      <c r="J21" s="116" t="s">
        <v>1189</v>
      </c>
      <c r="K21" s="288">
        <v>0.5</v>
      </c>
      <c r="L21" s="288">
        <v>0.9375</v>
      </c>
      <c r="M21" s="289">
        <v>11.9</v>
      </c>
      <c r="N21" s="272">
        <f>M21*3.2808399*0.4535924</f>
        <v>17.709152126655447</v>
      </c>
      <c r="O21" s="290">
        <f>((Y21*2)+(Z21*2))*12/144</f>
        <v>1.25</v>
      </c>
      <c r="P21" s="274">
        <f>O21*3.2808399*0.09290304</f>
        <v>0.38100000057912004</v>
      </c>
      <c r="R21">
        <v>9</v>
      </c>
      <c r="S21">
        <v>4</v>
      </c>
      <c r="Y21">
        <v>4</v>
      </c>
      <c r="Z21">
        <v>3.5</v>
      </c>
      <c r="AA21" s="163"/>
      <c r="AB21" s="163"/>
      <c r="AC21" s="283"/>
      <c r="AD21" s="330"/>
      <c r="AE21" s="330"/>
      <c r="AF21" s="330"/>
      <c r="AG21" s="163"/>
      <c r="AH21" s="287"/>
      <c r="AI21" s="163"/>
      <c r="AJ21" s="163"/>
      <c r="AK21" s="283"/>
      <c r="AL21" s="330"/>
      <c r="AM21" s="330"/>
      <c r="AN21" s="330"/>
      <c r="AO21" s="133"/>
      <c r="AP21" s="133"/>
      <c r="AQ21" s="133"/>
      <c r="AR21" s="133"/>
      <c r="AS21" s="133"/>
      <c r="AT21" s="133"/>
      <c r="AU21" s="133"/>
      <c r="AV21" s="133"/>
      <c r="AW21" s="133"/>
      <c r="AX21" s="133"/>
      <c r="AY21" s="133"/>
    </row>
    <row r="22" spans="2:51" x14ac:dyDescent="0.15">
      <c r="B22" s="115" t="s">
        <v>1176</v>
      </c>
      <c r="C22" s="152">
        <v>0.5625</v>
      </c>
      <c r="D22" s="152">
        <v>1.0625</v>
      </c>
      <c r="E22" s="154">
        <v>23.8</v>
      </c>
      <c r="F22" s="271">
        <f>E22*3.2808399*0.4535924</f>
        <v>35.418304253310893</v>
      </c>
      <c r="G22" s="271">
        <f>((R22*2)+(S22*2))*12/144</f>
        <v>2.1666666666666665</v>
      </c>
      <c r="H22" s="270">
        <f t="shared" si="0"/>
        <v>0.66040000100380802</v>
      </c>
      <c r="I22" s="163"/>
      <c r="J22" s="115" t="s">
        <v>1189</v>
      </c>
      <c r="K22" s="152">
        <v>0.4375</v>
      </c>
      <c r="L22" s="152">
        <v>0.875</v>
      </c>
      <c r="M22" s="154">
        <v>10.6</v>
      </c>
      <c r="N22" s="271">
        <f>M22*3.2808399*0.4535924</f>
        <v>15.774538869121656</v>
      </c>
      <c r="O22" s="270">
        <f>((Y22*2)+(Z22*2))*12/144</f>
        <v>1.25</v>
      </c>
      <c r="P22" s="270">
        <f>O22*3.2808399*0.09290304</f>
        <v>0.38100000057912004</v>
      </c>
      <c r="R22">
        <v>9</v>
      </c>
      <c r="S22">
        <v>4</v>
      </c>
      <c r="Y22">
        <v>4</v>
      </c>
      <c r="Z22">
        <v>3.5</v>
      </c>
      <c r="AA22" s="163"/>
      <c r="AB22" s="163"/>
      <c r="AC22" s="283"/>
      <c r="AD22" s="330"/>
      <c r="AE22" s="330"/>
      <c r="AF22" s="330"/>
      <c r="AG22" s="163"/>
      <c r="AH22" s="287"/>
      <c r="AI22" s="163"/>
      <c r="AJ22" s="163"/>
      <c r="AK22" s="283"/>
      <c r="AL22" s="330"/>
      <c r="AM22" s="330"/>
      <c r="AN22" s="330"/>
      <c r="AO22" s="133"/>
      <c r="AP22" s="133"/>
      <c r="AQ22" s="133"/>
      <c r="AR22" s="133"/>
      <c r="AS22" s="133"/>
      <c r="AT22" s="133"/>
      <c r="AU22" s="133"/>
      <c r="AV22" s="133"/>
      <c r="AW22" s="133"/>
      <c r="AX22" s="133"/>
      <c r="AY22" s="133"/>
    </row>
    <row r="23" spans="2:51" x14ac:dyDescent="0.15">
      <c r="B23" s="114" t="s">
        <v>1176</v>
      </c>
      <c r="C23" s="349">
        <v>0.5</v>
      </c>
      <c r="D23" s="349">
        <v>1</v>
      </c>
      <c r="E23" s="350">
        <v>21.3</v>
      </c>
      <c r="F23" s="325">
        <f>E23*3.2808399*0.4535924</f>
        <v>31.697894142668993</v>
      </c>
      <c r="G23" s="304">
        <f>((R23*2)+(S23*2))*12/144</f>
        <v>2.1666666666666665</v>
      </c>
      <c r="H23" s="270">
        <f t="shared" si="0"/>
        <v>0.66040000100380802</v>
      </c>
      <c r="I23" s="163"/>
      <c r="J23" s="116" t="s">
        <v>1189</v>
      </c>
      <c r="K23" s="14">
        <v>0.375</v>
      </c>
      <c r="L23" s="14">
        <v>0.8125</v>
      </c>
      <c r="M23" s="120">
        <v>9.1</v>
      </c>
      <c r="N23" s="314">
        <f>M23*3.2808399*0.4535924</f>
        <v>13.542292802736517</v>
      </c>
      <c r="O23" s="219">
        <f>((Y23*2)+(Z23*2))*12/144</f>
        <v>1.25</v>
      </c>
      <c r="P23" s="274">
        <f>O23*3.2808399*0.09290304</f>
        <v>0.38100000057912004</v>
      </c>
      <c r="R23">
        <v>9</v>
      </c>
      <c r="S23">
        <v>4</v>
      </c>
      <c r="Y23">
        <v>4</v>
      </c>
      <c r="Z23">
        <v>3.5</v>
      </c>
      <c r="AA23" s="163"/>
      <c r="AB23" s="163"/>
      <c r="AC23" s="283"/>
      <c r="AD23" s="330"/>
      <c r="AE23" s="330"/>
      <c r="AF23" s="330"/>
      <c r="AG23" s="163"/>
      <c r="AH23" s="287"/>
      <c r="AI23" s="163"/>
      <c r="AJ23" s="163"/>
      <c r="AK23" s="283"/>
      <c r="AL23" s="330"/>
      <c r="AM23" s="330"/>
      <c r="AN23" s="330"/>
      <c r="AO23" s="133"/>
      <c r="AP23" s="133"/>
      <c r="AQ23" s="133"/>
      <c r="AR23" s="133"/>
      <c r="AS23" s="133"/>
      <c r="AT23" s="133"/>
      <c r="AU23" s="133"/>
      <c r="AV23" s="133"/>
      <c r="AW23" s="133"/>
      <c r="AX23" s="133"/>
      <c r="AY23" s="133"/>
    </row>
    <row r="24" spans="2:51" x14ac:dyDescent="0.15">
      <c r="B24" s="352"/>
      <c r="C24" s="315"/>
      <c r="D24" s="315"/>
      <c r="E24" s="316"/>
      <c r="F24" s="317"/>
      <c r="G24" s="336"/>
      <c r="H24" s="353"/>
      <c r="I24" s="163"/>
      <c r="J24" s="115" t="s">
        <v>1189</v>
      </c>
      <c r="K24" s="14">
        <v>0.3125</v>
      </c>
      <c r="L24" s="14">
        <v>0.75</v>
      </c>
      <c r="M24" s="120">
        <v>7.7</v>
      </c>
      <c r="N24" s="314">
        <f>M24*3.2808399*0.4535924</f>
        <v>11.458863140777053</v>
      </c>
      <c r="O24" s="219">
        <f>((Y24*2)+(Z24*2))*12/144</f>
        <v>1.25</v>
      </c>
      <c r="P24" s="274">
        <f>O24*3.2808399*0.09290304</f>
        <v>0.38100000057912004</v>
      </c>
      <c r="Y24">
        <v>4</v>
      </c>
      <c r="Z24">
        <v>3.5</v>
      </c>
      <c r="AA24" s="163"/>
      <c r="AB24" s="163"/>
      <c r="AC24" s="283"/>
      <c r="AD24" s="330"/>
      <c r="AE24" s="133"/>
      <c r="AF24" s="287"/>
      <c r="AG24" s="163"/>
      <c r="AH24" s="287"/>
      <c r="AI24" s="163"/>
      <c r="AJ24" s="163"/>
      <c r="AK24" s="283"/>
      <c r="AL24" s="330"/>
      <c r="AM24" s="330"/>
      <c r="AN24" s="330"/>
      <c r="AO24" s="133"/>
      <c r="AP24" s="133"/>
      <c r="AQ24" s="133"/>
      <c r="AR24" s="133"/>
      <c r="AS24" s="133"/>
      <c r="AT24" s="133"/>
      <c r="AU24" s="133"/>
      <c r="AV24" s="133"/>
      <c r="AW24" s="133"/>
      <c r="AX24" s="133"/>
      <c r="AY24" s="133"/>
    </row>
    <row r="25" spans="2:51" x14ac:dyDescent="0.15">
      <c r="B25" s="26" t="s">
        <v>1179</v>
      </c>
      <c r="C25" s="288">
        <v>1.125</v>
      </c>
      <c r="D25" s="288">
        <v>1.75</v>
      </c>
      <c r="E25" s="289">
        <v>56.9</v>
      </c>
      <c r="F25" s="274">
        <f t="shared" ref="F25:F88" si="1">E25*3.2808399*0.4535924</f>
        <v>84.676534118209659</v>
      </c>
      <c r="G25" s="351">
        <f t="shared" ref="G25:G31" si="2">((R25*2)+(S25*2))*12/144</f>
        <v>2.6666666666666665</v>
      </c>
      <c r="H25" s="274">
        <f t="shared" si="0"/>
        <v>0.81280000123545593</v>
      </c>
      <c r="I25" s="163"/>
      <c r="J25" s="114" t="s">
        <v>1189</v>
      </c>
      <c r="K25" s="354">
        <v>0.25</v>
      </c>
      <c r="L25" s="354">
        <v>0.6875</v>
      </c>
      <c r="M25" s="355">
        <v>6.2</v>
      </c>
      <c r="N25" s="314">
        <f>M25*3.2808399*0.4535924</f>
        <v>9.2266170743919123</v>
      </c>
      <c r="O25" s="356">
        <f>((Y25*2)+(Z25*2))*12/144</f>
        <v>1.25</v>
      </c>
      <c r="P25" s="274">
        <f>O25*3.2808399*0.09290304</f>
        <v>0.38100000057912004</v>
      </c>
      <c r="R25">
        <v>8</v>
      </c>
      <c r="S25">
        <v>8</v>
      </c>
      <c r="Y25">
        <v>4</v>
      </c>
      <c r="Z25">
        <v>3.5</v>
      </c>
      <c r="AA25" s="163"/>
      <c r="AB25" s="163"/>
      <c r="AC25" s="283"/>
      <c r="AD25" s="330"/>
      <c r="AE25" s="330"/>
      <c r="AF25" s="330"/>
      <c r="AG25" s="163"/>
      <c r="AH25" s="287"/>
      <c r="AI25" s="163"/>
      <c r="AJ25" s="163"/>
      <c r="AK25" s="283"/>
      <c r="AL25" s="330"/>
      <c r="AM25" s="330"/>
      <c r="AN25" s="330"/>
      <c r="AO25" s="133"/>
      <c r="AP25" s="133"/>
      <c r="AQ25" s="133"/>
      <c r="AR25" s="133"/>
      <c r="AS25" s="133"/>
      <c r="AT25" s="133"/>
      <c r="AU25" s="133"/>
      <c r="AV25" s="133"/>
      <c r="AW25" s="133"/>
      <c r="AX25" s="133"/>
      <c r="AY25" s="133"/>
    </row>
    <row r="26" spans="2:51" x14ac:dyDescent="0.15">
      <c r="B26" s="26" t="s">
        <v>1179</v>
      </c>
      <c r="C26" s="14">
        <v>1</v>
      </c>
      <c r="D26" s="14">
        <v>1.625</v>
      </c>
      <c r="E26" s="120">
        <v>51</v>
      </c>
      <c r="F26" s="272">
        <f t="shared" si="1"/>
        <v>75.896366257094769</v>
      </c>
      <c r="G26" s="219">
        <f t="shared" si="2"/>
        <v>2.6666666666666665</v>
      </c>
      <c r="H26" s="274">
        <f t="shared" si="0"/>
        <v>0.81280000123545593</v>
      </c>
      <c r="I26" s="163"/>
      <c r="J26" s="352"/>
      <c r="K26" s="315"/>
      <c r="L26" s="315"/>
      <c r="M26" s="316"/>
      <c r="N26" s="316"/>
      <c r="O26" s="357"/>
      <c r="P26" s="353"/>
      <c r="R26">
        <v>8</v>
      </c>
      <c r="S26">
        <v>8</v>
      </c>
      <c r="AA26" s="163"/>
      <c r="AB26" s="163"/>
      <c r="AC26" s="283"/>
      <c r="AD26" s="330"/>
      <c r="AE26" s="330"/>
      <c r="AF26" s="330"/>
      <c r="AG26" s="163"/>
      <c r="AH26" s="287"/>
      <c r="AI26" s="163"/>
      <c r="AJ26" s="163"/>
      <c r="AK26" s="283"/>
      <c r="AL26" s="283"/>
      <c r="AM26" s="287"/>
      <c r="AN26" s="287"/>
      <c r="AO26" s="133"/>
      <c r="AP26" s="133"/>
      <c r="AQ26" s="133"/>
      <c r="AR26" s="133"/>
      <c r="AS26" s="133"/>
      <c r="AT26" s="133"/>
      <c r="AU26" s="133"/>
      <c r="AV26" s="133"/>
      <c r="AW26" s="133"/>
      <c r="AX26" s="133"/>
      <c r="AY26" s="133"/>
    </row>
    <row r="27" spans="2:51" x14ac:dyDescent="0.15">
      <c r="B27" s="26" t="s">
        <v>1179</v>
      </c>
      <c r="C27" s="14">
        <v>0.875</v>
      </c>
      <c r="D27" s="14">
        <v>1.5</v>
      </c>
      <c r="E27" s="120">
        <v>45</v>
      </c>
      <c r="F27" s="272">
        <f t="shared" si="1"/>
        <v>66.967381991554205</v>
      </c>
      <c r="G27" s="219">
        <f t="shared" si="2"/>
        <v>2.6666666666666665</v>
      </c>
      <c r="H27" s="274">
        <f t="shared" si="0"/>
        <v>0.81280000123545593</v>
      </c>
      <c r="I27" s="163"/>
      <c r="J27" s="26" t="s">
        <v>1190</v>
      </c>
      <c r="K27" s="288">
        <v>0.5</v>
      </c>
      <c r="L27" s="288">
        <v>0.9375</v>
      </c>
      <c r="M27" s="289">
        <v>11.1</v>
      </c>
      <c r="N27" s="333">
        <f>M27*3.2808399*0.4535924</f>
        <v>16.518620891250038</v>
      </c>
      <c r="O27" s="351">
        <f>((Y27*2)+(Z27*2))*12/144</f>
        <v>1.1666666666666667</v>
      </c>
      <c r="P27" s="274">
        <f>O27*3.2808399*0.09290304</f>
        <v>0.35560000054051205</v>
      </c>
      <c r="R27">
        <v>8</v>
      </c>
      <c r="S27">
        <v>8</v>
      </c>
      <c r="Y27">
        <v>4</v>
      </c>
      <c r="Z27">
        <v>3</v>
      </c>
      <c r="AA27" s="163"/>
      <c r="AB27" s="163"/>
      <c r="AC27" s="283"/>
      <c r="AD27" s="330"/>
      <c r="AE27" s="330"/>
      <c r="AF27" s="330"/>
      <c r="AG27" s="163"/>
      <c r="AH27" s="287"/>
      <c r="AI27" s="163"/>
      <c r="AJ27" s="163"/>
      <c r="AK27" s="283"/>
      <c r="AL27" s="330"/>
      <c r="AM27" s="330"/>
      <c r="AN27" s="330"/>
      <c r="AO27" s="133"/>
      <c r="AP27" s="133"/>
      <c r="AQ27" s="133"/>
      <c r="AR27" s="133"/>
      <c r="AS27" s="133"/>
      <c r="AT27" s="133"/>
      <c r="AU27" s="133"/>
      <c r="AV27" s="133"/>
      <c r="AW27" s="133"/>
      <c r="AX27" s="133"/>
      <c r="AY27" s="133"/>
    </row>
    <row r="28" spans="2:51" x14ac:dyDescent="0.15">
      <c r="B28" s="26" t="s">
        <v>1179</v>
      </c>
      <c r="C28" s="14">
        <v>0.75</v>
      </c>
      <c r="D28" s="14">
        <v>1.375</v>
      </c>
      <c r="E28" s="120">
        <v>38.9</v>
      </c>
      <c r="F28" s="272">
        <f t="shared" si="1"/>
        <v>57.889581321587968</v>
      </c>
      <c r="G28" s="219">
        <f t="shared" si="2"/>
        <v>2.6666666666666665</v>
      </c>
      <c r="H28" s="274">
        <f t="shared" si="0"/>
        <v>0.81280000123545593</v>
      </c>
      <c r="I28" s="163"/>
      <c r="J28" s="26" t="s">
        <v>1190</v>
      </c>
      <c r="K28" s="152">
        <v>0.4375</v>
      </c>
      <c r="L28" s="152">
        <v>0.875</v>
      </c>
      <c r="M28" s="154">
        <v>9.8000000000000007</v>
      </c>
      <c r="N28" s="271">
        <f>M28*3.2808399*0.4535924</f>
        <v>14.584007633716249</v>
      </c>
      <c r="O28" s="270">
        <f>((Y28*2)+(Z28*2))*12/144</f>
        <v>1.1666666666666667</v>
      </c>
      <c r="P28" s="270">
        <f>O28*3.2808399*0.09290304</f>
        <v>0.35560000054051205</v>
      </c>
      <c r="R28">
        <v>8</v>
      </c>
      <c r="S28">
        <v>8</v>
      </c>
      <c r="Y28">
        <v>4</v>
      </c>
      <c r="Z28">
        <v>3</v>
      </c>
      <c r="AA28" s="163"/>
      <c r="AB28" s="163"/>
      <c r="AC28" s="283"/>
      <c r="AD28" s="330"/>
      <c r="AE28" s="330"/>
      <c r="AF28" s="330"/>
      <c r="AG28" s="163"/>
      <c r="AH28" s="287"/>
      <c r="AI28" s="163"/>
      <c r="AJ28" s="163"/>
      <c r="AK28" s="283"/>
      <c r="AL28" s="330"/>
      <c r="AM28" s="330"/>
      <c r="AN28" s="330"/>
      <c r="AO28" s="133"/>
      <c r="AP28" s="133"/>
      <c r="AQ28" s="133"/>
      <c r="AR28" s="133"/>
      <c r="AS28" s="133"/>
      <c r="AT28" s="133"/>
      <c r="AU28" s="133"/>
      <c r="AV28" s="133"/>
      <c r="AW28" s="133"/>
      <c r="AX28" s="133"/>
      <c r="AY28" s="133"/>
    </row>
    <row r="29" spans="2:51" x14ac:dyDescent="0.15">
      <c r="B29" s="26" t="s">
        <v>1179</v>
      </c>
      <c r="C29" s="14">
        <v>0.625</v>
      </c>
      <c r="D29" s="14">
        <v>1.25</v>
      </c>
      <c r="E29" s="120">
        <v>32.700000000000003</v>
      </c>
      <c r="F29" s="272">
        <f t="shared" si="1"/>
        <v>48.662964247196065</v>
      </c>
      <c r="G29" s="219">
        <f t="shared" si="2"/>
        <v>2.6666666666666665</v>
      </c>
      <c r="H29" s="274">
        <f t="shared" si="0"/>
        <v>0.81280000123545593</v>
      </c>
      <c r="I29" s="163"/>
      <c r="J29" s="26" t="s">
        <v>1190</v>
      </c>
      <c r="K29" s="14">
        <v>0.375</v>
      </c>
      <c r="L29" s="14">
        <v>0.8125</v>
      </c>
      <c r="M29" s="120">
        <v>8.5</v>
      </c>
      <c r="N29" s="314">
        <f>M29*3.2808399*0.4535924</f>
        <v>12.649394376182462</v>
      </c>
      <c r="O29" s="219">
        <f>((Y29*2)+(Z29*2))*12/144</f>
        <v>1.1666666666666667</v>
      </c>
      <c r="P29" s="274">
        <f>O29*3.2808399*0.09290304</f>
        <v>0.35560000054051205</v>
      </c>
      <c r="R29">
        <v>8</v>
      </c>
      <c r="S29">
        <v>8</v>
      </c>
      <c r="Y29">
        <v>4</v>
      </c>
      <c r="Z29">
        <v>3</v>
      </c>
      <c r="AA29" s="163"/>
      <c r="AB29" s="163"/>
      <c r="AC29" s="283"/>
      <c r="AD29" s="330"/>
      <c r="AE29" s="330"/>
      <c r="AF29" s="330"/>
      <c r="AG29" s="163"/>
      <c r="AH29" s="287"/>
      <c r="AI29" s="163"/>
      <c r="AJ29" s="163"/>
      <c r="AK29" s="283"/>
      <c r="AL29" s="330"/>
      <c r="AM29" s="330"/>
      <c r="AN29" s="330"/>
      <c r="AO29" s="133"/>
      <c r="AP29" s="133"/>
      <c r="AQ29" s="133"/>
      <c r="AR29" s="133"/>
      <c r="AS29" s="133"/>
      <c r="AT29" s="133"/>
      <c r="AU29" s="133"/>
      <c r="AV29" s="133"/>
      <c r="AW29" s="133"/>
      <c r="AX29" s="133"/>
      <c r="AY29" s="133"/>
    </row>
    <row r="30" spans="2:51" x14ac:dyDescent="0.15">
      <c r="B30" s="26" t="s">
        <v>1179</v>
      </c>
      <c r="C30" s="152">
        <v>0.5625</v>
      </c>
      <c r="D30" s="152">
        <v>1.1875</v>
      </c>
      <c r="E30" s="154">
        <v>29.6</v>
      </c>
      <c r="F30" s="271">
        <f t="shared" si="1"/>
        <v>44.049655710000103</v>
      </c>
      <c r="G30" s="271">
        <f t="shared" si="2"/>
        <v>2.6666666666666665</v>
      </c>
      <c r="H30" s="270">
        <f t="shared" si="0"/>
        <v>0.81280000123545593</v>
      </c>
      <c r="I30" s="163"/>
      <c r="J30" s="26" t="s">
        <v>1190</v>
      </c>
      <c r="K30" s="14">
        <v>0.3125</v>
      </c>
      <c r="L30" s="14">
        <v>0.75</v>
      </c>
      <c r="M30" s="120">
        <v>7.2</v>
      </c>
      <c r="N30" s="314">
        <f>M30*3.2808399*0.4535924</f>
        <v>10.714781118648672</v>
      </c>
      <c r="O30" s="219">
        <f>((Y30*2)+(Z30*2))*12/144</f>
        <v>1.1666666666666667</v>
      </c>
      <c r="P30" s="274">
        <f>O30*3.2808399*0.09290304</f>
        <v>0.35560000054051205</v>
      </c>
      <c r="R30">
        <v>8</v>
      </c>
      <c r="S30">
        <v>8</v>
      </c>
      <c r="Y30">
        <v>4</v>
      </c>
      <c r="Z30">
        <v>3</v>
      </c>
      <c r="AA30" s="163"/>
      <c r="AB30" s="163"/>
      <c r="AC30" s="283"/>
      <c r="AD30" s="330"/>
      <c r="AE30" s="330"/>
      <c r="AF30" s="330"/>
      <c r="AG30" s="163"/>
      <c r="AH30" s="287"/>
      <c r="AI30" s="163"/>
      <c r="AJ30" s="163"/>
      <c r="AK30" s="283"/>
      <c r="AL30" s="330"/>
      <c r="AM30" s="330"/>
      <c r="AN30" s="330"/>
      <c r="AO30" s="133"/>
      <c r="AP30" s="133"/>
      <c r="AQ30" s="133"/>
      <c r="AR30" s="133"/>
      <c r="AS30" s="133"/>
      <c r="AT30" s="133"/>
      <c r="AU30" s="133"/>
      <c r="AV30" s="133"/>
      <c r="AW30" s="133"/>
      <c r="AX30" s="133"/>
      <c r="AY30" s="133"/>
    </row>
    <row r="31" spans="2:51" x14ac:dyDescent="0.15">
      <c r="B31" s="26" t="s">
        <v>1179</v>
      </c>
      <c r="C31" s="354">
        <v>0.5</v>
      </c>
      <c r="D31" s="354">
        <v>1.125</v>
      </c>
      <c r="E31" s="355">
        <v>26.4</v>
      </c>
      <c r="F31" s="314">
        <f t="shared" si="1"/>
        <v>39.28753076837846</v>
      </c>
      <c r="G31" s="356">
        <f t="shared" si="2"/>
        <v>2.6666666666666665</v>
      </c>
      <c r="H31" s="274">
        <f t="shared" si="0"/>
        <v>0.81280000123545593</v>
      </c>
      <c r="I31" s="163"/>
      <c r="J31" s="26" t="s">
        <v>1190</v>
      </c>
      <c r="K31" s="354">
        <v>0.25</v>
      </c>
      <c r="L31" s="354">
        <v>0.6875</v>
      </c>
      <c r="M31" s="355">
        <v>5.8</v>
      </c>
      <c r="N31" s="314">
        <f>M31*3.2808399*0.4535924</f>
        <v>8.6313514566892096</v>
      </c>
      <c r="O31" s="356">
        <f>((Y31*2)+(Z31*2))*12/144</f>
        <v>1.1666666666666667</v>
      </c>
      <c r="P31" s="274">
        <f>O31*3.2808399*0.09290304</f>
        <v>0.35560000054051205</v>
      </c>
      <c r="R31">
        <v>8</v>
      </c>
      <c r="S31">
        <v>8</v>
      </c>
      <c r="Y31">
        <v>4</v>
      </c>
      <c r="Z31">
        <v>3</v>
      </c>
      <c r="AA31" s="163"/>
      <c r="AB31" s="163"/>
      <c r="AC31" s="283"/>
      <c r="AD31" s="330"/>
      <c r="AE31" s="330"/>
      <c r="AF31" s="330"/>
      <c r="AG31" s="163"/>
      <c r="AH31" s="287"/>
      <c r="AI31" s="163"/>
      <c r="AJ31" s="163"/>
      <c r="AK31" s="283"/>
      <c r="AL31" s="330"/>
      <c r="AM31" s="330"/>
      <c r="AN31" s="330"/>
      <c r="AO31" s="133"/>
      <c r="AP31" s="133"/>
      <c r="AQ31" s="133"/>
      <c r="AR31" s="133"/>
      <c r="AS31" s="133"/>
      <c r="AT31" s="133"/>
      <c r="AU31" s="133"/>
      <c r="AV31" s="133"/>
      <c r="AW31" s="133"/>
      <c r="AX31" s="133"/>
      <c r="AY31" s="133"/>
    </row>
    <row r="32" spans="2:51" x14ac:dyDescent="0.15">
      <c r="B32" s="352"/>
      <c r="C32" s="315"/>
      <c r="D32" s="315"/>
      <c r="E32" s="316"/>
      <c r="F32" s="317"/>
      <c r="G32" s="336"/>
      <c r="H32" s="353"/>
      <c r="I32" s="163"/>
      <c r="J32" s="352"/>
      <c r="K32" s="315"/>
      <c r="L32" s="315"/>
      <c r="M32" s="316"/>
      <c r="N32" s="316"/>
      <c r="O32" s="336"/>
      <c r="P32" s="353"/>
      <c r="AA32" s="163"/>
      <c r="AB32" s="163"/>
      <c r="AC32" s="283"/>
      <c r="AD32" s="330"/>
      <c r="AE32" s="133"/>
      <c r="AF32" s="287"/>
      <c r="AG32" s="163"/>
      <c r="AH32" s="287"/>
      <c r="AI32" s="163"/>
      <c r="AJ32" s="163"/>
      <c r="AK32" s="283"/>
      <c r="AL32" s="283"/>
      <c r="AM32" s="133"/>
      <c r="AN32" s="287"/>
      <c r="AO32" s="133"/>
      <c r="AP32" s="133"/>
      <c r="AQ32" s="133"/>
      <c r="AR32" s="133"/>
      <c r="AS32" s="133"/>
      <c r="AT32" s="133"/>
      <c r="AU32" s="133"/>
      <c r="AV32" s="133"/>
      <c r="AW32" s="133"/>
      <c r="AX32" s="133"/>
      <c r="AY32" s="133"/>
    </row>
    <row r="33" spans="2:51" x14ac:dyDescent="0.15">
      <c r="B33" s="26" t="s">
        <v>1180</v>
      </c>
      <c r="C33" s="288">
        <v>1</v>
      </c>
      <c r="D33" s="288">
        <v>1.5</v>
      </c>
      <c r="E33" s="289">
        <v>44.2</v>
      </c>
      <c r="F33" s="274">
        <f t="shared" si="1"/>
        <v>65.776850756148804</v>
      </c>
      <c r="G33" s="351">
        <f t="shared" ref="G33:G39" si="3">((R33*2)+(S33*2))*12/144</f>
        <v>2.3333333333333335</v>
      </c>
      <c r="H33" s="274">
        <f t="shared" si="0"/>
        <v>0.7112000010810241</v>
      </c>
      <c r="I33" s="163"/>
      <c r="J33" s="26" t="s">
        <v>1191</v>
      </c>
      <c r="K33" s="158">
        <v>0.5</v>
      </c>
      <c r="L33" s="158">
        <v>0.875</v>
      </c>
      <c r="M33" s="150">
        <v>11.1</v>
      </c>
      <c r="N33" s="270">
        <f>M33*3.2808399*0.4535924</f>
        <v>16.518620891250038</v>
      </c>
      <c r="O33" s="270">
        <f>((Y33*2)+(Z33*2))*12/144</f>
        <v>1.1666666666666667</v>
      </c>
      <c r="P33" s="270">
        <f>O33*3.2808399*0.09290304</f>
        <v>0.35560000054051205</v>
      </c>
      <c r="R33">
        <v>8</v>
      </c>
      <c r="S33">
        <v>6</v>
      </c>
      <c r="Y33">
        <v>3.5</v>
      </c>
      <c r="Z33">
        <v>3.5</v>
      </c>
      <c r="AA33" s="163"/>
      <c r="AB33" s="163"/>
      <c r="AC33" s="283"/>
      <c r="AD33" s="330"/>
      <c r="AE33" s="330"/>
      <c r="AF33" s="330"/>
      <c r="AG33" s="163"/>
      <c r="AH33" s="287"/>
      <c r="AI33" s="163"/>
      <c r="AJ33" s="163"/>
      <c r="AK33" s="283"/>
      <c r="AL33" s="330"/>
      <c r="AM33" s="330"/>
      <c r="AN33" s="330"/>
      <c r="AO33" s="133"/>
      <c r="AP33" s="133"/>
      <c r="AQ33" s="133"/>
      <c r="AR33" s="133"/>
      <c r="AS33" s="133"/>
      <c r="AT33" s="133"/>
      <c r="AU33" s="133"/>
      <c r="AV33" s="133"/>
      <c r="AW33" s="133"/>
      <c r="AX33" s="133"/>
      <c r="AY33" s="133"/>
    </row>
    <row r="34" spans="2:51" x14ac:dyDescent="0.15">
      <c r="B34" s="26" t="s">
        <v>1180</v>
      </c>
      <c r="C34" s="152">
        <v>0.875</v>
      </c>
      <c r="D34" s="152">
        <v>1.375</v>
      </c>
      <c r="E34" s="154">
        <v>39.1</v>
      </c>
      <c r="F34" s="271">
        <f t="shared" si="1"/>
        <v>58.187214130439315</v>
      </c>
      <c r="G34" s="271">
        <f t="shared" si="3"/>
        <v>2.3333333333333335</v>
      </c>
      <c r="H34" s="270">
        <f t="shared" si="0"/>
        <v>0.7112000010810241</v>
      </c>
      <c r="I34" s="163"/>
      <c r="J34" s="26" t="s">
        <v>1191</v>
      </c>
      <c r="K34" s="152">
        <v>0.4375</v>
      </c>
      <c r="L34" s="152">
        <v>0.8125</v>
      </c>
      <c r="M34" s="154">
        <v>9.8000000000000007</v>
      </c>
      <c r="N34" s="271">
        <f>M34*3.2808399*0.4535924</f>
        <v>14.584007633716249</v>
      </c>
      <c r="O34" s="270">
        <f>((Y34*2)+(Z34*2))*12/144</f>
        <v>1.1666666666666667</v>
      </c>
      <c r="P34" s="270">
        <f>O34*3.2808399*0.09290304</f>
        <v>0.35560000054051205</v>
      </c>
      <c r="R34">
        <v>8</v>
      </c>
      <c r="S34">
        <v>6</v>
      </c>
      <c r="Y34">
        <v>3.5</v>
      </c>
      <c r="Z34">
        <v>3.5</v>
      </c>
      <c r="AA34" s="163"/>
      <c r="AB34" s="163"/>
      <c r="AC34" s="283"/>
      <c r="AD34" s="330"/>
      <c r="AE34" s="330"/>
      <c r="AF34" s="330"/>
      <c r="AG34" s="163"/>
      <c r="AH34" s="287"/>
      <c r="AI34" s="163"/>
      <c r="AJ34" s="163"/>
      <c r="AK34" s="283"/>
      <c r="AL34" s="330"/>
      <c r="AM34" s="330"/>
      <c r="AN34" s="330"/>
      <c r="AO34" s="133"/>
      <c r="AP34" s="133"/>
      <c r="AQ34" s="133"/>
      <c r="AR34" s="133"/>
      <c r="AS34" s="133"/>
      <c r="AT34" s="133"/>
      <c r="AU34" s="133"/>
      <c r="AV34" s="133"/>
      <c r="AW34" s="133"/>
      <c r="AX34" s="133"/>
      <c r="AY34" s="133"/>
    </row>
    <row r="35" spans="2:51" x14ac:dyDescent="0.15">
      <c r="B35" s="26" t="s">
        <v>1180</v>
      </c>
      <c r="C35" s="14">
        <v>0.75</v>
      </c>
      <c r="D35" s="14">
        <v>1.25</v>
      </c>
      <c r="E35" s="120">
        <v>33.799999999999997</v>
      </c>
      <c r="F35" s="272">
        <f t="shared" si="1"/>
        <v>50.299944695878487</v>
      </c>
      <c r="G35" s="219">
        <f t="shared" si="3"/>
        <v>2.3333333333333335</v>
      </c>
      <c r="H35" s="274">
        <f t="shared" si="0"/>
        <v>0.7112000010810241</v>
      </c>
      <c r="I35" s="163"/>
      <c r="J35" s="26" t="s">
        <v>1191</v>
      </c>
      <c r="K35" s="14">
        <v>0.375</v>
      </c>
      <c r="L35" s="14">
        <v>0.75</v>
      </c>
      <c r="M35" s="120">
        <v>8.5</v>
      </c>
      <c r="N35" s="314">
        <f>M35*3.2808399*0.4535924</f>
        <v>12.649394376182462</v>
      </c>
      <c r="O35" s="219">
        <f>((Y35*2)+(Z35*2))*12/144</f>
        <v>1.1666666666666667</v>
      </c>
      <c r="P35" s="274">
        <f>O35*3.2808399*0.09290304</f>
        <v>0.35560000054051205</v>
      </c>
      <c r="R35">
        <v>8</v>
      </c>
      <c r="S35">
        <v>6</v>
      </c>
      <c r="Y35">
        <v>3.5</v>
      </c>
      <c r="Z35">
        <v>3.5</v>
      </c>
      <c r="AA35" s="163"/>
      <c r="AB35" s="163"/>
      <c r="AC35" s="283"/>
      <c r="AD35" s="330"/>
      <c r="AE35" s="330"/>
      <c r="AF35" s="330"/>
      <c r="AG35" s="163"/>
      <c r="AH35" s="287"/>
      <c r="AI35" s="163"/>
      <c r="AJ35" s="163"/>
      <c r="AK35" s="283"/>
      <c r="AL35" s="330"/>
      <c r="AM35" s="330"/>
      <c r="AN35" s="330"/>
      <c r="AO35" s="133"/>
      <c r="AP35" s="133"/>
      <c r="AQ35" s="133"/>
      <c r="AR35" s="133"/>
      <c r="AS35" s="133"/>
      <c r="AT35" s="133"/>
      <c r="AU35" s="133"/>
      <c r="AV35" s="133"/>
      <c r="AW35" s="133"/>
      <c r="AX35" s="133"/>
      <c r="AY35" s="133"/>
    </row>
    <row r="36" spans="2:51" x14ac:dyDescent="0.15">
      <c r="B36" s="26" t="s">
        <v>1180</v>
      </c>
      <c r="C36" s="152">
        <v>0.625</v>
      </c>
      <c r="D36" s="152">
        <v>1.125</v>
      </c>
      <c r="E36" s="154">
        <v>28.5</v>
      </c>
      <c r="F36" s="271">
        <f t="shared" si="1"/>
        <v>42.412675261317659</v>
      </c>
      <c r="G36" s="271">
        <f t="shared" si="3"/>
        <v>2.3333333333333335</v>
      </c>
      <c r="H36" s="270">
        <f t="shared" si="0"/>
        <v>0.7112000010810241</v>
      </c>
      <c r="I36" s="163"/>
      <c r="J36" s="26" t="s">
        <v>1191</v>
      </c>
      <c r="K36" s="14">
        <v>0.3125</v>
      </c>
      <c r="L36" s="14">
        <v>0.6875</v>
      </c>
      <c r="M36" s="120">
        <v>7.2</v>
      </c>
      <c r="N36" s="314">
        <f>M36*3.2808399*0.4535924</f>
        <v>10.714781118648672</v>
      </c>
      <c r="O36" s="219">
        <f>((Y36*2)+(Z36*2))*12/144</f>
        <v>1.1666666666666667</v>
      </c>
      <c r="P36" s="274">
        <f>O36*3.2808399*0.09290304</f>
        <v>0.35560000054051205</v>
      </c>
      <c r="R36">
        <v>8</v>
      </c>
      <c r="S36">
        <v>6</v>
      </c>
      <c r="Y36">
        <v>3.5</v>
      </c>
      <c r="Z36">
        <v>3.5</v>
      </c>
      <c r="AA36" s="163"/>
      <c r="AB36" s="163"/>
      <c r="AC36" s="283"/>
      <c r="AD36" s="330"/>
      <c r="AE36" s="330"/>
      <c r="AF36" s="330"/>
      <c r="AG36" s="163"/>
      <c r="AH36" s="287"/>
      <c r="AI36" s="163"/>
      <c r="AJ36" s="163"/>
      <c r="AK36" s="283"/>
      <c r="AL36" s="330"/>
      <c r="AM36" s="330"/>
      <c r="AN36" s="330"/>
      <c r="AO36" s="133"/>
      <c r="AP36" s="133"/>
      <c r="AQ36" s="133"/>
      <c r="AR36" s="133"/>
      <c r="AS36" s="133"/>
      <c r="AT36" s="133"/>
      <c r="AU36" s="133"/>
      <c r="AV36" s="133"/>
      <c r="AW36" s="133"/>
      <c r="AX36" s="133"/>
      <c r="AY36" s="133"/>
    </row>
    <row r="37" spans="2:51" x14ac:dyDescent="0.15">
      <c r="B37" s="26" t="s">
        <v>1180</v>
      </c>
      <c r="C37" s="152">
        <v>0.5625</v>
      </c>
      <c r="D37" s="152">
        <v>1.0625</v>
      </c>
      <c r="E37" s="154">
        <v>25.7</v>
      </c>
      <c r="F37" s="271">
        <f t="shared" si="1"/>
        <v>38.245815937398739</v>
      </c>
      <c r="G37" s="271">
        <f t="shared" si="3"/>
        <v>2.3333333333333335</v>
      </c>
      <c r="H37" s="270">
        <f t="shared" si="0"/>
        <v>0.7112000010810241</v>
      </c>
      <c r="I37" s="163"/>
      <c r="J37" s="26" t="s">
        <v>1191</v>
      </c>
      <c r="K37" s="354">
        <v>0.25</v>
      </c>
      <c r="L37" s="354">
        <v>0.625</v>
      </c>
      <c r="M37" s="355">
        <v>5.8</v>
      </c>
      <c r="N37" s="314">
        <f>M37*3.2808399*0.4535924</f>
        <v>8.6313514566892096</v>
      </c>
      <c r="O37" s="356">
        <f>((Y37*2)+(Z37*2))*12/144</f>
        <v>1.1666666666666667</v>
      </c>
      <c r="P37" s="274">
        <f>O37*3.2808399*0.09290304</f>
        <v>0.35560000054051205</v>
      </c>
      <c r="R37">
        <v>8</v>
      </c>
      <c r="S37">
        <v>6</v>
      </c>
      <c r="Y37">
        <v>3.5</v>
      </c>
      <c r="Z37">
        <v>3.5</v>
      </c>
      <c r="AA37" s="163"/>
      <c r="AB37" s="163"/>
      <c r="AC37" s="283"/>
      <c r="AD37" s="330"/>
      <c r="AE37" s="330"/>
      <c r="AF37" s="330"/>
      <c r="AG37" s="163"/>
      <c r="AH37" s="287"/>
      <c r="AI37" s="163"/>
      <c r="AJ37" s="163"/>
      <c r="AK37" s="283"/>
      <c r="AL37" s="330"/>
      <c r="AM37" s="330"/>
      <c r="AN37" s="330"/>
      <c r="AO37" s="133"/>
      <c r="AP37" s="133"/>
      <c r="AQ37" s="133"/>
      <c r="AR37" s="133"/>
      <c r="AS37" s="133"/>
      <c r="AT37" s="133"/>
      <c r="AU37" s="133"/>
      <c r="AV37" s="133"/>
      <c r="AW37" s="133"/>
      <c r="AX37" s="133"/>
      <c r="AY37" s="133"/>
    </row>
    <row r="38" spans="2:51" x14ac:dyDescent="0.15">
      <c r="B38" s="26" t="s">
        <v>1180</v>
      </c>
      <c r="C38" s="14">
        <v>0.5</v>
      </c>
      <c r="D38" s="14">
        <v>1</v>
      </c>
      <c r="E38" s="120">
        <v>23</v>
      </c>
      <c r="F38" s="272">
        <f t="shared" si="1"/>
        <v>34.227773017905477</v>
      </c>
      <c r="G38" s="219">
        <f t="shared" si="3"/>
        <v>2.3333333333333335</v>
      </c>
      <c r="H38" s="274">
        <f>G38*3.2808399*0.09290304</f>
        <v>0.7112000010810241</v>
      </c>
      <c r="I38" s="163"/>
      <c r="J38" s="352"/>
      <c r="K38" s="315"/>
      <c r="L38" s="315"/>
      <c r="M38" s="316"/>
      <c r="N38" s="316"/>
      <c r="O38" s="336"/>
      <c r="P38" s="353"/>
      <c r="R38">
        <v>8</v>
      </c>
      <c r="S38">
        <v>6</v>
      </c>
      <c r="AA38" s="163"/>
      <c r="AB38" s="163"/>
      <c r="AC38" s="283"/>
      <c r="AD38" s="330"/>
      <c r="AE38" s="330"/>
      <c r="AF38" s="330"/>
      <c r="AG38" s="163"/>
      <c r="AH38" s="287"/>
      <c r="AI38" s="163"/>
      <c r="AJ38" s="163"/>
      <c r="AK38" s="283"/>
      <c r="AL38" s="283"/>
      <c r="AM38" s="133"/>
      <c r="AN38" s="287"/>
      <c r="AO38" s="133"/>
      <c r="AP38" s="133"/>
      <c r="AQ38" s="133"/>
      <c r="AR38" s="133"/>
      <c r="AS38" s="133"/>
      <c r="AT38" s="133"/>
      <c r="AU38" s="133"/>
      <c r="AV38" s="133"/>
      <c r="AW38" s="133"/>
      <c r="AX38" s="133"/>
      <c r="AY38" s="133"/>
    </row>
    <row r="39" spans="2:51" x14ac:dyDescent="0.15">
      <c r="B39" s="26" t="s">
        <v>1180</v>
      </c>
      <c r="C39" s="349">
        <v>0.4375</v>
      </c>
      <c r="D39" s="349">
        <v>0.9375</v>
      </c>
      <c r="E39" s="350">
        <v>20.2</v>
      </c>
      <c r="F39" s="325">
        <f t="shared" si="1"/>
        <v>30.060913693986549</v>
      </c>
      <c r="G39" s="325">
        <f t="shared" si="3"/>
        <v>2.3333333333333335</v>
      </c>
      <c r="H39" s="270">
        <f t="shared" si="0"/>
        <v>0.7112000010810241</v>
      </c>
      <c r="I39" s="163"/>
      <c r="J39" s="26" t="s">
        <v>1192</v>
      </c>
      <c r="K39" s="158">
        <v>0.5</v>
      </c>
      <c r="L39" s="158">
        <v>0.9375</v>
      </c>
      <c r="M39" s="150">
        <v>10.199999999999999</v>
      </c>
      <c r="N39" s="270">
        <f>M39*3.2808399*0.4535924</f>
        <v>15.179273251418952</v>
      </c>
      <c r="O39" s="270">
        <f>((Y39*2)+(Z39*2))*12/144</f>
        <v>1.0833333333333333</v>
      </c>
      <c r="P39" s="270">
        <f>O39*3.2808399*0.09290304</f>
        <v>0.33020000050190401</v>
      </c>
      <c r="R39">
        <v>8</v>
      </c>
      <c r="S39">
        <v>6</v>
      </c>
      <c r="Y39">
        <v>3.5</v>
      </c>
      <c r="Z39">
        <v>3</v>
      </c>
      <c r="AA39" s="163"/>
      <c r="AB39" s="163"/>
      <c r="AC39" s="283"/>
      <c r="AD39" s="330"/>
      <c r="AE39" s="330"/>
      <c r="AF39" s="330"/>
      <c r="AG39" s="163"/>
      <c r="AH39" s="287"/>
      <c r="AI39" s="163"/>
      <c r="AJ39" s="163"/>
      <c r="AK39" s="283"/>
      <c r="AL39" s="330"/>
      <c r="AM39" s="330"/>
      <c r="AN39" s="330"/>
      <c r="AO39" s="133"/>
      <c r="AP39" s="133"/>
      <c r="AQ39" s="133"/>
      <c r="AR39" s="133"/>
      <c r="AS39" s="133"/>
      <c r="AT39" s="133"/>
      <c r="AU39" s="133"/>
      <c r="AV39" s="133"/>
      <c r="AW39" s="133"/>
      <c r="AX39" s="133"/>
      <c r="AY39" s="133"/>
    </row>
    <row r="40" spans="2:51" x14ac:dyDescent="0.15">
      <c r="B40" s="352"/>
      <c r="C40" s="315"/>
      <c r="D40" s="315"/>
      <c r="E40" s="316"/>
      <c r="F40" s="317"/>
      <c r="G40" s="317"/>
      <c r="H40" s="334"/>
      <c r="I40" s="163"/>
      <c r="J40" s="26" t="s">
        <v>1192</v>
      </c>
      <c r="K40" s="152">
        <v>0.4375</v>
      </c>
      <c r="L40" s="152">
        <v>0.875</v>
      </c>
      <c r="M40" s="154">
        <v>9.1</v>
      </c>
      <c r="N40" s="271">
        <f>M40*3.2808399*0.4535924</f>
        <v>13.542292802736517</v>
      </c>
      <c r="O40" s="270">
        <f>((Y40*2)+(Z40*2))*12/144</f>
        <v>1.0833333333333333</v>
      </c>
      <c r="P40" s="270">
        <f>O40*3.2808399*0.09290304</f>
        <v>0.33020000050190401</v>
      </c>
      <c r="Y40">
        <v>3.5</v>
      </c>
      <c r="Z40">
        <v>3</v>
      </c>
      <c r="AA40" s="163"/>
      <c r="AB40" s="163"/>
      <c r="AC40" s="283"/>
      <c r="AD40" s="330"/>
      <c r="AE40" s="330"/>
      <c r="AF40" s="330"/>
      <c r="AG40" s="163"/>
      <c r="AH40" s="287"/>
      <c r="AI40" s="163"/>
      <c r="AJ40" s="163"/>
      <c r="AK40" s="283"/>
      <c r="AL40" s="330"/>
      <c r="AM40" s="330"/>
      <c r="AN40" s="330"/>
      <c r="AO40" s="133"/>
      <c r="AP40" s="133"/>
      <c r="AQ40" s="133"/>
      <c r="AR40" s="133"/>
      <c r="AS40" s="133"/>
      <c r="AT40" s="133"/>
      <c r="AU40" s="133"/>
      <c r="AV40" s="133"/>
      <c r="AW40" s="133"/>
      <c r="AX40" s="133"/>
      <c r="AY40" s="133"/>
    </row>
    <row r="41" spans="2:51" x14ac:dyDescent="0.15">
      <c r="B41" s="26" t="s">
        <v>1181</v>
      </c>
      <c r="C41" s="288">
        <v>1</v>
      </c>
      <c r="D41" s="288">
        <v>1.5</v>
      </c>
      <c r="E41" s="289">
        <v>37.4</v>
      </c>
      <c r="F41" s="274">
        <f t="shared" si="1"/>
        <v>55.657335255202831</v>
      </c>
      <c r="G41" s="351">
        <f>((R41*2)+(S41*2))*12/144</f>
        <v>2</v>
      </c>
      <c r="H41" s="274">
        <f t="shared" si="0"/>
        <v>0.60960000092659206</v>
      </c>
      <c r="I41" s="163"/>
      <c r="J41" s="26" t="s">
        <v>1192</v>
      </c>
      <c r="K41" s="14">
        <v>0.375</v>
      </c>
      <c r="L41" s="14">
        <v>0.8125</v>
      </c>
      <c r="M41" s="120">
        <v>7.9</v>
      </c>
      <c r="N41" s="314">
        <f>M41*3.2808399*0.4535924</f>
        <v>11.756495949628405</v>
      </c>
      <c r="O41" s="219">
        <f>((Y41*2)+(Z41*2))*12/144</f>
        <v>1.0833333333333333</v>
      </c>
      <c r="P41" s="274">
        <f>O41*3.2808399*0.09290304</f>
        <v>0.33020000050190401</v>
      </c>
      <c r="R41">
        <v>8</v>
      </c>
      <c r="S41">
        <v>4</v>
      </c>
      <c r="Y41">
        <v>3.5</v>
      </c>
      <c r="Z41">
        <v>3</v>
      </c>
      <c r="AA41" s="163"/>
      <c r="AB41" s="163"/>
      <c r="AC41" s="283"/>
      <c r="AD41" s="330"/>
      <c r="AE41" s="330"/>
      <c r="AF41" s="330"/>
      <c r="AG41" s="163"/>
      <c r="AH41" s="287"/>
      <c r="AI41" s="163"/>
      <c r="AJ41" s="163"/>
      <c r="AK41" s="283"/>
      <c r="AL41" s="330"/>
      <c r="AM41" s="330"/>
      <c r="AN41" s="330"/>
      <c r="AO41" s="133"/>
      <c r="AP41" s="133"/>
      <c r="AQ41" s="133"/>
      <c r="AR41" s="133"/>
      <c r="AS41" s="133"/>
      <c r="AT41" s="133"/>
      <c r="AU41" s="133"/>
      <c r="AV41" s="133"/>
      <c r="AW41" s="133"/>
      <c r="AX41" s="133"/>
      <c r="AY41" s="133"/>
    </row>
    <row r="42" spans="2:51" x14ac:dyDescent="0.15">
      <c r="B42" s="26" t="s">
        <v>1181</v>
      </c>
      <c r="C42" s="14">
        <v>0.75</v>
      </c>
      <c r="D42" s="14">
        <v>1.25</v>
      </c>
      <c r="E42" s="120">
        <v>28.7</v>
      </c>
      <c r="F42" s="272">
        <f t="shared" si="1"/>
        <v>42.710308070169013</v>
      </c>
      <c r="G42" s="219">
        <f>((R42*2)+(S42*2))*12/144</f>
        <v>2</v>
      </c>
      <c r="H42" s="274">
        <f t="shared" si="0"/>
        <v>0.60960000092659206</v>
      </c>
      <c r="I42" s="163"/>
      <c r="J42" s="26" t="s">
        <v>1192</v>
      </c>
      <c r="K42" s="14">
        <v>0.3125</v>
      </c>
      <c r="L42" s="14">
        <v>0.75</v>
      </c>
      <c r="M42" s="120">
        <v>6.6</v>
      </c>
      <c r="N42" s="314">
        <f>M42*3.2808399*0.4535924</f>
        <v>9.821882692094615</v>
      </c>
      <c r="O42" s="219">
        <f>((Y42*2)+(Z42*2))*12/144</f>
        <v>1.0833333333333333</v>
      </c>
      <c r="P42" s="274">
        <f>O42*3.2808399*0.09290304</f>
        <v>0.33020000050190401</v>
      </c>
      <c r="R42">
        <v>8</v>
      </c>
      <c r="S42">
        <v>4</v>
      </c>
      <c r="Y42">
        <v>3.5</v>
      </c>
      <c r="Z42">
        <v>3</v>
      </c>
      <c r="AA42" s="163"/>
      <c r="AB42" s="163"/>
      <c r="AC42" s="283"/>
      <c r="AD42" s="330"/>
      <c r="AE42" s="330"/>
      <c r="AF42" s="330"/>
      <c r="AG42" s="163"/>
      <c r="AH42" s="287"/>
      <c r="AI42" s="163"/>
      <c r="AJ42" s="163"/>
      <c r="AK42" s="283"/>
      <c r="AL42" s="330"/>
      <c r="AM42" s="330"/>
      <c r="AN42" s="330"/>
      <c r="AO42" s="133"/>
      <c r="AP42" s="133"/>
      <c r="AQ42" s="133"/>
      <c r="AR42" s="133"/>
      <c r="AS42" s="133"/>
      <c r="AT42" s="133"/>
      <c r="AU42" s="133"/>
      <c r="AV42" s="133"/>
      <c r="AW42" s="133"/>
      <c r="AX42" s="133"/>
      <c r="AY42" s="133"/>
    </row>
    <row r="43" spans="2:51" x14ac:dyDescent="0.15">
      <c r="B43" s="26" t="s">
        <v>1181</v>
      </c>
      <c r="C43" s="152">
        <v>0.5625</v>
      </c>
      <c r="D43" s="152">
        <v>1.0625</v>
      </c>
      <c r="E43" s="154">
        <v>21.9</v>
      </c>
      <c r="F43" s="271">
        <f t="shared" si="1"/>
        <v>32.590792569223048</v>
      </c>
      <c r="G43" s="271">
        <f>((R43*2)+(S43*2))*12/144</f>
        <v>2</v>
      </c>
      <c r="H43" s="270">
        <f>G43*3.2808399*0.09290304</f>
        <v>0.60960000092659206</v>
      </c>
      <c r="I43" s="163"/>
      <c r="J43" s="26" t="s">
        <v>1192</v>
      </c>
      <c r="K43" s="354">
        <v>0.25</v>
      </c>
      <c r="L43" s="354">
        <v>0.6875</v>
      </c>
      <c r="M43" s="355">
        <v>5.4</v>
      </c>
      <c r="N43" s="314">
        <f>M43*3.2808399*0.4535924</f>
        <v>8.0360858389865051</v>
      </c>
      <c r="O43" s="356">
        <f>((Y43*2)+(Z43*2))*12/144</f>
        <v>1.0833333333333333</v>
      </c>
      <c r="P43" s="274">
        <f>O43*3.2808399*0.09290304</f>
        <v>0.33020000050190401</v>
      </c>
      <c r="R43">
        <v>8</v>
      </c>
      <c r="S43">
        <v>4</v>
      </c>
      <c r="Y43">
        <v>3.5</v>
      </c>
      <c r="Z43">
        <v>3</v>
      </c>
      <c r="AA43" s="163"/>
      <c r="AB43" s="163"/>
      <c r="AC43" s="283"/>
      <c r="AD43" s="330"/>
      <c r="AE43" s="330"/>
      <c r="AF43" s="330"/>
      <c r="AG43" s="163"/>
      <c r="AH43" s="287"/>
      <c r="AI43" s="163"/>
      <c r="AJ43" s="163"/>
      <c r="AK43" s="283"/>
      <c r="AL43" s="330"/>
      <c r="AM43" s="330"/>
      <c r="AN43" s="330"/>
      <c r="AO43" s="133"/>
      <c r="AP43" s="133"/>
      <c r="AQ43" s="133"/>
      <c r="AR43" s="133"/>
      <c r="AS43" s="133"/>
      <c r="AT43" s="133"/>
      <c r="AU43" s="133"/>
      <c r="AV43" s="133"/>
      <c r="AW43" s="133"/>
      <c r="AX43" s="133"/>
      <c r="AY43" s="133"/>
    </row>
    <row r="44" spans="2:51" x14ac:dyDescent="0.15">
      <c r="B44" s="26" t="s">
        <v>1181</v>
      </c>
      <c r="C44" s="354">
        <v>0.5</v>
      </c>
      <c r="D44" s="354">
        <v>1</v>
      </c>
      <c r="E44" s="355">
        <v>19.600000000000001</v>
      </c>
      <c r="F44" s="314">
        <f t="shared" si="1"/>
        <v>29.168015267432498</v>
      </c>
      <c r="G44" s="356">
        <f>((R44*2)+(S44*2))*12/144</f>
        <v>2</v>
      </c>
      <c r="H44" s="274">
        <f t="shared" si="0"/>
        <v>0.60960000092659206</v>
      </c>
      <c r="I44" s="163"/>
      <c r="J44" s="352"/>
      <c r="K44" s="315"/>
      <c r="L44" s="315"/>
      <c r="M44" s="316"/>
      <c r="N44" s="316"/>
      <c r="O44" s="336"/>
      <c r="P44" s="353"/>
      <c r="R44">
        <v>8</v>
      </c>
      <c r="S44">
        <v>4</v>
      </c>
      <c r="AA44" s="163"/>
      <c r="AB44" s="163"/>
      <c r="AC44" s="283"/>
      <c r="AD44" s="330"/>
      <c r="AE44" s="330"/>
      <c r="AF44" s="330"/>
      <c r="AG44" s="163"/>
      <c r="AH44" s="287"/>
      <c r="AI44" s="163"/>
      <c r="AJ44" s="163"/>
      <c r="AK44" s="283"/>
      <c r="AL44" s="283"/>
      <c r="AM44" s="133"/>
      <c r="AN44" s="287"/>
      <c r="AO44" s="133"/>
      <c r="AP44" s="133"/>
      <c r="AQ44" s="133"/>
      <c r="AR44" s="133"/>
      <c r="AS44" s="133"/>
      <c r="AT44" s="133"/>
      <c r="AU44" s="133"/>
      <c r="AV44" s="133"/>
      <c r="AW44" s="133"/>
      <c r="AX44" s="133"/>
      <c r="AY44" s="133"/>
    </row>
    <row r="45" spans="2:51" x14ac:dyDescent="0.15">
      <c r="B45" s="352"/>
      <c r="C45" s="315"/>
      <c r="D45" s="315"/>
      <c r="E45" s="316"/>
      <c r="F45" s="317"/>
      <c r="G45" s="336"/>
      <c r="H45" s="353"/>
      <c r="I45" s="163"/>
      <c r="J45" s="26" t="s">
        <v>1193</v>
      </c>
      <c r="K45" s="158">
        <v>0.5</v>
      </c>
      <c r="L45" s="158">
        <v>0.9375</v>
      </c>
      <c r="M45" s="150">
        <v>9.4</v>
      </c>
      <c r="N45" s="270">
        <f>M45*3.2808399*0.4535924</f>
        <v>13.988742016013546</v>
      </c>
      <c r="O45" s="270">
        <f>((Y45*2)+(Z45*2))*12/144</f>
        <v>1</v>
      </c>
      <c r="P45" s="270">
        <f>O45*3.2808399*0.09290304</f>
        <v>0.30480000046329603</v>
      </c>
      <c r="Y45">
        <v>3.5</v>
      </c>
      <c r="Z45">
        <v>2.5</v>
      </c>
      <c r="AA45" s="163"/>
      <c r="AB45" s="163"/>
      <c r="AC45" s="283"/>
      <c r="AD45" s="330"/>
      <c r="AE45" s="133"/>
      <c r="AF45" s="287"/>
      <c r="AG45" s="163"/>
      <c r="AH45" s="287"/>
      <c r="AI45" s="163"/>
      <c r="AJ45" s="163"/>
      <c r="AK45" s="283"/>
      <c r="AL45" s="330"/>
      <c r="AM45" s="330"/>
      <c r="AN45" s="330"/>
      <c r="AO45" s="133"/>
      <c r="AP45" s="133"/>
      <c r="AQ45" s="133"/>
      <c r="AR45" s="133"/>
      <c r="AS45" s="133"/>
      <c r="AT45" s="133"/>
      <c r="AU45" s="133"/>
      <c r="AV45" s="133"/>
      <c r="AW45" s="133"/>
      <c r="AX45" s="133"/>
      <c r="AY45" s="133"/>
    </row>
    <row r="46" spans="2:51" x14ac:dyDescent="0.15">
      <c r="B46" s="26" t="s">
        <v>1182</v>
      </c>
      <c r="C46" s="288">
        <v>0.75</v>
      </c>
      <c r="D46" s="288">
        <v>1.25</v>
      </c>
      <c r="E46" s="289">
        <v>26.2</v>
      </c>
      <c r="F46" s="274">
        <f t="shared" si="1"/>
        <v>38.989897959527113</v>
      </c>
      <c r="G46" s="351">
        <f>((R46*2)+(S46*2))*12/144</f>
        <v>1.8333333333333333</v>
      </c>
      <c r="H46" s="274">
        <f t="shared" si="0"/>
        <v>0.55880000084937598</v>
      </c>
      <c r="I46" s="163"/>
      <c r="J46" s="26" t="s">
        <v>1193</v>
      </c>
      <c r="K46" s="152">
        <v>0.4375</v>
      </c>
      <c r="L46" s="152">
        <v>0.875</v>
      </c>
      <c r="M46" s="154">
        <v>8.3000000000000007</v>
      </c>
      <c r="N46" s="271">
        <f>M46*3.2808399*0.4535924</f>
        <v>12.35176156733111</v>
      </c>
      <c r="O46" s="270">
        <f>((Y46*2)+(Z46*2))*12/144</f>
        <v>1</v>
      </c>
      <c r="P46" s="270">
        <f>O46*3.2808399*0.09290304</f>
        <v>0.30480000046329603</v>
      </c>
      <c r="R46">
        <v>7</v>
      </c>
      <c r="S46">
        <v>4</v>
      </c>
      <c r="Y46">
        <v>3.5</v>
      </c>
      <c r="Z46">
        <v>2.5</v>
      </c>
      <c r="AA46" s="163"/>
      <c r="AB46" s="163"/>
      <c r="AC46" s="283"/>
      <c r="AD46" s="330"/>
      <c r="AE46" s="330"/>
      <c r="AF46" s="330"/>
      <c r="AG46" s="163"/>
      <c r="AH46" s="287"/>
      <c r="AI46" s="163"/>
      <c r="AJ46" s="163"/>
      <c r="AK46" s="283"/>
      <c r="AL46" s="330"/>
      <c r="AM46" s="330"/>
      <c r="AN46" s="330"/>
      <c r="AO46" s="133"/>
      <c r="AP46" s="133"/>
      <c r="AQ46" s="133"/>
      <c r="AR46" s="133"/>
      <c r="AS46" s="133"/>
      <c r="AT46" s="133"/>
      <c r="AU46" s="133"/>
      <c r="AV46" s="133"/>
      <c r="AW46" s="133"/>
      <c r="AX46" s="133"/>
      <c r="AY46" s="133"/>
    </row>
    <row r="47" spans="2:51" x14ac:dyDescent="0.15">
      <c r="B47" s="26" t="s">
        <v>1182</v>
      </c>
      <c r="C47" s="152">
        <v>0.625</v>
      </c>
      <c r="D47" s="152">
        <v>1.125</v>
      </c>
      <c r="E47" s="154">
        <v>22.1</v>
      </c>
      <c r="F47" s="271">
        <f t="shared" si="1"/>
        <v>32.888425378074402</v>
      </c>
      <c r="G47" s="271">
        <f>((R47*2)+(S47*2))*12/144</f>
        <v>1.8333333333333333</v>
      </c>
      <c r="H47" s="270">
        <f>G47*3.2808399*0.09290304</f>
        <v>0.55880000084937598</v>
      </c>
      <c r="I47" s="163"/>
      <c r="J47" s="26" t="s">
        <v>1193</v>
      </c>
      <c r="K47" s="14">
        <v>0.375</v>
      </c>
      <c r="L47" s="14">
        <v>0.8125</v>
      </c>
      <c r="M47" s="120">
        <v>7.2</v>
      </c>
      <c r="N47" s="314">
        <f>M47*3.2808399*0.4535924</f>
        <v>10.714781118648672</v>
      </c>
      <c r="O47" s="219">
        <f>((Y47*2)+(Z47*2))*12/144</f>
        <v>1</v>
      </c>
      <c r="P47" s="274">
        <f>O47*3.2808399*0.09290304</f>
        <v>0.30480000046329603</v>
      </c>
      <c r="R47">
        <v>7</v>
      </c>
      <c r="S47">
        <v>4</v>
      </c>
      <c r="Y47">
        <v>3.5</v>
      </c>
      <c r="Z47">
        <v>2.5</v>
      </c>
      <c r="AA47" s="163"/>
      <c r="AB47" s="163"/>
      <c r="AC47" s="283"/>
      <c r="AD47" s="330"/>
      <c r="AE47" s="330"/>
      <c r="AF47" s="330"/>
      <c r="AG47" s="163"/>
      <c r="AH47" s="287"/>
      <c r="AI47" s="163"/>
      <c r="AJ47" s="163"/>
      <c r="AK47" s="283"/>
      <c r="AL47" s="330"/>
      <c r="AM47" s="330"/>
      <c r="AN47" s="330"/>
      <c r="AO47" s="133"/>
      <c r="AP47" s="133"/>
      <c r="AQ47" s="133"/>
      <c r="AR47" s="133"/>
      <c r="AS47" s="133"/>
      <c r="AT47" s="133"/>
      <c r="AU47" s="133"/>
      <c r="AV47" s="133"/>
      <c r="AW47" s="133"/>
      <c r="AX47" s="133"/>
      <c r="AY47" s="133"/>
    </row>
    <row r="48" spans="2:51" x14ac:dyDescent="0.15">
      <c r="B48" s="26" t="s">
        <v>1182</v>
      </c>
      <c r="C48" s="14">
        <v>0.5</v>
      </c>
      <c r="D48" s="14">
        <v>1</v>
      </c>
      <c r="E48" s="120">
        <v>17.899999999999999</v>
      </c>
      <c r="F48" s="272">
        <f t="shared" si="1"/>
        <v>26.638136392196003</v>
      </c>
      <c r="G48" s="219">
        <f>((R48*2)+(S48*2))*12/144</f>
        <v>1.8333333333333333</v>
      </c>
      <c r="H48" s="274">
        <f t="shared" si="0"/>
        <v>0.55880000084937598</v>
      </c>
      <c r="I48" s="163"/>
      <c r="J48" s="26" t="s">
        <v>1193</v>
      </c>
      <c r="K48" s="14">
        <v>0.3125</v>
      </c>
      <c r="L48" s="14">
        <v>0.75</v>
      </c>
      <c r="M48" s="120">
        <v>6.1</v>
      </c>
      <c r="N48" s="314">
        <f>M48*3.2808399*0.4535924</f>
        <v>9.077800669966237</v>
      </c>
      <c r="O48" s="219">
        <f>((Y48*2)+(Z48*2))*12/144</f>
        <v>1</v>
      </c>
      <c r="P48" s="274">
        <f>O48*3.2808399*0.09290304</f>
        <v>0.30480000046329603</v>
      </c>
      <c r="R48">
        <v>7</v>
      </c>
      <c r="S48">
        <v>4</v>
      </c>
      <c r="Y48">
        <v>3.5</v>
      </c>
      <c r="Z48">
        <v>2.5</v>
      </c>
      <c r="AA48" s="163"/>
      <c r="AB48" s="163"/>
      <c r="AC48" s="283"/>
      <c r="AD48" s="330"/>
      <c r="AE48" s="330"/>
      <c r="AF48" s="330"/>
      <c r="AG48" s="163"/>
      <c r="AH48" s="287"/>
      <c r="AI48" s="163"/>
      <c r="AJ48" s="163"/>
      <c r="AK48" s="283"/>
      <c r="AL48" s="330"/>
      <c r="AM48" s="330"/>
      <c r="AN48" s="330"/>
      <c r="AO48" s="133"/>
      <c r="AP48" s="133"/>
      <c r="AQ48" s="133"/>
      <c r="AR48" s="133"/>
      <c r="AS48" s="133"/>
      <c r="AT48" s="133"/>
      <c r="AU48" s="133"/>
      <c r="AV48" s="133"/>
      <c r="AW48" s="133"/>
      <c r="AX48" s="133"/>
      <c r="AY48" s="133"/>
    </row>
    <row r="49" spans="2:51" x14ac:dyDescent="0.15">
      <c r="B49" s="26" t="s">
        <v>1182</v>
      </c>
      <c r="C49" s="354">
        <v>0.375</v>
      </c>
      <c r="D49" s="354">
        <v>0.875</v>
      </c>
      <c r="E49" s="355">
        <v>13.6</v>
      </c>
      <c r="F49" s="314">
        <f t="shared" si="1"/>
        <v>20.239031001891938</v>
      </c>
      <c r="G49" s="356">
        <f>((R49*2)+(S49*2))*12/144</f>
        <v>1.8333333333333333</v>
      </c>
      <c r="H49" s="274">
        <f t="shared" si="0"/>
        <v>0.55880000084937598</v>
      </c>
      <c r="I49" s="163"/>
      <c r="J49" s="26" t="s">
        <v>1193</v>
      </c>
      <c r="K49" s="354">
        <v>0.25</v>
      </c>
      <c r="L49" s="354">
        <v>0.6875</v>
      </c>
      <c r="M49" s="355">
        <v>4.9000000000000004</v>
      </c>
      <c r="N49" s="314">
        <f>M49*3.2808399*0.4535924</f>
        <v>7.2920038168581245</v>
      </c>
      <c r="O49" s="356">
        <f>((Y49*2)+(Z49*2))*12/144</f>
        <v>1</v>
      </c>
      <c r="P49" s="274">
        <f>O49*3.2808399*0.09290304</f>
        <v>0.30480000046329603</v>
      </c>
      <c r="R49">
        <v>7</v>
      </c>
      <c r="S49">
        <v>4</v>
      </c>
      <c r="Y49">
        <v>3.5</v>
      </c>
      <c r="Z49">
        <v>2.5</v>
      </c>
      <c r="AA49" s="163"/>
      <c r="AB49" s="163"/>
      <c r="AC49" s="283"/>
      <c r="AD49" s="330"/>
      <c r="AE49" s="330"/>
      <c r="AF49" s="330"/>
      <c r="AG49" s="163"/>
      <c r="AH49" s="287"/>
      <c r="AI49" s="163"/>
      <c r="AJ49" s="163"/>
      <c r="AK49" s="283"/>
      <c r="AL49" s="330"/>
      <c r="AM49" s="330"/>
      <c r="AN49" s="330"/>
      <c r="AO49" s="133"/>
      <c r="AP49" s="133"/>
      <c r="AQ49" s="133"/>
      <c r="AR49" s="133"/>
      <c r="AS49" s="133"/>
      <c r="AT49" s="133"/>
      <c r="AU49" s="133"/>
      <c r="AV49" s="133"/>
      <c r="AW49" s="133"/>
      <c r="AX49" s="133"/>
      <c r="AY49" s="133"/>
    </row>
    <row r="50" spans="2:51" x14ac:dyDescent="0.15">
      <c r="B50" s="352"/>
      <c r="C50" s="315"/>
      <c r="D50" s="315"/>
      <c r="E50" s="316"/>
      <c r="F50" s="317"/>
      <c r="G50" s="336"/>
      <c r="H50" s="353"/>
      <c r="I50" s="163"/>
      <c r="J50" s="352"/>
      <c r="K50" s="315"/>
      <c r="L50" s="315"/>
      <c r="M50" s="316"/>
      <c r="N50" s="316"/>
      <c r="O50" s="336"/>
      <c r="P50" s="353"/>
      <c r="AA50" s="163"/>
      <c r="AB50" s="163"/>
      <c r="AC50" s="283"/>
      <c r="AD50" s="330"/>
      <c r="AE50" s="133"/>
      <c r="AF50" s="287"/>
      <c r="AG50" s="163"/>
      <c r="AH50" s="287"/>
      <c r="AI50" s="163"/>
      <c r="AJ50" s="163"/>
      <c r="AK50" s="283"/>
      <c r="AL50" s="283"/>
      <c r="AM50" s="133"/>
      <c r="AN50" s="287"/>
      <c r="AO50" s="133"/>
      <c r="AP50" s="133"/>
      <c r="AQ50" s="133"/>
      <c r="AR50" s="133"/>
      <c r="AS50" s="133"/>
      <c r="AT50" s="133"/>
      <c r="AU50" s="133"/>
      <c r="AV50" s="133"/>
      <c r="AW50" s="133"/>
      <c r="AX50" s="133"/>
      <c r="AY50" s="133"/>
    </row>
    <row r="51" spans="2:51" x14ac:dyDescent="0.15">
      <c r="B51" s="26" t="s">
        <v>1183</v>
      </c>
      <c r="C51" s="288">
        <v>1</v>
      </c>
      <c r="D51" s="288">
        <v>1.5</v>
      </c>
      <c r="E51" s="289">
        <v>37.4</v>
      </c>
      <c r="F51" s="274">
        <f t="shared" si="1"/>
        <v>55.657335255202831</v>
      </c>
      <c r="G51" s="351">
        <f t="shared" ref="G51:G59" si="4">((R51*2)+(S51*2))*12/144</f>
        <v>2</v>
      </c>
      <c r="H51" s="274">
        <f t="shared" si="0"/>
        <v>0.60960000092659206</v>
      </c>
      <c r="I51" s="163"/>
      <c r="J51" s="26" t="s">
        <v>1194</v>
      </c>
      <c r="K51" s="288">
        <v>0.5</v>
      </c>
      <c r="L51" s="288">
        <v>0.8125</v>
      </c>
      <c r="M51" s="289">
        <v>9.4</v>
      </c>
      <c r="N51" s="333">
        <f t="shared" ref="N51:N56" si="5">M51*3.2808399*0.4535924</f>
        <v>13.988742016013546</v>
      </c>
      <c r="O51" s="351">
        <f t="shared" ref="O51:O56" si="6">((Y51*2)+(Z51*2))*12/144</f>
        <v>1</v>
      </c>
      <c r="P51" s="274">
        <f t="shared" ref="P51:P56" si="7">O51*3.2808399*0.09290304</f>
        <v>0.30480000046329603</v>
      </c>
      <c r="R51">
        <v>6</v>
      </c>
      <c r="S51">
        <v>6</v>
      </c>
      <c r="Y51">
        <v>3</v>
      </c>
      <c r="Z51">
        <v>3</v>
      </c>
      <c r="AA51" s="163"/>
      <c r="AB51" s="163"/>
      <c r="AC51" s="283"/>
      <c r="AD51" s="330"/>
      <c r="AE51" s="330"/>
      <c r="AF51" s="330"/>
      <c r="AG51" s="163"/>
      <c r="AH51" s="287"/>
      <c r="AI51" s="163"/>
      <c r="AJ51" s="163"/>
      <c r="AK51" s="283"/>
      <c r="AL51" s="330"/>
      <c r="AM51" s="330"/>
      <c r="AN51" s="330"/>
      <c r="AO51" s="133"/>
      <c r="AP51" s="133"/>
      <c r="AQ51" s="133"/>
      <c r="AR51" s="133"/>
      <c r="AS51" s="133"/>
      <c r="AT51" s="133"/>
      <c r="AU51" s="133"/>
      <c r="AV51" s="133"/>
      <c r="AW51" s="133"/>
      <c r="AX51" s="133"/>
      <c r="AY51" s="133"/>
    </row>
    <row r="52" spans="2:51" x14ac:dyDescent="0.15">
      <c r="B52" s="26" t="s">
        <v>1183</v>
      </c>
      <c r="C52" s="14">
        <v>0.875</v>
      </c>
      <c r="D52" s="14">
        <v>1.375</v>
      </c>
      <c r="E52" s="120">
        <v>33.1</v>
      </c>
      <c r="F52" s="272">
        <f t="shared" si="1"/>
        <v>49.258229864898759</v>
      </c>
      <c r="G52" s="219">
        <f t="shared" si="4"/>
        <v>2</v>
      </c>
      <c r="H52" s="274">
        <f t="shared" si="0"/>
        <v>0.60960000092659206</v>
      </c>
      <c r="I52" s="163"/>
      <c r="J52" s="26" t="s">
        <v>1194</v>
      </c>
      <c r="K52" s="152">
        <v>0.4375</v>
      </c>
      <c r="L52" s="152">
        <v>0.75</v>
      </c>
      <c r="M52" s="154">
        <v>8.3000000000000007</v>
      </c>
      <c r="N52" s="271">
        <f t="shared" si="5"/>
        <v>12.35176156733111</v>
      </c>
      <c r="O52" s="270">
        <f t="shared" si="6"/>
        <v>1</v>
      </c>
      <c r="P52" s="270">
        <f t="shared" si="7"/>
        <v>0.30480000046329603</v>
      </c>
      <c r="R52">
        <v>6</v>
      </c>
      <c r="S52">
        <v>6</v>
      </c>
      <c r="Y52">
        <v>3</v>
      </c>
      <c r="Z52">
        <v>3</v>
      </c>
      <c r="AA52" s="163"/>
      <c r="AB52" s="163"/>
      <c r="AC52" s="283"/>
      <c r="AD52" s="330"/>
      <c r="AE52" s="330"/>
      <c r="AF52" s="330"/>
      <c r="AG52" s="163"/>
      <c r="AH52" s="287"/>
      <c r="AI52" s="163"/>
      <c r="AJ52" s="163"/>
      <c r="AK52" s="283"/>
      <c r="AL52" s="330"/>
      <c r="AM52" s="330"/>
      <c r="AN52" s="330"/>
      <c r="AO52" s="133"/>
      <c r="AP52" s="133"/>
      <c r="AQ52" s="133"/>
      <c r="AR52" s="133"/>
      <c r="AS52" s="133"/>
      <c r="AT52" s="133"/>
      <c r="AU52" s="133"/>
      <c r="AV52" s="133"/>
      <c r="AW52" s="133"/>
      <c r="AX52" s="133"/>
      <c r="AY52" s="133"/>
    </row>
    <row r="53" spans="2:51" x14ac:dyDescent="0.15">
      <c r="B53" s="26" t="s">
        <v>1183</v>
      </c>
      <c r="C53" s="14">
        <v>0.75</v>
      </c>
      <c r="D53" s="14">
        <v>1.25</v>
      </c>
      <c r="E53" s="120">
        <v>28.7</v>
      </c>
      <c r="F53" s="272">
        <f t="shared" si="1"/>
        <v>42.710308070169013</v>
      </c>
      <c r="G53" s="219">
        <f t="shared" si="4"/>
        <v>2</v>
      </c>
      <c r="H53" s="274">
        <f t="shared" si="0"/>
        <v>0.60960000092659206</v>
      </c>
      <c r="I53" s="163"/>
      <c r="J53" s="26" t="s">
        <v>1194</v>
      </c>
      <c r="K53" s="14">
        <v>0.375</v>
      </c>
      <c r="L53" s="14">
        <v>0.6875</v>
      </c>
      <c r="M53" s="120">
        <v>7.2</v>
      </c>
      <c r="N53" s="314">
        <f t="shared" si="5"/>
        <v>10.714781118648672</v>
      </c>
      <c r="O53" s="219">
        <f t="shared" si="6"/>
        <v>1</v>
      </c>
      <c r="P53" s="274">
        <f t="shared" si="7"/>
        <v>0.30480000046329603</v>
      </c>
      <c r="R53">
        <v>6</v>
      </c>
      <c r="S53">
        <v>6</v>
      </c>
      <c r="Y53">
        <v>3</v>
      </c>
      <c r="Z53">
        <v>3</v>
      </c>
      <c r="AA53" s="163"/>
      <c r="AB53" s="163"/>
      <c r="AC53" s="283"/>
      <c r="AD53" s="330"/>
      <c r="AE53" s="330"/>
      <c r="AF53" s="330"/>
      <c r="AG53" s="163"/>
      <c r="AH53" s="287"/>
      <c r="AI53" s="163"/>
      <c r="AJ53" s="163"/>
      <c r="AK53" s="283"/>
      <c r="AL53" s="330"/>
      <c r="AM53" s="330"/>
      <c r="AN53" s="330"/>
      <c r="AO53" s="133"/>
      <c r="AP53" s="133"/>
      <c r="AQ53" s="133"/>
      <c r="AR53" s="133"/>
      <c r="AS53" s="133"/>
      <c r="AT53" s="133"/>
      <c r="AU53" s="133"/>
      <c r="AV53" s="133"/>
      <c r="AW53" s="133"/>
      <c r="AX53" s="133"/>
      <c r="AY53" s="133"/>
    </row>
    <row r="54" spans="2:51" x14ac:dyDescent="0.15">
      <c r="B54" s="26" t="s">
        <v>1183</v>
      </c>
      <c r="C54" s="14">
        <v>0.625</v>
      </c>
      <c r="D54" s="14">
        <v>1.125</v>
      </c>
      <c r="E54" s="120">
        <v>24.2</v>
      </c>
      <c r="F54" s="272">
        <f t="shared" si="1"/>
        <v>36.013569871013594</v>
      </c>
      <c r="G54" s="219">
        <f t="shared" si="4"/>
        <v>2</v>
      </c>
      <c r="H54" s="274">
        <f t="shared" si="0"/>
        <v>0.60960000092659206</v>
      </c>
      <c r="I54" s="163"/>
      <c r="J54" s="26" t="s">
        <v>1194</v>
      </c>
      <c r="K54" s="14">
        <v>0.3125</v>
      </c>
      <c r="L54" s="14">
        <v>0.625</v>
      </c>
      <c r="M54" s="120">
        <v>6.1</v>
      </c>
      <c r="N54" s="314">
        <f t="shared" si="5"/>
        <v>9.077800669966237</v>
      </c>
      <c r="O54" s="219">
        <f t="shared" si="6"/>
        <v>1</v>
      </c>
      <c r="P54" s="274">
        <f t="shared" si="7"/>
        <v>0.30480000046329603</v>
      </c>
      <c r="R54">
        <v>6</v>
      </c>
      <c r="S54">
        <v>6</v>
      </c>
      <c r="Y54">
        <v>3</v>
      </c>
      <c r="Z54">
        <v>3</v>
      </c>
      <c r="AA54" s="163"/>
      <c r="AB54" s="163"/>
      <c r="AC54" s="283"/>
      <c r="AD54" s="330"/>
      <c r="AE54" s="330"/>
      <c r="AF54" s="330"/>
      <c r="AG54" s="163"/>
      <c r="AH54" s="287"/>
      <c r="AI54" s="163"/>
      <c r="AJ54" s="163"/>
      <c r="AK54" s="283"/>
      <c r="AL54" s="330"/>
      <c r="AM54" s="330"/>
      <c r="AN54" s="330"/>
      <c r="AO54" s="133"/>
      <c r="AP54" s="133"/>
      <c r="AQ54" s="133"/>
      <c r="AR54" s="133"/>
      <c r="AS54" s="133"/>
      <c r="AT54" s="133"/>
      <c r="AU54" s="133"/>
      <c r="AV54" s="133"/>
      <c r="AW54" s="133"/>
      <c r="AX54" s="133"/>
      <c r="AY54" s="133"/>
    </row>
    <row r="55" spans="2:51" x14ac:dyDescent="0.15">
      <c r="B55" s="26" t="s">
        <v>1183</v>
      </c>
      <c r="C55" s="152">
        <v>0.5625</v>
      </c>
      <c r="D55" s="152">
        <v>1.0625</v>
      </c>
      <c r="E55" s="154">
        <v>21.9</v>
      </c>
      <c r="F55" s="271">
        <f t="shared" si="1"/>
        <v>32.590792569223048</v>
      </c>
      <c r="G55" s="271">
        <f t="shared" si="4"/>
        <v>2</v>
      </c>
      <c r="H55" s="270">
        <f>G55*3.2808399*0.09290304</f>
        <v>0.60960000092659206</v>
      </c>
      <c r="I55" s="163"/>
      <c r="J55" s="26" t="s">
        <v>1194</v>
      </c>
      <c r="K55" s="14">
        <v>0.25</v>
      </c>
      <c r="L55" s="14">
        <v>0.5625</v>
      </c>
      <c r="M55" s="120">
        <v>4.9000000000000004</v>
      </c>
      <c r="N55" s="314">
        <f t="shared" si="5"/>
        <v>7.2920038168581245</v>
      </c>
      <c r="O55" s="219">
        <f t="shared" si="6"/>
        <v>1</v>
      </c>
      <c r="P55" s="274">
        <f t="shared" si="7"/>
        <v>0.30480000046329603</v>
      </c>
      <c r="R55">
        <v>6</v>
      </c>
      <c r="S55">
        <v>6</v>
      </c>
      <c r="Y55">
        <v>3</v>
      </c>
      <c r="Z55">
        <v>3</v>
      </c>
      <c r="AA55" s="163"/>
      <c r="AB55" s="163"/>
      <c r="AC55" s="283"/>
      <c r="AD55" s="330"/>
      <c r="AE55" s="330"/>
      <c r="AF55" s="330"/>
      <c r="AG55" s="163"/>
      <c r="AH55" s="287"/>
      <c r="AI55" s="163"/>
      <c r="AJ55" s="163"/>
      <c r="AK55" s="283"/>
      <c r="AL55" s="330"/>
      <c r="AM55" s="330"/>
      <c r="AN55" s="330"/>
      <c r="AO55" s="133"/>
      <c r="AP55" s="133"/>
      <c r="AQ55" s="133"/>
      <c r="AR55" s="133"/>
      <c r="AS55" s="133"/>
      <c r="AT55" s="133"/>
      <c r="AU55" s="133"/>
      <c r="AV55" s="133"/>
      <c r="AW55" s="133"/>
      <c r="AX55" s="133"/>
      <c r="AY55" s="133"/>
    </row>
    <row r="56" spans="2:51" x14ac:dyDescent="0.15">
      <c r="B56" s="26" t="s">
        <v>1183</v>
      </c>
      <c r="C56" s="14">
        <v>0.5</v>
      </c>
      <c r="D56" s="14">
        <v>1</v>
      </c>
      <c r="E56" s="120">
        <v>19.600000000000001</v>
      </c>
      <c r="F56" s="272">
        <f t="shared" si="1"/>
        <v>29.168015267432498</v>
      </c>
      <c r="G56" s="219">
        <f t="shared" si="4"/>
        <v>2</v>
      </c>
      <c r="H56" s="274">
        <f t="shared" si="0"/>
        <v>0.60960000092659206</v>
      </c>
      <c r="I56" s="163"/>
      <c r="J56" s="358" t="s">
        <v>1194</v>
      </c>
      <c r="K56" s="354">
        <v>0.1875</v>
      </c>
      <c r="L56" s="354">
        <v>0.5</v>
      </c>
      <c r="M56" s="355">
        <v>3.71</v>
      </c>
      <c r="N56" s="314">
        <f t="shared" si="5"/>
        <v>5.5210886041925802</v>
      </c>
      <c r="O56" s="356">
        <f t="shared" si="6"/>
        <v>1</v>
      </c>
      <c r="P56" s="333">
        <f t="shared" si="7"/>
        <v>0.30480000046329603</v>
      </c>
      <c r="R56">
        <v>6</v>
      </c>
      <c r="S56">
        <v>6</v>
      </c>
      <c r="Y56">
        <v>3</v>
      </c>
      <c r="Z56">
        <v>3</v>
      </c>
      <c r="AA56" s="163"/>
      <c r="AB56" s="163"/>
      <c r="AC56" s="283"/>
      <c r="AD56" s="330"/>
      <c r="AE56" s="330"/>
      <c r="AF56" s="330"/>
      <c r="AG56" s="163"/>
      <c r="AH56" s="287"/>
      <c r="AI56" s="163"/>
      <c r="AJ56" s="163"/>
      <c r="AK56" s="283"/>
      <c r="AL56" s="330"/>
      <c r="AM56" s="330"/>
      <c r="AN56" s="330"/>
      <c r="AO56" s="133"/>
      <c r="AP56" s="133"/>
      <c r="AQ56" s="133"/>
      <c r="AR56" s="133"/>
      <c r="AS56" s="133"/>
      <c r="AT56" s="133"/>
      <c r="AU56" s="133"/>
      <c r="AV56" s="133"/>
      <c r="AW56" s="133"/>
      <c r="AX56" s="133"/>
      <c r="AY56" s="133"/>
    </row>
    <row r="57" spans="2:51" x14ac:dyDescent="0.15">
      <c r="B57" s="26" t="s">
        <v>1183</v>
      </c>
      <c r="C57" s="152">
        <v>0.4375</v>
      </c>
      <c r="D57" s="152">
        <v>0.9375</v>
      </c>
      <c r="E57" s="154">
        <v>17.2</v>
      </c>
      <c r="F57" s="271">
        <f t="shared" si="1"/>
        <v>25.596421561216271</v>
      </c>
      <c r="G57" s="271">
        <f t="shared" si="4"/>
        <v>2</v>
      </c>
      <c r="H57" s="270">
        <f>G57*3.2808399*0.09290304</f>
        <v>0.60960000092659206</v>
      </c>
      <c r="I57" s="163"/>
      <c r="J57" s="352"/>
      <c r="K57" s="315"/>
      <c r="L57" s="315"/>
      <c r="M57" s="316"/>
      <c r="N57" s="316"/>
      <c r="O57" s="357"/>
      <c r="P57" s="353"/>
      <c r="R57">
        <v>6</v>
      </c>
      <c r="S57">
        <v>6</v>
      </c>
      <c r="AA57" s="163"/>
      <c r="AB57" s="163"/>
      <c r="AC57" s="283"/>
      <c r="AD57" s="330"/>
      <c r="AE57" s="330"/>
      <c r="AF57" s="330"/>
      <c r="AG57" s="163"/>
      <c r="AH57" s="287"/>
      <c r="AI57" s="163"/>
      <c r="AJ57" s="163"/>
      <c r="AK57" s="283"/>
      <c r="AL57" s="283"/>
      <c r="AM57" s="287"/>
      <c r="AN57" s="287"/>
      <c r="AO57" s="133"/>
      <c r="AP57" s="133"/>
      <c r="AQ57" s="133"/>
      <c r="AR57" s="133"/>
      <c r="AS57" s="133"/>
      <c r="AT57" s="133"/>
      <c r="AU57" s="133"/>
      <c r="AV57" s="133"/>
      <c r="AW57" s="133"/>
      <c r="AX57" s="133"/>
      <c r="AY57" s="133"/>
    </row>
    <row r="58" spans="2:51" x14ac:dyDescent="0.15">
      <c r="B58" s="26" t="s">
        <v>1183</v>
      </c>
      <c r="C58" s="14">
        <v>0.375</v>
      </c>
      <c r="D58" s="14">
        <v>0.875</v>
      </c>
      <c r="E58" s="120">
        <v>14.9</v>
      </c>
      <c r="F58" s="272">
        <f t="shared" si="1"/>
        <v>22.173644259425725</v>
      </c>
      <c r="G58" s="219">
        <f t="shared" si="4"/>
        <v>2</v>
      </c>
      <c r="H58" s="274">
        <f t="shared" si="0"/>
        <v>0.60960000092659206</v>
      </c>
      <c r="I58" s="163"/>
      <c r="J58" s="114" t="s">
        <v>1195</v>
      </c>
      <c r="K58" s="158">
        <v>0.5</v>
      </c>
      <c r="L58" s="158">
        <v>0.875</v>
      </c>
      <c r="M58" s="150">
        <v>8.5</v>
      </c>
      <c r="N58" s="270">
        <f t="shared" ref="N58:N63" si="8">M58*3.2808399*0.4535924</f>
        <v>12.649394376182462</v>
      </c>
      <c r="O58" s="270">
        <f t="shared" ref="O58:O63" si="9">((Y58*2)+(Z58*2))*12/144</f>
        <v>0.91666666666666663</v>
      </c>
      <c r="P58" s="270">
        <f t="shared" ref="P58:P63" si="10">O58*3.2808399*0.09290304</f>
        <v>0.27940000042468799</v>
      </c>
      <c r="R58">
        <v>6</v>
      </c>
      <c r="S58">
        <v>6</v>
      </c>
      <c r="Y58">
        <v>3</v>
      </c>
      <c r="Z58">
        <v>2.5</v>
      </c>
      <c r="AA58" s="163"/>
      <c r="AB58" s="163"/>
      <c r="AC58" s="283"/>
      <c r="AD58" s="330"/>
      <c r="AE58" s="330"/>
      <c r="AF58" s="330"/>
      <c r="AG58" s="163"/>
      <c r="AH58" s="287"/>
      <c r="AI58" s="163"/>
      <c r="AJ58" s="163"/>
      <c r="AK58" s="283"/>
      <c r="AL58" s="330"/>
      <c r="AM58" s="330"/>
      <c r="AN58" s="330"/>
      <c r="AO58" s="133"/>
      <c r="AP58" s="133"/>
      <c r="AQ58" s="133"/>
      <c r="AR58" s="133"/>
      <c r="AS58" s="133"/>
      <c r="AT58" s="133"/>
      <c r="AU58" s="133"/>
      <c r="AV58" s="133"/>
      <c r="AW58" s="133"/>
      <c r="AX58" s="133"/>
      <c r="AY58" s="133"/>
    </row>
    <row r="59" spans="2:51" x14ac:dyDescent="0.15">
      <c r="B59" s="26" t="s">
        <v>1183</v>
      </c>
      <c r="C59" s="349">
        <v>0.3125</v>
      </c>
      <c r="D59" s="349">
        <v>0.8125</v>
      </c>
      <c r="E59" s="350">
        <v>12.4</v>
      </c>
      <c r="F59" s="325">
        <f t="shared" si="1"/>
        <v>18.453234148783825</v>
      </c>
      <c r="G59" s="325">
        <f t="shared" si="4"/>
        <v>2</v>
      </c>
      <c r="H59" s="270">
        <f>G59*3.2808399*0.09290304</f>
        <v>0.60960000092659206</v>
      </c>
      <c r="I59" s="163"/>
      <c r="J59" s="26" t="s">
        <v>1195</v>
      </c>
      <c r="K59" s="152">
        <v>0.4375</v>
      </c>
      <c r="L59" s="152">
        <v>0.8125</v>
      </c>
      <c r="M59" s="154">
        <v>7.6</v>
      </c>
      <c r="N59" s="271">
        <f t="shared" si="8"/>
        <v>11.310046736351376</v>
      </c>
      <c r="O59" s="270">
        <f t="shared" si="9"/>
        <v>0.91666666666666663</v>
      </c>
      <c r="P59" s="270">
        <f t="shared" si="10"/>
        <v>0.27940000042468799</v>
      </c>
      <c r="R59">
        <v>6</v>
      </c>
      <c r="S59">
        <v>6</v>
      </c>
      <c r="Y59">
        <v>3</v>
      </c>
      <c r="Z59">
        <v>2.5</v>
      </c>
      <c r="AA59" s="163"/>
      <c r="AB59" s="163"/>
      <c r="AC59" s="283"/>
      <c r="AD59" s="330"/>
      <c r="AE59" s="330"/>
      <c r="AF59" s="330"/>
      <c r="AG59" s="163"/>
      <c r="AH59" s="287"/>
      <c r="AI59" s="163"/>
      <c r="AJ59" s="163"/>
      <c r="AK59" s="283"/>
      <c r="AL59" s="330"/>
      <c r="AM59" s="330"/>
      <c r="AN59" s="330"/>
      <c r="AO59" s="133"/>
      <c r="AP59" s="133"/>
      <c r="AQ59" s="133"/>
      <c r="AR59" s="133"/>
      <c r="AS59" s="133"/>
      <c r="AT59" s="133"/>
      <c r="AU59" s="133"/>
      <c r="AV59" s="133"/>
      <c r="AW59" s="133"/>
      <c r="AX59" s="133"/>
      <c r="AY59" s="133"/>
    </row>
    <row r="60" spans="2:51" x14ac:dyDescent="0.15">
      <c r="B60" s="352"/>
      <c r="C60" s="315"/>
      <c r="D60" s="315"/>
      <c r="E60" s="316"/>
      <c r="F60" s="317"/>
      <c r="G60" s="317"/>
      <c r="H60" s="334"/>
      <c r="I60" s="163"/>
      <c r="J60" s="26" t="s">
        <v>1195</v>
      </c>
      <c r="K60" s="14">
        <v>0.375</v>
      </c>
      <c r="L60" s="14">
        <v>0.75</v>
      </c>
      <c r="M60" s="120">
        <v>6.6</v>
      </c>
      <c r="N60" s="314">
        <f t="shared" si="8"/>
        <v>9.821882692094615</v>
      </c>
      <c r="O60" s="219">
        <f t="shared" si="9"/>
        <v>0.91666666666666663</v>
      </c>
      <c r="P60" s="274">
        <f t="shared" si="10"/>
        <v>0.27940000042468799</v>
      </c>
      <c r="Y60">
        <v>3</v>
      </c>
      <c r="Z60">
        <v>2.5</v>
      </c>
      <c r="AA60" s="163"/>
      <c r="AB60" s="163"/>
      <c r="AC60" s="283"/>
      <c r="AD60" s="330"/>
      <c r="AE60" s="330"/>
      <c r="AF60" s="330"/>
      <c r="AG60" s="163"/>
      <c r="AH60" s="287"/>
      <c r="AI60" s="163"/>
      <c r="AJ60" s="163"/>
      <c r="AK60" s="283"/>
      <c r="AL60" s="330"/>
      <c r="AM60" s="330"/>
      <c r="AN60" s="330"/>
      <c r="AO60" s="133"/>
      <c r="AP60" s="133"/>
      <c r="AQ60" s="133"/>
      <c r="AR60" s="133"/>
      <c r="AS60" s="133"/>
      <c r="AT60" s="133"/>
      <c r="AU60" s="133"/>
      <c r="AV60" s="133"/>
      <c r="AW60" s="133"/>
      <c r="AX60" s="133"/>
      <c r="AY60" s="133"/>
    </row>
    <row r="61" spans="2:51" x14ac:dyDescent="0.15">
      <c r="B61" s="26" t="s">
        <v>1184</v>
      </c>
      <c r="C61" s="158">
        <v>0.875</v>
      </c>
      <c r="D61" s="158">
        <v>1.375</v>
      </c>
      <c r="E61" s="150">
        <v>27.2</v>
      </c>
      <c r="F61" s="270">
        <f t="shared" si="1"/>
        <v>40.478062003783876</v>
      </c>
      <c r="G61" s="270">
        <f t="shared" ref="G61:G68" si="11">((R61*2)+(S61*2))*12/144</f>
        <v>1.6666666666666667</v>
      </c>
      <c r="H61" s="270">
        <f>G61*3.2808399*0.09290304</f>
        <v>0.50800000077216012</v>
      </c>
      <c r="I61" s="163"/>
      <c r="J61" s="26" t="s">
        <v>1195</v>
      </c>
      <c r="K61" s="152">
        <v>0.3125</v>
      </c>
      <c r="L61" s="152">
        <v>0.6875</v>
      </c>
      <c r="M61" s="154">
        <v>5.6</v>
      </c>
      <c r="N61" s="271">
        <f t="shared" si="8"/>
        <v>8.3337186478378555</v>
      </c>
      <c r="O61" s="270">
        <f t="shared" si="9"/>
        <v>0.91666666666666663</v>
      </c>
      <c r="P61" s="270">
        <f t="shared" si="10"/>
        <v>0.27940000042468799</v>
      </c>
      <c r="R61">
        <v>6</v>
      </c>
      <c r="S61">
        <v>4</v>
      </c>
      <c r="Y61">
        <v>3</v>
      </c>
      <c r="Z61">
        <v>2.5</v>
      </c>
      <c r="AA61" s="163"/>
      <c r="AB61" s="163"/>
      <c r="AC61" s="283"/>
      <c r="AD61" s="330"/>
      <c r="AE61" s="330"/>
      <c r="AF61" s="330"/>
      <c r="AG61" s="163"/>
      <c r="AH61" s="287"/>
      <c r="AI61" s="163"/>
      <c r="AJ61" s="163"/>
      <c r="AK61" s="283"/>
      <c r="AL61" s="330"/>
      <c r="AM61" s="330"/>
      <c r="AN61" s="330"/>
      <c r="AO61" s="133"/>
      <c r="AP61" s="133"/>
      <c r="AQ61" s="133"/>
      <c r="AR61" s="133"/>
      <c r="AS61" s="133"/>
      <c r="AT61" s="133"/>
      <c r="AU61" s="133"/>
      <c r="AV61" s="133"/>
      <c r="AW61" s="133"/>
      <c r="AX61" s="133"/>
      <c r="AY61" s="133"/>
    </row>
    <row r="62" spans="2:51" x14ac:dyDescent="0.15">
      <c r="B62" s="26" t="s">
        <v>1184</v>
      </c>
      <c r="C62" s="14">
        <v>0.75</v>
      </c>
      <c r="D62" s="14">
        <v>1.25</v>
      </c>
      <c r="E62" s="120">
        <v>23.6</v>
      </c>
      <c r="F62" s="272">
        <f t="shared" si="1"/>
        <v>35.120671444459539</v>
      </c>
      <c r="G62" s="219">
        <f t="shared" si="11"/>
        <v>1.6666666666666667</v>
      </c>
      <c r="H62" s="274">
        <f t="shared" si="0"/>
        <v>0.50800000077216012</v>
      </c>
      <c r="I62" s="163"/>
      <c r="J62" s="26" t="s">
        <v>1195</v>
      </c>
      <c r="K62" s="14">
        <v>0.25</v>
      </c>
      <c r="L62" s="14">
        <v>0.625</v>
      </c>
      <c r="M62" s="120">
        <v>4.5</v>
      </c>
      <c r="N62" s="314">
        <f t="shared" si="8"/>
        <v>6.69673819915542</v>
      </c>
      <c r="O62" s="219">
        <f t="shared" si="9"/>
        <v>0.91666666666666663</v>
      </c>
      <c r="P62" s="274">
        <f t="shared" si="10"/>
        <v>0.27940000042468799</v>
      </c>
      <c r="R62">
        <v>6</v>
      </c>
      <c r="S62">
        <v>4</v>
      </c>
      <c r="Y62">
        <v>3</v>
      </c>
      <c r="Z62">
        <v>2.5</v>
      </c>
      <c r="AA62" s="163"/>
      <c r="AB62" s="163"/>
      <c r="AC62" s="283"/>
      <c r="AD62" s="330"/>
      <c r="AE62" s="330"/>
      <c r="AF62" s="330"/>
      <c r="AG62" s="163"/>
      <c r="AH62" s="287"/>
      <c r="AI62" s="163"/>
      <c r="AJ62" s="163"/>
      <c r="AK62" s="283"/>
      <c r="AL62" s="330"/>
      <c r="AM62" s="330"/>
      <c r="AN62" s="330"/>
      <c r="AO62" s="133"/>
      <c r="AP62" s="133"/>
      <c r="AQ62" s="133"/>
      <c r="AR62" s="133"/>
      <c r="AS62" s="133"/>
      <c r="AT62" s="133"/>
      <c r="AU62" s="133"/>
      <c r="AV62" s="133"/>
      <c r="AW62" s="133"/>
      <c r="AX62" s="133"/>
      <c r="AY62" s="133"/>
    </row>
    <row r="63" spans="2:51" x14ac:dyDescent="0.15">
      <c r="B63" s="26" t="s">
        <v>1184</v>
      </c>
      <c r="C63" s="14">
        <v>0.625</v>
      </c>
      <c r="D63" s="14">
        <v>1.125</v>
      </c>
      <c r="E63" s="120">
        <v>20</v>
      </c>
      <c r="F63" s="272">
        <f t="shared" si="1"/>
        <v>29.763280885135202</v>
      </c>
      <c r="G63" s="219">
        <f t="shared" si="11"/>
        <v>1.6666666666666667</v>
      </c>
      <c r="H63" s="274">
        <f t="shared" si="0"/>
        <v>0.50800000077216012</v>
      </c>
      <c r="I63" s="163"/>
      <c r="J63" s="26" t="s">
        <v>1195</v>
      </c>
      <c r="K63" s="354">
        <v>0.1875</v>
      </c>
      <c r="L63" s="354">
        <v>0.5625</v>
      </c>
      <c r="M63" s="355">
        <v>3.39</v>
      </c>
      <c r="N63" s="314">
        <f t="shared" si="8"/>
        <v>5.0448761100304171</v>
      </c>
      <c r="O63" s="356">
        <f t="shared" si="9"/>
        <v>0.91666666666666663</v>
      </c>
      <c r="P63" s="274">
        <f t="shared" si="10"/>
        <v>0.27940000042468799</v>
      </c>
      <c r="R63">
        <v>6</v>
      </c>
      <c r="S63">
        <v>4</v>
      </c>
      <c r="Y63">
        <v>3</v>
      </c>
      <c r="Z63">
        <v>2.5</v>
      </c>
      <c r="AA63" s="163"/>
      <c r="AB63" s="163"/>
      <c r="AC63" s="283"/>
      <c r="AD63" s="330"/>
      <c r="AE63" s="330"/>
      <c r="AF63" s="330"/>
      <c r="AG63" s="163"/>
      <c r="AH63" s="287"/>
      <c r="AI63" s="163"/>
      <c r="AJ63" s="163"/>
      <c r="AK63" s="283"/>
      <c r="AL63" s="330"/>
      <c r="AM63" s="330"/>
      <c r="AN63" s="330"/>
      <c r="AO63" s="133"/>
      <c r="AP63" s="133"/>
      <c r="AQ63" s="133"/>
      <c r="AR63" s="133"/>
      <c r="AS63" s="133"/>
      <c r="AT63" s="133"/>
      <c r="AU63" s="133"/>
      <c r="AV63" s="133"/>
      <c r="AW63" s="133"/>
      <c r="AX63" s="133"/>
      <c r="AY63" s="133"/>
    </row>
    <row r="64" spans="2:51" x14ac:dyDescent="0.15">
      <c r="B64" s="26" t="s">
        <v>1184</v>
      </c>
      <c r="C64" s="152">
        <v>0.5625</v>
      </c>
      <c r="D64" s="152">
        <v>1.0625</v>
      </c>
      <c r="E64" s="154">
        <v>18.100000000000001</v>
      </c>
      <c r="F64" s="271">
        <f t="shared" si="1"/>
        <v>26.935769201047361</v>
      </c>
      <c r="G64" s="271">
        <f t="shared" si="11"/>
        <v>1.6666666666666667</v>
      </c>
      <c r="H64" s="270">
        <f>G64*3.2808399*0.09290304</f>
        <v>0.50800000077216012</v>
      </c>
      <c r="I64" s="163"/>
      <c r="J64" s="352"/>
      <c r="K64" s="315"/>
      <c r="L64" s="315"/>
      <c r="M64" s="316"/>
      <c r="N64" s="316"/>
      <c r="O64" s="336"/>
      <c r="P64" s="353"/>
      <c r="R64">
        <v>6</v>
      </c>
      <c r="S64">
        <v>4</v>
      </c>
      <c r="AA64" s="163"/>
      <c r="AB64" s="163"/>
      <c r="AC64" s="283"/>
      <c r="AD64" s="330"/>
      <c r="AE64" s="330"/>
      <c r="AF64" s="330"/>
      <c r="AG64" s="163"/>
      <c r="AH64" s="287"/>
      <c r="AI64" s="163"/>
      <c r="AJ64" s="163"/>
      <c r="AK64" s="283"/>
      <c r="AL64" s="283"/>
      <c r="AM64" s="133"/>
      <c r="AN64" s="287"/>
      <c r="AO64" s="133"/>
      <c r="AP64" s="133"/>
      <c r="AQ64" s="133"/>
      <c r="AR64" s="133"/>
      <c r="AS64" s="133"/>
      <c r="AT64" s="133"/>
      <c r="AU64" s="133"/>
      <c r="AV64" s="133"/>
      <c r="AW64" s="133"/>
      <c r="AX64" s="133"/>
      <c r="AY64" s="133"/>
    </row>
    <row r="65" spans="2:51" x14ac:dyDescent="0.15">
      <c r="B65" s="26" t="s">
        <v>1184</v>
      </c>
      <c r="C65" s="14">
        <v>0.5</v>
      </c>
      <c r="D65" s="14">
        <v>1</v>
      </c>
      <c r="E65" s="120">
        <v>16.2</v>
      </c>
      <c r="F65" s="272">
        <f t="shared" si="1"/>
        <v>24.108257516959512</v>
      </c>
      <c r="G65" s="219">
        <f t="shared" si="11"/>
        <v>1.6666666666666667</v>
      </c>
      <c r="H65" s="274">
        <f t="shared" si="0"/>
        <v>0.50800000077216012</v>
      </c>
      <c r="I65" s="163"/>
      <c r="J65" s="26" t="s">
        <v>1196</v>
      </c>
      <c r="K65" s="158">
        <v>0.5</v>
      </c>
      <c r="L65" s="158">
        <v>0.8125</v>
      </c>
      <c r="M65" s="150">
        <v>7.7</v>
      </c>
      <c r="N65" s="270">
        <f t="shared" ref="N65:N70" si="12">M65*3.2808399*0.4535924</f>
        <v>11.458863140777053</v>
      </c>
      <c r="O65" s="270">
        <f t="shared" ref="O65:O70" si="13">((Y65*2)+(Z65*2))*12/144</f>
        <v>0.83333333333333337</v>
      </c>
      <c r="P65" s="270">
        <f t="shared" ref="P65:P70" si="14">O65*3.2808399*0.09290304</f>
        <v>0.25400000038608006</v>
      </c>
      <c r="R65">
        <v>6</v>
      </c>
      <c r="S65">
        <v>4</v>
      </c>
      <c r="Y65">
        <v>3</v>
      </c>
      <c r="Z65">
        <v>2</v>
      </c>
      <c r="AA65" s="163"/>
      <c r="AB65" s="163"/>
      <c r="AC65" s="283"/>
      <c r="AD65" s="330"/>
      <c r="AE65" s="330"/>
      <c r="AF65" s="330"/>
      <c r="AG65" s="163"/>
      <c r="AH65" s="287"/>
      <c r="AI65" s="163"/>
      <c r="AJ65" s="163"/>
      <c r="AK65" s="283"/>
      <c r="AL65" s="330"/>
      <c r="AM65" s="330"/>
      <c r="AN65" s="330"/>
      <c r="AO65" s="133"/>
      <c r="AP65" s="133"/>
      <c r="AQ65" s="133"/>
      <c r="AR65" s="133"/>
      <c r="AS65" s="133"/>
      <c r="AT65" s="133"/>
      <c r="AU65" s="133"/>
      <c r="AV65" s="133"/>
      <c r="AW65" s="133"/>
      <c r="AX65" s="133"/>
      <c r="AY65" s="133"/>
    </row>
    <row r="66" spans="2:51" x14ac:dyDescent="0.15">
      <c r="B66" s="26" t="s">
        <v>1184</v>
      </c>
      <c r="C66" s="152">
        <v>0.4375</v>
      </c>
      <c r="D66" s="152">
        <v>0.9375</v>
      </c>
      <c r="E66" s="154">
        <v>14.3</v>
      </c>
      <c r="F66" s="271">
        <f t="shared" si="1"/>
        <v>21.28074583287167</v>
      </c>
      <c r="G66" s="271">
        <f t="shared" si="11"/>
        <v>1.6666666666666667</v>
      </c>
      <c r="H66" s="270">
        <f>G66*3.2808399*0.09290304</f>
        <v>0.50800000077216012</v>
      </c>
      <c r="I66" s="163"/>
      <c r="J66" s="26" t="s">
        <v>1196</v>
      </c>
      <c r="K66" s="152">
        <v>0.4375</v>
      </c>
      <c r="L66" s="152">
        <v>0.75</v>
      </c>
      <c r="M66" s="154">
        <v>6.8</v>
      </c>
      <c r="N66" s="271">
        <f t="shared" si="12"/>
        <v>10.119515500945969</v>
      </c>
      <c r="O66" s="270">
        <f t="shared" si="13"/>
        <v>0.83333333333333337</v>
      </c>
      <c r="P66" s="270">
        <f t="shared" si="14"/>
        <v>0.25400000038608006</v>
      </c>
      <c r="R66">
        <v>6</v>
      </c>
      <c r="S66">
        <v>4</v>
      </c>
      <c r="Y66">
        <v>3</v>
      </c>
      <c r="Z66">
        <v>2</v>
      </c>
      <c r="AA66" s="163"/>
      <c r="AB66" s="163"/>
      <c r="AC66" s="283"/>
      <c r="AD66" s="330"/>
      <c r="AE66" s="330"/>
      <c r="AF66" s="330"/>
      <c r="AG66" s="163"/>
      <c r="AH66" s="287"/>
      <c r="AI66" s="163"/>
      <c r="AJ66" s="163"/>
      <c r="AK66" s="283"/>
      <c r="AL66" s="330"/>
      <c r="AM66" s="330"/>
      <c r="AN66" s="330"/>
      <c r="AO66" s="133"/>
      <c r="AP66" s="133"/>
      <c r="AQ66" s="133"/>
      <c r="AR66" s="133"/>
      <c r="AS66" s="133"/>
      <c r="AT66" s="133"/>
      <c r="AU66" s="133"/>
      <c r="AV66" s="133"/>
      <c r="AW66" s="133"/>
      <c r="AX66" s="133"/>
      <c r="AY66" s="133"/>
    </row>
    <row r="67" spans="2:51" x14ac:dyDescent="0.15">
      <c r="B67" s="26" t="s">
        <v>1184</v>
      </c>
      <c r="C67" s="14">
        <v>0.375</v>
      </c>
      <c r="D67" s="14">
        <v>0.875</v>
      </c>
      <c r="E67" s="120">
        <v>12.3</v>
      </c>
      <c r="F67" s="272">
        <f t="shared" si="1"/>
        <v>18.304417744358151</v>
      </c>
      <c r="G67" s="219">
        <f t="shared" si="11"/>
        <v>1.6666666666666667</v>
      </c>
      <c r="H67" s="274">
        <f t="shared" si="0"/>
        <v>0.50800000077216012</v>
      </c>
      <c r="I67" s="163"/>
      <c r="J67" s="26" t="s">
        <v>1196</v>
      </c>
      <c r="K67" s="14">
        <v>0.375</v>
      </c>
      <c r="L67" s="14">
        <v>0.6875</v>
      </c>
      <c r="M67" s="120">
        <v>5.9</v>
      </c>
      <c r="N67" s="314">
        <f t="shared" si="12"/>
        <v>8.7801678611148848</v>
      </c>
      <c r="O67" s="219">
        <f t="shared" si="13"/>
        <v>0.83333333333333337</v>
      </c>
      <c r="P67" s="274">
        <f t="shared" si="14"/>
        <v>0.25400000038608006</v>
      </c>
      <c r="R67">
        <v>6</v>
      </c>
      <c r="S67">
        <v>4</v>
      </c>
      <c r="Y67">
        <v>3</v>
      </c>
      <c r="Z67">
        <v>2</v>
      </c>
      <c r="AA67" s="163"/>
      <c r="AB67" s="163"/>
      <c r="AC67" s="283"/>
      <c r="AD67" s="330"/>
      <c r="AE67" s="330"/>
      <c r="AF67" s="330"/>
      <c r="AG67" s="163"/>
      <c r="AH67" s="287"/>
      <c r="AI67" s="163"/>
      <c r="AJ67" s="163"/>
      <c r="AK67" s="283"/>
      <c r="AL67" s="330"/>
      <c r="AM67" s="330"/>
      <c r="AN67" s="330"/>
      <c r="AO67" s="133"/>
      <c r="AP67" s="133"/>
      <c r="AQ67" s="133"/>
      <c r="AR67" s="133"/>
      <c r="AS67" s="133"/>
      <c r="AT67" s="133"/>
      <c r="AU67" s="133"/>
      <c r="AV67" s="133"/>
      <c r="AW67" s="133"/>
      <c r="AX67" s="133"/>
      <c r="AY67" s="133"/>
    </row>
    <row r="68" spans="2:51" x14ac:dyDescent="0.15">
      <c r="B68" s="26" t="s">
        <v>1184</v>
      </c>
      <c r="C68" s="349">
        <v>0.3125</v>
      </c>
      <c r="D68" s="349">
        <v>0.8125</v>
      </c>
      <c r="E68" s="350">
        <v>10.3</v>
      </c>
      <c r="F68" s="325">
        <f t="shared" si="1"/>
        <v>15.32808965584463</v>
      </c>
      <c r="G68" s="325">
        <f t="shared" si="11"/>
        <v>1.6666666666666667</v>
      </c>
      <c r="H68" s="270">
        <f>G68*3.2808399*0.09290304</f>
        <v>0.50800000077216012</v>
      </c>
      <c r="I68" s="163"/>
      <c r="J68" s="26" t="s">
        <v>1196</v>
      </c>
      <c r="K68" s="14">
        <v>0.3125</v>
      </c>
      <c r="L68" s="14">
        <v>0.625</v>
      </c>
      <c r="M68" s="120">
        <v>5</v>
      </c>
      <c r="N68" s="314">
        <f t="shared" si="12"/>
        <v>7.4408202212838006</v>
      </c>
      <c r="O68" s="219">
        <f t="shared" si="13"/>
        <v>0.83333333333333337</v>
      </c>
      <c r="P68" s="274">
        <f t="shared" si="14"/>
        <v>0.25400000038608006</v>
      </c>
      <c r="R68">
        <v>6</v>
      </c>
      <c r="S68">
        <v>4</v>
      </c>
      <c r="Y68">
        <v>3</v>
      </c>
      <c r="Z68">
        <v>2</v>
      </c>
      <c r="AA68" s="163"/>
      <c r="AB68" s="163"/>
      <c r="AC68" s="283"/>
      <c r="AD68" s="330"/>
      <c r="AE68" s="330"/>
      <c r="AF68" s="330"/>
      <c r="AG68" s="163"/>
      <c r="AH68" s="287"/>
      <c r="AI68" s="163"/>
      <c r="AJ68" s="163"/>
      <c r="AK68" s="283"/>
      <c r="AL68" s="330"/>
      <c r="AM68" s="330"/>
      <c r="AN68" s="330"/>
      <c r="AO68" s="133"/>
      <c r="AP68" s="133"/>
      <c r="AQ68" s="133"/>
      <c r="AR68" s="133"/>
      <c r="AS68" s="133"/>
      <c r="AT68" s="133"/>
      <c r="AU68" s="133"/>
      <c r="AV68" s="133"/>
      <c r="AW68" s="133"/>
      <c r="AX68" s="133"/>
      <c r="AY68" s="133"/>
    </row>
    <row r="69" spans="2:51" x14ac:dyDescent="0.15">
      <c r="B69" s="352"/>
      <c r="C69" s="315"/>
      <c r="D69" s="315"/>
      <c r="E69" s="316"/>
      <c r="F69" s="317"/>
      <c r="G69" s="317"/>
      <c r="H69" s="334"/>
      <c r="I69" s="163"/>
      <c r="J69" s="26" t="s">
        <v>1196</v>
      </c>
      <c r="K69" s="14">
        <v>0.25</v>
      </c>
      <c r="L69" s="14">
        <v>0.5625</v>
      </c>
      <c r="M69" s="120">
        <v>4.0999999999999996</v>
      </c>
      <c r="N69" s="314">
        <f t="shared" si="12"/>
        <v>6.1014725814527164</v>
      </c>
      <c r="O69" s="219">
        <f t="shared" si="13"/>
        <v>0.83333333333333337</v>
      </c>
      <c r="P69" s="274">
        <f t="shared" si="14"/>
        <v>0.25400000038608006</v>
      </c>
      <c r="Y69">
        <v>3</v>
      </c>
      <c r="Z69">
        <v>2</v>
      </c>
      <c r="AA69" s="163"/>
      <c r="AB69" s="163"/>
      <c r="AC69" s="283"/>
      <c r="AD69" s="330"/>
      <c r="AE69" s="330"/>
      <c r="AF69" s="330"/>
      <c r="AG69" s="163"/>
      <c r="AH69" s="287"/>
      <c r="AI69" s="163"/>
      <c r="AJ69" s="163"/>
      <c r="AK69" s="283"/>
      <c r="AL69" s="330"/>
      <c r="AM69" s="330"/>
      <c r="AN69" s="330"/>
      <c r="AO69" s="133"/>
      <c r="AP69" s="133"/>
      <c r="AQ69" s="133"/>
      <c r="AR69" s="133"/>
      <c r="AS69" s="133"/>
      <c r="AT69" s="133"/>
      <c r="AU69" s="133"/>
      <c r="AV69" s="133"/>
      <c r="AW69" s="133"/>
      <c r="AX69" s="133"/>
      <c r="AY69" s="133"/>
    </row>
    <row r="70" spans="2:51" x14ac:dyDescent="0.15">
      <c r="B70" s="26" t="s">
        <v>1185</v>
      </c>
      <c r="C70" s="158">
        <v>0.5</v>
      </c>
      <c r="D70" s="158">
        <v>1</v>
      </c>
      <c r="E70" s="150">
        <v>15.3</v>
      </c>
      <c r="F70" s="270">
        <f t="shared" si="1"/>
        <v>22.768909877128429</v>
      </c>
      <c r="G70" s="270">
        <f>((R70*2)+(S70*2))*12/144</f>
        <v>1.5833333333333333</v>
      </c>
      <c r="H70" s="270">
        <f>G70*3.2808399*0.09290304</f>
        <v>0.48260000073355197</v>
      </c>
      <c r="I70" s="163"/>
      <c r="J70" s="26" t="s">
        <v>1196</v>
      </c>
      <c r="K70" s="354">
        <v>0.1875</v>
      </c>
      <c r="L70" s="354">
        <v>0.5</v>
      </c>
      <c r="M70" s="355">
        <v>3.07</v>
      </c>
      <c r="N70" s="314">
        <f t="shared" si="12"/>
        <v>4.5686636158682532</v>
      </c>
      <c r="O70" s="356">
        <f t="shared" si="13"/>
        <v>0.83333333333333337</v>
      </c>
      <c r="P70" s="274">
        <f t="shared" si="14"/>
        <v>0.25400000038608006</v>
      </c>
      <c r="R70">
        <v>6</v>
      </c>
      <c r="S70">
        <v>3.5</v>
      </c>
      <c r="Y70">
        <v>3</v>
      </c>
      <c r="Z70">
        <v>2</v>
      </c>
      <c r="AA70" s="163"/>
      <c r="AB70" s="163"/>
      <c r="AC70" s="283"/>
      <c r="AD70" s="330"/>
      <c r="AE70" s="330"/>
      <c r="AF70" s="330"/>
      <c r="AG70" s="163"/>
      <c r="AH70" s="287"/>
      <c r="AI70" s="163"/>
      <c r="AJ70" s="163"/>
      <c r="AK70" s="283"/>
      <c r="AL70" s="330"/>
      <c r="AM70" s="330"/>
      <c r="AN70" s="330"/>
      <c r="AO70" s="133"/>
      <c r="AP70" s="133"/>
      <c r="AQ70" s="133"/>
      <c r="AR70" s="133"/>
      <c r="AS70" s="133"/>
      <c r="AT70" s="133"/>
      <c r="AU70" s="133"/>
      <c r="AV70" s="133"/>
      <c r="AW70" s="133"/>
      <c r="AX70" s="133"/>
      <c r="AY70" s="133"/>
    </row>
    <row r="71" spans="2:51" x14ac:dyDescent="0.15">
      <c r="B71" s="26" t="s">
        <v>1185</v>
      </c>
      <c r="C71" s="14">
        <v>0.375</v>
      </c>
      <c r="D71" s="14">
        <v>0.875</v>
      </c>
      <c r="E71" s="120">
        <v>11.7</v>
      </c>
      <c r="F71" s="272">
        <f t="shared" si="1"/>
        <v>17.411519317804093</v>
      </c>
      <c r="G71" s="219">
        <f>((R71*2)+(S71*2))*12/144</f>
        <v>1.5833333333333333</v>
      </c>
      <c r="H71" s="274">
        <f t="shared" si="0"/>
        <v>0.48260000073355197</v>
      </c>
      <c r="I71" s="163"/>
      <c r="J71" s="352"/>
      <c r="K71" s="315"/>
      <c r="L71" s="315"/>
      <c r="M71" s="316"/>
      <c r="N71" s="316"/>
      <c r="O71" s="357"/>
      <c r="P71" s="353"/>
      <c r="R71">
        <v>6</v>
      </c>
      <c r="S71">
        <v>3.5</v>
      </c>
      <c r="AA71" s="163"/>
      <c r="AB71" s="163"/>
      <c r="AC71" s="283"/>
      <c r="AD71" s="330"/>
      <c r="AE71" s="330"/>
      <c r="AF71" s="330"/>
      <c r="AG71" s="163"/>
      <c r="AH71" s="287"/>
      <c r="AI71" s="163"/>
      <c r="AJ71" s="163"/>
      <c r="AK71" s="283"/>
      <c r="AL71" s="283"/>
      <c r="AM71" s="287"/>
      <c r="AN71" s="287"/>
      <c r="AO71" s="133"/>
      <c r="AP71" s="133"/>
      <c r="AQ71" s="133"/>
      <c r="AR71" s="133"/>
      <c r="AS71" s="133"/>
      <c r="AT71" s="133"/>
      <c r="AU71" s="133"/>
      <c r="AV71" s="133"/>
      <c r="AW71" s="133"/>
      <c r="AX71" s="133"/>
      <c r="AY71" s="133"/>
    </row>
    <row r="72" spans="2:51" x14ac:dyDescent="0.15">
      <c r="B72" s="26" t="s">
        <v>1185</v>
      </c>
      <c r="C72" s="354">
        <v>0.3125</v>
      </c>
      <c r="D72" s="354">
        <v>0.8125</v>
      </c>
      <c r="E72" s="355">
        <v>9.8000000000000007</v>
      </c>
      <c r="F72" s="314">
        <f t="shared" si="1"/>
        <v>14.584007633716249</v>
      </c>
      <c r="G72" s="356">
        <f>((R72*2)+(S72*2))*12/144</f>
        <v>1.5833333333333333</v>
      </c>
      <c r="H72" s="274">
        <f t="shared" si="0"/>
        <v>0.48260000073355197</v>
      </c>
      <c r="I72" s="163"/>
      <c r="J72" s="26" t="s">
        <v>1197</v>
      </c>
      <c r="K72" s="158">
        <v>0.5</v>
      </c>
      <c r="L72" s="158">
        <v>0.8125</v>
      </c>
      <c r="M72" s="150">
        <v>7.7</v>
      </c>
      <c r="N72" s="270">
        <f>M72*3.2808399*0.4535924</f>
        <v>11.458863140777053</v>
      </c>
      <c r="O72" s="270">
        <f>((Y72*2)+(Z72*2))*12/144</f>
        <v>0.83333333333333337</v>
      </c>
      <c r="P72" s="270">
        <f>O72*3.2808399*0.09290304</f>
        <v>0.25400000038608006</v>
      </c>
      <c r="R72">
        <v>6</v>
      </c>
      <c r="S72">
        <v>3.5</v>
      </c>
      <c r="Y72">
        <v>2.5</v>
      </c>
      <c r="Z72">
        <v>2.5</v>
      </c>
      <c r="AA72" s="163"/>
      <c r="AB72" s="163"/>
      <c r="AC72" s="283"/>
      <c r="AD72" s="330"/>
      <c r="AE72" s="330"/>
      <c r="AF72" s="330"/>
      <c r="AG72" s="163"/>
      <c r="AH72" s="287"/>
      <c r="AI72" s="163"/>
      <c r="AJ72" s="163"/>
      <c r="AK72" s="283"/>
      <c r="AL72" s="330"/>
      <c r="AM72" s="330"/>
      <c r="AN72" s="330"/>
      <c r="AO72" s="133"/>
      <c r="AP72" s="133"/>
      <c r="AQ72" s="133"/>
      <c r="AR72" s="133"/>
      <c r="AS72" s="133"/>
      <c r="AT72" s="133"/>
      <c r="AU72" s="133"/>
      <c r="AV72" s="133"/>
      <c r="AW72" s="133"/>
      <c r="AX72" s="133"/>
      <c r="AY72" s="133"/>
    </row>
    <row r="73" spans="2:51" x14ac:dyDescent="0.15">
      <c r="B73" s="352"/>
      <c r="C73" s="315"/>
      <c r="D73" s="315"/>
      <c r="E73" s="316"/>
      <c r="F73" s="317"/>
      <c r="G73" s="336"/>
      <c r="H73" s="353"/>
      <c r="I73" s="163"/>
      <c r="J73" s="26" t="s">
        <v>1197</v>
      </c>
      <c r="K73" s="14">
        <v>0.375</v>
      </c>
      <c r="L73" s="14">
        <v>0.6875</v>
      </c>
      <c r="M73" s="120">
        <v>5.9</v>
      </c>
      <c r="N73" s="314">
        <f>M73*3.2808399*0.4535924</f>
        <v>8.7801678611148848</v>
      </c>
      <c r="O73" s="219">
        <f>((Y73*2)+(Z73*2))*12/144</f>
        <v>0.83333333333333337</v>
      </c>
      <c r="P73" s="274">
        <f>O73*3.2808399*0.09290304</f>
        <v>0.25400000038608006</v>
      </c>
      <c r="R73" t="s">
        <v>850</v>
      </c>
      <c r="Y73">
        <v>2.5</v>
      </c>
      <c r="Z73">
        <v>2.5</v>
      </c>
      <c r="AA73" s="163"/>
      <c r="AB73" s="163"/>
      <c r="AC73" s="283"/>
      <c r="AD73" s="330"/>
      <c r="AE73" s="133"/>
      <c r="AF73" s="287"/>
      <c r="AG73" s="163"/>
      <c r="AH73" s="287"/>
      <c r="AI73" s="163"/>
      <c r="AJ73" s="163"/>
      <c r="AK73" s="283"/>
      <c r="AL73" s="330"/>
      <c r="AM73" s="330"/>
      <c r="AN73" s="330"/>
      <c r="AO73" s="133"/>
      <c r="AP73" s="133"/>
      <c r="AQ73" s="133"/>
      <c r="AR73" s="133"/>
      <c r="AS73" s="133"/>
      <c r="AT73" s="133"/>
      <c r="AU73" s="133"/>
      <c r="AV73" s="133"/>
      <c r="AW73" s="133"/>
      <c r="AX73" s="133"/>
      <c r="AY73" s="133"/>
    </row>
    <row r="74" spans="2:51" x14ac:dyDescent="0.15">
      <c r="B74" s="26" t="s">
        <v>1186</v>
      </c>
      <c r="C74" s="288">
        <v>0.875</v>
      </c>
      <c r="D74" s="288">
        <v>1.375</v>
      </c>
      <c r="E74" s="289">
        <v>27.2</v>
      </c>
      <c r="F74" s="274">
        <f t="shared" si="1"/>
        <v>40.478062003783876</v>
      </c>
      <c r="G74" s="351">
        <f t="shared" ref="G74:G80" si="15">((R74*2)+(S74*2))*12/144</f>
        <v>1.6666666666666667</v>
      </c>
      <c r="H74" s="274">
        <f t="shared" si="0"/>
        <v>0.50800000077216012</v>
      </c>
      <c r="I74" s="163"/>
      <c r="J74" s="26" t="s">
        <v>1197</v>
      </c>
      <c r="K74" s="14">
        <v>0.3125</v>
      </c>
      <c r="L74" s="14">
        <v>0.625</v>
      </c>
      <c r="M74" s="120">
        <v>5</v>
      </c>
      <c r="N74" s="314">
        <f>M74*3.2808399*0.4535924</f>
        <v>7.4408202212838006</v>
      </c>
      <c r="O74" s="219">
        <f>((Y74*2)+(Z74*2))*12/144</f>
        <v>0.83333333333333337</v>
      </c>
      <c r="P74" s="274">
        <f>O74*3.2808399*0.09290304</f>
        <v>0.25400000038608006</v>
      </c>
      <c r="R74">
        <v>5</v>
      </c>
      <c r="S74">
        <v>5</v>
      </c>
      <c r="Y74">
        <v>2.5</v>
      </c>
      <c r="Z74">
        <v>2.5</v>
      </c>
      <c r="AA74" s="163"/>
      <c r="AB74" s="163"/>
      <c r="AC74" s="283"/>
      <c r="AD74" s="330"/>
      <c r="AE74" s="330"/>
      <c r="AF74" s="330"/>
      <c r="AG74" s="163"/>
      <c r="AH74" s="287"/>
      <c r="AI74" s="163"/>
      <c r="AJ74" s="163"/>
      <c r="AK74" s="283"/>
      <c r="AL74" s="330"/>
      <c r="AM74" s="330"/>
      <c r="AN74" s="330"/>
      <c r="AO74" s="133"/>
      <c r="AP74" s="133"/>
      <c r="AQ74" s="133"/>
      <c r="AR74" s="133"/>
      <c r="AS74" s="133"/>
      <c r="AT74" s="133"/>
      <c r="AU74" s="133"/>
      <c r="AV74" s="133"/>
      <c r="AW74" s="133"/>
      <c r="AX74" s="133"/>
      <c r="AY74" s="133"/>
    </row>
    <row r="75" spans="2:51" x14ac:dyDescent="0.15">
      <c r="B75" s="26" t="s">
        <v>1186</v>
      </c>
      <c r="C75" s="14">
        <v>0.75</v>
      </c>
      <c r="D75" s="14">
        <v>1.25</v>
      </c>
      <c r="E75" s="160">
        <v>23.6</v>
      </c>
      <c r="F75" s="272">
        <f t="shared" si="1"/>
        <v>35.120671444459539</v>
      </c>
      <c r="G75" s="219">
        <f t="shared" si="15"/>
        <v>1.6666666666666667</v>
      </c>
      <c r="H75" s="274">
        <f t="shared" si="0"/>
        <v>0.50800000077216012</v>
      </c>
      <c r="I75" s="163"/>
      <c r="J75" s="26" t="s">
        <v>1197</v>
      </c>
      <c r="K75" s="14">
        <v>0.25</v>
      </c>
      <c r="L75" s="14">
        <v>0.5625</v>
      </c>
      <c r="M75" s="120">
        <v>4.0999999999999996</v>
      </c>
      <c r="N75" s="314">
        <f>M75*3.2808399*0.4535924</f>
        <v>6.1014725814527164</v>
      </c>
      <c r="O75" s="219">
        <f>((Y75*2)+(Z75*2))*12/144</f>
        <v>0.83333333333333337</v>
      </c>
      <c r="P75" s="274">
        <f>O75*3.2808399*0.09290304</f>
        <v>0.25400000038608006</v>
      </c>
      <c r="R75">
        <v>5</v>
      </c>
      <c r="S75">
        <v>5</v>
      </c>
      <c r="Y75">
        <v>2.5</v>
      </c>
      <c r="Z75">
        <v>2.5</v>
      </c>
      <c r="AA75" s="163"/>
      <c r="AB75" s="163"/>
      <c r="AC75" s="283"/>
      <c r="AD75" s="330"/>
      <c r="AE75" s="330"/>
      <c r="AF75" s="330"/>
      <c r="AG75" s="163"/>
      <c r="AH75" s="287"/>
      <c r="AI75" s="163"/>
      <c r="AJ75" s="163"/>
      <c r="AK75" s="283"/>
      <c r="AL75" s="330"/>
      <c r="AM75" s="330"/>
      <c r="AN75" s="330"/>
      <c r="AO75" s="133"/>
      <c r="AP75" s="133"/>
      <c r="AQ75" s="133"/>
      <c r="AR75" s="133"/>
      <c r="AS75" s="133"/>
      <c r="AT75" s="133"/>
      <c r="AU75" s="133"/>
      <c r="AV75" s="133"/>
      <c r="AW75" s="133"/>
      <c r="AX75" s="133"/>
      <c r="AY75" s="133"/>
    </row>
    <row r="76" spans="2:51" x14ac:dyDescent="0.15">
      <c r="B76" s="26" t="s">
        <v>1186</v>
      </c>
      <c r="C76" s="152">
        <v>0.625</v>
      </c>
      <c r="D76" s="152">
        <v>1.125</v>
      </c>
      <c r="E76" s="154">
        <v>20</v>
      </c>
      <c r="F76" s="271">
        <f t="shared" si="1"/>
        <v>29.763280885135202</v>
      </c>
      <c r="G76" s="271">
        <f t="shared" si="15"/>
        <v>1.6666666666666667</v>
      </c>
      <c r="H76" s="270">
        <f>G76*3.2808399*0.09290304</f>
        <v>0.50800000077216012</v>
      </c>
      <c r="I76" s="163"/>
      <c r="J76" s="26" t="s">
        <v>1197</v>
      </c>
      <c r="K76" s="354">
        <v>0.1875</v>
      </c>
      <c r="L76" s="354">
        <v>0.5</v>
      </c>
      <c r="M76" s="355">
        <v>3.07</v>
      </c>
      <c r="N76" s="314">
        <f>M76*3.2808399*0.4535924</f>
        <v>4.5686636158682532</v>
      </c>
      <c r="O76" s="356">
        <f>((Y76*2)+(Z76*2))*12/144</f>
        <v>0.83333333333333337</v>
      </c>
      <c r="P76" s="274">
        <f>O76*3.2808399*0.09290304</f>
        <v>0.25400000038608006</v>
      </c>
      <c r="R76">
        <v>5</v>
      </c>
      <c r="S76">
        <v>5</v>
      </c>
      <c r="Y76">
        <v>2.5</v>
      </c>
      <c r="Z76">
        <v>2.5</v>
      </c>
      <c r="AA76" s="163"/>
      <c r="AB76" s="163"/>
      <c r="AC76" s="283"/>
      <c r="AD76" s="330"/>
      <c r="AE76" s="330"/>
      <c r="AF76" s="330"/>
      <c r="AG76" s="163"/>
      <c r="AH76" s="287"/>
      <c r="AI76" s="163"/>
      <c r="AJ76" s="163"/>
      <c r="AK76" s="283"/>
      <c r="AL76" s="330"/>
      <c r="AM76" s="330"/>
      <c r="AN76" s="330"/>
      <c r="AO76" s="133"/>
      <c r="AP76" s="133"/>
      <c r="AQ76" s="133"/>
      <c r="AR76" s="133"/>
      <c r="AS76" s="133"/>
      <c r="AT76" s="133"/>
      <c r="AU76" s="133"/>
      <c r="AV76" s="133"/>
      <c r="AW76" s="133"/>
      <c r="AX76" s="133"/>
      <c r="AY76" s="133"/>
    </row>
    <row r="77" spans="2:51" x14ac:dyDescent="0.15">
      <c r="B77" s="26" t="s">
        <v>1186</v>
      </c>
      <c r="C77" s="14">
        <v>0.5</v>
      </c>
      <c r="D77" s="14">
        <v>1</v>
      </c>
      <c r="E77" s="120">
        <v>16.2</v>
      </c>
      <c r="F77" s="272">
        <f t="shared" si="1"/>
        <v>24.108257516959512</v>
      </c>
      <c r="G77" s="219">
        <f t="shared" si="15"/>
        <v>1.6666666666666667</v>
      </c>
      <c r="H77" s="274">
        <f t="shared" si="0"/>
        <v>0.50800000077216012</v>
      </c>
      <c r="I77" s="163"/>
      <c r="J77" s="352"/>
      <c r="K77" s="315"/>
      <c r="L77" s="315"/>
      <c r="M77" s="316"/>
      <c r="N77" s="316"/>
      <c r="O77" s="336"/>
      <c r="P77" s="353"/>
      <c r="R77">
        <v>5</v>
      </c>
      <c r="S77">
        <v>5</v>
      </c>
      <c r="AA77" s="163"/>
      <c r="AB77" s="163"/>
      <c r="AC77" s="283"/>
      <c r="AD77" s="330"/>
      <c r="AE77" s="330"/>
      <c r="AF77" s="330"/>
      <c r="AG77" s="163"/>
      <c r="AH77" s="287"/>
      <c r="AI77" s="163"/>
      <c r="AJ77" s="163"/>
      <c r="AK77" s="283"/>
      <c r="AL77" s="283"/>
      <c r="AM77" s="133"/>
      <c r="AN77" s="287"/>
      <c r="AO77" s="133"/>
      <c r="AP77" s="133"/>
      <c r="AQ77" s="133"/>
      <c r="AR77" s="133"/>
      <c r="AS77" s="133"/>
      <c r="AT77" s="133"/>
      <c r="AU77" s="133"/>
      <c r="AV77" s="133"/>
      <c r="AW77" s="133"/>
      <c r="AX77" s="133"/>
      <c r="AY77" s="133"/>
    </row>
    <row r="78" spans="2:51" x14ac:dyDescent="0.15">
      <c r="B78" s="26" t="s">
        <v>1186</v>
      </c>
      <c r="C78" s="152">
        <v>0.4375</v>
      </c>
      <c r="D78" s="152">
        <v>0.9375</v>
      </c>
      <c r="E78" s="154">
        <v>14.3</v>
      </c>
      <c r="F78" s="271">
        <f t="shared" si="1"/>
        <v>21.28074583287167</v>
      </c>
      <c r="G78" s="271">
        <f t="shared" si="15"/>
        <v>1.6666666666666667</v>
      </c>
      <c r="H78" s="270">
        <f>G78*3.2808399*0.09290304</f>
        <v>0.50800000077216012</v>
      </c>
      <c r="I78" s="163"/>
      <c r="J78" s="26" t="s">
        <v>1198</v>
      </c>
      <c r="K78" s="288">
        <v>0.375</v>
      </c>
      <c r="L78" s="288">
        <v>0.6875</v>
      </c>
      <c r="M78" s="289">
        <v>5.3</v>
      </c>
      <c r="N78" s="333">
        <f>M78*3.2808399*0.4535924</f>
        <v>7.8872694345608281</v>
      </c>
      <c r="O78" s="351">
        <f>((Y78*2)+(Z78*2))*12/144</f>
        <v>0.75</v>
      </c>
      <c r="P78" s="274">
        <f>O78*3.2808399*0.09290304</f>
        <v>0.22860000034747202</v>
      </c>
      <c r="R78">
        <v>5</v>
      </c>
      <c r="S78">
        <v>5</v>
      </c>
      <c r="Y78">
        <v>2.5</v>
      </c>
      <c r="Z78">
        <v>2</v>
      </c>
      <c r="AA78" s="163"/>
      <c r="AB78" s="163"/>
      <c r="AC78" s="283"/>
      <c r="AD78" s="330"/>
      <c r="AE78" s="330"/>
      <c r="AF78" s="330"/>
      <c r="AG78" s="163"/>
      <c r="AH78" s="287"/>
      <c r="AI78" s="163"/>
      <c r="AJ78" s="163"/>
      <c r="AK78" s="283"/>
      <c r="AL78" s="330"/>
      <c r="AM78" s="330"/>
      <c r="AN78" s="330"/>
      <c r="AO78" s="133"/>
      <c r="AP78" s="133"/>
      <c r="AQ78" s="133"/>
      <c r="AR78" s="133"/>
      <c r="AS78" s="133"/>
      <c r="AT78" s="133"/>
      <c r="AU78" s="133"/>
      <c r="AV78" s="133"/>
      <c r="AW78" s="133"/>
      <c r="AX78" s="133"/>
      <c r="AY78" s="133"/>
    </row>
    <row r="79" spans="2:51" x14ac:dyDescent="0.15">
      <c r="B79" s="26" t="s">
        <v>1186</v>
      </c>
      <c r="C79" s="14">
        <v>0.375</v>
      </c>
      <c r="D79" s="14">
        <v>0.875</v>
      </c>
      <c r="E79" s="120">
        <v>12.3</v>
      </c>
      <c r="F79" s="272">
        <f t="shared" si="1"/>
        <v>18.304417744358151</v>
      </c>
      <c r="G79" s="219">
        <f t="shared" si="15"/>
        <v>1.6666666666666667</v>
      </c>
      <c r="H79" s="274">
        <f t="shared" si="0"/>
        <v>0.50800000077216012</v>
      </c>
      <c r="I79" s="163"/>
      <c r="J79" s="26" t="s">
        <v>1198</v>
      </c>
      <c r="K79" s="14">
        <v>0.3125</v>
      </c>
      <c r="L79" s="14">
        <v>0.625</v>
      </c>
      <c r="M79" s="120">
        <v>4.5</v>
      </c>
      <c r="N79" s="314">
        <f>M79*3.2808399*0.4535924</f>
        <v>6.69673819915542</v>
      </c>
      <c r="O79" s="219">
        <f>((Y79*2)+(Z79*2))*12/144</f>
        <v>0.75</v>
      </c>
      <c r="P79" s="274">
        <f>O79*3.2808399*0.09290304</f>
        <v>0.22860000034747202</v>
      </c>
      <c r="R79">
        <v>5</v>
      </c>
      <c r="S79">
        <v>5</v>
      </c>
      <c r="Y79">
        <v>2.5</v>
      </c>
      <c r="Z79">
        <v>2</v>
      </c>
      <c r="AA79" s="163"/>
      <c r="AB79" s="163"/>
      <c r="AC79" s="283"/>
      <c r="AD79" s="330"/>
      <c r="AE79" s="330"/>
      <c r="AF79" s="330"/>
      <c r="AG79" s="163"/>
      <c r="AH79" s="287"/>
      <c r="AI79" s="163"/>
      <c r="AJ79" s="163"/>
      <c r="AK79" s="283"/>
      <c r="AL79" s="330"/>
      <c r="AM79" s="330"/>
      <c r="AN79" s="330"/>
      <c r="AO79" s="133"/>
      <c r="AP79" s="133"/>
      <c r="AQ79" s="133"/>
      <c r="AR79" s="133"/>
      <c r="AS79" s="133"/>
      <c r="AT79" s="133"/>
      <c r="AU79" s="133"/>
      <c r="AV79" s="133"/>
      <c r="AW79" s="133"/>
      <c r="AX79" s="133"/>
      <c r="AY79" s="133"/>
    </row>
    <row r="80" spans="2:51" x14ac:dyDescent="0.15">
      <c r="B80" s="26" t="s">
        <v>1186</v>
      </c>
      <c r="C80" s="354">
        <v>0.3125</v>
      </c>
      <c r="D80" s="354">
        <v>0.8125</v>
      </c>
      <c r="E80" s="355">
        <v>10.3</v>
      </c>
      <c r="F80" s="314">
        <f t="shared" si="1"/>
        <v>15.32808965584463</v>
      </c>
      <c r="G80" s="356">
        <f t="shared" si="15"/>
        <v>1.6666666666666667</v>
      </c>
      <c r="H80" s="274">
        <f t="shared" si="0"/>
        <v>0.50800000077216012</v>
      </c>
      <c r="I80" s="163"/>
      <c r="J80" s="26" t="s">
        <v>1198</v>
      </c>
      <c r="K80" s="14">
        <v>0.25</v>
      </c>
      <c r="L80" s="14">
        <v>0.5625</v>
      </c>
      <c r="M80" s="120">
        <v>3.62</v>
      </c>
      <c r="N80" s="314">
        <f>M80*3.2808399*0.4535924</f>
        <v>5.3871538402094714</v>
      </c>
      <c r="O80" s="219">
        <f>((Y80*2)+(Z80*2))*12/144</f>
        <v>0.75</v>
      </c>
      <c r="P80" s="274">
        <f>O80*3.2808399*0.09290304</f>
        <v>0.22860000034747202</v>
      </c>
      <c r="R80">
        <v>5</v>
      </c>
      <c r="S80">
        <v>5</v>
      </c>
      <c r="Y80">
        <v>2.5</v>
      </c>
      <c r="Z80">
        <v>2</v>
      </c>
      <c r="AA80" s="163"/>
      <c r="AB80" s="163"/>
      <c r="AC80" s="283"/>
      <c r="AD80" s="330"/>
      <c r="AE80" s="330"/>
      <c r="AF80" s="330"/>
      <c r="AG80" s="163"/>
      <c r="AH80" s="287"/>
      <c r="AI80" s="163"/>
      <c r="AJ80" s="163"/>
      <c r="AK80" s="283"/>
      <c r="AL80" s="330"/>
      <c r="AM80" s="330"/>
      <c r="AN80" s="330"/>
      <c r="AO80" s="133"/>
      <c r="AP80" s="133"/>
      <c r="AQ80" s="133"/>
      <c r="AR80" s="133"/>
      <c r="AS80" s="133"/>
      <c r="AT80" s="133"/>
      <c r="AU80" s="133"/>
      <c r="AV80" s="133"/>
      <c r="AW80" s="133"/>
      <c r="AX80" s="133"/>
      <c r="AY80" s="133"/>
    </row>
    <row r="81" spans="2:51" x14ac:dyDescent="0.15">
      <c r="B81" s="352"/>
      <c r="C81" s="315"/>
      <c r="D81" s="315"/>
      <c r="E81" s="316"/>
      <c r="F81" s="317"/>
      <c r="G81" s="336"/>
      <c r="H81" s="353"/>
      <c r="I81" s="163"/>
      <c r="J81" s="26" t="s">
        <v>1198</v>
      </c>
      <c r="K81" s="354">
        <v>0.1875</v>
      </c>
      <c r="L81" s="354">
        <v>0.5</v>
      </c>
      <c r="M81" s="355">
        <v>2.75</v>
      </c>
      <c r="N81" s="314">
        <f>M81*3.2808399*0.4535924</f>
        <v>4.0924511217060902</v>
      </c>
      <c r="O81" s="356">
        <f>((Y81*2)+(Z81*2))*12/144</f>
        <v>0.75</v>
      </c>
      <c r="P81" s="274">
        <f>O81*3.2808399*0.09290304</f>
        <v>0.22860000034747202</v>
      </c>
      <c r="Y81">
        <v>2.5</v>
      </c>
      <c r="Z81">
        <v>2</v>
      </c>
      <c r="AA81" s="163"/>
      <c r="AB81" s="163"/>
      <c r="AC81" s="283"/>
      <c r="AD81" s="330"/>
      <c r="AE81" s="133"/>
      <c r="AF81" s="287"/>
      <c r="AG81" s="163"/>
      <c r="AH81" s="287"/>
      <c r="AI81" s="163"/>
      <c r="AJ81" s="163"/>
      <c r="AK81" s="283"/>
      <c r="AL81" s="330"/>
      <c r="AM81" s="330"/>
      <c r="AN81" s="330"/>
      <c r="AO81" s="133"/>
      <c r="AP81" s="133"/>
      <c r="AQ81" s="133"/>
      <c r="AR81" s="133"/>
      <c r="AS81" s="133"/>
      <c r="AT81" s="133"/>
      <c r="AU81" s="133"/>
      <c r="AV81" s="133"/>
      <c r="AW81" s="133"/>
      <c r="AX81" s="133"/>
      <c r="AY81" s="133"/>
    </row>
    <row r="82" spans="2:51" x14ac:dyDescent="0.15">
      <c r="B82" s="26" t="s">
        <v>1187</v>
      </c>
      <c r="C82" s="288">
        <v>0.75</v>
      </c>
      <c r="D82" s="288">
        <v>1.25</v>
      </c>
      <c r="E82" s="289">
        <v>19.8</v>
      </c>
      <c r="F82" s="274">
        <f t="shared" si="1"/>
        <v>29.465648076283852</v>
      </c>
      <c r="G82" s="351">
        <f t="shared" ref="G82:G88" si="16">((R82*2)+(S82*2))*12/144</f>
        <v>1.4166666666666667</v>
      </c>
      <c r="H82" s="274">
        <f t="shared" si="0"/>
        <v>0.43180000065633611</v>
      </c>
      <c r="I82" s="163"/>
      <c r="J82" s="352"/>
      <c r="K82" s="315"/>
      <c r="L82" s="315"/>
      <c r="M82" s="316"/>
      <c r="N82" s="316"/>
      <c r="O82" s="336"/>
      <c r="P82" s="353"/>
      <c r="R82">
        <v>5</v>
      </c>
      <c r="S82">
        <v>3.5</v>
      </c>
      <c r="AA82" s="163"/>
      <c r="AB82" s="163"/>
      <c r="AC82" s="283"/>
      <c r="AD82" s="330"/>
      <c r="AE82" s="330"/>
      <c r="AF82" s="330"/>
      <c r="AG82" s="163"/>
      <c r="AH82" s="287"/>
      <c r="AI82" s="163"/>
      <c r="AJ82" s="163"/>
      <c r="AK82" s="283"/>
      <c r="AL82" s="283"/>
      <c r="AM82" s="133"/>
      <c r="AN82" s="287"/>
      <c r="AO82" s="133"/>
      <c r="AP82" s="133"/>
      <c r="AQ82" s="133"/>
      <c r="AR82" s="133"/>
      <c r="AS82" s="133"/>
      <c r="AT82" s="133"/>
      <c r="AU82" s="133"/>
      <c r="AV82" s="133"/>
      <c r="AW82" s="133"/>
      <c r="AX82" s="133"/>
      <c r="AY82" s="133"/>
    </row>
    <row r="83" spans="2:51" x14ac:dyDescent="0.15">
      <c r="B83" s="26" t="s">
        <v>1187</v>
      </c>
      <c r="C83" s="152">
        <v>0.625</v>
      </c>
      <c r="D83" s="152">
        <v>1.125</v>
      </c>
      <c r="E83" s="154">
        <v>16.8</v>
      </c>
      <c r="F83" s="271">
        <f t="shared" si="1"/>
        <v>25.00115594351357</v>
      </c>
      <c r="G83" s="271">
        <f t="shared" si="16"/>
        <v>1.4166666666666667</v>
      </c>
      <c r="H83" s="270">
        <f>G83*3.2808399*0.09290304</f>
        <v>0.43180000065633611</v>
      </c>
      <c r="I83" s="163"/>
      <c r="J83" s="26" t="s">
        <v>1199</v>
      </c>
      <c r="K83" s="288">
        <v>0.375</v>
      </c>
      <c r="L83" s="288">
        <v>0.625</v>
      </c>
      <c r="M83" s="289">
        <v>4.7</v>
      </c>
      <c r="N83" s="333">
        <f>M83*3.2808399*0.4535924</f>
        <v>6.9943710080067731</v>
      </c>
      <c r="O83" s="351">
        <f>((Y83*2)+(Z83*2))*12/144</f>
        <v>0.66666666666666663</v>
      </c>
      <c r="P83" s="274">
        <f>O83*3.2808399*0.09290304</f>
        <v>0.20320000030886398</v>
      </c>
      <c r="R83">
        <v>5</v>
      </c>
      <c r="S83">
        <v>3.5</v>
      </c>
      <c r="Y83">
        <v>2</v>
      </c>
      <c r="Z83">
        <v>2</v>
      </c>
      <c r="AA83" s="163"/>
      <c r="AB83" s="163"/>
      <c r="AC83" s="283"/>
      <c r="AD83" s="330"/>
      <c r="AE83" s="330"/>
      <c r="AF83" s="330"/>
      <c r="AG83" s="163"/>
      <c r="AH83" s="287"/>
      <c r="AI83" s="163"/>
      <c r="AJ83" s="163"/>
      <c r="AK83" s="283"/>
      <c r="AL83" s="330"/>
      <c r="AM83" s="330"/>
      <c r="AN83" s="330"/>
      <c r="AO83" s="133"/>
      <c r="AP83" s="133"/>
      <c r="AQ83" s="133"/>
      <c r="AR83" s="133"/>
      <c r="AS83" s="133"/>
      <c r="AT83" s="133"/>
      <c r="AU83" s="133"/>
      <c r="AV83" s="133"/>
      <c r="AW83" s="133"/>
      <c r="AX83" s="133"/>
      <c r="AY83" s="133"/>
    </row>
    <row r="84" spans="2:51" x14ac:dyDescent="0.15">
      <c r="B84" s="26" t="s">
        <v>1187</v>
      </c>
      <c r="C84" s="14">
        <v>0.5</v>
      </c>
      <c r="D84" s="14">
        <v>1</v>
      </c>
      <c r="E84" s="120">
        <v>13.6</v>
      </c>
      <c r="F84" s="272">
        <f t="shared" si="1"/>
        <v>20.239031001891938</v>
      </c>
      <c r="G84" s="219">
        <f t="shared" si="16"/>
        <v>1.4166666666666667</v>
      </c>
      <c r="H84" s="274">
        <f t="shared" si="0"/>
        <v>0.43180000065633611</v>
      </c>
      <c r="I84" s="163"/>
      <c r="J84" s="26" t="s">
        <v>1199</v>
      </c>
      <c r="K84" s="14">
        <v>0.3125</v>
      </c>
      <c r="L84" s="14">
        <v>0.5625</v>
      </c>
      <c r="M84" s="120">
        <v>3.92</v>
      </c>
      <c r="N84" s="314">
        <f>M84*3.2808399*0.4535924</f>
        <v>5.8336030534864989</v>
      </c>
      <c r="O84" s="219">
        <f>((Y84*2)+(Z84*2))*12/144</f>
        <v>0.66666666666666663</v>
      </c>
      <c r="P84" s="274">
        <f>O84*3.2808399*0.09290304</f>
        <v>0.20320000030886398</v>
      </c>
      <c r="R84">
        <v>5</v>
      </c>
      <c r="S84">
        <v>3.5</v>
      </c>
      <c r="Y84">
        <v>2</v>
      </c>
      <c r="Z84">
        <v>2</v>
      </c>
      <c r="AA84" s="163"/>
      <c r="AB84" s="163"/>
      <c r="AC84" s="283"/>
      <c r="AD84" s="330"/>
      <c r="AE84" s="330"/>
      <c r="AF84" s="330"/>
      <c r="AG84" s="163"/>
      <c r="AH84" s="287"/>
      <c r="AI84" s="163"/>
      <c r="AJ84" s="163"/>
      <c r="AK84" s="283"/>
      <c r="AL84" s="330"/>
      <c r="AM84" s="330"/>
      <c r="AN84" s="330"/>
      <c r="AO84" s="133"/>
      <c r="AP84" s="133"/>
      <c r="AQ84" s="133"/>
      <c r="AR84" s="133"/>
      <c r="AS84" s="133"/>
      <c r="AT84" s="133"/>
      <c r="AU84" s="133"/>
      <c r="AV84" s="133"/>
      <c r="AW84" s="133"/>
      <c r="AX84" s="133"/>
      <c r="AY84" s="133"/>
    </row>
    <row r="85" spans="2:51" x14ac:dyDescent="0.15">
      <c r="B85" s="26" t="s">
        <v>1187</v>
      </c>
      <c r="C85" s="152">
        <v>0.4375</v>
      </c>
      <c r="D85" s="152">
        <v>0.9375</v>
      </c>
      <c r="E85" s="154">
        <v>12</v>
      </c>
      <c r="F85" s="271">
        <f t="shared" si="1"/>
        <v>17.85796853108112</v>
      </c>
      <c r="G85" s="271">
        <f t="shared" si="16"/>
        <v>1.4166666666666667</v>
      </c>
      <c r="H85" s="270">
        <f>G85*3.2808399*0.09290304</f>
        <v>0.43180000065633611</v>
      </c>
      <c r="I85" s="163"/>
      <c r="J85" s="26" t="s">
        <v>1199</v>
      </c>
      <c r="K85" s="14">
        <v>0.25</v>
      </c>
      <c r="L85" s="14">
        <v>0.5</v>
      </c>
      <c r="M85" s="120">
        <v>3.19</v>
      </c>
      <c r="N85" s="314">
        <f>M85*3.2808399*0.4535924</f>
        <v>4.747243301179064</v>
      </c>
      <c r="O85" s="219">
        <f>((Y85*2)+(Z85*2))*12/144</f>
        <v>0.66666666666666663</v>
      </c>
      <c r="P85" s="274">
        <f>O85*3.2808399*0.09290304</f>
        <v>0.20320000030886398</v>
      </c>
      <c r="R85">
        <v>5</v>
      </c>
      <c r="S85">
        <v>3.5</v>
      </c>
      <c r="Y85">
        <v>2</v>
      </c>
      <c r="Z85">
        <v>2</v>
      </c>
      <c r="AA85" s="163"/>
      <c r="AB85" s="163"/>
      <c r="AC85" s="283"/>
      <c r="AD85" s="330"/>
      <c r="AE85" s="330"/>
      <c r="AF85" s="330"/>
      <c r="AG85" s="163"/>
      <c r="AH85" s="287"/>
      <c r="AI85" s="163"/>
      <c r="AJ85" s="163"/>
      <c r="AK85" s="283"/>
      <c r="AL85" s="330"/>
      <c r="AM85" s="330"/>
      <c r="AN85" s="330"/>
      <c r="AO85" s="133"/>
      <c r="AP85" s="133"/>
      <c r="AQ85" s="133"/>
      <c r="AR85" s="133"/>
      <c r="AS85" s="133"/>
      <c r="AT85" s="133"/>
      <c r="AU85" s="133"/>
      <c r="AV85" s="133"/>
      <c r="AW85" s="133"/>
      <c r="AX85" s="133"/>
      <c r="AY85" s="133"/>
    </row>
    <row r="86" spans="2:51" x14ac:dyDescent="0.15">
      <c r="B86" s="26" t="s">
        <v>1187</v>
      </c>
      <c r="C86" s="14">
        <v>0.375</v>
      </c>
      <c r="D86" s="14">
        <v>0.875</v>
      </c>
      <c r="E86" s="120">
        <v>10.4</v>
      </c>
      <c r="F86" s="272">
        <f t="shared" si="1"/>
        <v>15.476906060270304</v>
      </c>
      <c r="G86" s="219">
        <f t="shared" si="16"/>
        <v>1.4166666666666667</v>
      </c>
      <c r="H86" s="274">
        <f>G86*3.2808399*0.09290304</f>
        <v>0.43180000065633611</v>
      </c>
      <c r="I86" s="163"/>
      <c r="J86" s="26" t="s">
        <v>1199</v>
      </c>
      <c r="K86" s="14">
        <v>0.1875</v>
      </c>
      <c r="L86" s="14">
        <v>0.4375</v>
      </c>
      <c r="M86" s="120">
        <v>2.44</v>
      </c>
      <c r="N86" s="314">
        <f>M86*3.2808399*0.4535924</f>
        <v>3.6311202679864945</v>
      </c>
      <c r="O86" s="219">
        <f>((Y86*2)+(Z86*2))*12/144</f>
        <v>0.66666666666666663</v>
      </c>
      <c r="P86" s="274">
        <f>O86*3.2808399*0.09290304</f>
        <v>0.20320000030886398</v>
      </c>
      <c r="R86">
        <v>5</v>
      </c>
      <c r="S86">
        <v>3.5</v>
      </c>
      <c r="Y86">
        <v>2</v>
      </c>
      <c r="Z86">
        <v>2</v>
      </c>
      <c r="AA86" s="163"/>
      <c r="AB86" s="163"/>
      <c r="AC86" s="283"/>
      <c r="AD86" s="330"/>
      <c r="AE86" s="330"/>
      <c r="AF86" s="330"/>
      <c r="AG86" s="163"/>
      <c r="AH86" s="287"/>
      <c r="AI86" s="163"/>
      <c r="AJ86" s="163"/>
      <c r="AK86" s="283"/>
      <c r="AL86" s="330"/>
      <c r="AM86" s="330"/>
      <c r="AN86" s="330"/>
      <c r="AO86" s="133"/>
      <c r="AP86" s="133"/>
      <c r="AQ86" s="133"/>
      <c r="AR86" s="133"/>
      <c r="AS86" s="133"/>
      <c r="AT86" s="133"/>
      <c r="AU86" s="133"/>
      <c r="AV86" s="133"/>
      <c r="AW86" s="133"/>
      <c r="AX86" s="133"/>
      <c r="AY86" s="133"/>
    </row>
    <row r="87" spans="2:51" x14ac:dyDescent="0.15">
      <c r="B87" s="26" t="s">
        <v>1187</v>
      </c>
      <c r="C87" s="14">
        <v>0.3125</v>
      </c>
      <c r="D87" s="14">
        <v>0.8125</v>
      </c>
      <c r="E87" s="120">
        <v>8.6999999999999993</v>
      </c>
      <c r="F87" s="272">
        <f t="shared" si="1"/>
        <v>12.947027185033811</v>
      </c>
      <c r="G87" s="219">
        <f t="shared" si="16"/>
        <v>1.4166666666666667</v>
      </c>
      <c r="H87" s="274">
        <f>G87*3.2808399*0.09290304</f>
        <v>0.43180000065633611</v>
      </c>
      <c r="I87" s="163"/>
      <c r="J87" s="26" t="s">
        <v>1199</v>
      </c>
      <c r="K87" s="354">
        <v>0.125</v>
      </c>
      <c r="L87" s="354">
        <v>0.375</v>
      </c>
      <c r="M87" s="355">
        <v>1.65</v>
      </c>
      <c r="N87" s="314">
        <f>M87*3.2808399*0.4535924</f>
        <v>2.4554706730236537</v>
      </c>
      <c r="O87" s="356">
        <f>((Y87*2)+(Z87*2))*12/144</f>
        <v>0.66666666666666663</v>
      </c>
      <c r="P87" s="274">
        <f>O87*3.2808399*0.09290304</f>
        <v>0.20320000030886398</v>
      </c>
      <c r="R87">
        <v>5</v>
      </c>
      <c r="S87">
        <v>3.5</v>
      </c>
      <c r="Y87">
        <v>2</v>
      </c>
      <c r="Z87">
        <v>2</v>
      </c>
      <c r="AA87" s="163"/>
      <c r="AB87" s="163"/>
      <c r="AC87" s="283"/>
      <c r="AD87" s="330"/>
      <c r="AE87" s="330"/>
      <c r="AF87" s="330"/>
      <c r="AG87" s="163"/>
      <c r="AH87" s="287"/>
      <c r="AI87" s="163"/>
      <c r="AJ87" s="163"/>
      <c r="AK87" s="283"/>
      <c r="AL87" s="330"/>
      <c r="AM87" s="330"/>
      <c r="AN87" s="330"/>
      <c r="AO87" s="133"/>
      <c r="AP87" s="133"/>
      <c r="AQ87" s="133"/>
      <c r="AR87" s="133"/>
      <c r="AS87" s="133"/>
      <c r="AT87" s="133"/>
      <c r="AU87" s="133"/>
      <c r="AV87" s="133"/>
      <c r="AW87" s="133"/>
      <c r="AX87" s="133"/>
      <c r="AY87" s="133"/>
    </row>
    <row r="88" spans="2:51" x14ac:dyDescent="0.15">
      <c r="B88" s="26" t="s">
        <v>1187</v>
      </c>
      <c r="C88" s="349">
        <v>0.25</v>
      </c>
      <c r="D88" s="349">
        <v>0.75</v>
      </c>
      <c r="E88" s="350">
        <v>7</v>
      </c>
      <c r="F88" s="325">
        <f t="shared" si="1"/>
        <v>10.417148309797321</v>
      </c>
      <c r="G88" s="325">
        <f t="shared" si="16"/>
        <v>1.4166666666666667</v>
      </c>
      <c r="H88" s="270">
        <f>G88*3.2808399*0.09290304</f>
        <v>0.43180000065633611</v>
      </c>
      <c r="I88" s="163"/>
      <c r="J88" s="352"/>
      <c r="K88" s="315"/>
      <c r="L88" s="315"/>
      <c r="M88" s="316"/>
      <c r="N88" s="316"/>
      <c r="O88" s="336"/>
      <c r="P88" s="353"/>
      <c r="R88">
        <v>5</v>
      </c>
      <c r="S88">
        <v>3.5</v>
      </c>
      <c r="AA88" s="163"/>
      <c r="AB88" s="163"/>
      <c r="AC88" s="283"/>
      <c r="AD88" s="330"/>
      <c r="AE88" s="330"/>
      <c r="AF88" s="330"/>
      <c r="AG88" s="163"/>
      <c r="AH88" s="287"/>
      <c r="AI88" s="163"/>
      <c r="AJ88" s="163"/>
      <c r="AK88" s="283"/>
      <c r="AL88" s="283"/>
      <c r="AM88" s="133"/>
      <c r="AN88" s="287"/>
      <c r="AO88" s="133"/>
      <c r="AP88" s="133"/>
      <c r="AQ88" s="133"/>
      <c r="AR88" s="133"/>
      <c r="AS88" s="133"/>
      <c r="AT88" s="133"/>
      <c r="AU88" s="133"/>
      <c r="AV88" s="133"/>
      <c r="AW88" s="133"/>
      <c r="AX88" s="133"/>
      <c r="AY88" s="133"/>
    </row>
    <row r="89" spans="2:51" x14ac:dyDescent="0.15">
      <c r="B89" s="352"/>
      <c r="C89" s="315"/>
      <c r="D89" s="315"/>
      <c r="E89" s="316"/>
      <c r="F89" s="317"/>
      <c r="G89" s="336"/>
      <c r="H89" s="353"/>
      <c r="I89" s="163"/>
      <c r="J89" s="26" t="s">
        <v>1618</v>
      </c>
      <c r="K89" s="288">
        <v>0.25</v>
      </c>
      <c r="L89" s="288">
        <v>0.5</v>
      </c>
      <c r="M89" s="289">
        <v>2.77</v>
      </c>
      <c r="N89" s="333">
        <f>M89*3.2808399*0.4535924</f>
        <v>4.1222144025912257</v>
      </c>
      <c r="O89" s="351">
        <f>((Y89*2)+(Z89*2))*12/144</f>
        <v>0.58333333333333337</v>
      </c>
      <c r="P89" s="274">
        <f>O89*3.2808399*0.09290304</f>
        <v>0.17780000027025603</v>
      </c>
      <c r="Y89">
        <v>1.75</v>
      </c>
      <c r="Z89">
        <v>1.75</v>
      </c>
      <c r="AA89" s="163"/>
      <c r="AB89" s="163"/>
      <c r="AC89" s="283"/>
      <c r="AD89" s="330"/>
      <c r="AE89" s="133"/>
      <c r="AF89" s="287"/>
      <c r="AG89" s="163"/>
      <c r="AH89" s="287"/>
      <c r="AI89" s="163"/>
      <c r="AJ89" s="163"/>
      <c r="AK89" s="283"/>
      <c r="AL89" s="330"/>
      <c r="AM89" s="330"/>
      <c r="AN89" s="330"/>
      <c r="AO89" s="133"/>
      <c r="AP89" s="133"/>
      <c r="AQ89" s="133"/>
      <c r="AR89" s="133"/>
      <c r="AS89" s="133"/>
      <c r="AT89" s="133"/>
      <c r="AU89" s="133"/>
      <c r="AV89" s="133"/>
      <c r="AW89" s="133"/>
      <c r="AX89" s="133"/>
      <c r="AY89" s="133"/>
    </row>
    <row r="90" spans="2:51" x14ac:dyDescent="0.15">
      <c r="B90" s="26" t="s">
        <v>1648</v>
      </c>
      <c r="C90" s="156">
        <v>0.625</v>
      </c>
      <c r="D90" s="156">
        <v>1</v>
      </c>
      <c r="E90" s="119">
        <v>15.7</v>
      </c>
      <c r="F90" s="274">
        <f t="shared" ref="F90:F103" si="17">E90*3.2808399*0.4535924</f>
        <v>23.364175494831134</v>
      </c>
      <c r="G90" s="351">
        <f t="shared" ref="G90:G95" si="18">((R90*2)+(S90*2))*12/144</f>
        <v>1.3333333333333333</v>
      </c>
      <c r="H90" s="274">
        <f t="shared" ref="H90:H99" si="19">G90*3.2808399*0.09290304</f>
        <v>0.40640000061772796</v>
      </c>
      <c r="I90" s="163"/>
      <c r="J90" s="26" t="s">
        <v>1618</v>
      </c>
      <c r="K90" s="354">
        <v>0.1875</v>
      </c>
      <c r="L90" s="354">
        <v>0.4375</v>
      </c>
      <c r="M90" s="355">
        <v>2.12</v>
      </c>
      <c r="N90" s="314">
        <f>M90*3.2808399*0.4535924</f>
        <v>3.1549077738243314</v>
      </c>
      <c r="O90" s="356">
        <f>((Y90*2)+(Z90*2))*12/144</f>
        <v>0.58333333333333337</v>
      </c>
      <c r="P90" s="274">
        <f>O90*3.2808399*0.09290304</f>
        <v>0.17780000027025603</v>
      </c>
      <c r="R90">
        <v>5</v>
      </c>
      <c r="S90">
        <v>3</v>
      </c>
      <c r="Y90">
        <v>1.75</v>
      </c>
      <c r="Z90">
        <v>1.75</v>
      </c>
      <c r="AA90" s="163"/>
      <c r="AB90" s="163"/>
      <c r="AC90" s="283"/>
      <c r="AD90" s="330"/>
      <c r="AE90" s="330"/>
      <c r="AF90" s="330"/>
      <c r="AG90" s="163"/>
      <c r="AH90" s="287"/>
      <c r="AI90" s="163"/>
      <c r="AJ90" s="163"/>
      <c r="AK90" s="283"/>
      <c r="AL90" s="330"/>
      <c r="AM90" s="330"/>
      <c r="AN90" s="330"/>
      <c r="AO90" s="133"/>
      <c r="AP90" s="133"/>
      <c r="AQ90" s="133"/>
      <c r="AR90" s="133"/>
      <c r="AS90" s="133"/>
      <c r="AT90" s="133"/>
      <c r="AU90" s="133"/>
      <c r="AV90" s="133"/>
      <c r="AW90" s="133"/>
      <c r="AX90" s="133"/>
      <c r="AY90" s="133"/>
    </row>
    <row r="91" spans="2:51" x14ac:dyDescent="0.15">
      <c r="B91" s="26" t="s">
        <v>1648</v>
      </c>
      <c r="C91" s="20">
        <v>0.5</v>
      </c>
      <c r="D91" s="20">
        <v>1</v>
      </c>
      <c r="E91" s="132">
        <v>12.8</v>
      </c>
      <c r="F91" s="272">
        <f t="shared" si="17"/>
        <v>19.048499766486533</v>
      </c>
      <c r="G91" s="219">
        <f t="shared" si="18"/>
        <v>1.3333333333333333</v>
      </c>
      <c r="H91" s="274">
        <f t="shared" si="19"/>
        <v>0.40640000061772796</v>
      </c>
      <c r="I91" s="163"/>
      <c r="J91" s="352"/>
      <c r="K91" s="315"/>
      <c r="L91" s="315"/>
      <c r="M91" s="316"/>
      <c r="N91" s="316"/>
      <c r="O91" s="336"/>
      <c r="P91" s="353"/>
      <c r="R91">
        <v>5</v>
      </c>
      <c r="S91">
        <v>3</v>
      </c>
      <c r="AA91" s="163"/>
      <c r="AB91" s="163"/>
      <c r="AC91" s="283"/>
      <c r="AD91" s="330"/>
      <c r="AE91" s="330"/>
      <c r="AF91" s="330"/>
      <c r="AG91" s="163"/>
      <c r="AH91" s="287"/>
      <c r="AI91" s="163"/>
      <c r="AJ91" s="163"/>
      <c r="AK91" s="283"/>
      <c r="AL91" s="283"/>
      <c r="AM91" s="133"/>
      <c r="AN91" s="287"/>
      <c r="AO91" s="133"/>
      <c r="AP91" s="133"/>
      <c r="AQ91" s="133"/>
      <c r="AR91" s="133"/>
      <c r="AS91" s="133"/>
      <c r="AT91" s="133"/>
      <c r="AU91" s="133"/>
      <c r="AV91" s="133"/>
      <c r="AW91" s="133"/>
      <c r="AX91" s="133"/>
      <c r="AY91" s="133"/>
    </row>
    <row r="92" spans="2:51" x14ac:dyDescent="0.15">
      <c r="B92" s="26" t="s">
        <v>1648</v>
      </c>
      <c r="C92" s="20">
        <v>0.4375</v>
      </c>
      <c r="D92" s="20">
        <v>0.9375</v>
      </c>
      <c r="E92" s="132">
        <v>11.3</v>
      </c>
      <c r="F92" s="272">
        <f t="shared" si="17"/>
        <v>16.816253700101388</v>
      </c>
      <c r="G92" s="219">
        <f t="shared" si="18"/>
        <v>1.3333333333333333</v>
      </c>
      <c r="H92" s="274">
        <f t="shared" si="19"/>
        <v>0.40640000061772796</v>
      </c>
      <c r="I92" s="163"/>
      <c r="J92" s="26" t="s">
        <v>1619</v>
      </c>
      <c r="K92" s="288">
        <v>0.25</v>
      </c>
      <c r="L92" s="288">
        <v>0.4375</v>
      </c>
      <c r="M92" s="289">
        <v>2.34</v>
      </c>
      <c r="N92" s="333">
        <f>M92*3.2808399*0.4535924</f>
        <v>3.4823038635608183</v>
      </c>
      <c r="O92" s="351">
        <f>((Y92*2)+(Z92*2))*12/144</f>
        <v>0.5</v>
      </c>
      <c r="P92" s="274">
        <f>O92*3.2808399*0.09290304</f>
        <v>0.15240000023164801</v>
      </c>
      <c r="R92">
        <v>5</v>
      </c>
      <c r="S92">
        <v>3</v>
      </c>
      <c r="Y92">
        <v>1.5</v>
      </c>
      <c r="Z92">
        <v>1.5</v>
      </c>
      <c r="AA92" s="163"/>
      <c r="AB92" s="163"/>
      <c r="AC92" s="283"/>
      <c r="AD92" s="330"/>
      <c r="AE92" s="330"/>
      <c r="AF92" s="330"/>
      <c r="AG92" s="163"/>
      <c r="AH92" s="287"/>
      <c r="AI92" s="163"/>
      <c r="AJ92" s="163"/>
      <c r="AK92" s="283"/>
      <c r="AL92" s="330"/>
      <c r="AM92" s="330"/>
      <c r="AN92" s="330"/>
      <c r="AO92" s="133"/>
      <c r="AP92" s="133"/>
      <c r="AQ92" s="133"/>
      <c r="AR92" s="133"/>
      <c r="AS92" s="133"/>
      <c r="AT92" s="133"/>
      <c r="AU92" s="133"/>
      <c r="AV92" s="133"/>
      <c r="AW92" s="133"/>
      <c r="AX92" s="133"/>
      <c r="AY92" s="133"/>
    </row>
    <row r="93" spans="2:51" x14ac:dyDescent="0.15">
      <c r="B93" s="26" t="s">
        <v>1648</v>
      </c>
      <c r="C93" s="20">
        <v>0.375</v>
      </c>
      <c r="D93" s="20">
        <v>0.875</v>
      </c>
      <c r="E93" s="132">
        <v>9.8000000000000007</v>
      </c>
      <c r="F93" s="272">
        <f t="shared" si="17"/>
        <v>14.584007633716249</v>
      </c>
      <c r="G93" s="219">
        <f t="shared" si="18"/>
        <v>1.3333333333333333</v>
      </c>
      <c r="H93" s="274">
        <f t="shared" si="19"/>
        <v>0.40640000061772796</v>
      </c>
      <c r="I93" s="163"/>
      <c r="J93" s="26" t="s">
        <v>1619</v>
      </c>
      <c r="K93" s="354">
        <v>0.1875</v>
      </c>
      <c r="L93" s="354">
        <v>0.375</v>
      </c>
      <c r="M93" s="355">
        <v>1.8</v>
      </c>
      <c r="N93" s="314">
        <f>M93*3.2808399*0.4535924</f>
        <v>2.6786952796621679</v>
      </c>
      <c r="O93" s="356">
        <f>((Y93*2)+(Z93*2))*12/144</f>
        <v>0.5</v>
      </c>
      <c r="P93" s="274">
        <f>O93*3.2808399*0.09290304</f>
        <v>0.15240000023164801</v>
      </c>
      <c r="R93">
        <v>5</v>
      </c>
      <c r="S93">
        <v>3</v>
      </c>
      <c r="Y93">
        <v>1.5</v>
      </c>
      <c r="Z93">
        <v>1.5</v>
      </c>
      <c r="AA93" s="163"/>
      <c r="AB93" s="163"/>
      <c r="AC93" s="283"/>
      <c r="AD93" s="330"/>
      <c r="AE93" s="330"/>
      <c r="AF93" s="330"/>
      <c r="AG93" s="163"/>
      <c r="AH93" s="287"/>
      <c r="AI93" s="163"/>
      <c r="AJ93" s="163"/>
      <c r="AK93" s="283"/>
      <c r="AL93" s="330"/>
      <c r="AM93" s="330"/>
      <c r="AN93" s="330"/>
      <c r="AO93" s="133"/>
      <c r="AP93" s="133"/>
      <c r="AQ93" s="133"/>
      <c r="AR93" s="133"/>
      <c r="AS93" s="133"/>
      <c r="AT93" s="133"/>
      <c r="AU93" s="133"/>
      <c r="AV93" s="133"/>
      <c r="AW93" s="133"/>
      <c r="AX93" s="133"/>
      <c r="AY93" s="133"/>
    </row>
    <row r="94" spans="2:51" x14ac:dyDescent="0.15">
      <c r="B94" s="26" t="s">
        <v>1648</v>
      </c>
      <c r="C94" s="20">
        <v>0.3125</v>
      </c>
      <c r="D94" s="20">
        <v>0.8125</v>
      </c>
      <c r="E94" s="132">
        <v>8.1999999999999993</v>
      </c>
      <c r="F94" s="272">
        <f t="shared" si="17"/>
        <v>12.202945162905433</v>
      </c>
      <c r="G94" s="219">
        <f t="shared" si="18"/>
        <v>1.3333333333333333</v>
      </c>
      <c r="H94" s="274">
        <f t="shared" si="19"/>
        <v>0.40640000061772796</v>
      </c>
      <c r="I94" s="163"/>
      <c r="J94" s="352"/>
      <c r="K94" s="315"/>
      <c r="L94" s="315"/>
      <c r="M94" s="316"/>
      <c r="N94" s="316"/>
      <c r="O94" s="336"/>
      <c r="P94" s="353"/>
      <c r="R94">
        <v>5</v>
      </c>
      <c r="S94">
        <v>3</v>
      </c>
      <c r="AA94" s="163"/>
      <c r="AB94" s="163"/>
      <c r="AC94" s="283"/>
      <c r="AD94" s="330"/>
      <c r="AE94" s="330"/>
      <c r="AF94" s="330"/>
      <c r="AG94" s="163"/>
      <c r="AH94" s="287"/>
      <c r="AI94" s="163"/>
      <c r="AJ94" s="163"/>
      <c r="AK94" s="283"/>
      <c r="AL94" s="283"/>
      <c r="AM94" s="133"/>
      <c r="AN94" s="287"/>
      <c r="AO94" s="133"/>
      <c r="AP94" s="133"/>
      <c r="AQ94" s="133"/>
      <c r="AR94" s="133"/>
      <c r="AS94" s="133"/>
      <c r="AT94" s="133"/>
      <c r="AU94" s="133"/>
      <c r="AV94" s="133"/>
      <c r="AW94" s="133"/>
      <c r="AX94" s="133"/>
      <c r="AY94" s="133"/>
    </row>
    <row r="95" spans="2:51" x14ac:dyDescent="0.15">
      <c r="B95" s="26" t="s">
        <v>1648</v>
      </c>
      <c r="C95" s="22">
        <v>0.25</v>
      </c>
      <c r="D95" s="22">
        <v>0.75</v>
      </c>
      <c r="E95" s="318">
        <v>6.6</v>
      </c>
      <c r="F95" s="314">
        <f t="shared" si="17"/>
        <v>9.821882692094615</v>
      </c>
      <c r="G95" s="356">
        <f t="shared" si="18"/>
        <v>1.3333333333333333</v>
      </c>
      <c r="H95" s="274">
        <f t="shared" si="19"/>
        <v>0.40640000061772796</v>
      </c>
      <c r="I95" s="163"/>
      <c r="J95" s="26" t="s">
        <v>1620</v>
      </c>
      <c r="K95" s="288">
        <v>0.25</v>
      </c>
      <c r="L95" s="288">
        <v>0.4375</v>
      </c>
      <c r="M95" s="289">
        <v>1.92</v>
      </c>
      <c r="N95" s="333">
        <f>M95*3.2808399*0.4535924</f>
        <v>2.8572749649729796</v>
      </c>
      <c r="O95" s="351">
        <f>((Y95*2)+(Z95*2))*12/144</f>
        <v>0.41666666666666669</v>
      </c>
      <c r="P95" s="274">
        <f>O95*3.2808399*0.09290304</f>
        <v>0.12700000019304003</v>
      </c>
      <c r="R95">
        <v>5</v>
      </c>
      <c r="S95">
        <v>3</v>
      </c>
      <c r="Y95">
        <v>1.25</v>
      </c>
      <c r="Z95">
        <v>1.25</v>
      </c>
      <c r="AA95" s="163"/>
      <c r="AB95" s="163"/>
      <c r="AC95" s="283"/>
      <c r="AD95" s="330"/>
      <c r="AE95" s="330"/>
      <c r="AF95" s="330"/>
      <c r="AG95" s="163"/>
      <c r="AH95" s="287"/>
      <c r="AI95" s="163"/>
      <c r="AJ95" s="163"/>
      <c r="AK95" s="283"/>
      <c r="AL95" s="330"/>
      <c r="AM95" s="330"/>
      <c r="AN95" s="330"/>
      <c r="AO95" s="133"/>
      <c r="AP95" s="133"/>
      <c r="AQ95" s="133"/>
      <c r="AR95" s="133"/>
      <c r="AS95" s="133"/>
      <c r="AT95" s="133"/>
      <c r="AU95" s="133"/>
      <c r="AV95" s="133"/>
      <c r="AW95" s="133"/>
      <c r="AX95" s="133"/>
      <c r="AY95" s="133"/>
    </row>
    <row r="96" spans="2:51" x14ac:dyDescent="0.15">
      <c r="B96" s="352"/>
      <c r="C96" s="315" t="s">
        <v>850</v>
      </c>
      <c r="D96" s="315"/>
      <c r="E96" s="316"/>
      <c r="F96" s="317"/>
      <c r="G96" s="317"/>
      <c r="H96" s="334"/>
      <c r="I96" s="163"/>
      <c r="J96" s="26" t="s">
        <v>1620</v>
      </c>
      <c r="K96" s="354">
        <v>0.1875</v>
      </c>
      <c r="L96" s="354">
        <v>0.375</v>
      </c>
      <c r="M96" s="355">
        <v>1.48</v>
      </c>
      <c r="N96" s="314">
        <f>M96*3.2808399*0.4535924</f>
        <v>2.2024827855000049</v>
      </c>
      <c r="O96" s="356">
        <f>((Y96*2)+(Z96*2))*12/144</f>
        <v>0.41666666666666669</v>
      </c>
      <c r="P96" s="274">
        <f>O96*3.2808399*0.09290304</f>
        <v>0.12700000019304003</v>
      </c>
      <c r="Y96">
        <v>1.25</v>
      </c>
      <c r="Z96">
        <v>1.25</v>
      </c>
      <c r="AA96" s="163"/>
      <c r="AB96" s="163"/>
      <c r="AC96" s="283"/>
      <c r="AD96" s="330"/>
      <c r="AE96" s="330"/>
      <c r="AF96" s="330"/>
      <c r="AG96" s="163"/>
      <c r="AH96" s="287"/>
      <c r="AI96" s="163"/>
      <c r="AJ96" s="163"/>
      <c r="AK96" s="283"/>
      <c r="AL96" s="330"/>
      <c r="AM96" s="330"/>
      <c r="AN96" s="330"/>
      <c r="AO96" s="133"/>
      <c r="AP96" s="133"/>
      <c r="AQ96" s="133"/>
      <c r="AR96" s="133"/>
      <c r="AS96" s="133"/>
      <c r="AT96" s="133"/>
      <c r="AU96" s="133"/>
      <c r="AV96" s="133"/>
      <c r="AW96" s="133"/>
      <c r="AX96" s="133"/>
      <c r="AY96" s="133"/>
    </row>
    <row r="97" spans="2:51" x14ac:dyDescent="0.15">
      <c r="B97" s="26" t="s">
        <v>1188</v>
      </c>
      <c r="C97" s="288">
        <v>0.75</v>
      </c>
      <c r="D97" s="288">
        <v>1.125</v>
      </c>
      <c r="E97" s="289">
        <v>18.5</v>
      </c>
      <c r="F97" s="274">
        <f t="shared" si="17"/>
        <v>27.531034818750062</v>
      </c>
      <c r="G97" s="351">
        <f t="shared" ref="G97:G103" si="20">((R97*2)+(S97*2))*12/144</f>
        <v>1.3333333333333333</v>
      </c>
      <c r="H97" s="274">
        <f t="shared" si="19"/>
        <v>0.40640000061772796</v>
      </c>
      <c r="I97" s="163"/>
      <c r="J97" s="352"/>
      <c r="K97" s="315"/>
      <c r="L97" s="315"/>
      <c r="M97" s="316"/>
      <c r="N97" s="316"/>
      <c r="O97" s="336"/>
      <c r="P97" s="353"/>
      <c r="R97">
        <v>4</v>
      </c>
      <c r="S97">
        <v>4</v>
      </c>
      <c r="AA97" s="163"/>
      <c r="AB97" s="163"/>
      <c r="AC97" s="283"/>
      <c r="AD97" s="330"/>
      <c r="AE97" s="330"/>
      <c r="AF97" s="330"/>
      <c r="AG97" s="163"/>
      <c r="AH97" s="287"/>
      <c r="AI97" s="163"/>
      <c r="AJ97" s="163"/>
      <c r="AK97" s="283"/>
      <c r="AL97" s="283"/>
      <c r="AM97" s="133"/>
      <c r="AN97" s="287"/>
      <c r="AO97" s="133"/>
      <c r="AP97" s="133"/>
      <c r="AQ97" s="133"/>
      <c r="AR97" s="133"/>
      <c r="AS97" s="133"/>
      <c r="AT97" s="133"/>
      <c r="AU97" s="133"/>
      <c r="AV97" s="133"/>
      <c r="AW97" s="133"/>
      <c r="AX97" s="133"/>
      <c r="AY97" s="133"/>
    </row>
    <row r="98" spans="2:51" x14ac:dyDescent="0.15">
      <c r="B98" s="26" t="s">
        <v>1188</v>
      </c>
      <c r="C98" s="14">
        <v>0.625</v>
      </c>
      <c r="D98" s="14">
        <v>1</v>
      </c>
      <c r="E98" s="120">
        <v>15.7</v>
      </c>
      <c r="F98" s="272">
        <f t="shared" si="17"/>
        <v>23.364175494831134</v>
      </c>
      <c r="G98" s="219">
        <f t="shared" si="20"/>
        <v>1.3333333333333333</v>
      </c>
      <c r="H98" s="274">
        <f t="shared" si="19"/>
        <v>0.40640000061772796</v>
      </c>
      <c r="I98" s="163"/>
      <c r="J98" s="26" t="s">
        <v>1622</v>
      </c>
      <c r="K98" s="8">
        <v>0.125</v>
      </c>
      <c r="L98" s="8">
        <v>0.21875</v>
      </c>
      <c r="M98" s="359">
        <v>0.9</v>
      </c>
      <c r="N98" s="333">
        <f>M98*3.2808399*0.4535924</f>
        <v>1.339347639831084</v>
      </c>
      <c r="O98" s="360">
        <f>((Y98*2)+(Z98*2))*12/144</f>
        <v>0.375</v>
      </c>
      <c r="P98" s="274">
        <f>O98*3.2808399*0.09290304</f>
        <v>0.11430000017373601</v>
      </c>
      <c r="R98">
        <v>4</v>
      </c>
      <c r="S98">
        <v>4</v>
      </c>
      <c r="Y98">
        <v>1.125</v>
      </c>
      <c r="Z98">
        <v>1.125</v>
      </c>
      <c r="AA98" s="163"/>
      <c r="AB98" s="163"/>
      <c r="AC98" s="283"/>
      <c r="AD98" s="330"/>
      <c r="AE98" s="330"/>
      <c r="AF98" s="330"/>
      <c r="AG98" s="163"/>
      <c r="AH98" s="287"/>
      <c r="AI98" s="163"/>
      <c r="AJ98" s="163"/>
      <c r="AK98" s="283"/>
      <c r="AL98" s="330"/>
      <c r="AM98" s="330"/>
      <c r="AN98" s="330"/>
      <c r="AO98" s="133"/>
      <c r="AP98" s="133"/>
      <c r="AQ98" s="133"/>
      <c r="AR98" s="133"/>
      <c r="AS98" s="133"/>
      <c r="AT98" s="133"/>
      <c r="AU98" s="133"/>
      <c r="AV98" s="133"/>
      <c r="AW98" s="133"/>
      <c r="AX98" s="133"/>
      <c r="AY98" s="133"/>
    </row>
    <row r="99" spans="2:51" x14ac:dyDescent="0.15">
      <c r="B99" s="26" t="s">
        <v>1188</v>
      </c>
      <c r="C99" s="14">
        <v>0.5</v>
      </c>
      <c r="D99" s="14">
        <v>0.875</v>
      </c>
      <c r="E99" s="120">
        <v>12.8</v>
      </c>
      <c r="F99" s="272">
        <f t="shared" si="17"/>
        <v>19.048499766486533</v>
      </c>
      <c r="G99" s="219">
        <f t="shared" si="20"/>
        <v>1.3333333333333333</v>
      </c>
      <c r="H99" s="274">
        <f t="shared" si="19"/>
        <v>0.40640000061772796</v>
      </c>
      <c r="I99" s="163"/>
      <c r="J99" s="352"/>
      <c r="K99" s="315"/>
      <c r="L99" s="315"/>
      <c r="M99" s="316"/>
      <c r="N99" s="316"/>
      <c r="O99" s="336"/>
      <c r="P99" s="353"/>
      <c r="R99">
        <v>4</v>
      </c>
      <c r="S99">
        <v>4</v>
      </c>
      <c r="AA99" s="163"/>
      <c r="AB99" s="163"/>
      <c r="AC99" s="283"/>
      <c r="AD99" s="330"/>
      <c r="AE99" s="330"/>
      <c r="AF99" s="330"/>
      <c r="AG99" s="163"/>
      <c r="AH99" s="287"/>
      <c r="AI99" s="163"/>
      <c r="AJ99" s="163"/>
      <c r="AK99" s="283"/>
      <c r="AL99" s="283"/>
      <c r="AM99" s="133"/>
      <c r="AN99" s="287"/>
      <c r="AO99" s="133"/>
      <c r="AP99" s="133"/>
      <c r="AQ99" s="133"/>
      <c r="AR99" s="133"/>
      <c r="AS99" s="133"/>
      <c r="AT99" s="133"/>
      <c r="AU99" s="133"/>
      <c r="AV99" s="133"/>
      <c r="AW99" s="133"/>
      <c r="AX99" s="133"/>
      <c r="AY99" s="133"/>
    </row>
    <row r="100" spans="2:51" x14ac:dyDescent="0.15">
      <c r="B100" s="26" t="s">
        <v>1188</v>
      </c>
      <c r="C100" s="152">
        <v>0.4375</v>
      </c>
      <c r="D100" s="152">
        <v>0.8125</v>
      </c>
      <c r="E100" s="154">
        <v>11.3</v>
      </c>
      <c r="F100" s="271">
        <f t="shared" si="17"/>
        <v>16.816253700101388</v>
      </c>
      <c r="G100" s="271">
        <f t="shared" si="20"/>
        <v>1.3333333333333333</v>
      </c>
      <c r="H100" s="270">
        <f>G100*3.2808399*0.09290304</f>
        <v>0.40640000061772796</v>
      </c>
      <c r="I100" s="163"/>
      <c r="J100" s="26" t="s">
        <v>1621</v>
      </c>
      <c r="K100" s="8">
        <v>0.125</v>
      </c>
      <c r="L100" s="8">
        <v>0.25</v>
      </c>
      <c r="M100" s="359">
        <v>0.8</v>
      </c>
      <c r="N100" s="333">
        <f>M100*3.2808399*0.4535924</f>
        <v>1.1905312354054083</v>
      </c>
      <c r="O100" s="360">
        <f>((Y100*2)+(Z100*2))*12/144</f>
        <v>0.33333333333333331</v>
      </c>
      <c r="P100" s="274">
        <f>O100*3.2808399*0.09290304</f>
        <v>0.10160000015443199</v>
      </c>
      <c r="R100">
        <v>4</v>
      </c>
      <c r="S100">
        <v>4</v>
      </c>
      <c r="Y100">
        <v>1</v>
      </c>
      <c r="Z100">
        <v>1</v>
      </c>
      <c r="AA100" s="163"/>
      <c r="AB100" s="163"/>
      <c r="AC100" s="283"/>
      <c r="AD100" s="330"/>
      <c r="AE100" s="330"/>
      <c r="AF100" s="330"/>
      <c r="AG100" s="163"/>
      <c r="AH100" s="287"/>
      <c r="AI100" s="163"/>
      <c r="AJ100" s="163"/>
      <c r="AK100" s="283"/>
      <c r="AL100" s="330"/>
      <c r="AM100" s="330"/>
      <c r="AN100" s="330"/>
      <c r="AO100" s="133"/>
      <c r="AP100" s="133"/>
      <c r="AQ100" s="133"/>
      <c r="AR100" s="133"/>
      <c r="AS100" s="133"/>
      <c r="AT100" s="133"/>
      <c r="AU100" s="133"/>
      <c r="AV100" s="133"/>
      <c r="AW100" s="133"/>
      <c r="AX100" s="133"/>
      <c r="AY100" s="133"/>
    </row>
    <row r="101" spans="2:51" x14ac:dyDescent="0.15">
      <c r="B101" s="26" t="s">
        <v>1188</v>
      </c>
      <c r="C101" s="14">
        <v>0.375</v>
      </c>
      <c r="D101" s="14">
        <v>0.75</v>
      </c>
      <c r="E101" s="120">
        <v>9.8000000000000007</v>
      </c>
      <c r="F101" s="272">
        <f t="shared" si="17"/>
        <v>14.584007633716249</v>
      </c>
      <c r="G101" s="219">
        <f t="shared" si="20"/>
        <v>1.3333333333333333</v>
      </c>
      <c r="H101" s="274">
        <f>G101*3.2808399*0.09290304</f>
        <v>0.40640000061772796</v>
      </c>
      <c r="I101" s="163"/>
      <c r="J101" s="352"/>
      <c r="K101" s="315"/>
      <c r="L101" s="315"/>
      <c r="M101" s="316"/>
      <c r="N101" s="317"/>
      <c r="O101" s="317"/>
      <c r="P101" s="334"/>
      <c r="R101">
        <v>4</v>
      </c>
      <c r="S101">
        <v>4</v>
      </c>
      <c r="Y101">
        <v>1</v>
      </c>
      <c r="Z101">
        <v>1</v>
      </c>
      <c r="AA101" s="163"/>
      <c r="AB101" s="163"/>
      <c r="AC101" s="283"/>
      <c r="AD101" s="330"/>
      <c r="AE101" s="330"/>
      <c r="AF101" s="330"/>
      <c r="AG101" s="163"/>
      <c r="AH101" s="287"/>
      <c r="AI101" s="163"/>
      <c r="AJ101" s="163"/>
      <c r="AK101" s="283"/>
      <c r="AL101" s="330"/>
      <c r="AM101" s="330"/>
      <c r="AN101" s="330"/>
      <c r="AO101" s="133"/>
      <c r="AP101" s="133"/>
      <c r="AQ101" s="133"/>
      <c r="AR101" s="133"/>
      <c r="AS101" s="133"/>
      <c r="AT101" s="133"/>
      <c r="AU101" s="133"/>
      <c r="AV101" s="133"/>
      <c r="AW101" s="133"/>
      <c r="AX101" s="133"/>
      <c r="AY101" s="133"/>
    </row>
    <row r="102" spans="2:51" x14ac:dyDescent="0.15">
      <c r="B102" s="26" t="s">
        <v>1188</v>
      </c>
      <c r="C102" s="14">
        <v>0.3125</v>
      </c>
      <c r="D102" s="14">
        <v>0.6875</v>
      </c>
      <c r="E102" s="120">
        <v>8.1999999999999993</v>
      </c>
      <c r="F102" s="272">
        <f t="shared" si="17"/>
        <v>12.202945162905433</v>
      </c>
      <c r="G102" s="219">
        <f t="shared" si="20"/>
        <v>1.3333333333333333</v>
      </c>
      <c r="H102" s="274">
        <f>G102*3.2808399*0.09290304</f>
        <v>0.40640000061772796</v>
      </c>
      <c r="R102">
        <v>4</v>
      </c>
      <c r="S102">
        <v>4</v>
      </c>
      <c r="AA102" s="163"/>
      <c r="AB102" s="163"/>
      <c r="AC102" s="283"/>
      <c r="AD102" s="330"/>
      <c r="AE102" s="330"/>
      <c r="AF102" s="330"/>
      <c r="AG102" s="133"/>
      <c r="AH102" s="133"/>
      <c r="AI102" s="133"/>
      <c r="AJ102" s="133"/>
      <c r="AK102" s="133"/>
      <c r="AL102" s="133"/>
      <c r="AM102" s="133"/>
      <c r="AN102" s="133"/>
      <c r="AO102" s="133"/>
      <c r="AP102" s="133"/>
      <c r="AQ102" s="133"/>
      <c r="AR102" s="133"/>
      <c r="AS102" s="133"/>
      <c r="AT102" s="133"/>
      <c r="AU102" s="133"/>
      <c r="AV102" s="133"/>
      <c r="AW102" s="133"/>
      <c r="AX102" s="133"/>
      <c r="AY102" s="133"/>
    </row>
    <row r="103" spans="2:51" x14ac:dyDescent="0.15">
      <c r="B103" s="26" t="s">
        <v>1188</v>
      </c>
      <c r="C103" s="14">
        <v>0.25</v>
      </c>
      <c r="D103" s="14">
        <v>0.625</v>
      </c>
      <c r="E103" s="120">
        <v>6.6</v>
      </c>
      <c r="F103" s="272">
        <f t="shared" si="17"/>
        <v>9.821882692094615</v>
      </c>
      <c r="G103" s="219">
        <f t="shared" si="20"/>
        <v>1.3333333333333333</v>
      </c>
      <c r="H103" s="274">
        <f>G103*3.2808399*0.09290304</f>
        <v>0.40640000061772796</v>
      </c>
      <c r="J103" s="284"/>
      <c r="K103" s="285"/>
      <c r="L103" s="286"/>
      <c r="M103" s="286"/>
      <c r="N103" s="286"/>
      <c r="R103">
        <v>4</v>
      </c>
      <c r="S103">
        <v>4</v>
      </c>
      <c r="AA103" s="163"/>
      <c r="AB103" s="163"/>
      <c r="AC103" s="283"/>
      <c r="AD103" s="330"/>
      <c r="AE103" s="330"/>
      <c r="AF103" s="330"/>
      <c r="AG103" s="133"/>
      <c r="AH103" s="284"/>
      <c r="AI103" s="285"/>
      <c r="AJ103" s="286"/>
      <c r="AK103" s="286"/>
      <c r="AL103" s="286"/>
      <c r="AM103" s="133"/>
      <c r="AN103" s="133"/>
      <c r="AO103" s="133"/>
      <c r="AP103" s="133"/>
      <c r="AQ103" s="133"/>
      <c r="AR103" s="133"/>
      <c r="AS103" s="133"/>
      <c r="AT103" s="133"/>
      <c r="AU103" s="133"/>
      <c r="AV103" s="133"/>
      <c r="AW103" s="133"/>
      <c r="AX103" s="133"/>
      <c r="AY103" s="133"/>
    </row>
    <row r="104" spans="2:51" x14ac:dyDescent="0.15">
      <c r="B104" s="352"/>
      <c r="C104" s="315"/>
      <c r="D104" s="315"/>
      <c r="E104" s="316"/>
      <c r="F104" s="317"/>
      <c r="G104" s="317"/>
      <c r="H104" s="334"/>
      <c r="J104" s="287"/>
      <c r="K104" s="163"/>
      <c r="L104" s="163"/>
      <c r="M104" s="283"/>
      <c r="N104" s="283"/>
      <c r="AA104" s="163"/>
      <c r="AB104" s="163"/>
      <c r="AC104" s="283"/>
      <c r="AD104" s="330"/>
      <c r="AE104" s="330"/>
      <c r="AF104" s="330"/>
      <c r="AG104" s="133"/>
      <c r="AH104" s="287"/>
      <c r="AI104" s="163"/>
      <c r="AJ104" s="163"/>
      <c r="AK104" s="283"/>
      <c r="AL104" s="283"/>
      <c r="AM104" s="133"/>
      <c r="AN104" s="133"/>
      <c r="AO104" s="133"/>
      <c r="AP104" s="133"/>
      <c r="AQ104" s="133"/>
      <c r="AR104" s="133"/>
      <c r="AS104" s="133"/>
      <c r="AT104" s="133"/>
      <c r="AU104" s="133"/>
      <c r="AV104" s="133"/>
      <c r="AW104" s="133"/>
      <c r="AX104" s="133"/>
      <c r="AY104" s="133"/>
    </row>
    <row r="105" spans="2:51" x14ac:dyDescent="0.15">
      <c r="AA105" s="133"/>
      <c r="AB105" s="133"/>
      <c r="AC105" s="133"/>
      <c r="AD105" s="133"/>
      <c r="AE105" s="133"/>
      <c r="AF105" s="133"/>
      <c r="AG105" s="133"/>
      <c r="AH105" s="133"/>
      <c r="AI105" s="133"/>
      <c r="AJ105" s="133"/>
      <c r="AK105" s="133"/>
      <c r="AL105" s="133"/>
      <c r="AM105" s="133"/>
      <c r="AN105" s="133"/>
      <c r="AO105" s="133"/>
      <c r="AP105" s="133"/>
      <c r="AQ105" s="133"/>
      <c r="AR105" s="133"/>
      <c r="AS105" s="133"/>
      <c r="AT105" s="133"/>
      <c r="AU105" s="133"/>
      <c r="AV105" s="133"/>
      <c r="AW105" s="133"/>
      <c r="AX105" s="133"/>
      <c r="AY105" s="133"/>
    </row>
    <row r="106" spans="2:51" x14ac:dyDescent="0.15">
      <c r="C106" s="1"/>
      <c r="D106" s="1"/>
      <c r="E106" s="1"/>
      <c r="I106" s="287"/>
      <c r="J106" s="163"/>
      <c r="K106" s="163"/>
      <c r="L106" s="283"/>
      <c r="AA106" s="133"/>
      <c r="AB106" s="133"/>
      <c r="AC106" s="133"/>
      <c r="AD106" s="133"/>
      <c r="AE106" s="133"/>
      <c r="AF106" s="133"/>
      <c r="AG106" s="133"/>
      <c r="AH106" s="133"/>
      <c r="AI106" s="133"/>
      <c r="AJ106" s="133"/>
      <c r="AK106" s="133"/>
      <c r="AL106" s="133"/>
      <c r="AM106" s="133"/>
      <c r="AN106" s="133"/>
      <c r="AO106" s="133"/>
      <c r="AP106" s="133"/>
      <c r="AQ106" s="133"/>
      <c r="AR106" s="133"/>
      <c r="AS106" s="133"/>
      <c r="AT106" s="133"/>
      <c r="AU106" s="133"/>
      <c r="AV106" s="133"/>
      <c r="AW106" s="133"/>
      <c r="AX106" s="133"/>
      <c r="AY106" s="133"/>
    </row>
    <row r="107" spans="2:51" x14ac:dyDescent="0.15">
      <c r="C107" s="1"/>
      <c r="D107" s="1"/>
      <c r="E107" s="1"/>
      <c r="I107" s="287"/>
      <c r="J107" s="163"/>
      <c r="K107" s="163"/>
      <c r="L107" s="283"/>
      <c r="AA107" s="133"/>
      <c r="AB107" s="133"/>
      <c r="AC107" s="133"/>
      <c r="AD107" s="133"/>
      <c r="AE107" s="133"/>
      <c r="AF107" s="133"/>
      <c r="AG107" s="133"/>
      <c r="AH107" s="133"/>
      <c r="AI107" s="133"/>
      <c r="AJ107" s="133"/>
      <c r="AK107" s="133"/>
      <c r="AL107" s="133"/>
      <c r="AM107" s="133"/>
      <c r="AN107" s="133"/>
      <c r="AO107" s="133"/>
      <c r="AP107" s="133"/>
      <c r="AQ107" s="133"/>
      <c r="AR107" s="133"/>
      <c r="AS107" s="133"/>
      <c r="AT107" s="133"/>
      <c r="AU107" s="133"/>
      <c r="AV107" s="133"/>
      <c r="AW107" s="133"/>
      <c r="AX107" s="133"/>
      <c r="AY107" s="133"/>
    </row>
    <row r="108" spans="2:51" x14ac:dyDescent="0.15">
      <c r="C108" s="1"/>
      <c r="D108" s="1"/>
      <c r="E108" s="1"/>
      <c r="I108" s="287"/>
      <c r="J108" s="163"/>
      <c r="K108" s="163"/>
      <c r="L108" s="283"/>
      <c r="AA108" s="133"/>
      <c r="AB108" s="133"/>
      <c r="AC108" s="133"/>
      <c r="AD108" s="133"/>
      <c r="AE108" s="133"/>
      <c r="AF108" s="133"/>
      <c r="AG108" s="133"/>
      <c r="AH108" s="133"/>
      <c r="AI108" s="133"/>
      <c r="AJ108" s="133"/>
      <c r="AK108" s="133"/>
      <c r="AL108" s="133"/>
      <c r="AM108" s="133"/>
      <c r="AN108" s="133"/>
      <c r="AO108" s="133"/>
      <c r="AP108" s="133"/>
      <c r="AQ108" s="133"/>
      <c r="AR108" s="133"/>
      <c r="AS108" s="133"/>
      <c r="AT108" s="133"/>
      <c r="AU108" s="133"/>
      <c r="AV108" s="133"/>
      <c r="AW108" s="133"/>
      <c r="AX108" s="133"/>
      <c r="AY108" s="133"/>
    </row>
    <row r="109" spans="2:51" x14ac:dyDescent="0.15">
      <c r="C109" s="1"/>
      <c r="D109" s="1"/>
      <c r="E109" s="1"/>
      <c r="I109" s="287"/>
      <c r="J109" s="163"/>
      <c r="K109" s="163"/>
      <c r="L109" s="283"/>
      <c r="AA109" s="133"/>
      <c r="AB109" s="133"/>
      <c r="AC109" s="133"/>
      <c r="AD109" s="133"/>
      <c r="AE109" s="133"/>
      <c r="AF109" s="133"/>
      <c r="AG109" s="133"/>
      <c r="AH109" s="133"/>
      <c r="AI109" s="133"/>
      <c r="AJ109" s="133"/>
      <c r="AK109" s="133"/>
      <c r="AL109" s="133"/>
      <c r="AM109" s="133"/>
      <c r="AN109" s="133"/>
      <c r="AO109" s="133"/>
      <c r="AP109" s="133"/>
      <c r="AQ109" s="133"/>
      <c r="AR109" s="133"/>
      <c r="AS109" s="133"/>
      <c r="AT109" s="133"/>
      <c r="AU109" s="133"/>
      <c r="AV109" s="133"/>
      <c r="AW109" s="133"/>
      <c r="AX109" s="133"/>
      <c r="AY109" s="133"/>
    </row>
    <row r="110" spans="2:51" x14ac:dyDescent="0.15">
      <c r="C110" s="1"/>
      <c r="D110" s="1"/>
      <c r="E110" s="1"/>
      <c r="I110" s="287"/>
      <c r="J110" s="163"/>
      <c r="K110" s="163"/>
      <c r="L110" s="283"/>
    </row>
    <row r="111" spans="2:51" x14ac:dyDescent="0.15">
      <c r="C111" s="1"/>
      <c r="D111" s="1"/>
      <c r="E111" s="1"/>
      <c r="I111" s="287"/>
      <c r="J111" s="163"/>
      <c r="K111" s="163"/>
      <c r="L111" s="283"/>
    </row>
    <row r="112" spans="2:51" x14ac:dyDescent="0.15">
      <c r="C112" s="1"/>
      <c r="D112" s="1"/>
      <c r="E112" s="1"/>
      <c r="I112" s="287"/>
      <c r="J112" s="163"/>
      <c r="K112" s="163"/>
      <c r="L112" s="283"/>
    </row>
    <row r="113" spans="3:12" x14ac:dyDescent="0.15">
      <c r="C113" s="1"/>
      <c r="D113" s="1"/>
      <c r="E113" s="1"/>
      <c r="I113" s="287"/>
      <c r="J113" s="163"/>
      <c r="K113" s="163"/>
      <c r="L113" s="283"/>
    </row>
    <row r="114" spans="3:12" x14ac:dyDescent="0.15">
      <c r="C114" s="1"/>
      <c r="D114" s="1"/>
      <c r="E114" s="1"/>
      <c r="I114" s="287"/>
      <c r="J114" s="163"/>
      <c r="K114" s="163"/>
      <c r="L114" s="283"/>
    </row>
    <row r="115" spans="3:12" x14ac:dyDescent="0.15">
      <c r="C115" s="1"/>
      <c r="D115" s="1"/>
      <c r="E115" s="1"/>
      <c r="I115" s="287"/>
      <c r="J115" s="163"/>
      <c r="K115" s="163"/>
      <c r="L115" s="283"/>
    </row>
    <row r="116" spans="3:12" x14ac:dyDescent="0.15">
      <c r="C116" s="1"/>
      <c r="D116" s="1"/>
      <c r="E116" s="1"/>
      <c r="I116" s="287"/>
      <c r="J116" s="163"/>
      <c r="K116" s="163"/>
      <c r="L116" s="283"/>
    </row>
    <row r="117" spans="3:12" x14ac:dyDescent="0.15">
      <c r="C117" s="1"/>
      <c r="D117" s="1"/>
      <c r="E117" s="1"/>
      <c r="I117" s="287"/>
      <c r="J117" s="163"/>
      <c r="K117" s="163"/>
      <c r="L117" s="283"/>
    </row>
    <row r="118" spans="3:12" x14ac:dyDescent="0.15">
      <c r="C118" s="1"/>
      <c r="D118" s="1"/>
      <c r="E118" s="1"/>
      <c r="I118" s="287"/>
      <c r="J118" s="163"/>
      <c r="K118" s="163"/>
      <c r="L118" s="283"/>
    </row>
    <row r="119" spans="3:12" x14ac:dyDescent="0.15">
      <c r="C119" s="1"/>
      <c r="D119" s="1"/>
      <c r="E119" s="1"/>
      <c r="I119" s="287"/>
      <c r="J119" s="163"/>
      <c r="K119" s="163"/>
      <c r="L119" s="283"/>
    </row>
    <row r="120" spans="3:12" x14ac:dyDescent="0.15">
      <c r="C120" s="1"/>
      <c r="D120" s="1"/>
      <c r="E120" s="1"/>
      <c r="I120" s="287"/>
      <c r="J120" s="163"/>
      <c r="K120" s="163"/>
      <c r="L120" s="283"/>
    </row>
    <row r="121" spans="3:12" x14ac:dyDescent="0.15">
      <c r="C121" s="1"/>
      <c r="D121" s="1"/>
      <c r="E121" s="1"/>
      <c r="I121" s="287"/>
      <c r="J121" s="163"/>
      <c r="K121" s="163"/>
      <c r="L121" s="283"/>
    </row>
    <row r="122" spans="3:12" x14ac:dyDescent="0.15">
      <c r="C122" s="1"/>
      <c r="D122" s="1"/>
      <c r="E122" s="1"/>
      <c r="I122" s="287"/>
      <c r="J122" s="163"/>
      <c r="K122" s="163"/>
      <c r="L122" s="283"/>
    </row>
    <row r="123" spans="3:12" x14ac:dyDescent="0.15">
      <c r="C123" s="1"/>
      <c r="D123" s="1"/>
      <c r="E123" s="1"/>
      <c r="I123" s="287"/>
      <c r="J123" s="163"/>
      <c r="K123" s="163"/>
      <c r="L123" s="283"/>
    </row>
    <row r="124" spans="3:12" x14ac:dyDescent="0.15">
      <c r="C124" s="1"/>
      <c r="D124" s="1"/>
      <c r="E124" s="1"/>
      <c r="I124" s="287"/>
      <c r="J124" s="163"/>
      <c r="K124" s="163"/>
      <c r="L124" s="283"/>
    </row>
    <row r="125" spans="3:12" x14ac:dyDescent="0.15">
      <c r="C125" s="1"/>
      <c r="D125" s="1"/>
      <c r="E125" s="1"/>
      <c r="I125" s="287"/>
      <c r="J125" s="163"/>
      <c r="K125" s="163"/>
      <c r="L125" s="283"/>
    </row>
    <row r="126" spans="3:12" x14ac:dyDescent="0.15">
      <c r="C126" s="1"/>
      <c r="D126" s="1"/>
      <c r="E126" s="1"/>
      <c r="I126" s="287"/>
      <c r="J126" s="163"/>
      <c r="K126" s="163"/>
      <c r="L126" s="283"/>
    </row>
    <row r="127" spans="3:12" x14ac:dyDescent="0.15">
      <c r="C127" s="1"/>
      <c r="D127" s="1"/>
      <c r="E127" s="1"/>
      <c r="I127" s="287"/>
      <c r="J127" s="163"/>
      <c r="K127" s="163"/>
      <c r="L127" s="283"/>
    </row>
    <row r="128" spans="3:12" x14ac:dyDescent="0.15">
      <c r="C128" s="1"/>
      <c r="D128" s="1"/>
      <c r="E128" s="1"/>
      <c r="I128" s="287"/>
      <c r="J128" s="163"/>
      <c r="K128" s="163"/>
      <c r="L128" s="283"/>
    </row>
    <row r="129" spans="3:12" x14ac:dyDescent="0.15">
      <c r="C129" s="1"/>
      <c r="D129" s="1"/>
      <c r="E129" s="1"/>
      <c r="I129" s="287"/>
      <c r="J129" s="163"/>
      <c r="K129" s="163"/>
      <c r="L129" s="283"/>
    </row>
    <row r="130" spans="3:12" x14ac:dyDescent="0.15">
      <c r="C130" s="1"/>
      <c r="D130" s="1"/>
      <c r="E130" s="1"/>
      <c r="I130" s="287"/>
      <c r="J130" s="163"/>
      <c r="K130" s="163"/>
      <c r="L130" s="283"/>
    </row>
    <row r="131" spans="3:12" x14ac:dyDescent="0.15">
      <c r="C131" s="1"/>
      <c r="D131" s="1"/>
      <c r="E131" s="1"/>
      <c r="I131" s="287"/>
      <c r="J131" s="163"/>
      <c r="K131" s="163"/>
      <c r="L131" s="283"/>
    </row>
    <row r="132" spans="3:12" x14ac:dyDescent="0.15">
      <c r="C132" s="1"/>
      <c r="D132" s="1"/>
      <c r="E132" s="1"/>
      <c r="I132" s="287"/>
      <c r="J132" s="163"/>
      <c r="K132" s="163"/>
      <c r="L132" s="283"/>
    </row>
    <row r="133" spans="3:12" x14ac:dyDescent="0.15">
      <c r="C133" s="1"/>
      <c r="D133" s="1"/>
      <c r="E133" s="1"/>
      <c r="I133" s="287"/>
      <c r="J133" s="163"/>
      <c r="K133" s="163"/>
      <c r="L133" s="283"/>
    </row>
    <row r="134" spans="3:12" x14ac:dyDescent="0.15">
      <c r="C134" s="1"/>
      <c r="D134" s="1"/>
      <c r="E134" s="1"/>
      <c r="I134" s="287"/>
      <c r="J134" s="163"/>
      <c r="K134" s="163"/>
      <c r="L134" s="283"/>
    </row>
    <row r="135" spans="3:12" x14ac:dyDescent="0.15">
      <c r="C135" s="1"/>
      <c r="D135" s="1"/>
      <c r="E135" s="1"/>
      <c r="I135" s="287"/>
      <c r="J135" s="163"/>
      <c r="K135" s="163"/>
      <c r="L135" s="283"/>
    </row>
    <row r="136" spans="3:12" x14ac:dyDescent="0.15">
      <c r="C136" s="1"/>
      <c r="D136" s="1"/>
      <c r="E136" s="1"/>
      <c r="I136" s="287"/>
      <c r="J136" s="163"/>
      <c r="K136" s="163"/>
      <c r="L136" s="283"/>
    </row>
    <row r="137" spans="3:12" x14ac:dyDescent="0.15">
      <c r="C137" s="1"/>
      <c r="D137" s="1"/>
      <c r="E137" s="1"/>
      <c r="I137" s="287"/>
      <c r="J137" s="163"/>
      <c r="K137" s="163"/>
      <c r="L137" s="283"/>
    </row>
    <row r="138" spans="3:12" x14ac:dyDescent="0.15">
      <c r="C138" s="1"/>
      <c r="D138" s="1"/>
      <c r="E138" s="1"/>
      <c r="I138" s="287"/>
      <c r="J138" s="163"/>
      <c r="K138" s="163"/>
      <c r="L138" s="283"/>
    </row>
    <row r="139" spans="3:12" x14ac:dyDescent="0.15">
      <c r="C139" s="1"/>
      <c r="D139" s="1"/>
      <c r="E139" s="1"/>
      <c r="I139" s="287"/>
      <c r="J139" s="163"/>
      <c r="K139" s="163"/>
      <c r="L139" s="283"/>
    </row>
    <row r="140" spans="3:12" x14ac:dyDescent="0.15">
      <c r="C140" s="1"/>
      <c r="D140" s="1"/>
      <c r="E140" s="1"/>
      <c r="I140" s="287"/>
      <c r="J140" s="163"/>
      <c r="K140" s="163"/>
      <c r="L140" s="283"/>
    </row>
    <row r="141" spans="3:12" x14ac:dyDescent="0.15">
      <c r="C141" s="1"/>
      <c r="D141" s="1"/>
      <c r="E141" s="1"/>
      <c r="I141" s="287"/>
      <c r="J141" s="163"/>
      <c r="K141" s="163"/>
      <c r="L141" s="283"/>
    </row>
    <row r="142" spans="3:12" x14ac:dyDescent="0.15">
      <c r="C142" s="1"/>
      <c r="D142" s="1"/>
      <c r="E142" s="1"/>
      <c r="I142" s="287"/>
      <c r="J142" s="163"/>
      <c r="K142" s="163"/>
      <c r="L142" s="283"/>
    </row>
    <row r="143" spans="3:12" x14ac:dyDescent="0.15">
      <c r="C143" s="1"/>
      <c r="D143" s="1"/>
      <c r="E143" s="1"/>
      <c r="I143" s="287"/>
      <c r="J143" s="163"/>
      <c r="K143" s="163"/>
      <c r="L143" s="283"/>
    </row>
    <row r="144" spans="3:12" x14ac:dyDescent="0.15">
      <c r="C144" s="1"/>
      <c r="D144" s="1"/>
      <c r="E144" s="1"/>
      <c r="I144" s="287"/>
      <c r="J144" s="163"/>
      <c r="K144" s="163"/>
      <c r="L144" s="283"/>
    </row>
    <row r="145" spans="3:12" x14ac:dyDescent="0.15">
      <c r="C145" s="1"/>
      <c r="D145" s="1"/>
      <c r="E145" s="1"/>
      <c r="I145" s="287"/>
      <c r="J145" s="163"/>
      <c r="K145" s="163"/>
      <c r="L145" s="283"/>
    </row>
    <row r="146" spans="3:12" x14ac:dyDescent="0.15">
      <c r="C146" s="1"/>
      <c r="D146" s="1"/>
      <c r="E146" s="1"/>
      <c r="I146" s="287"/>
      <c r="J146" s="163"/>
      <c r="K146" s="163"/>
      <c r="L146" s="283"/>
    </row>
    <row r="147" spans="3:12" x14ac:dyDescent="0.15">
      <c r="C147" s="1"/>
      <c r="D147" s="1"/>
      <c r="E147" s="1"/>
      <c r="I147" s="287"/>
      <c r="J147" s="163"/>
      <c r="K147" s="163"/>
      <c r="L147" s="283"/>
    </row>
    <row r="148" spans="3:12" x14ac:dyDescent="0.15">
      <c r="C148" s="1"/>
      <c r="D148" s="1"/>
      <c r="E148" s="1"/>
      <c r="I148" s="287"/>
      <c r="J148" s="163"/>
      <c r="K148" s="163"/>
      <c r="L148" s="283"/>
    </row>
    <row r="149" spans="3:12" x14ac:dyDescent="0.15">
      <c r="C149" s="1"/>
      <c r="D149" s="1"/>
      <c r="E149" s="1"/>
      <c r="I149" s="287"/>
      <c r="J149" s="163"/>
      <c r="K149" s="163"/>
      <c r="L149" s="283"/>
    </row>
    <row r="150" spans="3:12" x14ac:dyDescent="0.15">
      <c r="C150" s="1"/>
      <c r="D150" s="1"/>
      <c r="E150" s="1"/>
      <c r="I150" s="287"/>
      <c r="J150" s="163"/>
      <c r="K150" s="163"/>
      <c r="L150" s="283"/>
    </row>
    <row r="151" spans="3:12" x14ac:dyDescent="0.15">
      <c r="C151" s="1"/>
      <c r="D151" s="1"/>
      <c r="E151" s="1"/>
      <c r="I151" s="287"/>
      <c r="J151" s="163"/>
      <c r="K151" s="163"/>
      <c r="L151" s="283"/>
    </row>
    <row r="152" spans="3:12" x14ac:dyDescent="0.15">
      <c r="C152" s="1"/>
      <c r="D152" s="1"/>
      <c r="E152" s="1"/>
      <c r="I152" s="287"/>
      <c r="J152" s="163"/>
      <c r="K152" s="163"/>
      <c r="L152" s="283"/>
    </row>
    <row r="153" spans="3:12" x14ac:dyDescent="0.15">
      <c r="C153" s="1"/>
      <c r="D153" s="1"/>
      <c r="E153" s="1"/>
      <c r="I153" s="287"/>
      <c r="J153" s="163"/>
      <c r="K153" s="163"/>
      <c r="L153" s="283"/>
    </row>
    <row r="154" spans="3:12" x14ac:dyDescent="0.15">
      <c r="C154" s="1"/>
      <c r="D154" s="1"/>
      <c r="E154" s="1"/>
      <c r="I154" s="287"/>
      <c r="J154" s="163"/>
      <c r="K154" s="163"/>
      <c r="L154" s="283"/>
    </row>
    <row r="155" spans="3:12" x14ac:dyDescent="0.15">
      <c r="C155" s="1"/>
      <c r="D155" s="1"/>
      <c r="E155" s="1"/>
      <c r="I155" s="287"/>
      <c r="J155" s="163"/>
      <c r="K155" s="163"/>
      <c r="L155" s="283"/>
    </row>
    <row r="156" spans="3:12" x14ac:dyDescent="0.15">
      <c r="C156" s="1"/>
      <c r="D156" s="1"/>
      <c r="E156" s="1"/>
      <c r="I156" s="287"/>
      <c r="J156" s="163"/>
      <c r="K156" s="163"/>
      <c r="L156" s="283"/>
    </row>
    <row r="157" spans="3:12" x14ac:dyDescent="0.15">
      <c r="C157" s="1"/>
      <c r="D157" s="1"/>
      <c r="E157" s="1"/>
      <c r="I157" s="287"/>
      <c r="J157" s="163"/>
      <c r="K157" s="163"/>
      <c r="L157" s="283"/>
    </row>
    <row r="158" spans="3:12" x14ac:dyDescent="0.15">
      <c r="C158" s="1"/>
      <c r="D158" s="1"/>
      <c r="E158" s="1"/>
      <c r="I158" s="287"/>
      <c r="J158" s="163"/>
      <c r="K158" s="163"/>
      <c r="L158" s="283"/>
    </row>
    <row r="159" spans="3:12" x14ac:dyDescent="0.15">
      <c r="C159" s="1"/>
      <c r="D159" s="1"/>
      <c r="E159" s="1"/>
      <c r="I159" s="287"/>
      <c r="J159" s="163"/>
      <c r="K159" s="163"/>
      <c r="L159" s="283"/>
    </row>
    <row r="160" spans="3:12" x14ac:dyDescent="0.15">
      <c r="C160" s="1"/>
      <c r="D160" s="1"/>
      <c r="E160" s="1"/>
      <c r="I160" s="287"/>
      <c r="J160" s="163"/>
      <c r="K160" s="163"/>
      <c r="L160" s="283"/>
    </row>
    <row r="161" spans="3:12" x14ac:dyDescent="0.15">
      <c r="C161" s="1"/>
      <c r="D161" s="1"/>
      <c r="E161" s="1"/>
      <c r="I161" s="287"/>
      <c r="J161" s="163"/>
      <c r="K161" s="163"/>
      <c r="L161" s="283"/>
    </row>
    <row r="162" spans="3:12" x14ac:dyDescent="0.15">
      <c r="C162" s="1"/>
      <c r="D162" s="1"/>
      <c r="E162" s="1"/>
      <c r="I162" s="287"/>
      <c r="J162" s="163"/>
      <c r="K162" s="163"/>
      <c r="L162" s="283"/>
    </row>
    <row r="163" spans="3:12" x14ac:dyDescent="0.15">
      <c r="C163" s="1"/>
      <c r="D163" s="1"/>
      <c r="E163" s="1"/>
      <c r="I163" s="287"/>
      <c r="J163" s="163"/>
      <c r="K163" s="163"/>
      <c r="L163" s="283"/>
    </row>
    <row r="164" spans="3:12" x14ac:dyDescent="0.15">
      <c r="C164" s="1"/>
      <c r="D164" s="1"/>
      <c r="E164" s="1"/>
      <c r="I164" s="287"/>
      <c r="J164" s="163"/>
      <c r="K164" s="163"/>
      <c r="L164" s="283"/>
    </row>
    <row r="165" spans="3:12" x14ac:dyDescent="0.15">
      <c r="C165" s="1"/>
      <c r="D165" s="1"/>
      <c r="E165" s="1"/>
      <c r="I165" s="287"/>
      <c r="J165" s="163"/>
      <c r="K165" s="163"/>
      <c r="L165" s="283"/>
    </row>
    <row r="166" spans="3:12" x14ac:dyDescent="0.15">
      <c r="C166" s="1"/>
      <c r="D166" s="1"/>
      <c r="E166" s="1"/>
      <c r="I166" s="287"/>
      <c r="J166" s="163"/>
      <c r="K166" s="163"/>
      <c r="L166" s="283"/>
    </row>
    <row r="167" spans="3:12" x14ac:dyDescent="0.15">
      <c r="C167" s="1"/>
      <c r="D167" s="1"/>
      <c r="E167" s="1"/>
      <c r="I167" s="287"/>
      <c r="J167" s="163"/>
      <c r="K167" s="163"/>
      <c r="L167" s="283"/>
    </row>
    <row r="168" spans="3:12" x14ac:dyDescent="0.15">
      <c r="C168" s="1"/>
      <c r="D168" s="1"/>
      <c r="E168" s="1"/>
      <c r="I168" s="287"/>
      <c r="J168" s="163"/>
      <c r="K168" s="163"/>
      <c r="L168" s="283"/>
    </row>
    <row r="169" spans="3:12" x14ac:dyDescent="0.15">
      <c r="C169" s="1"/>
      <c r="D169" s="1"/>
      <c r="E169" s="1"/>
      <c r="I169" s="287"/>
      <c r="J169" s="163"/>
      <c r="K169" s="163"/>
      <c r="L169" s="283"/>
    </row>
    <row r="170" spans="3:12" x14ac:dyDescent="0.15">
      <c r="C170" s="1"/>
      <c r="D170" s="1"/>
      <c r="E170" s="1"/>
      <c r="I170" s="287"/>
      <c r="J170" s="163"/>
      <c r="K170" s="163"/>
      <c r="L170" s="283"/>
    </row>
    <row r="171" spans="3:12" x14ac:dyDescent="0.15">
      <c r="C171" s="1"/>
      <c r="D171" s="1"/>
      <c r="E171" s="1"/>
      <c r="I171" s="287"/>
      <c r="J171" s="163"/>
      <c r="K171" s="163"/>
      <c r="L171" s="283"/>
    </row>
    <row r="172" spans="3:12" x14ac:dyDescent="0.15">
      <c r="C172" s="1"/>
      <c r="D172" s="1"/>
      <c r="E172" s="1"/>
      <c r="I172" s="287"/>
      <c r="J172" s="163"/>
      <c r="K172" s="163"/>
      <c r="L172" s="283"/>
    </row>
    <row r="173" spans="3:12" x14ac:dyDescent="0.15">
      <c r="C173" s="1"/>
      <c r="D173" s="1"/>
      <c r="E173" s="1"/>
      <c r="I173" s="287"/>
      <c r="J173" s="163"/>
      <c r="K173" s="163"/>
      <c r="L173" s="283"/>
    </row>
    <row r="174" spans="3:12" x14ac:dyDescent="0.15">
      <c r="C174" s="1"/>
      <c r="D174" s="1"/>
      <c r="E174" s="1"/>
      <c r="I174" s="287"/>
      <c r="J174" s="163"/>
      <c r="K174" s="163"/>
      <c r="L174" s="283"/>
    </row>
    <row r="175" spans="3:12" x14ac:dyDescent="0.15">
      <c r="C175" s="1"/>
      <c r="D175" s="1"/>
      <c r="E175" s="1"/>
      <c r="I175" s="287"/>
      <c r="J175" s="163"/>
      <c r="K175" s="163"/>
      <c r="L175" s="283"/>
    </row>
    <row r="176" spans="3:12" x14ac:dyDescent="0.15">
      <c r="C176" s="1"/>
      <c r="D176" s="1"/>
      <c r="E176" s="1"/>
      <c r="I176" s="287"/>
      <c r="J176" s="163"/>
      <c r="K176" s="163"/>
      <c r="L176" s="283"/>
    </row>
    <row r="177" spans="3:12" x14ac:dyDescent="0.15">
      <c r="C177" s="1"/>
      <c r="D177" s="1"/>
      <c r="E177" s="1"/>
      <c r="I177" s="287"/>
      <c r="J177" s="163"/>
      <c r="K177" s="163"/>
      <c r="L177" s="283"/>
    </row>
    <row r="178" spans="3:12" x14ac:dyDescent="0.15">
      <c r="C178" s="1"/>
      <c r="D178" s="1"/>
      <c r="E178" s="1"/>
      <c r="I178" s="287"/>
      <c r="J178" s="163"/>
      <c r="K178" s="163"/>
      <c r="L178" s="283"/>
    </row>
    <row r="179" spans="3:12" x14ac:dyDescent="0.15">
      <c r="C179" s="1"/>
      <c r="D179" s="1"/>
      <c r="E179" s="1"/>
      <c r="I179" s="287"/>
      <c r="J179" s="163"/>
      <c r="K179" s="163"/>
      <c r="L179" s="283"/>
    </row>
    <row r="180" spans="3:12" x14ac:dyDescent="0.15">
      <c r="C180" s="1"/>
      <c r="D180" s="1"/>
      <c r="E180" s="1"/>
      <c r="I180" s="287"/>
      <c r="J180" s="163"/>
      <c r="K180" s="163"/>
      <c r="L180" s="283"/>
    </row>
    <row r="181" spans="3:12" x14ac:dyDescent="0.15">
      <c r="C181" s="1"/>
      <c r="D181" s="1"/>
      <c r="E181" s="1"/>
      <c r="I181" s="287"/>
      <c r="J181" s="163"/>
      <c r="K181" s="163"/>
      <c r="L181" s="283"/>
    </row>
    <row r="182" spans="3:12" x14ac:dyDescent="0.15">
      <c r="C182" s="1"/>
      <c r="D182" s="1"/>
      <c r="E182" s="1"/>
      <c r="I182" s="287"/>
      <c r="J182" s="163"/>
      <c r="K182" s="163"/>
      <c r="L182" s="283"/>
    </row>
    <row r="183" spans="3:12" x14ac:dyDescent="0.15">
      <c r="C183" s="1"/>
      <c r="D183" s="1"/>
      <c r="E183" s="1"/>
      <c r="I183" s="287"/>
      <c r="J183" s="163"/>
      <c r="K183" s="163"/>
      <c r="L183" s="283"/>
    </row>
    <row r="184" spans="3:12" x14ac:dyDescent="0.15">
      <c r="C184" s="1"/>
      <c r="D184" s="1"/>
      <c r="E184" s="1"/>
      <c r="I184" s="287"/>
      <c r="J184" s="163"/>
      <c r="K184" s="163"/>
      <c r="L184" s="283"/>
    </row>
    <row r="185" spans="3:12" x14ac:dyDescent="0.15">
      <c r="C185" s="1"/>
      <c r="D185" s="1"/>
      <c r="E185" s="1"/>
    </row>
    <row r="186" spans="3:12" x14ac:dyDescent="0.15">
      <c r="C186" s="1"/>
      <c r="D186" s="1"/>
      <c r="E186" s="1"/>
    </row>
    <row r="187" spans="3:12" x14ac:dyDescent="0.15">
      <c r="C187" s="1"/>
      <c r="D187" s="1"/>
      <c r="E187" s="1"/>
    </row>
    <row r="188" spans="3:12" x14ac:dyDescent="0.15">
      <c r="C188" s="1"/>
      <c r="D188" s="1"/>
      <c r="E188" s="1"/>
    </row>
  </sheetData>
  <phoneticPr fontId="80" type="noConversion"/>
  <pageMargins left="0.75" right="0.75" top="1" bottom="1" header="0.5" footer="0.5"/>
  <pageSetup orientation="portrait"/>
  <headerFooter alignWithMargins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51AD1-30D6-C243-A51B-15BD3008A102}">
  <dimension ref="A2:N457"/>
  <sheetViews>
    <sheetView showGridLines="0" topLeftCell="B1" zoomScale="90" workbookViewId="0">
      <pane ySplit="17" topLeftCell="A222" activePane="bottomLeft" state="frozen"/>
      <selection pane="bottomLeft" activeCell="K247" sqref="K247"/>
    </sheetView>
  </sheetViews>
  <sheetFormatPr baseColWidth="10" defaultColWidth="8.83203125" defaultRowHeight="13" x14ac:dyDescent="0.15"/>
  <cols>
    <col min="1" max="1" width="4.1640625" customWidth="1"/>
    <col min="2" max="2" width="13.5" customWidth="1"/>
    <col min="3" max="3" width="8.83203125" customWidth="1"/>
    <col min="4" max="5" width="10.33203125" customWidth="1"/>
    <col min="6" max="8" width="8.83203125" customWidth="1"/>
    <col min="9" max="9" width="10.5" customWidth="1"/>
    <col min="10" max="10" width="8.83203125" customWidth="1"/>
    <col min="11" max="11" width="12.33203125" customWidth="1"/>
    <col min="12" max="12" width="12.6640625" customWidth="1"/>
    <col min="13" max="13" width="8.83203125" customWidth="1"/>
    <col min="14" max="14" width="6.33203125" hidden="1" customWidth="1"/>
  </cols>
  <sheetData>
    <row r="2" spans="2:13" x14ac:dyDescent="0.15">
      <c r="B2" s="112">
        <f ca="1">NOW()</f>
        <v>45636.449309606483</v>
      </c>
    </row>
    <row r="3" spans="2:13" ht="16" x14ac:dyDescent="0.2">
      <c r="B3" s="113"/>
      <c r="G3" s="35" t="s">
        <v>1673</v>
      </c>
    </row>
    <row r="4" spans="2:13" ht="16" x14ac:dyDescent="0.2">
      <c r="G4" s="35" t="s">
        <v>1674</v>
      </c>
    </row>
    <row r="5" spans="2:13" x14ac:dyDescent="0.15">
      <c r="G5" s="187"/>
    </row>
    <row r="6" spans="2:13" ht="23" x14ac:dyDescent="0.25">
      <c r="C6" s="25"/>
      <c r="G6" s="35" t="s">
        <v>1675</v>
      </c>
    </row>
    <row r="7" spans="2:13" ht="16" x14ac:dyDescent="0.2">
      <c r="D7" s="35" t="s">
        <v>1671</v>
      </c>
      <c r="E7" s="187"/>
      <c r="J7" s="35" t="s">
        <v>1676</v>
      </c>
    </row>
    <row r="8" spans="2:13" ht="16" x14ac:dyDescent="0.2">
      <c r="B8" s="190"/>
    </row>
    <row r="9" spans="2:13" ht="16" x14ac:dyDescent="0.2">
      <c r="B9" s="190"/>
    </row>
    <row r="10" spans="2:13" ht="16" x14ac:dyDescent="0.2">
      <c r="J10" s="35" t="s">
        <v>1677</v>
      </c>
    </row>
    <row r="11" spans="2:13" ht="23" x14ac:dyDescent="0.25">
      <c r="B11" s="188" t="s">
        <v>1388</v>
      </c>
      <c r="E11" s="35" t="s">
        <v>1690</v>
      </c>
    </row>
    <row r="12" spans="2:13" ht="23" x14ac:dyDescent="0.25">
      <c r="B12" s="188" t="s">
        <v>1389</v>
      </c>
      <c r="E12" s="35" t="s">
        <v>1691</v>
      </c>
      <c r="H12" s="35" t="s">
        <v>1687</v>
      </c>
    </row>
    <row r="13" spans="2:13" ht="16" x14ac:dyDescent="0.2">
      <c r="E13" s="35"/>
    </row>
    <row r="14" spans="2:13" ht="16" x14ac:dyDescent="0.2">
      <c r="H14" s="35"/>
    </row>
    <row r="15" spans="2:13" ht="14" thickBot="1" x14ac:dyDescent="0.2"/>
    <row r="16" spans="2:13" ht="16" x14ac:dyDescent="0.2">
      <c r="B16" s="361" t="s">
        <v>1387</v>
      </c>
      <c r="C16" s="362" t="s">
        <v>846</v>
      </c>
      <c r="D16" s="362" t="s">
        <v>1634</v>
      </c>
      <c r="E16" s="362" t="s">
        <v>858</v>
      </c>
      <c r="F16" s="362" t="s">
        <v>859</v>
      </c>
      <c r="G16" s="363" t="s">
        <v>860</v>
      </c>
      <c r="H16" s="388" t="s">
        <v>861</v>
      </c>
      <c r="I16" s="377" t="s">
        <v>847</v>
      </c>
      <c r="J16" s="377" t="s">
        <v>1047</v>
      </c>
      <c r="K16" s="365" t="s">
        <v>1514</v>
      </c>
      <c r="L16" s="365" t="s">
        <v>1743</v>
      </c>
      <c r="M16" s="365" t="s">
        <v>1435</v>
      </c>
    </row>
    <row r="17" spans="2:14" ht="17" thickBot="1" x14ac:dyDescent="0.25">
      <c r="B17" s="366" t="s">
        <v>845</v>
      </c>
      <c r="C17" s="367" t="s">
        <v>855</v>
      </c>
      <c r="D17" s="367" t="s">
        <v>857</v>
      </c>
      <c r="E17" s="367" t="s">
        <v>1046</v>
      </c>
      <c r="F17" s="367" t="s">
        <v>892</v>
      </c>
      <c r="G17" s="369"/>
      <c r="H17" s="371"/>
      <c r="I17" s="369" t="s">
        <v>848</v>
      </c>
      <c r="J17" s="369" t="s">
        <v>848</v>
      </c>
      <c r="K17" s="370" t="s">
        <v>1515</v>
      </c>
      <c r="L17" s="372" t="s">
        <v>1744</v>
      </c>
      <c r="M17" s="372" t="s">
        <v>1764</v>
      </c>
    </row>
    <row r="18" spans="2:14" x14ac:dyDescent="0.15">
      <c r="B18" s="18" t="s">
        <v>1624</v>
      </c>
      <c r="C18" s="20">
        <v>18.6875</v>
      </c>
      <c r="D18" s="19">
        <v>1.125</v>
      </c>
      <c r="E18" s="20">
        <v>16.75</v>
      </c>
      <c r="F18" s="19">
        <v>2</v>
      </c>
      <c r="G18" s="19">
        <v>3.125</v>
      </c>
      <c r="H18" s="19"/>
      <c r="I18" s="20"/>
      <c r="J18" s="19"/>
      <c r="K18" s="119">
        <f t="shared" ref="K18:K24" si="0">((C18-(F18*1))*2+(E18*2)+(F18*2))*12/144</f>
        <v>5.90625</v>
      </c>
      <c r="L18" s="273">
        <f t="shared" ref="L18:L24" si="1">K18*3.2808399*0.09290304</f>
        <v>1.8002250027363422</v>
      </c>
      <c r="M18" s="273">
        <f>N18*3.2808399*0.4535924</f>
        <v>267.12544594408843</v>
      </c>
      <c r="N18">
        <v>179.5</v>
      </c>
    </row>
    <row r="19" spans="2:14" x14ac:dyDescent="0.15">
      <c r="B19" s="18" t="s">
        <v>1623</v>
      </c>
      <c r="C19" s="20">
        <v>18.5625</v>
      </c>
      <c r="D19" s="19">
        <v>1</v>
      </c>
      <c r="E19" s="20">
        <v>16.625</v>
      </c>
      <c r="F19" s="19">
        <v>1.875</v>
      </c>
      <c r="G19" s="19">
        <v>3</v>
      </c>
      <c r="H19" s="19"/>
      <c r="I19" s="20"/>
      <c r="J19" s="19"/>
      <c r="K19" s="119">
        <f t="shared" si="0"/>
        <v>5.864583333333333</v>
      </c>
      <c r="L19" s="274">
        <f t="shared" si="1"/>
        <v>1.787525002717038</v>
      </c>
      <c r="M19" s="274">
        <f t="shared" ref="M19:M82" si="2">N19*3.2808399*0.4535924</f>
        <v>244.05890325810864</v>
      </c>
      <c r="N19">
        <v>164</v>
      </c>
    </row>
    <row r="20" spans="2:14" x14ac:dyDescent="0.15">
      <c r="B20" s="155" t="s">
        <v>1200</v>
      </c>
      <c r="C20" s="185">
        <v>18.375</v>
      </c>
      <c r="D20" s="131">
        <v>0.9375</v>
      </c>
      <c r="E20" s="156">
        <v>16.625</v>
      </c>
      <c r="F20" s="131">
        <v>1.6875</v>
      </c>
      <c r="G20" s="131">
        <v>2.8125</v>
      </c>
      <c r="H20" s="131">
        <v>1.5</v>
      </c>
      <c r="I20" s="156">
        <v>5.5</v>
      </c>
      <c r="J20" s="131">
        <v>3.75</v>
      </c>
      <c r="K20" s="119">
        <f t="shared" si="0"/>
        <v>5.833333333333333</v>
      </c>
      <c r="L20" s="274">
        <f t="shared" si="1"/>
        <v>1.7780000027025602</v>
      </c>
      <c r="M20" s="272">
        <f t="shared" si="2"/>
        <v>223.22460663851402</v>
      </c>
      <c r="N20">
        <v>150</v>
      </c>
    </row>
    <row r="21" spans="2:14" x14ac:dyDescent="0.15">
      <c r="B21" s="18" t="s">
        <v>1201</v>
      </c>
      <c r="C21" s="20">
        <v>18.25</v>
      </c>
      <c r="D21" s="19">
        <v>0.875</v>
      </c>
      <c r="E21" s="20">
        <v>16.625</v>
      </c>
      <c r="F21" s="19">
        <v>1.5625</v>
      </c>
      <c r="G21" s="19">
        <v>2.6875</v>
      </c>
      <c r="H21" s="19">
        <v>1.5</v>
      </c>
      <c r="I21" s="20">
        <v>5.5</v>
      </c>
      <c r="J21" s="19">
        <v>3.75</v>
      </c>
      <c r="K21" s="119">
        <f t="shared" si="0"/>
        <v>5.8125</v>
      </c>
      <c r="L21" s="274">
        <f t="shared" si="1"/>
        <v>1.7716500026929081</v>
      </c>
      <c r="M21" s="274">
        <f t="shared" si="2"/>
        <v>208.34296619594642</v>
      </c>
      <c r="N21">
        <v>140</v>
      </c>
    </row>
    <row r="22" spans="2:14" x14ac:dyDescent="0.15">
      <c r="B22" s="18" t="s">
        <v>1202</v>
      </c>
      <c r="C22" s="20">
        <v>18.125</v>
      </c>
      <c r="D22" s="19">
        <v>0.8125</v>
      </c>
      <c r="E22" s="20">
        <v>16.5</v>
      </c>
      <c r="F22" s="19">
        <v>1.4375</v>
      </c>
      <c r="G22" s="129">
        <v>2.5625</v>
      </c>
      <c r="H22" s="129">
        <v>1.5</v>
      </c>
      <c r="I22" s="130">
        <v>5.5</v>
      </c>
      <c r="J22" s="129">
        <v>3.5</v>
      </c>
      <c r="K22" s="119">
        <f t="shared" si="0"/>
        <v>5.770833333333333</v>
      </c>
      <c r="L22" s="274">
        <f t="shared" si="1"/>
        <v>1.7589500026736042</v>
      </c>
      <c r="M22" s="274">
        <f t="shared" si="2"/>
        <v>193.46132575337882</v>
      </c>
      <c r="N22">
        <v>130</v>
      </c>
    </row>
    <row r="23" spans="2:14" x14ac:dyDescent="0.15">
      <c r="B23" s="18" t="s">
        <v>1203</v>
      </c>
      <c r="C23" s="20">
        <v>18</v>
      </c>
      <c r="D23" s="19">
        <v>0.8125</v>
      </c>
      <c r="E23" s="20">
        <v>16.5</v>
      </c>
      <c r="F23" s="19">
        <v>1.375</v>
      </c>
      <c r="G23" s="19">
        <v>2.5</v>
      </c>
      <c r="H23" s="19">
        <v>1.4375</v>
      </c>
      <c r="I23" s="20">
        <v>5.5</v>
      </c>
      <c r="J23" s="19">
        <v>3.5</v>
      </c>
      <c r="K23" s="119">
        <f t="shared" si="0"/>
        <v>5.75</v>
      </c>
      <c r="L23" s="274">
        <f t="shared" si="1"/>
        <v>1.7526000026639521</v>
      </c>
      <c r="M23" s="274">
        <f t="shared" si="2"/>
        <v>182.30009542145311</v>
      </c>
      <c r="N23">
        <v>122.5</v>
      </c>
    </row>
    <row r="24" spans="2:14" x14ac:dyDescent="0.15">
      <c r="B24" s="186" t="s">
        <v>1204</v>
      </c>
      <c r="C24" s="22">
        <v>18</v>
      </c>
      <c r="D24" s="21">
        <v>0.75</v>
      </c>
      <c r="E24" s="22">
        <v>16.5</v>
      </c>
      <c r="F24" s="21">
        <v>1.25</v>
      </c>
      <c r="G24" s="21">
        <v>2.375</v>
      </c>
      <c r="H24" s="21">
        <v>1.4375</v>
      </c>
      <c r="I24" s="22">
        <v>5.5</v>
      </c>
      <c r="J24" s="21">
        <v>3.5</v>
      </c>
      <c r="K24" s="313">
        <f t="shared" si="0"/>
        <v>5.75</v>
      </c>
      <c r="L24" s="333">
        <f t="shared" si="1"/>
        <v>1.7526000026639521</v>
      </c>
      <c r="M24" s="333">
        <f t="shared" si="2"/>
        <v>171.13886508952743</v>
      </c>
      <c r="N24">
        <v>115</v>
      </c>
    </row>
    <row r="25" spans="2:14" x14ac:dyDescent="0.15">
      <c r="B25" s="307"/>
      <c r="C25" s="315"/>
      <c r="D25" s="315"/>
      <c r="E25" s="315"/>
      <c r="F25" s="315"/>
      <c r="G25" s="315"/>
      <c r="H25" s="315"/>
      <c r="I25" s="315"/>
      <c r="J25" s="315"/>
      <c r="K25" s="315"/>
      <c r="L25" s="315"/>
      <c r="M25" s="312"/>
    </row>
    <row r="26" spans="2:14" x14ac:dyDescent="0.15">
      <c r="B26" s="155" t="s">
        <v>1664</v>
      </c>
      <c r="C26" s="156">
        <v>18.6875</v>
      </c>
      <c r="D26" s="131">
        <v>1</v>
      </c>
      <c r="E26" s="156">
        <v>12.25</v>
      </c>
      <c r="F26" s="131">
        <v>1.75</v>
      </c>
      <c r="G26" s="131">
        <v>2.625</v>
      </c>
      <c r="H26" s="131"/>
      <c r="I26" s="156"/>
      <c r="J26" s="131"/>
      <c r="K26" s="119">
        <f t="shared" ref="K26:K34" si="3">((C26-(F26*1))*2+(E26*2)+(F26*2))*12/144</f>
        <v>5.15625</v>
      </c>
      <c r="L26" s="274">
        <f t="shared" ref="L26:L34" si="4">K26*3.2808399*0.09290304</f>
        <v>1.5716250023888703</v>
      </c>
      <c r="M26" s="274">
        <f t="shared" si="2"/>
        <v>190.48499766486529</v>
      </c>
      <c r="N26">
        <v>128</v>
      </c>
    </row>
    <row r="27" spans="2:14" x14ac:dyDescent="0.15">
      <c r="B27" s="18" t="s">
        <v>1665</v>
      </c>
      <c r="C27" s="20">
        <v>18.5625</v>
      </c>
      <c r="D27" s="19">
        <v>0.875</v>
      </c>
      <c r="E27" s="20">
        <v>12.125</v>
      </c>
      <c r="F27" s="131">
        <v>1.5625</v>
      </c>
      <c r="G27" s="129">
        <v>2.5</v>
      </c>
      <c r="H27" s="129"/>
      <c r="I27" s="130"/>
      <c r="J27" s="129"/>
      <c r="K27" s="119">
        <f t="shared" si="3"/>
        <v>5.114583333333333</v>
      </c>
      <c r="L27" s="274">
        <f t="shared" si="4"/>
        <v>1.558925002369566</v>
      </c>
      <c r="M27" s="274">
        <f t="shared" si="2"/>
        <v>172.62702913378416</v>
      </c>
      <c r="N27">
        <v>116</v>
      </c>
    </row>
    <row r="28" spans="2:14" x14ac:dyDescent="0.15">
      <c r="B28" s="18" t="s">
        <v>1205</v>
      </c>
      <c r="C28" s="20">
        <v>18.375</v>
      </c>
      <c r="D28" s="19">
        <v>0.8125</v>
      </c>
      <c r="E28" s="20">
        <v>12.125</v>
      </c>
      <c r="F28" s="19">
        <v>1.375</v>
      </c>
      <c r="G28" s="19">
        <v>2.3125</v>
      </c>
      <c r="H28" s="19">
        <v>1.25</v>
      </c>
      <c r="I28" s="20">
        <v>5.5</v>
      </c>
      <c r="J28" s="19">
        <v>3.5</v>
      </c>
      <c r="K28" s="119">
        <f t="shared" si="3"/>
        <v>5.083333333333333</v>
      </c>
      <c r="L28" s="274">
        <f t="shared" si="4"/>
        <v>1.5494000023550882</v>
      </c>
      <c r="M28" s="274">
        <f t="shared" si="2"/>
        <v>156.25722464695983</v>
      </c>
      <c r="N28">
        <v>105</v>
      </c>
    </row>
    <row r="29" spans="2:14" x14ac:dyDescent="0.15">
      <c r="B29" s="18" t="s">
        <v>1206</v>
      </c>
      <c r="C29" s="20">
        <v>18.25</v>
      </c>
      <c r="D29" s="19">
        <v>0.75</v>
      </c>
      <c r="E29" s="20">
        <v>12.125</v>
      </c>
      <c r="F29" s="19">
        <v>1.25</v>
      </c>
      <c r="G29" s="129">
        <v>2.1875</v>
      </c>
      <c r="H29" s="129">
        <v>1.1875</v>
      </c>
      <c r="I29" s="130">
        <v>5.5</v>
      </c>
      <c r="J29" s="129">
        <v>3.5</v>
      </c>
      <c r="K29" s="119">
        <f t="shared" si="3"/>
        <v>5.0625</v>
      </c>
      <c r="L29" s="274">
        <f t="shared" si="4"/>
        <v>1.5430500023454361</v>
      </c>
      <c r="M29" s="274">
        <f t="shared" si="2"/>
        <v>144.35191229290572</v>
      </c>
      <c r="N29">
        <v>97</v>
      </c>
    </row>
    <row r="30" spans="2:14" x14ac:dyDescent="0.15">
      <c r="B30" s="18" t="s">
        <v>1207</v>
      </c>
      <c r="C30" s="20">
        <v>18.125</v>
      </c>
      <c r="D30" s="19">
        <v>0.75</v>
      </c>
      <c r="E30" s="20">
        <v>12.125</v>
      </c>
      <c r="F30" s="19">
        <v>1.1875</v>
      </c>
      <c r="G30" s="19">
        <v>2.125</v>
      </c>
      <c r="H30" s="19">
        <v>1.1875</v>
      </c>
      <c r="I30" s="20">
        <v>5.5</v>
      </c>
      <c r="J30" s="19">
        <v>3.25</v>
      </c>
      <c r="K30" s="119">
        <f t="shared" si="3"/>
        <v>5.041666666666667</v>
      </c>
      <c r="L30" s="274">
        <f t="shared" si="4"/>
        <v>1.5367000023357844</v>
      </c>
      <c r="M30" s="274">
        <f t="shared" si="2"/>
        <v>135.42292802736517</v>
      </c>
      <c r="N30">
        <v>91</v>
      </c>
    </row>
    <row r="31" spans="2:14" x14ac:dyDescent="0.15">
      <c r="B31" s="18" t="s">
        <v>1208</v>
      </c>
      <c r="C31" s="20">
        <v>18.125</v>
      </c>
      <c r="D31" s="19">
        <v>0.6875</v>
      </c>
      <c r="E31" s="20">
        <v>12</v>
      </c>
      <c r="F31" s="19">
        <v>1.125</v>
      </c>
      <c r="G31" s="129">
        <v>2</v>
      </c>
      <c r="H31" s="129">
        <v>1.1875</v>
      </c>
      <c r="I31" s="130">
        <v>5.5</v>
      </c>
      <c r="J31" s="129">
        <v>3.25</v>
      </c>
      <c r="K31" s="119">
        <f t="shared" si="3"/>
        <v>5.020833333333333</v>
      </c>
      <c r="L31" s="274">
        <f t="shared" si="4"/>
        <v>1.5303500023261318</v>
      </c>
      <c r="M31" s="274">
        <f t="shared" si="2"/>
        <v>126.49394376182461</v>
      </c>
      <c r="N31">
        <v>85</v>
      </c>
    </row>
    <row r="32" spans="2:14" x14ac:dyDescent="0.15">
      <c r="B32" s="18" t="s">
        <v>1209</v>
      </c>
      <c r="C32" s="20">
        <v>18</v>
      </c>
      <c r="D32" s="19">
        <v>0.625</v>
      </c>
      <c r="E32" s="20">
        <v>12</v>
      </c>
      <c r="F32" s="19">
        <v>1</v>
      </c>
      <c r="G32" s="19">
        <v>1.9375</v>
      </c>
      <c r="H32" s="19">
        <v>1.125</v>
      </c>
      <c r="I32" s="20">
        <v>5.5</v>
      </c>
      <c r="J32" s="19">
        <v>3.25</v>
      </c>
      <c r="K32" s="119">
        <f t="shared" si="3"/>
        <v>5</v>
      </c>
      <c r="L32" s="274">
        <f t="shared" si="4"/>
        <v>1.5240000023164801</v>
      </c>
      <c r="M32" s="274">
        <f t="shared" si="2"/>
        <v>119.05312354054081</v>
      </c>
      <c r="N32">
        <v>80</v>
      </c>
    </row>
    <row r="33" spans="2:14" x14ac:dyDescent="0.15">
      <c r="B33" s="18" t="s">
        <v>1210</v>
      </c>
      <c r="C33" s="20">
        <v>17.875</v>
      </c>
      <c r="D33" s="19">
        <v>0.625</v>
      </c>
      <c r="E33" s="20">
        <v>12</v>
      </c>
      <c r="F33" s="19">
        <v>0.9375</v>
      </c>
      <c r="G33" s="129">
        <v>1.875</v>
      </c>
      <c r="H33" s="129">
        <v>1.125</v>
      </c>
      <c r="I33" s="130">
        <v>5.5</v>
      </c>
      <c r="J33" s="129">
        <v>3</v>
      </c>
      <c r="K33" s="119">
        <f t="shared" si="3"/>
        <v>4.979166666666667</v>
      </c>
      <c r="L33" s="274">
        <f t="shared" si="4"/>
        <v>1.5176500023068284</v>
      </c>
      <c r="M33" s="274">
        <f t="shared" si="2"/>
        <v>111.61230331925701</v>
      </c>
      <c r="N33">
        <v>75</v>
      </c>
    </row>
    <row r="34" spans="2:14" x14ac:dyDescent="0.15">
      <c r="B34" s="186" t="s">
        <v>1211</v>
      </c>
      <c r="C34" s="22">
        <v>17.75</v>
      </c>
      <c r="D34" s="21">
        <v>0.625</v>
      </c>
      <c r="E34" s="22">
        <v>12</v>
      </c>
      <c r="F34" s="21">
        <v>0.8125</v>
      </c>
      <c r="G34" s="21">
        <v>1.6875</v>
      </c>
      <c r="H34" s="21">
        <v>1.125</v>
      </c>
      <c r="I34" s="22">
        <v>5.5</v>
      </c>
      <c r="J34" s="21">
        <v>3</v>
      </c>
      <c r="K34" s="313">
        <f t="shared" si="3"/>
        <v>4.958333333333333</v>
      </c>
      <c r="L34" s="333">
        <f t="shared" si="4"/>
        <v>1.5113000022971761</v>
      </c>
      <c r="M34" s="333">
        <f t="shared" si="2"/>
        <v>100.4510729873313</v>
      </c>
      <c r="N34">
        <v>67.5</v>
      </c>
    </row>
    <row r="35" spans="2:14" x14ac:dyDescent="0.15">
      <c r="B35" s="307"/>
      <c r="C35" s="315"/>
      <c r="D35" s="315"/>
      <c r="E35" s="315"/>
      <c r="F35" s="315"/>
      <c r="G35" s="315"/>
      <c r="H35" s="315"/>
      <c r="I35" s="315"/>
      <c r="J35" s="315"/>
      <c r="K35" s="315"/>
      <c r="L35" s="315"/>
      <c r="M35" s="312"/>
    </row>
    <row r="36" spans="2:14" x14ac:dyDescent="0.15">
      <c r="B36" s="155" t="s">
        <v>1628</v>
      </c>
      <c r="C36" s="156">
        <v>17.75</v>
      </c>
      <c r="D36" s="131">
        <v>1.1875</v>
      </c>
      <c r="E36" s="156">
        <v>16.125</v>
      </c>
      <c r="F36" s="131">
        <v>2.0625</v>
      </c>
      <c r="G36" s="131">
        <v>2.875</v>
      </c>
      <c r="H36" s="131"/>
      <c r="I36" s="156"/>
      <c r="J36" s="131"/>
      <c r="K36" s="119">
        <f t="shared" ref="K36:K42" si="5">((C36-(F36*1))*2+(E36*2)+(F36*2))*12/144</f>
        <v>5.645833333333333</v>
      </c>
      <c r="L36" s="274">
        <f t="shared" ref="L36:L42" si="6">K36*3.2808399*0.09290304</f>
        <v>1.7208500026156921</v>
      </c>
      <c r="M36" s="274">
        <f t="shared" si="2"/>
        <v>263.4050358334465</v>
      </c>
      <c r="N36">
        <v>177</v>
      </c>
    </row>
    <row r="37" spans="2:14" x14ac:dyDescent="0.15">
      <c r="B37" s="18" t="s">
        <v>1627</v>
      </c>
      <c r="C37" s="20">
        <v>17.5625</v>
      </c>
      <c r="D37" s="19">
        <v>1.0625</v>
      </c>
      <c r="E37" s="20">
        <v>16</v>
      </c>
      <c r="F37" s="19">
        <v>1.875</v>
      </c>
      <c r="G37" s="19">
        <v>2.6875</v>
      </c>
      <c r="H37" s="19"/>
      <c r="I37" s="20"/>
      <c r="J37" s="19"/>
      <c r="K37" s="119">
        <f t="shared" si="5"/>
        <v>5.59375</v>
      </c>
      <c r="L37" s="274">
        <f t="shared" si="6"/>
        <v>1.7049750025915622</v>
      </c>
      <c r="M37" s="274">
        <f t="shared" si="2"/>
        <v>236.61808303682483</v>
      </c>
      <c r="N37">
        <v>159</v>
      </c>
    </row>
    <row r="38" spans="2:14" x14ac:dyDescent="0.15">
      <c r="B38" s="18" t="s">
        <v>1626</v>
      </c>
      <c r="C38" s="20">
        <v>17.4375</v>
      </c>
      <c r="D38" s="19">
        <v>1</v>
      </c>
      <c r="E38" s="20">
        <v>15.875</v>
      </c>
      <c r="F38" s="19">
        <v>1.75</v>
      </c>
      <c r="G38" s="19">
        <v>2.5625</v>
      </c>
      <c r="H38" s="19"/>
      <c r="I38" s="20"/>
      <c r="J38" s="19"/>
      <c r="K38" s="119">
        <f t="shared" si="5"/>
        <v>5.552083333333333</v>
      </c>
      <c r="L38" s="274">
        <f t="shared" si="6"/>
        <v>1.6922750025722582</v>
      </c>
      <c r="M38" s="274">
        <f t="shared" si="2"/>
        <v>216.5278684393586</v>
      </c>
      <c r="N38">
        <v>145.5</v>
      </c>
    </row>
    <row r="39" spans="2:14" x14ac:dyDescent="0.15">
      <c r="B39" s="18" t="s">
        <v>1625</v>
      </c>
      <c r="C39" s="20">
        <v>17.25</v>
      </c>
      <c r="D39" s="19">
        <v>0.875</v>
      </c>
      <c r="E39" s="20">
        <v>15.75</v>
      </c>
      <c r="F39" s="19">
        <v>1.5625</v>
      </c>
      <c r="G39" s="19">
        <v>2.375</v>
      </c>
      <c r="H39" s="19" t="s">
        <v>850</v>
      </c>
      <c r="I39" s="20" t="s">
        <v>850</v>
      </c>
      <c r="J39" s="19" t="s">
        <v>850</v>
      </c>
      <c r="K39" s="119">
        <f t="shared" si="5"/>
        <v>5.5</v>
      </c>
      <c r="L39" s="274">
        <f t="shared" si="6"/>
        <v>1.676400002548128</v>
      </c>
      <c r="M39" s="274">
        <f t="shared" si="2"/>
        <v>195.69357181976395</v>
      </c>
      <c r="N39">
        <v>131.5</v>
      </c>
    </row>
    <row r="40" spans="2:14" x14ac:dyDescent="0.15">
      <c r="B40" s="18" t="s">
        <v>1212</v>
      </c>
      <c r="C40" s="20">
        <v>17.125</v>
      </c>
      <c r="D40" s="19">
        <v>0.8125</v>
      </c>
      <c r="E40" s="20">
        <v>15.875</v>
      </c>
      <c r="F40" s="19">
        <v>1.375</v>
      </c>
      <c r="G40" s="19">
        <v>2.1875</v>
      </c>
      <c r="H40" s="19">
        <v>1.25</v>
      </c>
      <c r="I40" s="20">
        <v>5.5</v>
      </c>
      <c r="J40" s="19">
        <v>3.5</v>
      </c>
      <c r="K40" s="119">
        <f t="shared" si="5"/>
        <v>5.5</v>
      </c>
      <c r="L40" s="274">
        <f t="shared" si="6"/>
        <v>1.676400002548128</v>
      </c>
      <c r="M40" s="274">
        <f t="shared" si="2"/>
        <v>179.32376733293958</v>
      </c>
      <c r="N40">
        <v>120.5</v>
      </c>
    </row>
    <row r="41" spans="2:14" x14ac:dyDescent="0.15">
      <c r="B41" s="18" t="s">
        <v>1213</v>
      </c>
      <c r="C41" s="20">
        <v>17</v>
      </c>
      <c r="D41" s="129">
        <v>0.75</v>
      </c>
      <c r="E41" s="130">
        <v>15.75</v>
      </c>
      <c r="F41" s="129">
        <v>1.25</v>
      </c>
      <c r="G41" s="129">
        <v>2.0625</v>
      </c>
      <c r="H41" s="129">
        <v>1.1875</v>
      </c>
      <c r="I41" s="130">
        <v>5.5</v>
      </c>
      <c r="J41" s="129">
        <v>3.5</v>
      </c>
      <c r="K41" s="119">
        <f t="shared" si="5"/>
        <v>5.458333333333333</v>
      </c>
      <c r="L41" s="274">
        <f t="shared" si="6"/>
        <v>1.6637000025288242</v>
      </c>
      <c r="M41" s="274">
        <f t="shared" si="2"/>
        <v>164.44212689037198</v>
      </c>
      <c r="N41">
        <v>110.5</v>
      </c>
    </row>
    <row r="42" spans="2:14" x14ac:dyDescent="0.15">
      <c r="B42" s="186" t="s">
        <v>1214</v>
      </c>
      <c r="C42" s="22">
        <v>16.875</v>
      </c>
      <c r="D42" s="21">
        <v>0.6875</v>
      </c>
      <c r="E42" s="22">
        <v>15.75</v>
      </c>
      <c r="F42" s="21">
        <v>1.125</v>
      </c>
      <c r="G42" s="21">
        <v>1.9375</v>
      </c>
      <c r="H42" s="21">
        <v>1.125</v>
      </c>
      <c r="I42" s="22">
        <v>5.5</v>
      </c>
      <c r="J42" s="21">
        <v>3.25</v>
      </c>
      <c r="K42" s="313">
        <f t="shared" si="5"/>
        <v>5.4375</v>
      </c>
      <c r="L42" s="333">
        <f t="shared" si="6"/>
        <v>1.6573500025191721</v>
      </c>
      <c r="M42" s="333">
        <f t="shared" si="2"/>
        <v>149.56048644780438</v>
      </c>
      <c r="N42">
        <v>100.5</v>
      </c>
    </row>
    <row r="43" spans="2:14" x14ac:dyDescent="0.15">
      <c r="B43" s="307"/>
      <c r="C43" s="315"/>
      <c r="D43" s="315"/>
      <c r="E43" s="315"/>
      <c r="F43" s="315"/>
      <c r="G43" s="315"/>
      <c r="H43" s="315"/>
      <c r="I43" s="315"/>
      <c r="J43" s="315"/>
      <c r="K43" s="315"/>
      <c r="L43" s="315"/>
      <c r="M43" s="312"/>
    </row>
    <row r="44" spans="2:14" x14ac:dyDescent="0.15">
      <c r="B44" s="155" t="s">
        <v>1666</v>
      </c>
      <c r="C44" s="156">
        <v>16.9375</v>
      </c>
      <c r="D44" s="131">
        <v>0.6875</v>
      </c>
      <c r="E44" s="156">
        <v>11.5</v>
      </c>
      <c r="F44" s="131">
        <v>1.25</v>
      </c>
      <c r="G44" s="131">
        <v>2.0625</v>
      </c>
      <c r="H44" s="131"/>
      <c r="I44" s="156"/>
      <c r="J44" s="131"/>
      <c r="K44" s="119">
        <f>((C44-(F44*1))*2+(E44*2)+(F44*2))*12/144</f>
        <v>4.739583333333333</v>
      </c>
      <c r="L44" s="274">
        <f>K44*3.2808399*0.09290304</f>
        <v>1.44462500219583</v>
      </c>
      <c r="M44" s="274">
        <f t="shared" si="2"/>
        <v>125.74986173969621</v>
      </c>
      <c r="N44">
        <v>84.5</v>
      </c>
    </row>
    <row r="45" spans="2:14" x14ac:dyDescent="0.15">
      <c r="B45" s="18" t="s">
        <v>1215</v>
      </c>
      <c r="C45" s="156">
        <v>16.75</v>
      </c>
      <c r="D45" s="129">
        <v>0.625</v>
      </c>
      <c r="E45" s="130">
        <v>11.625</v>
      </c>
      <c r="F45" s="129">
        <v>1.0625</v>
      </c>
      <c r="G45" s="129">
        <v>1.875</v>
      </c>
      <c r="H45" s="129">
        <v>1.125</v>
      </c>
      <c r="I45" s="130">
        <v>5.5</v>
      </c>
      <c r="J45" s="129">
        <v>3.25</v>
      </c>
      <c r="K45" s="119">
        <f>((C45-(F45*1))*2+(E45*2)+(F45*2))*12/144</f>
        <v>4.729166666666667</v>
      </c>
      <c r="L45" s="274">
        <f>K45*3.2808399*0.09290304</f>
        <v>1.4414500021910044</v>
      </c>
      <c r="M45" s="274">
        <f t="shared" si="2"/>
        <v>113.10046736351376</v>
      </c>
      <c r="N45">
        <v>76</v>
      </c>
    </row>
    <row r="46" spans="2:14" x14ac:dyDescent="0.15">
      <c r="B46" s="18" t="s">
        <v>1216</v>
      </c>
      <c r="C46" s="20">
        <v>16.625</v>
      </c>
      <c r="D46" s="19">
        <v>0.625</v>
      </c>
      <c r="E46" s="20">
        <v>11.5</v>
      </c>
      <c r="F46" s="19">
        <v>0.9375</v>
      </c>
      <c r="G46" s="19">
        <v>1.75</v>
      </c>
      <c r="H46" s="19">
        <v>1.0625</v>
      </c>
      <c r="I46" s="20">
        <v>5.5</v>
      </c>
      <c r="J46" s="19">
        <v>3</v>
      </c>
      <c r="K46" s="119">
        <f>((C46-(F46*1))*2+(E46*2)+(F46*2))*12/144</f>
        <v>4.6875</v>
      </c>
      <c r="L46" s="274">
        <f>K46*3.2808399*0.09290304</f>
        <v>1.4287500021717001</v>
      </c>
      <c r="M46" s="274">
        <f t="shared" si="2"/>
        <v>104.91556512010158</v>
      </c>
      <c r="N46">
        <v>70.5</v>
      </c>
    </row>
    <row r="47" spans="2:14" x14ac:dyDescent="0.15">
      <c r="B47" s="18" t="s">
        <v>1217</v>
      </c>
      <c r="C47" s="20">
        <v>16.5</v>
      </c>
      <c r="D47" s="129">
        <v>0.5625</v>
      </c>
      <c r="E47" s="130">
        <v>11.5</v>
      </c>
      <c r="F47" s="129">
        <v>0.875</v>
      </c>
      <c r="G47" s="129">
        <v>1.6875</v>
      </c>
      <c r="H47" s="129">
        <v>1.0625</v>
      </c>
      <c r="I47" s="130">
        <v>5.5</v>
      </c>
      <c r="J47" s="129">
        <v>3</v>
      </c>
      <c r="K47" s="119">
        <f>((C47-(F47*1))*2+(E47*2)+(F47*2))*12/144</f>
        <v>4.666666666666667</v>
      </c>
      <c r="L47" s="274">
        <f>K47*3.2808399*0.09290304</f>
        <v>1.4224000021620482</v>
      </c>
      <c r="M47" s="274">
        <f t="shared" si="2"/>
        <v>96.730662876689408</v>
      </c>
      <c r="N47">
        <v>65</v>
      </c>
    </row>
    <row r="48" spans="2:14" x14ac:dyDescent="0.15">
      <c r="B48" s="186" t="s">
        <v>1218</v>
      </c>
      <c r="C48" s="22">
        <v>16.375</v>
      </c>
      <c r="D48" s="21">
        <v>0.5625</v>
      </c>
      <c r="E48" s="22">
        <v>11.5</v>
      </c>
      <c r="F48" s="21">
        <v>0.75</v>
      </c>
      <c r="G48" s="21">
        <v>1.5625</v>
      </c>
      <c r="H48" s="21">
        <v>1.0625</v>
      </c>
      <c r="I48" s="22">
        <v>5.5</v>
      </c>
      <c r="J48" s="21">
        <v>2.75</v>
      </c>
      <c r="K48" s="313">
        <f>((C48-(F48*1))*2+(E48*2)+(F48*2))*12/144</f>
        <v>4.645833333333333</v>
      </c>
      <c r="L48" s="333">
        <f>K48*3.2808399*0.09290304</f>
        <v>1.4160500021523961</v>
      </c>
      <c r="M48" s="333">
        <f t="shared" si="2"/>
        <v>87.801678611148844</v>
      </c>
      <c r="N48">
        <v>59</v>
      </c>
    </row>
    <row r="49" spans="2:14" x14ac:dyDescent="0.15">
      <c r="B49" s="307"/>
      <c r="C49" s="315"/>
      <c r="D49" s="315"/>
      <c r="E49" s="315"/>
      <c r="F49" s="315"/>
      <c r="G49" s="315"/>
      <c r="H49" s="315"/>
      <c r="I49" s="315"/>
      <c r="J49" s="315"/>
      <c r="K49" s="315"/>
      <c r="L49" s="315"/>
      <c r="M49" s="312"/>
    </row>
    <row r="50" spans="2:14" x14ac:dyDescent="0.15">
      <c r="B50" s="155" t="s">
        <v>1629</v>
      </c>
      <c r="C50" s="156">
        <v>15.625</v>
      </c>
      <c r="D50" s="131">
        <v>0.8125</v>
      </c>
      <c r="E50" s="156">
        <v>15</v>
      </c>
      <c r="F50" s="131">
        <v>1.5</v>
      </c>
      <c r="G50" s="131">
        <v>2.25</v>
      </c>
      <c r="H50" s="131" t="s">
        <v>850</v>
      </c>
      <c r="I50" s="156" t="s">
        <v>850</v>
      </c>
      <c r="J50" s="131" t="s">
        <v>850</v>
      </c>
      <c r="K50" s="119">
        <f>((C50-(F50*1))*2+(E50*2)+(F50*2))*12/144</f>
        <v>5.104166666666667</v>
      </c>
      <c r="L50" s="274">
        <f>K50*3.2808399*0.09290304</f>
        <v>1.5557500023647404</v>
      </c>
      <c r="M50" s="274">
        <f t="shared" si="2"/>
        <v>174.85927520016932</v>
      </c>
      <c r="N50">
        <v>117.5</v>
      </c>
    </row>
    <row r="51" spans="2:14" x14ac:dyDescent="0.15">
      <c r="B51" s="18" t="s">
        <v>1219</v>
      </c>
      <c r="C51" s="20">
        <v>15.5</v>
      </c>
      <c r="D51" s="19">
        <v>0.75</v>
      </c>
      <c r="E51" s="20">
        <v>15.125</v>
      </c>
      <c r="F51" s="19">
        <v>1.3125</v>
      </c>
      <c r="G51" s="19">
        <v>2.125</v>
      </c>
      <c r="H51" s="19">
        <v>1.125</v>
      </c>
      <c r="I51" s="20">
        <v>5.5</v>
      </c>
      <c r="J51" s="19">
        <v>3.5</v>
      </c>
      <c r="K51" s="119">
        <f>((C51-(F51*1))*2+(E51*2)+(F51*2))*12/144</f>
        <v>5.104166666666667</v>
      </c>
      <c r="L51" s="274">
        <f>K51*3.2808399*0.09290304</f>
        <v>1.5557500023647404</v>
      </c>
      <c r="M51" s="274">
        <f t="shared" si="2"/>
        <v>157.00130666908819</v>
      </c>
      <c r="N51">
        <v>105.5</v>
      </c>
    </row>
    <row r="52" spans="2:14" x14ac:dyDescent="0.15">
      <c r="B52" s="18" t="s">
        <v>1220</v>
      </c>
      <c r="C52" s="20">
        <v>15.375</v>
      </c>
      <c r="D52" s="129">
        <v>0.6875</v>
      </c>
      <c r="E52" s="130">
        <v>15</v>
      </c>
      <c r="F52" s="129">
        <v>1.1875</v>
      </c>
      <c r="G52" s="129">
        <v>1.9375</v>
      </c>
      <c r="H52" s="129">
        <v>1.0625</v>
      </c>
      <c r="I52" s="130">
        <v>5.5</v>
      </c>
      <c r="J52" s="129">
        <v>3.25</v>
      </c>
      <c r="K52" s="119">
        <f>((C52-(F52*1))*2+(E52*2)+(F52*2))*12/144</f>
        <v>5.0625</v>
      </c>
      <c r="L52" s="274">
        <f>K52*3.2808399*0.09290304</f>
        <v>1.5430500023454361</v>
      </c>
      <c r="M52" s="274">
        <f t="shared" si="2"/>
        <v>142.11966622652056</v>
      </c>
      <c r="N52">
        <v>95.5</v>
      </c>
    </row>
    <row r="53" spans="2:14" x14ac:dyDescent="0.15">
      <c r="B53" s="186" t="s">
        <v>1221</v>
      </c>
      <c r="C53" s="22">
        <v>15.25</v>
      </c>
      <c r="D53" s="21">
        <v>0.625</v>
      </c>
      <c r="E53" s="22">
        <v>15</v>
      </c>
      <c r="F53" s="21">
        <v>1.0625</v>
      </c>
      <c r="G53" s="21">
        <v>1.875</v>
      </c>
      <c r="H53" s="21">
        <v>1.0625</v>
      </c>
      <c r="I53" s="22">
        <v>5.5</v>
      </c>
      <c r="J53" s="21">
        <v>3.25</v>
      </c>
      <c r="K53" s="313">
        <f>((C53-(F53*1))*2+(E53*2)+(F53*2))*12/144</f>
        <v>5.041666666666667</v>
      </c>
      <c r="L53" s="333">
        <f>K53*3.2808399*0.09290304</f>
        <v>1.5367000023357844</v>
      </c>
      <c r="M53" s="333">
        <f t="shared" si="2"/>
        <v>128.72618982820975</v>
      </c>
      <c r="N53">
        <v>86.5</v>
      </c>
    </row>
    <row r="54" spans="2:14" x14ac:dyDescent="0.15">
      <c r="B54" s="307"/>
      <c r="C54" s="315"/>
      <c r="D54" s="315"/>
      <c r="E54" s="315"/>
      <c r="F54" s="315"/>
      <c r="G54" s="315"/>
      <c r="H54" s="315"/>
      <c r="I54" s="315"/>
      <c r="J54" s="315"/>
      <c r="K54" s="315"/>
      <c r="L54" s="315"/>
      <c r="M54" s="312"/>
    </row>
    <row r="55" spans="2:14" x14ac:dyDescent="0.15">
      <c r="B55" s="155" t="s">
        <v>1667</v>
      </c>
      <c r="C55" s="156">
        <v>15.3125</v>
      </c>
      <c r="D55" s="131">
        <v>0.625</v>
      </c>
      <c r="E55" s="156">
        <v>10.5</v>
      </c>
      <c r="F55" s="131">
        <v>1.1875</v>
      </c>
      <c r="G55" s="131">
        <v>2</v>
      </c>
      <c r="H55" s="131"/>
      <c r="I55" s="156"/>
      <c r="J55" s="131"/>
      <c r="K55" s="119">
        <f t="shared" ref="K55:K60" si="7">((C55-(F55*1))*2+(E55*2)+(F55*2))*12/144</f>
        <v>4.302083333333333</v>
      </c>
      <c r="L55" s="274">
        <f t="shared" ref="L55:L60" si="8">K55*3.2808399*0.09290304</f>
        <v>1.3112750019931381</v>
      </c>
      <c r="M55" s="274">
        <f t="shared" si="2"/>
        <v>110.12413927500025</v>
      </c>
      <c r="N55">
        <v>74</v>
      </c>
    </row>
    <row r="56" spans="2:14" x14ac:dyDescent="0.15">
      <c r="B56" s="155" t="s">
        <v>1222</v>
      </c>
      <c r="C56" s="156">
        <v>15.125</v>
      </c>
      <c r="D56" s="129">
        <v>0.625</v>
      </c>
      <c r="E56" s="130">
        <v>10.5</v>
      </c>
      <c r="F56" s="129">
        <v>1</v>
      </c>
      <c r="G56" s="129">
        <v>1.75</v>
      </c>
      <c r="H56" s="129">
        <v>1.0625</v>
      </c>
      <c r="I56" s="130">
        <v>5.5</v>
      </c>
      <c r="J56" s="129">
        <v>3</v>
      </c>
      <c r="K56" s="119">
        <f t="shared" si="7"/>
        <v>4.270833333333333</v>
      </c>
      <c r="L56" s="274">
        <f t="shared" si="8"/>
        <v>1.3017500019786601</v>
      </c>
      <c r="M56" s="274">
        <f t="shared" si="2"/>
        <v>98.218826920946171</v>
      </c>
      <c r="N56">
        <v>66</v>
      </c>
    </row>
    <row r="57" spans="2:14" x14ac:dyDescent="0.15">
      <c r="B57" s="18" t="s">
        <v>1223</v>
      </c>
      <c r="C57" s="20">
        <v>15.125</v>
      </c>
      <c r="D57" s="19">
        <v>0.5625</v>
      </c>
      <c r="E57" s="20">
        <v>10.5</v>
      </c>
      <c r="F57" s="19">
        <v>0.9375</v>
      </c>
      <c r="G57" s="19">
        <v>1.6875</v>
      </c>
      <c r="H57" s="19">
        <v>1</v>
      </c>
      <c r="I57" s="20">
        <v>5.5</v>
      </c>
      <c r="J57" s="19">
        <v>3</v>
      </c>
      <c r="K57" s="119">
        <f t="shared" si="7"/>
        <v>4.270833333333333</v>
      </c>
      <c r="L57" s="274">
        <f t="shared" si="8"/>
        <v>1.3017500019786601</v>
      </c>
      <c r="M57" s="274">
        <f t="shared" si="2"/>
        <v>92.266170743919119</v>
      </c>
      <c r="N57">
        <v>62</v>
      </c>
    </row>
    <row r="58" spans="2:14" x14ac:dyDescent="0.15">
      <c r="B58" s="18" t="s">
        <v>1224</v>
      </c>
      <c r="C58" s="20">
        <v>15</v>
      </c>
      <c r="D58" s="129">
        <v>0.5625</v>
      </c>
      <c r="E58" s="130">
        <v>10.5</v>
      </c>
      <c r="F58" s="129">
        <v>0.875</v>
      </c>
      <c r="G58" s="129">
        <v>1.625</v>
      </c>
      <c r="H58" s="129">
        <v>1</v>
      </c>
      <c r="I58" s="130">
        <v>5.5</v>
      </c>
      <c r="J58" s="129">
        <v>3</v>
      </c>
      <c r="K58" s="119">
        <f t="shared" si="7"/>
        <v>4.25</v>
      </c>
      <c r="L58" s="274">
        <f t="shared" si="8"/>
        <v>1.2954000019690082</v>
      </c>
      <c r="M58" s="274">
        <f t="shared" si="2"/>
        <v>86.313514566892081</v>
      </c>
      <c r="N58">
        <v>58</v>
      </c>
    </row>
    <row r="59" spans="2:14" x14ac:dyDescent="0.15">
      <c r="B59" s="18" t="s">
        <v>1225</v>
      </c>
      <c r="C59" s="20">
        <v>14.875</v>
      </c>
      <c r="D59" s="19">
        <v>0.5625</v>
      </c>
      <c r="E59" s="20">
        <v>10.5</v>
      </c>
      <c r="F59" s="19">
        <v>0.75</v>
      </c>
      <c r="G59" s="19">
        <v>1.5625</v>
      </c>
      <c r="H59" s="19">
        <v>1</v>
      </c>
      <c r="I59" s="20">
        <v>5.5</v>
      </c>
      <c r="J59" s="19">
        <v>3</v>
      </c>
      <c r="K59" s="119">
        <f t="shared" si="7"/>
        <v>4.229166666666667</v>
      </c>
      <c r="L59" s="274">
        <f t="shared" si="8"/>
        <v>1.2890500019593563</v>
      </c>
      <c r="M59" s="274">
        <f t="shared" si="2"/>
        <v>80.360858389865044</v>
      </c>
      <c r="N59">
        <v>54</v>
      </c>
    </row>
    <row r="60" spans="2:14" x14ac:dyDescent="0.15">
      <c r="B60" s="186" t="s">
        <v>1226</v>
      </c>
      <c r="C60" s="22">
        <v>14.875</v>
      </c>
      <c r="D60" s="21">
        <v>0.5</v>
      </c>
      <c r="E60" s="22">
        <v>10.5</v>
      </c>
      <c r="F60" s="21">
        <v>0.6875</v>
      </c>
      <c r="G60" s="21">
        <v>1.4375</v>
      </c>
      <c r="H60" s="21">
        <v>1</v>
      </c>
      <c r="I60" s="22">
        <v>5.5</v>
      </c>
      <c r="J60" s="21">
        <v>2.75</v>
      </c>
      <c r="K60" s="313">
        <f t="shared" si="7"/>
        <v>4.229166666666667</v>
      </c>
      <c r="L60" s="333">
        <f t="shared" si="8"/>
        <v>1.2890500019593563</v>
      </c>
      <c r="M60" s="333">
        <f t="shared" si="2"/>
        <v>73.664120190709625</v>
      </c>
      <c r="N60">
        <v>49.5</v>
      </c>
    </row>
    <row r="61" spans="2:14" x14ac:dyDescent="0.15">
      <c r="B61" s="307"/>
      <c r="C61" s="315"/>
      <c r="D61" s="315"/>
      <c r="E61" s="315"/>
      <c r="F61" s="315"/>
      <c r="G61" s="315"/>
      <c r="H61" s="315"/>
      <c r="I61" s="315"/>
      <c r="J61" s="315"/>
      <c r="K61" s="315"/>
      <c r="L61" s="315"/>
      <c r="M61" s="312"/>
    </row>
    <row r="62" spans="2:14" x14ac:dyDescent="0.15">
      <c r="B62" s="155" t="s">
        <v>1631</v>
      </c>
      <c r="C62" s="156">
        <v>14.1875</v>
      </c>
      <c r="D62" s="129">
        <v>0.8125</v>
      </c>
      <c r="E62" s="130">
        <v>14.125</v>
      </c>
      <c r="F62" s="129">
        <v>1.5</v>
      </c>
      <c r="G62" s="129">
        <v>2.1875</v>
      </c>
      <c r="H62" s="129"/>
      <c r="I62" s="130"/>
      <c r="J62" s="129"/>
      <c r="K62" s="119">
        <f>((C62-(F62*1))*2+(E62*2)+(F62*2))*12/144</f>
        <v>4.71875</v>
      </c>
      <c r="L62" s="274">
        <f>K62*3.2808399*0.09290304</f>
        <v>1.4382750021861781</v>
      </c>
      <c r="M62" s="274">
        <f t="shared" si="2"/>
        <v>161.46579880185848</v>
      </c>
      <c r="N62">
        <v>108.5</v>
      </c>
    </row>
    <row r="63" spans="2:14" x14ac:dyDescent="0.15">
      <c r="B63" s="18" t="s">
        <v>1630</v>
      </c>
      <c r="C63" s="20">
        <v>14.0625</v>
      </c>
      <c r="D63" s="19">
        <v>0.75</v>
      </c>
      <c r="E63" s="20">
        <v>14</v>
      </c>
      <c r="F63" s="19">
        <v>1.3125</v>
      </c>
      <c r="G63" s="19">
        <v>2.0625</v>
      </c>
      <c r="H63" s="19" t="s">
        <v>850</v>
      </c>
      <c r="I63" s="20" t="s">
        <v>850</v>
      </c>
      <c r="J63" s="19" t="s">
        <v>850</v>
      </c>
      <c r="K63" s="119">
        <f>((C63-(F63*1))*2+(E63*2)+(F63*2))*12/144</f>
        <v>4.677083333333333</v>
      </c>
      <c r="L63" s="274">
        <f>K63*3.2808399*0.09290304</f>
        <v>1.4255750021668741</v>
      </c>
      <c r="M63" s="274">
        <f t="shared" si="2"/>
        <v>144.35191229290572</v>
      </c>
      <c r="N63">
        <v>97</v>
      </c>
    </row>
    <row r="64" spans="2:14" x14ac:dyDescent="0.15">
      <c r="B64" s="18" t="s">
        <v>1227</v>
      </c>
      <c r="C64" s="20">
        <v>13.875</v>
      </c>
      <c r="D64" s="129">
        <v>0.75</v>
      </c>
      <c r="E64" s="130">
        <v>14.125</v>
      </c>
      <c r="F64" s="129">
        <v>1.1875</v>
      </c>
      <c r="G64" s="129">
        <v>1.875</v>
      </c>
      <c r="H64" s="129">
        <v>1.0625</v>
      </c>
      <c r="I64" s="130">
        <v>5.5</v>
      </c>
      <c r="J64" s="129">
        <v>3.25</v>
      </c>
      <c r="K64" s="119">
        <f>((C64-(F64*1))*2+(E64*2)+(F64*2))*12/144</f>
        <v>4.666666666666667</v>
      </c>
      <c r="L64" s="274">
        <f>K64*3.2808399*0.09290304</f>
        <v>1.4224000021620482</v>
      </c>
      <c r="M64" s="274">
        <f t="shared" si="2"/>
        <v>132.44659993885165</v>
      </c>
      <c r="N64">
        <v>89</v>
      </c>
    </row>
    <row r="65" spans="2:14" x14ac:dyDescent="0.15">
      <c r="B65" s="18" t="s">
        <v>1228</v>
      </c>
      <c r="C65" s="20">
        <v>13.75</v>
      </c>
      <c r="D65" s="19">
        <v>0.6875</v>
      </c>
      <c r="E65" s="20">
        <v>14</v>
      </c>
      <c r="F65" s="19">
        <v>1.0625</v>
      </c>
      <c r="G65" s="19">
        <v>1.8125</v>
      </c>
      <c r="H65" s="19">
        <v>1</v>
      </c>
      <c r="I65" s="20">
        <v>5.5</v>
      </c>
      <c r="J65" s="19">
        <v>3.25</v>
      </c>
      <c r="K65" s="119">
        <f>((C65-(F65*1))*2+(E65*2)+(F65*2))*12/144</f>
        <v>4.625</v>
      </c>
      <c r="L65" s="274">
        <f>K65*3.2808399*0.09290304</f>
        <v>1.4097000021427442</v>
      </c>
      <c r="M65" s="274">
        <f t="shared" si="2"/>
        <v>119.79720556266919</v>
      </c>
      <c r="N65">
        <v>80.5</v>
      </c>
    </row>
    <row r="66" spans="2:14" x14ac:dyDescent="0.15">
      <c r="B66" s="186" t="s">
        <v>1229</v>
      </c>
      <c r="C66" s="22">
        <v>13.75</v>
      </c>
      <c r="D66" s="21">
        <v>0.625</v>
      </c>
      <c r="E66" s="22">
        <v>14</v>
      </c>
      <c r="F66" s="21">
        <v>1</v>
      </c>
      <c r="G66" s="21">
        <v>1.6875</v>
      </c>
      <c r="H66" s="21">
        <v>1</v>
      </c>
      <c r="I66" s="22">
        <v>5.5</v>
      </c>
      <c r="J66" s="21">
        <v>3</v>
      </c>
      <c r="K66" s="313">
        <f>((C66-(F66*1))*2+(E66*2)+(F66*2))*12/144</f>
        <v>4.625</v>
      </c>
      <c r="L66" s="333">
        <f>K66*3.2808399*0.09290304</f>
        <v>1.4097000021427442</v>
      </c>
      <c r="M66" s="333">
        <f t="shared" si="2"/>
        <v>108.63597523074348</v>
      </c>
      <c r="N66">
        <v>73</v>
      </c>
    </row>
    <row r="67" spans="2:14" x14ac:dyDescent="0.15">
      <c r="B67" s="307"/>
      <c r="C67" s="315"/>
      <c r="D67" s="315"/>
      <c r="E67" s="315"/>
      <c r="F67" s="315"/>
      <c r="G67" s="315"/>
      <c r="H67" s="315"/>
      <c r="I67" s="315"/>
      <c r="J67" s="315"/>
      <c r="K67" s="315"/>
      <c r="L67" s="315"/>
      <c r="M67" s="312"/>
    </row>
    <row r="68" spans="2:14" x14ac:dyDescent="0.15">
      <c r="B68" s="155" t="s">
        <v>1668</v>
      </c>
      <c r="C68" s="156">
        <v>13.8125</v>
      </c>
      <c r="D68" s="129">
        <v>0.625</v>
      </c>
      <c r="E68" s="130">
        <v>10</v>
      </c>
      <c r="F68" s="129">
        <v>1.125</v>
      </c>
      <c r="G68" s="129">
        <v>1.8125</v>
      </c>
      <c r="H68" s="129"/>
      <c r="I68" s="130"/>
      <c r="J68" s="129"/>
      <c r="K68" s="119">
        <f>((C68-(F68*1))*2+(E68*2)+(F68*2))*12/144</f>
        <v>3.96875</v>
      </c>
      <c r="L68" s="274">
        <f>K68*3.2808399*0.09290304</f>
        <v>1.2096750018387061</v>
      </c>
      <c r="M68" s="274">
        <f t="shared" si="2"/>
        <v>95.986580854561026</v>
      </c>
      <c r="N68">
        <v>64.5</v>
      </c>
    </row>
    <row r="69" spans="2:14" x14ac:dyDescent="0.15">
      <c r="B69" s="18" t="s">
        <v>1230</v>
      </c>
      <c r="C69" s="20">
        <v>13.625</v>
      </c>
      <c r="D69" s="19">
        <v>0.5625</v>
      </c>
      <c r="E69" s="20">
        <v>10.125</v>
      </c>
      <c r="F69" s="19">
        <v>0.9375</v>
      </c>
      <c r="G69" s="19">
        <v>1.625</v>
      </c>
      <c r="H69" s="19">
        <v>0.9375</v>
      </c>
      <c r="I69" s="20">
        <v>5.5</v>
      </c>
      <c r="J69" s="19">
        <v>3</v>
      </c>
      <c r="K69" s="119">
        <f>((C69-(F69*1))*2+(E69*2)+(F69*2))*12/144</f>
        <v>3.9583333333333335</v>
      </c>
      <c r="L69" s="274">
        <f>K69*3.2808399*0.09290304</f>
        <v>1.2065000018338801</v>
      </c>
      <c r="M69" s="274">
        <f t="shared" si="2"/>
        <v>84.825350522635318</v>
      </c>
      <c r="N69">
        <v>57</v>
      </c>
    </row>
    <row r="70" spans="2:14" x14ac:dyDescent="0.15">
      <c r="B70" s="18" t="s">
        <v>1231</v>
      </c>
      <c r="C70" s="20">
        <v>13.5</v>
      </c>
      <c r="D70" s="129">
        <v>0.5</v>
      </c>
      <c r="E70" s="130">
        <v>10</v>
      </c>
      <c r="F70" s="129">
        <v>0.8125</v>
      </c>
      <c r="G70" s="129">
        <v>1.5625</v>
      </c>
      <c r="H70" s="129">
        <v>0.9375</v>
      </c>
      <c r="I70" s="130">
        <v>5.5</v>
      </c>
      <c r="J70" s="129">
        <v>3</v>
      </c>
      <c r="K70" s="119">
        <f>((C70-(F70*1))*2+(E70*2)+(F70*2))*12/144</f>
        <v>3.9166666666666665</v>
      </c>
      <c r="L70" s="274">
        <f>K70*3.2808399*0.09290304</f>
        <v>1.193800001814576</v>
      </c>
      <c r="M70" s="274">
        <f t="shared" si="2"/>
        <v>75.896366257094769</v>
      </c>
      <c r="N70">
        <v>51</v>
      </c>
    </row>
    <row r="71" spans="2:14" x14ac:dyDescent="0.15">
      <c r="B71" s="18" t="s">
        <v>1232</v>
      </c>
      <c r="C71" s="20">
        <v>13.5</v>
      </c>
      <c r="D71" s="19">
        <v>0.5</v>
      </c>
      <c r="E71" s="20">
        <v>10</v>
      </c>
      <c r="F71" s="19">
        <v>0.75</v>
      </c>
      <c r="G71" s="19">
        <v>1.4375</v>
      </c>
      <c r="H71" s="19">
        <v>0.9375</v>
      </c>
      <c r="I71" s="20">
        <v>5.5</v>
      </c>
      <c r="J71" s="19">
        <v>2.75</v>
      </c>
      <c r="K71" s="119">
        <f>((C71-(F71*1))*2+(E71*2)+(F71*2))*12/144</f>
        <v>3.9166666666666665</v>
      </c>
      <c r="L71" s="274">
        <f>K71*3.2808399*0.09290304</f>
        <v>1.193800001814576</v>
      </c>
      <c r="M71" s="274">
        <f t="shared" si="2"/>
        <v>69.943710080067731</v>
      </c>
      <c r="N71">
        <v>47</v>
      </c>
    </row>
    <row r="72" spans="2:14" x14ac:dyDescent="0.15">
      <c r="B72" s="186" t="s">
        <v>1233</v>
      </c>
      <c r="C72" s="22">
        <v>13.375</v>
      </c>
      <c r="D72" s="21">
        <v>0.4375</v>
      </c>
      <c r="E72" s="22">
        <v>10</v>
      </c>
      <c r="F72" s="21">
        <v>0.625</v>
      </c>
      <c r="G72" s="21">
        <v>1.375</v>
      </c>
      <c r="H72" s="21">
        <v>0.9375</v>
      </c>
      <c r="I72" s="22">
        <v>5.5</v>
      </c>
      <c r="J72" s="21">
        <v>2.75</v>
      </c>
      <c r="K72" s="313">
        <f>((C72-(F72*1))*2+(E72*2)+(F72*2))*12/144</f>
        <v>3.8958333333333335</v>
      </c>
      <c r="L72" s="333">
        <f>K72*3.2808399*0.09290304</f>
        <v>1.1874500018049241</v>
      </c>
      <c r="M72" s="333">
        <f t="shared" si="2"/>
        <v>62.502889858783924</v>
      </c>
      <c r="N72">
        <v>42</v>
      </c>
    </row>
    <row r="73" spans="2:14" x14ac:dyDescent="0.15">
      <c r="B73" s="307"/>
      <c r="C73" s="315"/>
      <c r="D73" s="315"/>
      <c r="E73" s="315"/>
      <c r="F73" s="315"/>
      <c r="G73" s="315"/>
      <c r="H73" s="315"/>
      <c r="I73" s="315"/>
      <c r="J73" s="315"/>
      <c r="K73" s="315"/>
      <c r="L73" s="315"/>
      <c r="M73" s="312"/>
    </row>
    <row r="74" spans="2:14" x14ac:dyDescent="0.15">
      <c r="B74" s="155" t="s">
        <v>1632</v>
      </c>
      <c r="C74" s="156">
        <v>12.625</v>
      </c>
      <c r="D74" s="131">
        <v>0.75</v>
      </c>
      <c r="E74" s="156">
        <v>12.875</v>
      </c>
      <c r="F74" s="131">
        <v>1.3125</v>
      </c>
      <c r="G74" s="131">
        <v>2.125</v>
      </c>
      <c r="H74" s="131" t="s">
        <v>850</v>
      </c>
      <c r="I74" s="156" t="s">
        <v>850</v>
      </c>
      <c r="J74" s="131" t="s">
        <v>850</v>
      </c>
      <c r="K74" s="119">
        <f t="shared" ref="K74:K79" si="9">((C74-(F74*1))*2+(E74*2)+(F74*2))*12/144</f>
        <v>4.25</v>
      </c>
      <c r="L74" s="274">
        <f t="shared" ref="L74:L79" si="10">K74*3.2808399*0.09290304</f>
        <v>1.2954000019690082</v>
      </c>
      <c r="M74" s="274">
        <f t="shared" si="2"/>
        <v>130.95843589459488</v>
      </c>
      <c r="N74">
        <v>88</v>
      </c>
    </row>
    <row r="75" spans="2:14" x14ac:dyDescent="0.15">
      <c r="B75" s="18" t="s">
        <v>1234</v>
      </c>
      <c r="C75" s="20">
        <v>12.5</v>
      </c>
      <c r="D75" s="129">
        <v>0.6875</v>
      </c>
      <c r="E75" s="130">
        <v>13</v>
      </c>
      <c r="F75" s="129">
        <v>1.25</v>
      </c>
      <c r="G75" s="129">
        <v>2</v>
      </c>
      <c r="H75" s="129">
        <v>1.0625</v>
      </c>
      <c r="I75" s="130">
        <v>5.5</v>
      </c>
      <c r="J75" s="129">
        <v>3.25</v>
      </c>
      <c r="K75" s="119">
        <f t="shared" si="9"/>
        <v>4.25</v>
      </c>
      <c r="L75" s="274">
        <f t="shared" si="10"/>
        <v>1.2954000019690082</v>
      </c>
      <c r="M75" s="274">
        <f t="shared" si="2"/>
        <v>120.54128758479756</v>
      </c>
      <c r="N75">
        <v>81</v>
      </c>
    </row>
    <row r="76" spans="2:14" x14ac:dyDescent="0.15">
      <c r="B76" s="18" t="s">
        <v>1235</v>
      </c>
      <c r="C76" s="20">
        <v>12.375</v>
      </c>
      <c r="D76" s="19">
        <v>0.625</v>
      </c>
      <c r="E76" s="20">
        <v>12.875</v>
      </c>
      <c r="F76" s="19">
        <v>1.0625</v>
      </c>
      <c r="G76" s="19">
        <v>1.875</v>
      </c>
      <c r="H76" s="19">
        <v>1.0625</v>
      </c>
      <c r="I76" s="20">
        <v>5.5</v>
      </c>
      <c r="J76" s="19">
        <v>3.25</v>
      </c>
      <c r="K76" s="119">
        <f t="shared" si="9"/>
        <v>4.208333333333333</v>
      </c>
      <c r="L76" s="274">
        <f t="shared" si="10"/>
        <v>1.2827000019497041</v>
      </c>
      <c r="M76" s="274">
        <f t="shared" si="2"/>
        <v>108.63597523074348</v>
      </c>
      <c r="N76">
        <v>73</v>
      </c>
    </row>
    <row r="77" spans="2:14" x14ac:dyDescent="0.15">
      <c r="B77" s="18" t="s">
        <v>1236</v>
      </c>
      <c r="C77" s="20">
        <v>12.25</v>
      </c>
      <c r="D77" s="129">
        <v>0.625</v>
      </c>
      <c r="E77" s="130">
        <v>12.875</v>
      </c>
      <c r="F77" s="129">
        <v>0.9375</v>
      </c>
      <c r="G77" s="129">
        <v>1.75</v>
      </c>
      <c r="H77" s="129">
        <v>1.0625</v>
      </c>
      <c r="I77" s="130">
        <v>5.5</v>
      </c>
      <c r="J77" s="129">
        <v>3</v>
      </c>
      <c r="K77" s="119">
        <f t="shared" si="9"/>
        <v>4.1875</v>
      </c>
      <c r="L77" s="274">
        <f t="shared" si="10"/>
        <v>1.2763500019400522</v>
      </c>
      <c r="M77" s="274">
        <f t="shared" si="2"/>
        <v>97.474744898817789</v>
      </c>
      <c r="N77">
        <v>65.5</v>
      </c>
    </row>
    <row r="78" spans="2:14" x14ac:dyDescent="0.15">
      <c r="B78" s="18" t="s">
        <v>1237</v>
      </c>
      <c r="C78" s="20">
        <v>12.125</v>
      </c>
      <c r="D78" s="19">
        <v>0.5625</v>
      </c>
      <c r="E78" s="20">
        <v>12.75</v>
      </c>
      <c r="F78" s="19">
        <v>0.875</v>
      </c>
      <c r="G78" s="19">
        <v>1.625</v>
      </c>
      <c r="H78" s="19">
        <v>1</v>
      </c>
      <c r="I78" s="20">
        <v>5.5</v>
      </c>
      <c r="J78" s="19">
        <v>3</v>
      </c>
      <c r="K78" s="119">
        <f t="shared" si="9"/>
        <v>4.145833333333333</v>
      </c>
      <c r="L78" s="274">
        <f t="shared" si="10"/>
        <v>1.2636500019207482</v>
      </c>
      <c r="M78" s="274">
        <f t="shared" si="2"/>
        <v>87.057596589020463</v>
      </c>
      <c r="N78">
        <v>58.5</v>
      </c>
    </row>
    <row r="79" spans="2:14" x14ac:dyDescent="0.15">
      <c r="B79" s="186" t="s">
        <v>1238</v>
      </c>
      <c r="C79" s="22">
        <v>12</v>
      </c>
      <c r="D79" s="129">
        <v>0.5</v>
      </c>
      <c r="E79" s="130">
        <v>12.75</v>
      </c>
      <c r="F79" s="129">
        <v>0.75</v>
      </c>
      <c r="G79" s="129">
        <v>1.5</v>
      </c>
      <c r="H79" s="129">
        <v>1</v>
      </c>
      <c r="I79" s="130">
        <v>5.5</v>
      </c>
      <c r="J79" s="129">
        <v>2.75</v>
      </c>
      <c r="K79" s="313">
        <f t="shared" si="9"/>
        <v>4.125</v>
      </c>
      <c r="L79" s="333">
        <f t="shared" si="10"/>
        <v>1.2573000019110963</v>
      </c>
      <c r="M79" s="333">
        <f t="shared" si="2"/>
        <v>77.384530301351532</v>
      </c>
      <c r="N79">
        <v>52</v>
      </c>
    </row>
    <row r="80" spans="2:14" x14ac:dyDescent="0.15">
      <c r="B80" s="307"/>
      <c r="C80" s="315"/>
      <c r="D80" s="315"/>
      <c r="E80" s="315"/>
      <c r="F80" s="315"/>
      <c r="G80" s="315"/>
      <c r="H80" s="315"/>
      <c r="I80" s="315"/>
      <c r="J80" s="315"/>
      <c r="K80" s="315"/>
      <c r="L80" s="315"/>
      <c r="M80" s="312"/>
    </row>
    <row r="81" spans="2:14" x14ac:dyDescent="0.15">
      <c r="B81" s="155" t="s">
        <v>1669</v>
      </c>
      <c r="C81" s="156">
        <v>12.25</v>
      </c>
      <c r="D81" s="129">
        <v>0.5625</v>
      </c>
      <c r="E81" s="130">
        <v>9</v>
      </c>
      <c r="F81" s="129">
        <v>1</v>
      </c>
      <c r="G81" s="129">
        <v>1.75</v>
      </c>
      <c r="H81" s="129"/>
      <c r="I81" s="130"/>
      <c r="J81" s="129"/>
      <c r="K81" s="119">
        <f>((C81-(F81*1))*2+(E81*2)+(F81*2))*12/144</f>
        <v>3.5416666666666665</v>
      </c>
      <c r="L81" s="274">
        <f>K81*3.2808399*0.09290304</f>
        <v>1.07950000164084</v>
      </c>
      <c r="M81" s="274">
        <f t="shared" si="2"/>
        <v>76.640448279223136</v>
      </c>
      <c r="N81">
        <v>51.5</v>
      </c>
    </row>
    <row r="82" spans="2:14" x14ac:dyDescent="0.15">
      <c r="B82" s="18" t="s">
        <v>1239</v>
      </c>
      <c r="C82" s="20">
        <v>12.125</v>
      </c>
      <c r="D82" s="19">
        <v>0.5</v>
      </c>
      <c r="E82" s="20">
        <v>9.125</v>
      </c>
      <c r="F82" s="19">
        <v>0.875</v>
      </c>
      <c r="G82" s="19">
        <v>1.625</v>
      </c>
      <c r="H82" s="19">
        <v>1</v>
      </c>
      <c r="I82" s="20">
        <v>5.5</v>
      </c>
      <c r="J82" s="19">
        <v>3</v>
      </c>
      <c r="K82" s="119">
        <f>((C82-(F82*1))*2+(E82*2)+(F82*2))*12/144</f>
        <v>3.5416666666666665</v>
      </c>
      <c r="L82" s="274">
        <f>K82*3.2808399*0.09290304</f>
        <v>1.07950000164084</v>
      </c>
      <c r="M82" s="274">
        <f t="shared" si="2"/>
        <v>69.943710080067731</v>
      </c>
      <c r="N82">
        <v>47</v>
      </c>
    </row>
    <row r="83" spans="2:14" x14ac:dyDescent="0.15">
      <c r="B83" s="18" t="s">
        <v>1240</v>
      </c>
      <c r="C83" s="20">
        <v>12</v>
      </c>
      <c r="D83" s="129">
        <v>0.5</v>
      </c>
      <c r="E83" s="130">
        <v>9</v>
      </c>
      <c r="F83" s="129">
        <v>0.75</v>
      </c>
      <c r="G83" s="129">
        <v>1.5625</v>
      </c>
      <c r="H83" s="129">
        <v>0.9375</v>
      </c>
      <c r="I83" s="130">
        <v>5.5</v>
      </c>
      <c r="J83" s="129">
        <v>3</v>
      </c>
      <c r="K83" s="119">
        <f>((C83-(F83*1))*2+(E83*2)+(F83*2))*12/144</f>
        <v>3.5</v>
      </c>
      <c r="L83" s="274">
        <f>K83*3.2808399*0.09290304</f>
        <v>1.0668000016215362</v>
      </c>
      <c r="M83" s="274">
        <f t="shared" ref="M83:M146" si="11">N83*3.2808399*0.4535924</f>
        <v>62.502889858783924</v>
      </c>
      <c r="N83">
        <v>42</v>
      </c>
    </row>
    <row r="84" spans="2:14" x14ac:dyDescent="0.15">
      <c r="B84" s="18" t="s">
        <v>1241</v>
      </c>
      <c r="C84" s="20">
        <v>12</v>
      </c>
      <c r="D84" s="19">
        <v>0.4375</v>
      </c>
      <c r="E84" s="20">
        <v>9</v>
      </c>
      <c r="F84" s="19">
        <v>0.6875</v>
      </c>
      <c r="G84" s="19">
        <v>1.4375</v>
      </c>
      <c r="H84" s="19">
        <v>0.9375</v>
      </c>
      <c r="I84" s="20">
        <v>5.5</v>
      </c>
      <c r="J84" s="19">
        <v>2.75</v>
      </c>
      <c r="K84" s="119">
        <f>((C84-(F84*1))*2+(E84*2)+(F84*2))*12/144</f>
        <v>3.5</v>
      </c>
      <c r="L84" s="274">
        <f>K84*3.2808399*0.09290304</f>
        <v>1.0668000016215362</v>
      </c>
      <c r="M84" s="274">
        <f t="shared" si="11"/>
        <v>56.550233681756879</v>
      </c>
      <c r="N84">
        <v>38</v>
      </c>
    </row>
    <row r="85" spans="2:14" x14ac:dyDescent="0.15">
      <c r="B85" s="186" t="s">
        <v>1242</v>
      </c>
      <c r="C85" s="22">
        <v>11.875</v>
      </c>
      <c r="D85" s="21">
        <v>0.4375</v>
      </c>
      <c r="E85" s="22">
        <v>9</v>
      </c>
      <c r="F85" s="21">
        <v>0.5625</v>
      </c>
      <c r="G85" s="21">
        <v>1.375</v>
      </c>
      <c r="H85" s="21">
        <v>0.9375</v>
      </c>
      <c r="I85" s="22">
        <v>5.5</v>
      </c>
      <c r="J85" s="21">
        <v>2.75</v>
      </c>
      <c r="K85" s="313">
        <f>((C85-(F85*1))*2+(E85*2)+(F85*2))*12/144</f>
        <v>3.4791666666666665</v>
      </c>
      <c r="L85" s="333">
        <f>K85*3.2808399*0.09290304</f>
        <v>1.0604500016118841</v>
      </c>
      <c r="M85" s="333">
        <f t="shared" si="11"/>
        <v>50.597577504729848</v>
      </c>
      <c r="N85">
        <v>34</v>
      </c>
    </row>
    <row r="86" spans="2:14" x14ac:dyDescent="0.15">
      <c r="B86" s="307"/>
      <c r="C86" s="315"/>
      <c r="D86" s="315"/>
      <c r="E86" s="315"/>
      <c r="F86" s="315"/>
      <c r="G86" s="315"/>
      <c r="H86" s="315"/>
      <c r="I86" s="315"/>
      <c r="J86" s="315"/>
      <c r="K86" s="315"/>
      <c r="L86" s="315"/>
      <c r="M86" s="312"/>
    </row>
    <row r="87" spans="2:14" x14ac:dyDescent="0.15">
      <c r="B87" s="155" t="s">
        <v>1243</v>
      </c>
      <c r="C87" s="156">
        <v>11.875</v>
      </c>
      <c r="D87" s="131">
        <v>0.4375</v>
      </c>
      <c r="E87" s="156">
        <v>7</v>
      </c>
      <c r="F87" s="131">
        <v>0.5625</v>
      </c>
      <c r="G87" s="131">
        <v>1.375</v>
      </c>
      <c r="H87" s="131">
        <v>0.9375</v>
      </c>
      <c r="I87" s="156">
        <v>3.5</v>
      </c>
      <c r="J87" s="131">
        <v>2.75</v>
      </c>
      <c r="K87" s="119">
        <f>((C87-(F87*1))*2+(E87*2)+(F87*2))*12/144</f>
        <v>3.1458333333333335</v>
      </c>
      <c r="L87" s="274">
        <f>K87*3.2808399*0.09290304</f>
        <v>0.95885000145745203</v>
      </c>
      <c r="M87" s="274">
        <f t="shared" si="11"/>
        <v>46.133085371959559</v>
      </c>
      <c r="N87">
        <v>31</v>
      </c>
    </row>
    <row r="88" spans="2:14" x14ac:dyDescent="0.15">
      <c r="B88" s="186" t="s">
        <v>1244</v>
      </c>
      <c r="C88" s="22">
        <v>11.75</v>
      </c>
      <c r="D88" s="21">
        <v>0.375</v>
      </c>
      <c r="E88" s="22">
        <v>7</v>
      </c>
      <c r="F88" s="21">
        <v>0.5</v>
      </c>
      <c r="G88" s="21">
        <v>1.3125</v>
      </c>
      <c r="H88" s="21">
        <v>0.9375</v>
      </c>
      <c r="I88" s="22">
        <v>3.5</v>
      </c>
      <c r="J88" s="21">
        <v>2.75</v>
      </c>
      <c r="K88" s="313">
        <f>((C88-(F88*1))*2+(E88*2)+(F88*2))*12/144</f>
        <v>3.125</v>
      </c>
      <c r="L88" s="333">
        <f>K88*3.2808399*0.09290304</f>
        <v>0.95250000144780012</v>
      </c>
      <c r="M88" s="333">
        <f t="shared" si="11"/>
        <v>40.924511217060903</v>
      </c>
      <c r="N88">
        <v>27.5</v>
      </c>
    </row>
    <row r="89" spans="2:14" x14ac:dyDescent="0.15">
      <c r="B89" s="307"/>
      <c r="C89" s="315"/>
      <c r="D89" s="315"/>
      <c r="E89" s="315"/>
      <c r="F89" s="315"/>
      <c r="G89" s="315"/>
      <c r="H89" s="315"/>
      <c r="I89" s="315"/>
      <c r="J89" s="315"/>
      <c r="K89" s="315"/>
      <c r="L89" s="315"/>
      <c r="M89" s="312"/>
    </row>
    <row r="90" spans="2:14" x14ac:dyDescent="0.15">
      <c r="B90" s="155" t="s">
        <v>1633</v>
      </c>
      <c r="C90" s="156">
        <v>11.25</v>
      </c>
      <c r="D90" s="131">
        <v>0.75</v>
      </c>
      <c r="E90" s="156">
        <v>12.375</v>
      </c>
      <c r="F90" s="131">
        <v>1.375</v>
      </c>
      <c r="G90" s="131">
        <v>2.125</v>
      </c>
      <c r="H90" s="131" t="s">
        <v>850</v>
      </c>
      <c r="I90" s="156" t="s">
        <v>850</v>
      </c>
      <c r="J90" s="131" t="s">
        <v>850</v>
      </c>
      <c r="K90" s="119">
        <f t="shared" ref="K90:K95" si="12">((C90-(F90*1))*2+(E90*2)+(F90*2))*12/144</f>
        <v>3.9375</v>
      </c>
      <c r="L90" s="274">
        <f t="shared" ref="L90:L95" si="13">K90*3.2808399*0.09290304</f>
        <v>1.2001500018242282</v>
      </c>
      <c r="M90" s="274">
        <f t="shared" si="11"/>
        <v>123.5176156733111</v>
      </c>
      <c r="N90">
        <v>83</v>
      </c>
    </row>
    <row r="91" spans="2:14" x14ac:dyDescent="0.15">
      <c r="B91" s="18" t="s">
        <v>1245</v>
      </c>
      <c r="C91" s="20">
        <v>11</v>
      </c>
      <c r="D91" s="129">
        <v>0.75</v>
      </c>
      <c r="E91" s="130">
        <v>12.5</v>
      </c>
      <c r="F91" s="129">
        <v>1.125</v>
      </c>
      <c r="G91" s="129">
        <v>1.875</v>
      </c>
      <c r="H91" s="129">
        <v>1.0625</v>
      </c>
      <c r="I91" s="130">
        <v>5.5</v>
      </c>
      <c r="J91" s="129">
        <v>3.25</v>
      </c>
      <c r="K91" s="119">
        <f t="shared" si="12"/>
        <v>3.9166666666666665</v>
      </c>
      <c r="L91" s="274">
        <f t="shared" si="13"/>
        <v>1.193800001814576</v>
      </c>
      <c r="M91" s="274">
        <f t="shared" si="11"/>
        <v>109.38005725287188</v>
      </c>
      <c r="N91">
        <v>73.5</v>
      </c>
    </row>
    <row r="92" spans="2:14" x14ac:dyDescent="0.15">
      <c r="B92" s="18" t="s">
        <v>1246</v>
      </c>
      <c r="C92" s="20">
        <v>10.875</v>
      </c>
      <c r="D92" s="19">
        <v>0.625</v>
      </c>
      <c r="E92" s="20">
        <v>12.5</v>
      </c>
      <c r="F92" s="19">
        <v>1.0625</v>
      </c>
      <c r="G92" s="19">
        <v>1.8125</v>
      </c>
      <c r="H92" s="19">
        <v>1</v>
      </c>
      <c r="I92" s="20">
        <v>5.5</v>
      </c>
      <c r="J92" s="19">
        <v>3</v>
      </c>
      <c r="K92" s="119">
        <f t="shared" si="12"/>
        <v>3.8958333333333335</v>
      </c>
      <c r="L92" s="274">
        <f t="shared" si="13"/>
        <v>1.1874500018049241</v>
      </c>
      <c r="M92" s="274">
        <f t="shared" si="11"/>
        <v>98.218826920946171</v>
      </c>
      <c r="N92">
        <v>66</v>
      </c>
    </row>
    <row r="93" spans="2:14" x14ac:dyDescent="0.15">
      <c r="B93" s="18" t="s">
        <v>1247</v>
      </c>
      <c r="C93" s="20">
        <v>10.875</v>
      </c>
      <c r="D93" s="129">
        <v>0.625</v>
      </c>
      <c r="E93" s="130">
        <v>12.375</v>
      </c>
      <c r="F93" s="129">
        <v>0.9375</v>
      </c>
      <c r="G93" s="129">
        <v>1.6875</v>
      </c>
      <c r="H93" s="129">
        <v>1</v>
      </c>
      <c r="I93" s="130">
        <v>5.5</v>
      </c>
      <c r="J93" s="129">
        <v>3</v>
      </c>
      <c r="K93" s="119">
        <f t="shared" si="12"/>
        <v>3.875</v>
      </c>
      <c r="L93" s="274">
        <f t="shared" si="13"/>
        <v>1.1811000017952722</v>
      </c>
      <c r="M93" s="274">
        <f t="shared" si="11"/>
        <v>90.77800669966237</v>
      </c>
      <c r="N93">
        <v>61</v>
      </c>
    </row>
    <row r="94" spans="2:14" x14ac:dyDescent="0.15">
      <c r="B94" s="18" t="s">
        <v>1248</v>
      </c>
      <c r="C94" s="20">
        <v>10.75</v>
      </c>
      <c r="D94" s="19">
        <v>0.5625</v>
      </c>
      <c r="E94" s="20">
        <v>12.375</v>
      </c>
      <c r="F94" s="19">
        <v>0.875</v>
      </c>
      <c r="G94" s="19">
        <v>1.625</v>
      </c>
      <c r="H94" s="19">
        <v>0.9375</v>
      </c>
      <c r="I94" s="20">
        <v>5.5</v>
      </c>
      <c r="J94" s="19">
        <v>2.75</v>
      </c>
      <c r="K94" s="119">
        <f t="shared" si="12"/>
        <v>3.8541666666666665</v>
      </c>
      <c r="L94" s="274">
        <f t="shared" si="13"/>
        <v>1.1747500017856201</v>
      </c>
      <c r="M94" s="274">
        <f t="shared" si="11"/>
        <v>82.593104456250188</v>
      </c>
      <c r="N94">
        <v>55.5</v>
      </c>
    </row>
    <row r="95" spans="2:14" x14ac:dyDescent="0.15">
      <c r="B95" s="186" t="s">
        <v>1249</v>
      </c>
      <c r="C95" s="22">
        <v>10.625</v>
      </c>
      <c r="D95" s="21">
        <v>0.5</v>
      </c>
      <c r="E95" s="22">
        <v>12.25</v>
      </c>
      <c r="F95" s="21">
        <v>0.8125</v>
      </c>
      <c r="G95" s="21">
        <v>1.5625</v>
      </c>
      <c r="H95" s="21">
        <v>0.9375</v>
      </c>
      <c r="I95" s="22">
        <v>5.5</v>
      </c>
      <c r="J95" s="21">
        <v>2.75</v>
      </c>
      <c r="K95" s="313">
        <f t="shared" si="12"/>
        <v>3.8125</v>
      </c>
      <c r="L95" s="333">
        <f t="shared" si="13"/>
        <v>1.1620500017663162</v>
      </c>
      <c r="M95" s="333">
        <f t="shared" si="11"/>
        <v>75.152284234966388</v>
      </c>
      <c r="N95">
        <v>50.5</v>
      </c>
    </row>
    <row r="96" spans="2:14" x14ac:dyDescent="0.15">
      <c r="B96" s="307"/>
      <c r="C96" s="315"/>
      <c r="D96" s="315"/>
      <c r="E96" s="315"/>
      <c r="F96" s="315"/>
      <c r="G96" s="315"/>
      <c r="H96" s="315"/>
      <c r="I96" s="315"/>
      <c r="J96" s="315"/>
      <c r="K96" s="315"/>
      <c r="L96" s="315"/>
      <c r="M96" s="312"/>
    </row>
    <row r="97" spans="2:14" x14ac:dyDescent="0.15">
      <c r="B97" s="155" t="s">
        <v>1250</v>
      </c>
      <c r="C97" s="156">
        <v>10.75</v>
      </c>
      <c r="D97" s="131">
        <v>0.5625</v>
      </c>
      <c r="E97" s="156">
        <v>8.375</v>
      </c>
      <c r="F97" s="131">
        <v>0.9375</v>
      </c>
      <c r="G97" s="131">
        <v>1.6875</v>
      </c>
      <c r="H97" s="131">
        <v>1</v>
      </c>
      <c r="I97" s="156">
        <v>5.5</v>
      </c>
      <c r="J97" s="131">
        <v>3</v>
      </c>
      <c r="K97" s="119">
        <f>((C97-(F97*1))*2+(E97*2)+(F97*2))*12/144</f>
        <v>3.1875</v>
      </c>
      <c r="L97" s="274">
        <f>K97*3.2808399*0.09290304</f>
        <v>0.97155000147675608</v>
      </c>
      <c r="M97" s="274">
        <f t="shared" si="11"/>
        <v>69.199628057939336</v>
      </c>
      <c r="N97">
        <v>46.5</v>
      </c>
    </row>
    <row r="98" spans="2:14" x14ac:dyDescent="0.15">
      <c r="B98" s="18" t="s">
        <v>1251</v>
      </c>
      <c r="C98" s="20">
        <v>10.75</v>
      </c>
      <c r="D98" s="129">
        <v>0.5</v>
      </c>
      <c r="E98" s="130">
        <v>8.375</v>
      </c>
      <c r="F98" s="129">
        <v>0.8125</v>
      </c>
      <c r="G98" s="129">
        <v>1.5625</v>
      </c>
      <c r="H98" s="129">
        <v>0.9375</v>
      </c>
      <c r="I98" s="130">
        <v>5.5</v>
      </c>
      <c r="J98" s="129">
        <v>2.75</v>
      </c>
      <c r="K98" s="119">
        <f>((C98-(F98*1))*2+(E98*2)+(F98*2))*12/144</f>
        <v>3.1875</v>
      </c>
      <c r="L98" s="274">
        <f>K98*3.2808399*0.09290304</f>
        <v>0.97155000147675608</v>
      </c>
      <c r="M98" s="274">
        <f t="shared" si="11"/>
        <v>61.758807836655549</v>
      </c>
      <c r="N98">
        <v>41.5</v>
      </c>
    </row>
    <row r="99" spans="2:14" x14ac:dyDescent="0.15">
      <c r="B99" s="18" t="s">
        <v>1252</v>
      </c>
      <c r="C99" s="20">
        <v>10.625</v>
      </c>
      <c r="D99" s="19">
        <v>0.4375</v>
      </c>
      <c r="E99" s="20">
        <v>8.25</v>
      </c>
      <c r="F99" s="19">
        <v>0.75</v>
      </c>
      <c r="G99" s="19">
        <v>1.5</v>
      </c>
      <c r="H99" s="19">
        <v>0.9375</v>
      </c>
      <c r="I99" s="20">
        <v>5.5</v>
      </c>
      <c r="J99" s="19">
        <v>2.75</v>
      </c>
      <c r="K99" s="119">
        <f>((C99-(F99*1))*2+(E99*2)+(F99*2))*12/144</f>
        <v>3.1458333333333335</v>
      </c>
      <c r="L99" s="274">
        <f>K99*3.2808399*0.09290304</f>
        <v>0.95885000145745203</v>
      </c>
      <c r="M99" s="274">
        <f t="shared" si="11"/>
        <v>54.317987615371742</v>
      </c>
      <c r="N99">
        <v>36.5</v>
      </c>
    </row>
    <row r="100" spans="2:14" x14ac:dyDescent="0.15">
      <c r="B100" s="18" t="s">
        <v>1253</v>
      </c>
      <c r="C100" s="20">
        <v>10.625</v>
      </c>
      <c r="D100" s="129">
        <v>0.4375</v>
      </c>
      <c r="E100" s="130">
        <v>8.25</v>
      </c>
      <c r="F100" s="129">
        <v>0.6875</v>
      </c>
      <c r="G100" s="129">
        <v>1.4375</v>
      </c>
      <c r="H100" s="129">
        <v>0.875</v>
      </c>
      <c r="I100" s="130">
        <v>5.5</v>
      </c>
      <c r="J100" s="129">
        <v>2.75</v>
      </c>
      <c r="K100" s="119">
        <f>((C100-(F100*1))*2+(E100*2)+(F100*2))*12/144</f>
        <v>3.1458333333333335</v>
      </c>
      <c r="L100" s="274">
        <f>K100*3.2808399*0.09290304</f>
        <v>0.95885000145745203</v>
      </c>
      <c r="M100" s="274">
        <f t="shared" si="11"/>
        <v>50.597577504729848</v>
      </c>
      <c r="N100">
        <v>34</v>
      </c>
    </row>
    <row r="101" spans="2:14" x14ac:dyDescent="0.15">
      <c r="B101" s="186" t="s">
        <v>1254</v>
      </c>
      <c r="C101" s="22">
        <v>10.5</v>
      </c>
      <c r="D101" s="21">
        <v>0.375</v>
      </c>
      <c r="E101" s="22">
        <v>8.25</v>
      </c>
      <c r="F101" s="21">
        <v>0.625</v>
      </c>
      <c r="G101" s="21">
        <v>1.375</v>
      </c>
      <c r="H101" s="21">
        <v>0.875</v>
      </c>
      <c r="I101" s="22">
        <v>5.5</v>
      </c>
      <c r="J101" s="21">
        <v>2.5</v>
      </c>
      <c r="K101" s="313">
        <f>((C101-(F101*1))*2+(E101*2)+(F101*2))*12/144</f>
        <v>3.125</v>
      </c>
      <c r="L101" s="333">
        <f>K101*3.2808399*0.09290304</f>
        <v>0.95250000144780012</v>
      </c>
      <c r="M101" s="333">
        <f t="shared" si="11"/>
        <v>46.133085371959559</v>
      </c>
      <c r="N101">
        <v>31</v>
      </c>
    </row>
    <row r="102" spans="2:14" x14ac:dyDescent="0.15">
      <c r="B102" s="307"/>
      <c r="C102" s="315"/>
      <c r="D102" s="315"/>
      <c r="E102" s="315"/>
      <c r="F102" s="315"/>
      <c r="G102" s="315"/>
      <c r="H102" s="315"/>
      <c r="I102" s="315"/>
      <c r="J102" s="315"/>
      <c r="K102" s="315"/>
      <c r="L102" s="315"/>
      <c r="M102" s="312"/>
    </row>
    <row r="103" spans="2:14" x14ac:dyDescent="0.15">
      <c r="B103" s="155" t="s">
        <v>1255</v>
      </c>
      <c r="C103" s="156">
        <v>10.5</v>
      </c>
      <c r="D103" s="129">
        <v>0.375</v>
      </c>
      <c r="E103" s="130">
        <v>6.5</v>
      </c>
      <c r="F103" s="129">
        <v>0.625</v>
      </c>
      <c r="G103" s="129">
        <v>1.375</v>
      </c>
      <c r="H103" s="129">
        <v>0.875</v>
      </c>
      <c r="I103" s="130">
        <v>3.5</v>
      </c>
      <c r="J103" s="129">
        <v>2.75</v>
      </c>
      <c r="K103" s="119">
        <f>((C103-(F103*1))*2+(E103*2)+(F103*2))*12/144</f>
        <v>2.8333333333333335</v>
      </c>
      <c r="L103" s="274">
        <f>K103*3.2808399*0.09290304</f>
        <v>0.86360000131267223</v>
      </c>
      <c r="M103" s="274">
        <f t="shared" si="11"/>
        <v>42.412675261317659</v>
      </c>
      <c r="N103">
        <v>28.5</v>
      </c>
    </row>
    <row r="104" spans="2:14" x14ac:dyDescent="0.15">
      <c r="B104" s="18" t="s">
        <v>1256</v>
      </c>
      <c r="C104" s="20">
        <v>10.375</v>
      </c>
      <c r="D104" s="19">
        <v>0.375</v>
      </c>
      <c r="E104" s="20">
        <v>6.5</v>
      </c>
      <c r="F104" s="19">
        <v>0.5625</v>
      </c>
      <c r="G104" s="19">
        <v>1.3125</v>
      </c>
      <c r="H104" s="19">
        <v>0.875</v>
      </c>
      <c r="I104" s="20">
        <v>3.5</v>
      </c>
      <c r="J104" s="19">
        <v>2.5</v>
      </c>
      <c r="K104" s="119">
        <f>((C104-(F104*1))*2+(E104*2)+(F104*2))*12/144</f>
        <v>2.8125</v>
      </c>
      <c r="L104" s="274">
        <f>K104*3.2808399*0.09290304</f>
        <v>0.85725000130302009</v>
      </c>
      <c r="M104" s="274">
        <f t="shared" si="11"/>
        <v>37.204101106419003</v>
      </c>
      <c r="N104">
        <v>25</v>
      </c>
    </row>
    <row r="105" spans="2:14" x14ac:dyDescent="0.15">
      <c r="B105" s="186" t="s">
        <v>1257</v>
      </c>
      <c r="C105" s="22">
        <v>10.375</v>
      </c>
      <c r="D105" s="21">
        <v>0.375</v>
      </c>
      <c r="E105" s="22">
        <v>6.5</v>
      </c>
      <c r="F105" s="21">
        <v>0.4375</v>
      </c>
      <c r="G105" s="21">
        <v>1.1875</v>
      </c>
      <c r="H105" s="21">
        <v>0.875</v>
      </c>
      <c r="I105" s="22">
        <v>3.5</v>
      </c>
      <c r="J105" s="21">
        <v>2.5</v>
      </c>
      <c r="K105" s="313">
        <f>((C105-(F105*1))*2+(E105*2)+(F105*2))*12/144</f>
        <v>2.8125</v>
      </c>
      <c r="L105" s="333">
        <f>K105*3.2808399*0.09290304</f>
        <v>0.85725000130302009</v>
      </c>
      <c r="M105" s="333">
        <f t="shared" si="11"/>
        <v>32.739608973648721</v>
      </c>
      <c r="N105">
        <v>22</v>
      </c>
    </row>
    <row r="106" spans="2:14" x14ac:dyDescent="0.15">
      <c r="B106" s="307"/>
      <c r="C106" s="315"/>
      <c r="D106" s="315"/>
      <c r="E106" s="315"/>
      <c r="F106" s="315"/>
      <c r="G106" s="315"/>
      <c r="H106" s="315"/>
      <c r="I106" s="315"/>
      <c r="J106" s="315"/>
      <c r="K106" s="315"/>
      <c r="L106" s="315"/>
      <c r="M106" s="312"/>
    </row>
    <row r="107" spans="2:14" x14ac:dyDescent="0.15">
      <c r="B107" s="155" t="s">
        <v>1636</v>
      </c>
      <c r="C107" s="156">
        <v>9.75</v>
      </c>
      <c r="D107" s="129">
        <v>0.75</v>
      </c>
      <c r="E107" s="130">
        <v>11.25</v>
      </c>
      <c r="F107" s="129">
        <v>1.3125</v>
      </c>
      <c r="G107" s="129">
        <v>2</v>
      </c>
      <c r="H107" s="129"/>
      <c r="I107" s="130"/>
      <c r="J107" s="129"/>
      <c r="K107" s="119">
        <f t="shared" ref="K107:K113" si="14">((C107-(F107*1))*2+(E107*2)+(F107*2))*12/144</f>
        <v>3.5</v>
      </c>
      <c r="L107" s="274">
        <f t="shared" ref="L107:L113" si="15">K107*3.2808399*0.09290304</f>
        <v>1.0668000016215362</v>
      </c>
      <c r="M107" s="274">
        <f t="shared" si="11"/>
        <v>106.40372916435835</v>
      </c>
      <c r="N107">
        <v>71.5</v>
      </c>
    </row>
    <row r="108" spans="2:14" x14ac:dyDescent="0.15">
      <c r="B108" s="18" t="s">
        <v>1635</v>
      </c>
      <c r="C108" s="20">
        <v>9.625</v>
      </c>
      <c r="D108" s="19">
        <v>0.6875</v>
      </c>
      <c r="E108" s="20">
        <v>11.125</v>
      </c>
      <c r="F108" s="19">
        <v>1.1875</v>
      </c>
      <c r="G108" s="19">
        <v>1.875</v>
      </c>
      <c r="H108" s="19" t="s">
        <v>850</v>
      </c>
      <c r="I108" s="20" t="s">
        <v>850</v>
      </c>
      <c r="J108" s="19" t="s">
        <v>850</v>
      </c>
      <c r="K108" s="119">
        <f t="shared" si="14"/>
        <v>3.4583333333333335</v>
      </c>
      <c r="L108" s="274">
        <f t="shared" si="15"/>
        <v>1.0541000016022322</v>
      </c>
      <c r="M108" s="274">
        <f t="shared" si="11"/>
        <v>96.730662876689408</v>
      </c>
      <c r="N108">
        <v>65</v>
      </c>
    </row>
    <row r="109" spans="2:14" x14ac:dyDescent="0.15">
      <c r="B109" s="18" t="s">
        <v>1258</v>
      </c>
      <c r="C109" s="20">
        <v>9.5</v>
      </c>
      <c r="D109" s="129">
        <v>0.625</v>
      </c>
      <c r="E109" s="130">
        <v>11.25</v>
      </c>
      <c r="F109" s="129">
        <v>1.0625</v>
      </c>
      <c r="G109" s="129">
        <v>1.75</v>
      </c>
      <c r="H109" s="129">
        <v>0.9375</v>
      </c>
      <c r="I109" s="130">
        <v>5.5</v>
      </c>
      <c r="J109" s="129">
        <v>3</v>
      </c>
      <c r="K109" s="119">
        <f t="shared" si="14"/>
        <v>3.4583333333333335</v>
      </c>
      <c r="L109" s="274">
        <f t="shared" si="15"/>
        <v>1.0541000016022322</v>
      </c>
      <c r="M109" s="274">
        <f t="shared" si="11"/>
        <v>88.545760633277226</v>
      </c>
      <c r="N109">
        <v>59.5</v>
      </c>
    </row>
    <row r="110" spans="2:14" x14ac:dyDescent="0.15">
      <c r="B110" s="18" t="s">
        <v>1259</v>
      </c>
      <c r="C110" s="20">
        <v>9.375</v>
      </c>
      <c r="D110" s="19">
        <v>0.5625</v>
      </c>
      <c r="E110" s="20">
        <v>11.25</v>
      </c>
      <c r="F110" s="19">
        <v>0.9375</v>
      </c>
      <c r="G110" s="19">
        <v>1.625</v>
      </c>
      <c r="H110" s="19">
        <v>0.9375</v>
      </c>
      <c r="I110" s="20">
        <v>5.5</v>
      </c>
      <c r="J110" s="19">
        <v>3</v>
      </c>
      <c r="K110" s="119">
        <f t="shared" si="14"/>
        <v>3.4375</v>
      </c>
      <c r="L110" s="274">
        <f t="shared" si="15"/>
        <v>1.0477500015925802</v>
      </c>
      <c r="M110" s="274">
        <f t="shared" si="11"/>
        <v>78.872694345608281</v>
      </c>
      <c r="N110">
        <v>53</v>
      </c>
    </row>
    <row r="111" spans="2:14" x14ac:dyDescent="0.15">
      <c r="B111" s="18" t="s">
        <v>1260</v>
      </c>
      <c r="C111" s="20">
        <v>9.25</v>
      </c>
      <c r="D111" s="129">
        <v>0.5625</v>
      </c>
      <c r="E111" s="130">
        <v>11.125</v>
      </c>
      <c r="F111" s="129">
        <v>0.875</v>
      </c>
      <c r="G111" s="129">
        <v>1.5625</v>
      </c>
      <c r="H111" s="129">
        <v>0.875</v>
      </c>
      <c r="I111" s="130">
        <v>5.5</v>
      </c>
      <c r="J111" s="129">
        <v>2.75</v>
      </c>
      <c r="K111" s="119">
        <f t="shared" si="14"/>
        <v>3.3958333333333335</v>
      </c>
      <c r="L111" s="274">
        <f t="shared" si="15"/>
        <v>1.0350500015732762</v>
      </c>
      <c r="M111" s="274">
        <f t="shared" si="11"/>
        <v>72.175956146452862</v>
      </c>
      <c r="N111">
        <v>48.5</v>
      </c>
    </row>
    <row r="112" spans="2:14" x14ac:dyDescent="0.15">
      <c r="B112" s="18" t="s">
        <v>1261</v>
      </c>
      <c r="C112" s="20">
        <v>9.25</v>
      </c>
      <c r="D112" s="19">
        <v>0.5</v>
      </c>
      <c r="E112" s="20">
        <v>11.125</v>
      </c>
      <c r="F112" s="19">
        <v>0.75</v>
      </c>
      <c r="G112" s="19">
        <v>1.4375</v>
      </c>
      <c r="H112" s="19">
        <v>0.875</v>
      </c>
      <c r="I112" s="20">
        <v>5.5</v>
      </c>
      <c r="J112" s="19">
        <v>2.75</v>
      </c>
      <c r="K112" s="119">
        <f t="shared" si="14"/>
        <v>3.3958333333333335</v>
      </c>
      <c r="L112" s="274">
        <f t="shared" si="15"/>
        <v>1.0350500015732762</v>
      </c>
      <c r="M112" s="274">
        <f t="shared" si="11"/>
        <v>63.99105390304068</v>
      </c>
      <c r="N112">
        <v>43</v>
      </c>
    </row>
    <row r="113" spans="2:14" x14ac:dyDescent="0.15">
      <c r="B113" s="186" t="s">
        <v>1262</v>
      </c>
      <c r="C113" s="22">
        <v>9.125</v>
      </c>
      <c r="D113" s="21">
        <v>0.4375</v>
      </c>
      <c r="E113" s="22">
        <v>11</v>
      </c>
      <c r="F113" s="21">
        <v>0.6875</v>
      </c>
      <c r="G113" s="21">
        <v>1.375</v>
      </c>
      <c r="H113" s="21">
        <v>0.8125</v>
      </c>
      <c r="I113" s="22">
        <v>5.5</v>
      </c>
      <c r="J113" s="21">
        <v>2.75</v>
      </c>
      <c r="K113" s="313">
        <f t="shared" si="14"/>
        <v>3.3541666666666665</v>
      </c>
      <c r="L113" s="333">
        <f t="shared" si="15"/>
        <v>1.0223500015539722</v>
      </c>
      <c r="M113" s="333">
        <f t="shared" si="11"/>
        <v>56.550233681756879</v>
      </c>
      <c r="N113">
        <v>38</v>
      </c>
    </row>
    <row r="114" spans="2:14" x14ac:dyDescent="0.15">
      <c r="B114" s="307"/>
      <c r="C114" s="315"/>
      <c r="D114" s="315"/>
      <c r="E114" s="315"/>
      <c r="F114" s="315"/>
      <c r="G114" s="315"/>
      <c r="H114" s="315"/>
      <c r="I114" s="315"/>
      <c r="J114" s="315"/>
      <c r="K114" s="315"/>
      <c r="L114" s="315"/>
      <c r="M114" s="312"/>
    </row>
    <row r="115" spans="2:14" x14ac:dyDescent="0.15">
      <c r="B115" s="155" t="s">
        <v>1263</v>
      </c>
      <c r="C115" s="156">
        <v>9.25</v>
      </c>
      <c r="D115" s="131">
        <v>0.5</v>
      </c>
      <c r="E115" s="156">
        <v>7.625</v>
      </c>
      <c r="F115" s="131">
        <v>0.8125</v>
      </c>
      <c r="G115" s="131">
        <v>1.5</v>
      </c>
      <c r="H115" s="131">
        <v>0.875</v>
      </c>
      <c r="I115" s="156">
        <v>3.5</v>
      </c>
      <c r="J115" s="131">
        <v>2.75</v>
      </c>
      <c r="K115" s="119">
        <f>((C115-(F115*1))*2+(E115*2)+(F115*2))*12/144</f>
        <v>2.8125</v>
      </c>
      <c r="L115" s="274">
        <f>K115*3.2808399*0.09290304</f>
        <v>0.85725000130302009</v>
      </c>
      <c r="M115" s="274">
        <f t="shared" si="11"/>
        <v>52.829823571114986</v>
      </c>
      <c r="N115">
        <v>35.5</v>
      </c>
    </row>
    <row r="116" spans="2:14" x14ac:dyDescent="0.15">
      <c r="B116" s="18" t="s">
        <v>1264</v>
      </c>
      <c r="C116" s="20">
        <v>9.125</v>
      </c>
      <c r="D116" s="129">
        <v>0.4375</v>
      </c>
      <c r="E116" s="130">
        <v>7.625</v>
      </c>
      <c r="F116" s="129">
        <v>0.75</v>
      </c>
      <c r="G116" s="129">
        <v>1.4375</v>
      </c>
      <c r="H116" s="129">
        <v>0.875</v>
      </c>
      <c r="I116" s="130">
        <v>3.5</v>
      </c>
      <c r="J116" s="129">
        <v>2.75</v>
      </c>
      <c r="K116" s="119">
        <f>((C116-(F116*1))*2+(E116*2)+(F116*2))*12/144</f>
        <v>2.7916666666666665</v>
      </c>
      <c r="L116" s="274">
        <f>K116*3.2808399*0.09290304</f>
        <v>0.85090000129336807</v>
      </c>
      <c r="M116" s="274">
        <f t="shared" si="11"/>
        <v>48.365331438344704</v>
      </c>
      <c r="N116">
        <v>32.5</v>
      </c>
    </row>
    <row r="117" spans="2:14" x14ac:dyDescent="0.15">
      <c r="B117" s="18" t="s">
        <v>1265</v>
      </c>
      <c r="C117" s="20">
        <v>9.125</v>
      </c>
      <c r="D117" s="19">
        <v>0.4375</v>
      </c>
      <c r="E117" s="20">
        <v>7.5</v>
      </c>
      <c r="F117" s="19">
        <v>0.6875</v>
      </c>
      <c r="G117" s="19">
        <v>1.375</v>
      </c>
      <c r="H117" s="19">
        <v>0.8125</v>
      </c>
      <c r="I117" s="20">
        <v>3.5</v>
      </c>
      <c r="J117" s="19">
        <v>2.75</v>
      </c>
      <c r="K117" s="119">
        <f>((C117-(F117*1))*2+(E117*2)+(F117*2))*12/144</f>
        <v>2.7708333333333335</v>
      </c>
      <c r="L117" s="274">
        <f>K117*3.2808399*0.09290304</f>
        <v>0.84455000128371605</v>
      </c>
      <c r="M117" s="274">
        <f t="shared" si="11"/>
        <v>44.644921327702797</v>
      </c>
      <c r="N117">
        <v>30</v>
      </c>
    </row>
    <row r="118" spans="2:14" x14ac:dyDescent="0.15">
      <c r="B118" s="18" t="s">
        <v>1266</v>
      </c>
      <c r="C118" s="20">
        <v>9</v>
      </c>
      <c r="D118" s="129">
        <v>0.375</v>
      </c>
      <c r="E118" s="130">
        <v>7.5</v>
      </c>
      <c r="F118" s="129">
        <v>0.625</v>
      </c>
      <c r="G118" s="129">
        <v>1.3125</v>
      </c>
      <c r="H118" s="129">
        <v>0.8125</v>
      </c>
      <c r="I118" s="130">
        <v>3.5</v>
      </c>
      <c r="J118" s="129">
        <v>2.75</v>
      </c>
      <c r="K118" s="119">
        <f>((C118-(F118*1))*2+(E118*2)+(F118*2))*12/144</f>
        <v>2.75</v>
      </c>
      <c r="L118" s="274">
        <f>K118*3.2808399*0.09290304</f>
        <v>0.83820000127406402</v>
      </c>
      <c r="M118" s="274">
        <f t="shared" si="11"/>
        <v>40.924511217060903</v>
      </c>
      <c r="N118">
        <v>27.5</v>
      </c>
    </row>
    <row r="119" spans="2:14" x14ac:dyDescent="0.15">
      <c r="B119" s="186" t="s">
        <v>1267</v>
      </c>
      <c r="C119" s="22">
        <v>9</v>
      </c>
      <c r="D119" s="21">
        <v>0.375</v>
      </c>
      <c r="E119" s="22">
        <v>7.5</v>
      </c>
      <c r="F119" s="21">
        <v>0.5625</v>
      </c>
      <c r="G119" s="21">
        <v>1.25</v>
      </c>
      <c r="H119" s="21">
        <v>0.8125</v>
      </c>
      <c r="I119" s="22">
        <v>3.5</v>
      </c>
      <c r="J119" s="21">
        <v>2.5</v>
      </c>
      <c r="K119" s="313">
        <f>((C119-(F119*1))*2+(E119*2)+(F119*2))*12/144</f>
        <v>2.75</v>
      </c>
      <c r="L119" s="333">
        <f>K119*3.2808399*0.09290304</f>
        <v>0.83820000127406402</v>
      </c>
      <c r="M119" s="333">
        <f t="shared" si="11"/>
        <v>37.204101106419003</v>
      </c>
      <c r="N119">
        <v>25</v>
      </c>
    </row>
    <row r="120" spans="2:14" x14ac:dyDescent="0.15">
      <c r="B120" s="307"/>
      <c r="C120" s="315"/>
      <c r="D120" s="315"/>
      <c r="E120" s="315"/>
      <c r="F120" s="315"/>
      <c r="G120" s="315"/>
      <c r="H120" s="315"/>
      <c r="I120" s="315"/>
      <c r="J120" s="315"/>
      <c r="K120" s="315"/>
      <c r="L120" s="315"/>
      <c r="M120" s="312"/>
    </row>
    <row r="121" spans="2:14" x14ac:dyDescent="0.15">
      <c r="B121" s="155" t="s">
        <v>1268</v>
      </c>
      <c r="C121" s="156">
        <v>9</v>
      </c>
      <c r="D121" s="129">
        <v>0.375</v>
      </c>
      <c r="E121" s="130">
        <v>6</v>
      </c>
      <c r="F121" s="129">
        <v>0.625</v>
      </c>
      <c r="G121" s="129">
        <v>1.25</v>
      </c>
      <c r="H121" s="129">
        <v>0.8125</v>
      </c>
      <c r="I121" s="130">
        <v>3.5</v>
      </c>
      <c r="J121" s="129">
        <v>2.5</v>
      </c>
      <c r="K121" s="119">
        <f>((C121-(F121*1))*2+(E121*2)+(F121*2))*12/144</f>
        <v>2.5</v>
      </c>
      <c r="L121" s="274">
        <f>K121*3.2808399*0.09290304</f>
        <v>0.76200000115824007</v>
      </c>
      <c r="M121" s="274">
        <f t="shared" si="11"/>
        <v>34.227773017905477</v>
      </c>
      <c r="N121">
        <v>23</v>
      </c>
    </row>
    <row r="122" spans="2:14" x14ac:dyDescent="0.15">
      <c r="B122" s="18" t="s">
        <v>1269</v>
      </c>
      <c r="C122" s="20">
        <v>9</v>
      </c>
      <c r="D122" s="19">
        <v>0.3125</v>
      </c>
      <c r="E122" s="20">
        <v>6</v>
      </c>
      <c r="F122" s="19">
        <v>0.5</v>
      </c>
      <c r="G122" s="19">
        <v>1.1875</v>
      </c>
      <c r="H122" s="19">
        <v>0.8125</v>
      </c>
      <c r="I122" s="20">
        <v>3.5</v>
      </c>
      <c r="J122" s="19">
        <v>2.5</v>
      </c>
      <c r="K122" s="119">
        <f>((C122-(F122*1))*2+(E122*2)+(F122*2))*12/144</f>
        <v>2.5</v>
      </c>
      <c r="L122" s="274">
        <f>K122*3.2808399*0.09290304</f>
        <v>0.76200000115824007</v>
      </c>
      <c r="M122" s="274">
        <f t="shared" si="11"/>
        <v>29.763280885135202</v>
      </c>
      <c r="N122">
        <v>20</v>
      </c>
    </row>
    <row r="123" spans="2:14" x14ac:dyDescent="0.15">
      <c r="B123" s="186" t="s">
        <v>1270</v>
      </c>
      <c r="C123" s="22">
        <v>8.875</v>
      </c>
      <c r="D123" s="129">
        <v>0.3125</v>
      </c>
      <c r="E123" s="130">
        <v>6</v>
      </c>
      <c r="F123" s="129">
        <v>0.4375</v>
      </c>
      <c r="G123" s="129">
        <v>1.125</v>
      </c>
      <c r="H123" s="129">
        <v>0.75</v>
      </c>
      <c r="I123" s="130">
        <v>3.5</v>
      </c>
      <c r="J123" s="129">
        <v>2.5</v>
      </c>
      <c r="K123" s="313">
        <f>((C123-(F123*1))*2+(E123*2)+(F123*2))*12/144</f>
        <v>2.4791666666666665</v>
      </c>
      <c r="L123" s="333">
        <f>K123*3.2808399*0.09290304</f>
        <v>0.75565000114858805</v>
      </c>
      <c r="M123" s="333">
        <f t="shared" si="11"/>
        <v>26.042870774493302</v>
      </c>
      <c r="N123">
        <v>17.5</v>
      </c>
    </row>
    <row r="124" spans="2:14" x14ac:dyDescent="0.15">
      <c r="B124" s="307"/>
      <c r="C124" s="315"/>
      <c r="D124" s="315"/>
      <c r="E124" s="315"/>
      <c r="F124" s="315"/>
      <c r="G124" s="315"/>
      <c r="H124" s="315"/>
      <c r="I124" s="315"/>
      <c r="J124" s="315"/>
      <c r="K124" s="315"/>
      <c r="L124" s="315"/>
      <c r="M124" s="312"/>
    </row>
    <row r="125" spans="2:14" x14ac:dyDescent="0.15">
      <c r="B125" s="155" t="s">
        <v>1271</v>
      </c>
      <c r="C125" s="156">
        <v>8.5</v>
      </c>
      <c r="D125" s="129">
        <v>0.5625</v>
      </c>
      <c r="E125" s="130">
        <v>10.375</v>
      </c>
      <c r="F125" s="129">
        <v>1</v>
      </c>
      <c r="G125" s="129">
        <v>1.6875</v>
      </c>
      <c r="H125" s="129">
        <v>0.9375</v>
      </c>
      <c r="I125" s="130">
        <v>5.5</v>
      </c>
      <c r="J125" s="129">
        <v>3</v>
      </c>
      <c r="K125" s="119">
        <f>((C125-(F125*1))*2+(E125*2)+(F125*2))*12/144</f>
        <v>3.1458333333333335</v>
      </c>
      <c r="L125" s="274">
        <f>K125*3.2808399*0.09290304</f>
        <v>0.95885000145745203</v>
      </c>
      <c r="M125" s="274">
        <f t="shared" si="11"/>
        <v>74.408202212838006</v>
      </c>
      <c r="N125">
        <v>50</v>
      </c>
    </row>
    <row r="126" spans="2:14" x14ac:dyDescent="0.15">
      <c r="B126" s="18" t="s">
        <v>1272</v>
      </c>
      <c r="C126" s="20">
        <v>8.375</v>
      </c>
      <c r="D126" s="19">
        <v>0.5</v>
      </c>
      <c r="E126" s="20">
        <v>10.375</v>
      </c>
      <c r="F126" s="19">
        <v>0.875</v>
      </c>
      <c r="G126" s="19">
        <v>1.5625</v>
      </c>
      <c r="H126" s="19">
        <v>0.875</v>
      </c>
      <c r="I126" s="20">
        <v>5.5</v>
      </c>
      <c r="J126" s="19">
        <v>2.75</v>
      </c>
      <c r="K126" s="119">
        <f>((C126-(F126*1))*2+(E126*2)+(F126*2))*12/144</f>
        <v>3.125</v>
      </c>
      <c r="L126" s="274">
        <f>K126*3.2808399*0.09290304</f>
        <v>0.95250000144780012</v>
      </c>
      <c r="M126" s="274">
        <f t="shared" si="11"/>
        <v>66.223299969425824</v>
      </c>
      <c r="N126">
        <v>44.5</v>
      </c>
    </row>
    <row r="127" spans="2:14" x14ac:dyDescent="0.15">
      <c r="B127" s="18" t="s">
        <v>1273</v>
      </c>
      <c r="C127" s="20">
        <v>8.25</v>
      </c>
      <c r="D127" s="129">
        <v>0.4375</v>
      </c>
      <c r="E127" s="130">
        <v>10.25</v>
      </c>
      <c r="F127" s="129">
        <v>0.75</v>
      </c>
      <c r="G127" s="129">
        <v>1.4375</v>
      </c>
      <c r="H127" s="129">
        <v>0.875</v>
      </c>
      <c r="I127" s="130">
        <v>5.5</v>
      </c>
      <c r="J127" s="129">
        <v>2.75</v>
      </c>
      <c r="K127" s="119">
        <f>((C127-(F127*1))*2+(E127*2)+(F127*2))*12/144</f>
        <v>3.0833333333333335</v>
      </c>
      <c r="L127" s="274">
        <f>K127*3.2808399*0.09290304</f>
        <v>0.93980000142849618</v>
      </c>
      <c r="M127" s="274">
        <f t="shared" si="11"/>
        <v>57.294315703885268</v>
      </c>
      <c r="N127">
        <v>38.5</v>
      </c>
    </row>
    <row r="128" spans="2:14" x14ac:dyDescent="0.15">
      <c r="B128" s="186" t="s">
        <v>1274</v>
      </c>
      <c r="C128" s="22">
        <v>8.125</v>
      </c>
      <c r="D128" s="21">
        <v>0.375</v>
      </c>
      <c r="E128" s="22">
        <v>10.25</v>
      </c>
      <c r="F128" s="21">
        <v>0.6875</v>
      </c>
      <c r="G128" s="21">
        <v>1.375</v>
      </c>
      <c r="H128" s="21">
        <v>0.8125</v>
      </c>
      <c r="I128" s="22">
        <v>5.5</v>
      </c>
      <c r="J128" s="21">
        <v>2.75</v>
      </c>
      <c r="K128" s="313">
        <f>((C128-(F128*1))*2+(E128*2)+(F128*2))*12/144</f>
        <v>3.0625</v>
      </c>
      <c r="L128" s="333">
        <f>K128*3.2808399*0.09290304</f>
        <v>0.93345000141884404</v>
      </c>
      <c r="M128" s="333">
        <f t="shared" si="11"/>
        <v>49.85349548260146</v>
      </c>
      <c r="N128">
        <v>33.5</v>
      </c>
    </row>
    <row r="129" spans="2:14" x14ac:dyDescent="0.15">
      <c r="B129" s="307"/>
      <c r="C129" s="315"/>
      <c r="D129" s="315"/>
      <c r="E129" s="315"/>
      <c r="F129" s="315"/>
      <c r="G129" s="315"/>
      <c r="H129" s="315"/>
      <c r="I129" s="315"/>
      <c r="J129" s="315"/>
      <c r="K129" s="315"/>
      <c r="L129" s="315"/>
      <c r="M129" s="312"/>
    </row>
    <row r="130" spans="2:14" x14ac:dyDescent="0.15">
      <c r="B130" s="155" t="s">
        <v>1275</v>
      </c>
      <c r="C130" s="156">
        <v>8.25</v>
      </c>
      <c r="D130" s="129">
        <v>0.4375</v>
      </c>
      <c r="E130" s="130">
        <v>7.125</v>
      </c>
      <c r="F130" s="129">
        <v>0.6875</v>
      </c>
      <c r="G130" s="129">
        <v>1.375</v>
      </c>
      <c r="H130" s="129">
        <v>0.875</v>
      </c>
      <c r="I130" s="130">
        <v>3.5</v>
      </c>
      <c r="J130" s="129">
        <v>2.75</v>
      </c>
      <c r="K130" s="119">
        <f>((C130-(F130*1))*2+(E130*2)+(F130*2))*12/144</f>
        <v>2.5625</v>
      </c>
      <c r="L130" s="274">
        <f>K130*3.2808399*0.09290304</f>
        <v>0.78105000118719603</v>
      </c>
      <c r="M130" s="274">
        <f t="shared" si="11"/>
        <v>42.412675261317659</v>
      </c>
      <c r="N130">
        <v>28.5</v>
      </c>
    </row>
    <row r="131" spans="2:14" x14ac:dyDescent="0.15">
      <c r="B131" s="18" t="s">
        <v>1276</v>
      </c>
      <c r="C131" s="20">
        <v>8.125</v>
      </c>
      <c r="D131" s="19">
        <v>0.375</v>
      </c>
      <c r="E131" s="20">
        <v>7.125</v>
      </c>
      <c r="F131" s="19">
        <v>0.625</v>
      </c>
      <c r="G131" s="19">
        <v>1.3125</v>
      </c>
      <c r="H131" s="19">
        <v>0.8125</v>
      </c>
      <c r="I131" s="20">
        <v>3.5</v>
      </c>
      <c r="J131" s="19">
        <v>2.75</v>
      </c>
      <c r="K131" s="119">
        <f>((C131-(F131*1))*2+(E131*2)+(F131*2))*12/144</f>
        <v>2.5416666666666665</v>
      </c>
      <c r="L131" s="274">
        <f>K131*3.2808399*0.09290304</f>
        <v>0.77470000117754412</v>
      </c>
      <c r="M131" s="274">
        <f t="shared" si="11"/>
        <v>37.204101106419003</v>
      </c>
      <c r="N131">
        <v>25</v>
      </c>
    </row>
    <row r="132" spans="2:14" x14ac:dyDescent="0.15">
      <c r="B132" s="18" t="s">
        <v>1277</v>
      </c>
      <c r="C132" s="20">
        <v>8.125</v>
      </c>
      <c r="D132" s="129">
        <v>0.375</v>
      </c>
      <c r="E132" s="130">
        <v>7</v>
      </c>
      <c r="F132" s="129">
        <v>0.5625</v>
      </c>
      <c r="G132" s="129">
        <v>1.25</v>
      </c>
      <c r="H132" s="129">
        <v>0.8125</v>
      </c>
      <c r="I132" s="130">
        <v>3.5</v>
      </c>
      <c r="J132" s="129">
        <v>2.5</v>
      </c>
      <c r="K132" s="119">
        <f>((C132-(F132*1))*2+(E132*2)+(F132*2))*12/144</f>
        <v>2.5208333333333335</v>
      </c>
      <c r="L132" s="274">
        <f>K132*3.2808399*0.09290304</f>
        <v>0.7683500011678922</v>
      </c>
      <c r="M132" s="274">
        <f t="shared" si="11"/>
        <v>33.483690995777103</v>
      </c>
      <c r="N132">
        <v>22.5</v>
      </c>
    </row>
    <row r="133" spans="2:14" x14ac:dyDescent="0.15">
      <c r="B133" s="18" t="s">
        <v>1278</v>
      </c>
      <c r="C133" s="20">
        <v>8</v>
      </c>
      <c r="D133" s="19">
        <v>0.3125</v>
      </c>
      <c r="E133" s="20">
        <v>7</v>
      </c>
      <c r="F133" s="19">
        <v>0.5</v>
      </c>
      <c r="G133" s="19">
        <v>1.1875</v>
      </c>
      <c r="H133" s="19">
        <v>0.8125</v>
      </c>
      <c r="I133" s="20">
        <v>3.5</v>
      </c>
      <c r="J133" s="19">
        <v>2.5</v>
      </c>
      <c r="K133" s="119">
        <f>((C133-(F133*1))*2+(E133*2)+(F133*2))*12/144</f>
        <v>2.5</v>
      </c>
      <c r="L133" s="274">
        <f>K133*3.2808399*0.09290304</f>
        <v>0.76200000115824007</v>
      </c>
      <c r="M133" s="274">
        <f t="shared" si="11"/>
        <v>29.763280885135202</v>
      </c>
      <c r="N133">
        <v>20</v>
      </c>
    </row>
    <row r="134" spans="2:14" x14ac:dyDescent="0.15">
      <c r="B134" s="186" t="s">
        <v>1279</v>
      </c>
      <c r="C134" s="22">
        <v>7.875</v>
      </c>
      <c r="D134" s="21">
        <v>0.3125</v>
      </c>
      <c r="E134" s="22">
        <v>7</v>
      </c>
      <c r="F134" s="21">
        <v>0.4375</v>
      </c>
      <c r="G134" s="21">
        <v>1.125</v>
      </c>
      <c r="H134" s="21">
        <v>0.75</v>
      </c>
      <c r="I134" s="22">
        <v>3.5</v>
      </c>
      <c r="J134" s="21">
        <v>2.5</v>
      </c>
      <c r="K134" s="313">
        <f>((C134-(F134*1))*2+(E134*2)+(F134*2))*12/144</f>
        <v>2.4791666666666665</v>
      </c>
      <c r="L134" s="333">
        <f>K134*3.2808399*0.09290304</f>
        <v>0.75565000114858805</v>
      </c>
      <c r="M134" s="333">
        <f t="shared" si="11"/>
        <v>26.78695279662168</v>
      </c>
      <c r="N134">
        <v>18</v>
      </c>
    </row>
    <row r="135" spans="2:14" x14ac:dyDescent="0.15">
      <c r="B135" s="307"/>
      <c r="C135" s="315"/>
      <c r="D135" s="315"/>
      <c r="E135" s="315"/>
      <c r="F135" s="315"/>
      <c r="G135" s="315"/>
      <c r="H135" s="315"/>
      <c r="I135" s="315"/>
      <c r="J135" s="315"/>
      <c r="K135" s="315"/>
      <c r="L135" s="315"/>
      <c r="M135" s="312"/>
    </row>
    <row r="136" spans="2:14" x14ac:dyDescent="0.15">
      <c r="B136" s="155" t="s">
        <v>1280</v>
      </c>
      <c r="C136" s="156">
        <v>8</v>
      </c>
      <c r="D136" s="131">
        <v>0.25</v>
      </c>
      <c r="E136" s="156">
        <v>5.5</v>
      </c>
      <c r="F136" s="131">
        <v>0.4375</v>
      </c>
      <c r="G136" s="131">
        <v>1.125</v>
      </c>
      <c r="H136" s="131">
        <v>0.75</v>
      </c>
      <c r="I136" s="156">
        <v>2.75</v>
      </c>
      <c r="J136" s="131">
        <v>2.5</v>
      </c>
      <c r="K136" s="119">
        <f>((C136-(F136*1))*2+(E136*2)+(F136*2))*12/144</f>
        <v>2.25</v>
      </c>
      <c r="L136" s="274">
        <f>K136*3.2808399*0.09290304</f>
        <v>0.68580000104241612</v>
      </c>
      <c r="M136" s="274">
        <f t="shared" si="11"/>
        <v>23.06654268597978</v>
      </c>
      <c r="N136">
        <v>15.5</v>
      </c>
    </row>
    <row r="137" spans="2:14" x14ac:dyDescent="0.15">
      <c r="B137" s="186" t="s">
        <v>1281</v>
      </c>
      <c r="C137" s="22">
        <v>7.875</v>
      </c>
      <c r="D137" s="129">
        <v>0.25</v>
      </c>
      <c r="E137" s="130">
        <v>5.5</v>
      </c>
      <c r="F137" s="129">
        <v>0.375</v>
      </c>
      <c r="G137" s="129">
        <v>1.0625</v>
      </c>
      <c r="H137" s="129">
        <v>0.75</v>
      </c>
      <c r="I137" s="130">
        <v>2.75</v>
      </c>
      <c r="J137" s="129">
        <v>2.25</v>
      </c>
      <c r="K137" s="313">
        <f>((C137-(F137*1))*2+(E137*2)+(F137*2))*12/144</f>
        <v>2.2291666666666665</v>
      </c>
      <c r="L137" s="333">
        <f>K137*3.2808399*0.09290304</f>
        <v>0.67945000103276409</v>
      </c>
      <c r="M137" s="333">
        <f t="shared" si="11"/>
        <v>19.346132575337883</v>
      </c>
      <c r="N137">
        <v>13</v>
      </c>
    </row>
    <row r="138" spans="2:14" x14ac:dyDescent="0.15">
      <c r="B138" s="307"/>
      <c r="C138" s="315"/>
      <c r="D138" s="315"/>
      <c r="E138" s="315"/>
      <c r="F138" s="315"/>
      <c r="G138" s="315"/>
      <c r="H138" s="315"/>
      <c r="I138" s="315"/>
      <c r="J138" s="315"/>
      <c r="K138" s="315"/>
      <c r="L138" s="315"/>
      <c r="M138" s="312"/>
    </row>
    <row r="139" spans="2:14" x14ac:dyDescent="0.15">
      <c r="B139" s="155" t="s">
        <v>1282</v>
      </c>
      <c r="C139" s="156">
        <v>11.25</v>
      </c>
      <c r="D139" s="129">
        <v>3.0625</v>
      </c>
      <c r="E139" s="130">
        <v>17.875</v>
      </c>
      <c r="F139" s="129">
        <v>4.9375</v>
      </c>
      <c r="G139" s="129">
        <v>5.5625</v>
      </c>
      <c r="H139" s="129">
        <v>2.1875</v>
      </c>
      <c r="I139" s="130" t="s">
        <v>959</v>
      </c>
      <c r="J139" s="130" t="s">
        <v>959</v>
      </c>
      <c r="K139" s="119">
        <f t="shared" ref="K139:K157" si="16">((C139-(F139*1))*2+(E139*2)+(F139*2))*12/144</f>
        <v>4.854166666666667</v>
      </c>
      <c r="L139" s="274">
        <f t="shared" ref="L139:L157" si="17">K139*3.2808399*0.09290304</f>
        <v>1.4795500022489163</v>
      </c>
      <c r="M139" s="274">
        <f t="shared" si="11"/>
        <v>543.17987615371749</v>
      </c>
      <c r="N139">
        <v>365</v>
      </c>
    </row>
    <row r="140" spans="2:14" x14ac:dyDescent="0.15">
      <c r="B140" s="18" t="s">
        <v>1283</v>
      </c>
      <c r="C140" s="20">
        <v>10.875</v>
      </c>
      <c r="D140" s="19">
        <v>2.8125</v>
      </c>
      <c r="E140" s="20">
        <v>17.625</v>
      </c>
      <c r="F140" s="19">
        <v>4.5</v>
      </c>
      <c r="G140" s="19">
        <v>5.1875</v>
      </c>
      <c r="H140" s="19">
        <v>2.0625</v>
      </c>
      <c r="I140" s="20" t="s">
        <v>959</v>
      </c>
      <c r="J140" s="20" t="s">
        <v>959</v>
      </c>
      <c r="K140" s="119">
        <f t="shared" si="16"/>
        <v>4.75</v>
      </c>
      <c r="L140" s="274">
        <f t="shared" si="17"/>
        <v>1.4478000022006561</v>
      </c>
      <c r="M140" s="274">
        <f t="shared" si="11"/>
        <v>494.81454471537268</v>
      </c>
      <c r="N140">
        <v>332.5</v>
      </c>
    </row>
    <row r="141" spans="2:14" x14ac:dyDescent="0.15">
      <c r="B141" s="18" t="s">
        <v>1284</v>
      </c>
      <c r="C141" s="20">
        <v>10.5</v>
      </c>
      <c r="D141" s="129">
        <v>2.625</v>
      </c>
      <c r="E141" s="130">
        <v>17.375</v>
      </c>
      <c r="F141" s="129">
        <v>4.1875</v>
      </c>
      <c r="G141" s="129">
        <v>4.8125</v>
      </c>
      <c r="H141" s="129">
        <v>1.9375</v>
      </c>
      <c r="I141" s="130" t="s">
        <v>959</v>
      </c>
      <c r="J141" s="130" t="s">
        <v>959</v>
      </c>
      <c r="K141" s="119">
        <f t="shared" si="16"/>
        <v>4.645833333333333</v>
      </c>
      <c r="L141" s="274">
        <f t="shared" si="17"/>
        <v>1.4160500021523961</v>
      </c>
      <c r="M141" s="274">
        <f t="shared" si="11"/>
        <v>450.1696233876699</v>
      </c>
      <c r="N141">
        <v>302.5</v>
      </c>
    </row>
    <row r="142" spans="2:14" x14ac:dyDescent="0.15">
      <c r="B142" s="18" t="s">
        <v>1285</v>
      </c>
      <c r="C142" s="20">
        <v>10.125</v>
      </c>
      <c r="D142" s="19">
        <v>2.375</v>
      </c>
      <c r="E142" s="20">
        <v>17.25</v>
      </c>
      <c r="F142" s="19">
        <v>3.8125</v>
      </c>
      <c r="G142" s="19">
        <v>4.5</v>
      </c>
      <c r="H142" s="19">
        <v>1.8125</v>
      </c>
      <c r="I142" s="20" t="s">
        <v>959</v>
      </c>
      <c r="J142" s="20" t="s">
        <v>959</v>
      </c>
      <c r="K142" s="119">
        <f t="shared" si="16"/>
        <v>4.5625</v>
      </c>
      <c r="L142" s="274">
        <f t="shared" si="17"/>
        <v>1.3906500021137882</v>
      </c>
      <c r="M142" s="274">
        <f t="shared" si="11"/>
        <v>409.24511217060899</v>
      </c>
      <c r="N142">
        <v>275</v>
      </c>
    </row>
    <row r="143" spans="2:14" x14ac:dyDescent="0.15">
      <c r="B143" s="18" t="s">
        <v>1286</v>
      </c>
      <c r="C143" s="20">
        <v>9.75</v>
      </c>
      <c r="D143" s="129">
        <v>2.1875</v>
      </c>
      <c r="E143" s="130">
        <v>17</v>
      </c>
      <c r="F143" s="129">
        <v>3.5</v>
      </c>
      <c r="G143" s="129">
        <v>4.1875</v>
      </c>
      <c r="H143" s="129">
        <v>1.75</v>
      </c>
      <c r="I143" s="130" t="s">
        <v>959</v>
      </c>
      <c r="J143" s="130" t="s">
        <v>959</v>
      </c>
      <c r="K143" s="119">
        <f t="shared" si="16"/>
        <v>4.458333333333333</v>
      </c>
      <c r="L143" s="274">
        <f t="shared" si="17"/>
        <v>1.3589000020655282</v>
      </c>
      <c r="M143" s="274">
        <f t="shared" si="11"/>
        <v>372.04101106419</v>
      </c>
      <c r="N143">
        <v>250</v>
      </c>
    </row>
    <row r="144" spans="2:14" x14ac:dyDescent="0.15">
      <c r="B144" s="18" t="s">
        <v>1287</v>
      </c>
      <c r="C144" s="20">
        <v>9.5</v>
      </c>
      <c r="D144" s="19">
        <v>2</v>
      </c>
      <c r="E144" s="20">
        <v>16.875</v>
      </c>
      <c r="F144" s="19">
        <v>3.1875</v>
      </c>
      <c r="G144" s="19">
        <v>3.875</v>
      </c>
      <c r="H144" s="19">
        <v>1.625</v>
      </c>
      <c r="I144" s="20" t="s">
        <v>959</v>
      </c>
      <c r="J144" s="20" t="s">
        <v>959</v>
      </c>
      <c r="K144" s="119">
        <f t="shared" si="16"/>
        <v>4.395833333333333</v>
      </c>
      <c r="L144" s="274">
        <f t="shared" si="17"/>
        <v>1.339850002036572</v>
      </c>
      <c r="M144" s="274">
        <f t="shared" si="11"/>
        <v>338.55732006841293</v>
      </c>
      <c r="N144">
        <v>227.5</v>
      </c>
    </row>
    <row r="145" spans="2:14" x14ac:dyDescent="0.15">
      <c r="B145" s="18" t="s">
        <v>1288</v>
      </c>
      <c r="C145" s="20">
        <v>9.375</v>
      </c>
      <c r="D145" s="129">
        <v>1.875</v>
      </c>
      <c r="E145" s="130">
        <v>16.75</v>
      </c>
      <c r="F145" s="129">
        <v>3.0625</v>
      </c>
      <c r="G145" s="129">
        <v>3.6875</v>
      </c>
      <c r="H145" s="129">
        <v>1.5625</v>
      </c>
      <c r="I145" s="130" t="s">
        <v>959</v>
      </c>
      <c r="J145" s="130" t="s">
        <v>959</v>
      </c>
      <c r="K145" s="119">
        <f t="shared" si="16"/>
        <v>4.354166666666667</v>
      </c>
      <c r="L145" s="274">
        <f t="shared" si="17"/>
        <v>1.3271500020172682</v>
      </c>
      <c r="M145" s="274">
        <f t="shared" si="11"/>
        <v>316.97894142668986</v>
      </c>
      <c r="N145">
        <v>213</v>
      </c>
    </row>
    <row r="146" spans="2:14" x14ac:dyDescent="0.15">
      <c r="B146" s="18" t="s">
        <v>1289</v>
      </c>
      <c r="C146" s="20">
        <v>9.125</v>
      </c>
      <c r="D146" s="19">
        <v>1.75</v>
      </c>
      <c r="E146" s="20">
        <v>16.625</v>
      </c>
      <c r="F146" s="19">
        <v>2.875</v>
      </c>
      <c r="G146" s="19">
        <v>3.5</v>
      </c>
      <c r="H146" s="19">
        <v>1.5</v>
      </c>
      <c r="I146" s="20" t="s">
        <v>959</v>
      </c>
      <c r="J146" s="20" t="s">
        <v>959</v>
      </c>
      <c r="K146" s="119">
        <f t="shared" si="16"/>
        <v>4.291666666666667</v>
      </c>
      <c r="L146" s="274">
        <f t="shared" si="17"/>
        <v>1.3081000019883122</v>
      </c>
      <c r="M146" s="274">
        <f t="shared" si="11"/>
        <v>296.14464480709523</v>
      </c>
      <c r="N146">
        <v>199</v>
      </c>
    </row>
    <row r="147" spans="2:14" x14ac:dyDescent="0.15">
      <c r="B147" s="18" t="s">
        <v>1290</v>
      </c>
      <c r="C147" s="20">
        <v>9</v>
      </c>
      <c r="D147" s="129">
        <v>1.625</v>
      </c>
      <c r="E147" s="130">
        <v>16.5</v>
      </c>
      <c r="F147" s="129">
        <v>2.6875</v>
      </c>
      <c r="G147" s="129">
        <v>3.3125</v>
      </c>
      <c r="H147" s="129">
        <v>1.4375</v>
      </c>
      <c r="I147" s="130" t="s">
        <v>959</v>
      </c>
      <c r="J147" s="130" t="s">
        <v>959</v>
      </c>
      <c r="K147" s="119">
        <f t="shared" si="16"/>
        <v>4.25</v>
      </c>
      <c r="L147" s="274">
        <f t="shared" si="17"/>
        <v>1.2954000019690082</v>
      </c>
      <c r="M147" s="274">
        <f t="shared" ref="M147:M210" si="18">N147*3.2808399*0.4535924</f>
        <v>275.31034818750061</v>
      </c>
      <c r="N147">
        <v>185</v>
      </c>
    </row>
    <row r="148" spans="2:14" x14ac:dyDescent="0.15">
      <c r="B148" s="18" t="s">
        <v>1291</v>
      </c>
      <c r="C148" s="20">
        <v>8.75</v>
      </c>
      <c r="D148" s="19">
        <v>1.5625</v>
      </c>
      <c r="E148" s="20">
        <v>16.375</v>
      </c>
      <c r="F148" s="19">
        <v>2.5</v>
      </c>
      <c r="G148" s="19">
        <v>3.125</v>
      </c>
      <c r="H148" s="19">
        <v>1.375</v>
      </c>
      <c r="I148" s="20" t="s">
        <v>959</v>
      </c>
      <c r="J148" s="20" t="s">
        <v>959</v>
      </c>
      <c r="K148" s="119">
        <f t="shared" si="16"/>
        <v>4.1875</v>
      </c>
      <c r="L148" s="274">
        <f t="shared" si="17"/>
        <v>1.2763500019400522</v>
      </c>
      <c r="M148" s="274">
        <f t="shared" si="18"/>
        <v>254.47605156790601</v>
      </c>
      <c r="N148">
        <v>171</v>
      </c>
    </row>
    <row r="149" spans="2:14" x14ac:dyDescent="0.15">
      <c r="B149" s="18" t="s">
        <v>1292</v>
      </c>
      <c r="C149" s="20">
        <v>8.5</v>
      </c>
      <c r="D149" s="129">
        <v>1.4375</v>
      </c>
      <c r="E149" s="130">
        <v>16.25</v>
      </c>
      <c r="F149" s="129">
        <v>2.25</v>
      </c>
      <c r="G149" s="129">
        <v>2.9375</v>
      </c>
      <c r="H149" s="129">
        <v>1.3125</v>
      </c>
      <c r="I149" s="130" t="s">
        <v>959</v>
      </c>
      <c r="J149" s="130" t="s">
        <v>959</v>
      </c>
      <c r="K149" s="119">
        <f t="shared" si="16"/>
        <v>4.125</v>
      </c>
      <c r="L149" s="274">
        <f t="shared" si="17"/>
        <v>1.2573000019110963</v>
      </c>
      <c r="M149" s="274">
        <f t="shared" si="18"/>
        <v>231.4095088819262</v>
      </c>
      <c r="N149">
        <v>155.5</v>
      </c>
    </row>
    <row r="150" spans="2:14" x14ac:dyDescent="0.15">
      <c r="B150" s="18" t="s">
        <v>1293</v>
      </c>
      <c r="C150" s="20">
        <v>8.375</v>
      </c>
      <c r="D150" s="19">
        <v>1.3125</v>
      </c>
      <c r="E150" s="20">
        <v>16.125</v>
      </c>
      <c r="F150" s="19">
        <v>2.0625</v>
      </c>
      <c r="G150" s="19">
        <v>2.75</v>
      </c>
      <c r="H150" s="19">
        <v>1.25</v>
      </c>
      <c r="I150" s="20" t="s">
        <v>959</v>
      </c>
      <c r="J150" s="20" t="s">
        <v>959</v>
      </c>
      <c r="K150" s="119">
        <f t="shared" si="16"/>
        <v>4.083333333333333</v>
      </c>
      <c r="L150" s="274">
        <f t="shared" si="17"/>
        <v>1.244600001891792</v>
      </c>
      <c r="M150" s="274">
        <f t="shared" si="18"/>
        <v>210.57521226233155</v>
      </c>
      <c r="N150">
        <v>141.5</v>
      </c>
    </row>
    <row r="151" spans="2:14" x14ac:dyDescent="0.15">
      <c r="B151" s="18" t="s">
        <v>1294</v>
      </c>
      <c r="C151" s="20">
        <v>8.25</v>
      </c>
      <c r="D151" s="129">
        <v>1.1875</v>
      </c>
      <c r="E151" s="130">
        <v>16</v>
      </c>
      <c r="F151" s="129">
        <v>1.875</v>
      </c>
      <c r="G151" s="129">
        <v>2.5625</v>
      </c>
      <c r="H151" s="129">
        <v>1.1875</v>
      </c>
      <c r="I151" s="130" t="s">
        <v>959</v>
      </c>
      <c r="J151" s="130" t="s">
        <v>959</v>
      </c>
      <c r="K151" s="119">
        <f t="shared" si="16"/>
        <v>4.041666666666667</v>
      </c>
      <c r="L151" s="274">
        <f t="shared" si="17"/>
        <v>1.2319000018724882</v>
      </c>
      <c r="M151" s="274">
        <f t="shared" si="18"/>
        <v>191.22907968699369</v>
      </c>
      <c r="N151">
        <v>128.5</v>
      </c>
    </row>
    <row r="152" spans="2:14" x14ac:dyDescent="0.15">
      <c r="B152" s="18" t="s">
        <v>1295</v>
      </c>
      <c r="C152" s="20">
        <v>8</v>
      </c>
      <c r="D152" s="19">
        <v>1.0625</v>
      </c>
      <c r="E152" s="20">
        <v>15.875</v>
      </c>
      <c r="F152" s="19">
        <v>1.75</v>
      </c>
      <c r="G152" s="19">
        <v>2.375</v>
      </c>
      <c r="H152" s="19">
        <v>1.1875</v>
      </c>
      <c r="I152" s="20" t="s">
        <v>959</v>
      </c>
      <c r="J152" s="20" t="s">
        <v>959</v>
      </c>
      <c r="K152" s="119">
        <f t="shared" si="16"/>
        <v>3.9791666666666665</v>
      </c>
      <c r="L152" s="274">
        <f t="shared" si="17"/>
        <v>1.212850001843532</v>
      </c>
      <c r="M152" s="274">
        <f t="shared" si="18"/>
        <v>173.37111115591253</v>
      </c>
      <c r="N152">
        <v>116.5</v>
      </c>
    </row>
    <row r="153" spans="2:14" x14ac:dyDescent="0.15">
      <c r="B153" s="18" t="s">
        <v>1296</v>
      </c>
      <c r="C153" s="20">
        <v>7.875</v>
      </c>
      <c r="D153" s="129">
        <v>1</v>
      </c>
      <c r="E153" s="130">
        <v>15.75</v>
      </c>
      <c r="F153" s="129">
        <v>1.5625</v>
      </c>
      <c r="G153" s="129">
        <v>2.25</v>
      </c>
      <c r="H153" s="129">
        <v>1.125</v>
      </c>
      <c r="I153" s="130" t="s">
        <v>959</v>
      </c>
      <c r="J153" s="130" t="s">
        <v>959</v>
      </c>
      <c r="K153" s="119">
        <f t="shared" si="16"/>
        <v>3.9375</v>
      </c>
      <c r="L153" s="274">
        <f t="shared" si="17"/>
        <v>1.2001500018242282</v>
      </c>
      <c r="M153" s="274">
        <f t="shared" si="18"/>
        <v>157.00130666908819</v>
      </c>
      <c r="N153">
        <v>105.5</v>
      </c>
    </row>
    <row r="154" spans="2:14" x14ac:dyDescent="0.15">
      <c r="B154" s="18" t="s">
        <v>1297</v>
      </c>
      <c r="C154" s="20">
        <v>7.75</v>
      </c>
      <c r="D154" s="19">
        <v>0.875</v>
      </c>
      <c r="E154" s="20">
        <v>15.75</v>
      </c>
      <c r="F154" s="19">
        <v>1.4375</v>
      </c>
      <c r="G154" s="19">
        <v>2.125</v>
      </c>
      <c r="H154" s="19">
        <v>1.0625</v>
      </c>
      <c r="I154" s="20" t="s">
        <v>959</v>
      </c>
      <c r="J154" s="20" t="s">
        <v>959</v>
      </c>
      <c r="K154" s="119">
        <f t="shared" si="16"/>
        <v>3.9166666666666665</v>
      </c>
      <c r="L154" s="274">
        <f t="shared" si="17"/>
        <v>1.193800001814576</v>
      </c>
      <c r="M154" s="274">
        <f t="shared" si="18"/>
        <v>143.60783027077736</v>
      </c>
      <c r="N154">
        <v>96.5</v>
      </c>
    </row>
    <row r="155" spans="2:14" x14ac:dyDescent="0.15">
      <c r="B155" s="18" t="s">
        <v>1298</v>
      </c>
      <c r="C155" s="20">
        <v>7.625</v>
      </c>
      <c r="D155" s="129">
        <v>0.8125</v>
      </c>
      <c r="E155" s="130">
        <v>15.625</v>
      </c>
      <c r="F155" s="129">
        <v>1.3125</v>
      </c>
      <c r="G155" s="129">
        <v>2</v>
      </c>
      <c r="H155" s="129">
        <v>1.0625</v>
      </c>
      <c r="I155" s="130" t="s">
        <v>959</v>
      </c>
      <c r="J155" s="130" t="s">
        <v>959</v>
      </c>
      <c r="K155" s="119">
        <f t="shared" si="16"/>
        <v>3.875</v>
      </c>
      <c r="L155" s="274">
        <f t="shared" si="17"/>
        <v>1.1811000017952722</v>
      </c>
      <c r="M155" s="274">
        <f t="shared" si="18"/>
        <v>130.95843589459488</v>
      </c>
      <c r="N155">
        <v>88</v>
      </c>
    </row>
    <row r="156" spans="2:14" x14ac:dyDescent="0.15">
      <c r="B156" s="18" t="s">
        <v>1299</v>
      </c>
      <c r="C156" s="20">
        <v>7.5</v>
      </c>
      <c r="D156" s="19">
        <v>0.75</v>
      </c>
      <c r="E156" s="20">
        <v>15.625</v>
      </c>
      <c r="F156" s="19">
        <v>1.1875</v>
      </c>
      <c r="G156" s="19">
        <v>1.875</v>
      </c>
      <c r="H156" s="19">
        <v>1</v>
      </c>
      <c r="I156" s="20" t="s">
        <v>959</v>
      </c>
      <c r="J156" s="20" t="s">
        <v>959</v>
      </c>
      <c r="K156" s="119">
        <f t="shared" si="16"/>
        <v>3.8541666666666665</v>
      </c>
      <c r="L156" s="274">
        <f t="shared" si="17"/>
        <v>1.1747500017856201</v>
      </c>
      <c r="M156" s="274">
        <f t="shared" si="18"/>
        <v>118.30904151841241</v>
      </c>
      <c r="N156">
        <v>79.5</v>
      </c>
    </row>
    <row r="157" spans="2:14" x14ac:dyDescent="0.15">
      <c r="B157" s="186" t="s">
        <v>1300</v>
      </c>
      <c r="C157" s="22">
        <v>7.375</v>
      </c>
      <c r="D157" s="129">
        <v>0.6875</v>
      </c>
      <c r="E157" s="130">
        <v>15.5</v>
      </c>
      <c r="F157" s="129">
        <v>1.0625</v>
      </c>
      <c r="G157" s="129">
        <v>1.75</v>
      </c>
      <c r="H157" s="129">
        <v>1</v>
      </c>
      <c r="I157" s="130" t="s">
        <v>959</v>
      </c>
      <c r="J157" s="130" t="s">
        <v>959</v>
      </c>
      <c r="K157" s="313">
        <f t="shared" si="16"/>
        <v>3.8125</v>
      </c>
      <c r="L157" s="333">
        <f t="shared" si="17"/>
        <v>1.1620500017663162</v>
      </c>
      <c r="M157" s="333">
        <f t="shared" si="18"/>
        <v>107.8918932086151</v>
      </c>
      <c r="N157">
        <v>72.5</v>
      </c>
    </row>
    <row r="158" spans="2:14" x14ac:dyDescent="0.15">
      <c r="B158" s="307"/>
      <c r="C158" s="315"/>
      <c r="D158" s="315"/>
      <c r="E158" s="315"/>
      <c r="F158" s="315"/>
      <c r="G158" s="315"/>
      <c r="H158" s="315"/>
      <c r="I158" s="315"/>
      <c r="J158" s="315"/>
      <c r="K158" s="315"/>
      <c r="L158" s="315"/>
      <c r="M158" s="312"/>
    </row>
    <row r="159" spans="2:14" x14ac:dyDescent="0.15">
      <c r="B159" s="155" t="s">
        <v>1301</v>
      </c>
      <c r="C159" s="156">
        <v>7.375</v>
      </c>
      <c r="D159" s="129">
        <v>0.625</v>
      </c>
      <c r="E159" s="130">
        <v>14.75</v>
      </c>
      <c r="F159" s="129">
        <v>1</v>
      </c>
      <c r="G159" s="129">
        <v>1.6875</v>
      </c>
      <c r="H159" s="129">
        <v>0.9375</v>
      </c>
      <c r="I159" s="130">
        <v>5.5</v>
      </c>
      <c r="J159" s="129">
        <v>3</v>
      </c>
      <c r="K159" s="119">
        <f>((C159-(F159*1))*2+(E159*2)+(F159*2))*12/144</f>
        <v>3.6875</v>
      </c>
      <c r="L159" s="274">
        <f>K159*3.2808399*0.09290304</f>
        <v>1.1239500017084041</v>
      </c>
      <c r="M159" s="274">
        <f t="shared" si="18"/>
        <v>98.218826920946171</v>
      </c>
      <c r="N159">
        <v>66</v>
      </c>
    </row>
    <row r="160" spans="2:14" x14ac:dyDescent="0.15">
      <c r="B160" s="18" t="s">
        <v>1302</v>
      </c>
      <c r="C160" s="20">
        <v>7.25</v>
      </c>
      <c r="D160" s="19">
        <v>0.5625</v>
      </c>
      <c r="E160" s="20">
        <v>14.625</v>
      </c>
      <c r="F160" s="19">
        <v>0.9375</v>
      </c>
      <c r="G160" s="19">
        <v>1.625</v>
      </c>
      <c r="H160" s="19">
        <v>0.9375</v>
      </c>
      <c r="I160" s="20">
        <v>5.5</v>
      </c>
      <c r="J160" s="19">
        <v>3</v>
      </c>
      <c r="K160" s="119">
        <f>((C160-(F160*1))*2+(E160*2)+(F160*2))*12/144</f>
        <v>3.6458333333333335</v>
      </c>
      <c r="L160" s="274">
        <f>K160*3.2808399*0.09290304</f>
        <v>1.1112500016891</v>
      </c>
      <c r="M160" s="274">
        <f t="shared" si="18"/>
        <v>89.289842655405593</v>
      </c>
      <c r="N160">
        <v>60</v>
      </c>
    </row>
    <row r="161" spans="2:14" x14ac:dyDescent="0.15">
      <c r="B161" s="18" t="s">
        <v>1303</v>
      </c>
      <c r="C161" s="20">
        <v>7.125</v>
      </c>
      <c r="D161" s="129">
        <v>0.5</v>
      </c>
      <c r="E161" s="130">
        <v>14.625</v>
      </c>
      <c r="F161" s="129">
        <v>0.875</v>
      </c>
      <c r="G161" s="129">
        <v>1.5625</v>
      </c>
      <c r="H161" s="129">
        <v>0.875</v>
      </c>
      <c r="I161" s="130">
        <v>5.5</v>
      </c>
      <c r="J161" s="129">
        <v>2.75</v>
      </c>
      <c r="K161" s="119">
        <f>((C161-(F161*1))*2+(E161*2)+(F161*2))*12/144</f>
        <v>3.625</v>
      </c>
      <c r="L161" s="274">
        <f>K161*3.2808399*0.09290304</f>
        <v>1.1049000016794481</v>
      </c>
      <c r="M161" s="274">
        <f t="shared" si="18"/>
        <v>81.104940411993425</v>
      </c>
      <c r="N161">
        <v>54.5</v>
      </c>
    </row>
    <row r="162" spans="2:14" x14ac:dyDescent="0.15">
      <c r="B162" s="18" t="s">
        <v>1304</v>
      </c>
      <c r="C162" s="20">
        <v>7.125</v>
      </c>
      <c r="D162" s="19">
        <v>0.5</v>
      </c>
      <c r="E162" s="20">
        <v>14.625</v>
      </c>
      <c r="F162" s="19">
        <v>0.75</v>
      </c>
      <c r="G162" s="19">
        <v>1.4375</v>
      </c>
      <c r="H162" s="19">
        <v>0.875</v>
      </c>
      <c r="I162" s="20">
        <v>5.5</v>
      </c>
      <c r="J162" s="19">
        <v>2.75</v>
      </c>
      <c r="K162" s="119">
        <f>((C162-(F162*1))*2+(E162*2)+(F162*2))*12/144</f>
        <v>3.625</v>
      </c>
      <c r="L162" s="274">
        <f>K162*3.2808399*0.09290304</f>
        <v>1.1049000016794481</v>
      </c>
      <c r="M162" s="274">
        <f t="shared" si="18"/>
        <v>73.664120190709625</v>
      </c>
      <c r="N162">
        <v>49.5</v>
      </c>
    </row>
    <row r="163" spans="2:14" x14ac:dyDescent="0.15">
      <c r="B163" s="186" t="s">
        <v>1305</v>
      </c>
      <c r="C163" s="22">
        <v>7</v>
      </c>
      <c r="D163" s="21">
        <v>0.4375</v>
      </c>
      <c r="E163" s="22">
        <v>14.5</v>
      </c>
      <c r="F163" s="21">
        <v>0.6875</v>
      </c>
      <c r="G163" s="21">
        <v>1.375</v>
      </c>
      <c r="H163" s="21">
        <v>0.875</v>
      </c>
      <c r="I163" s="22">
        <v>5.5</v>
      </c>
      <c r="J163" s="21">
        <v>2.75</v>
      </c>
      <c r="K163" s="313">
        <f>((C163-(F163*1))*2+(E163*2)+(F163*2))*12/144</f>
        <v>3.5833333333333335</v>
      </c>
      <c r="L163" s="333">
        <f>K163*3.2808399*0.09290304</f>
        <v>1.0922000016601441</v>
      </c>
      <c r="M163" s="333">
        <f t="shared" si="18"/>
        <v>66.967381991554205</v>
      </c>
      <c r="N163">
        <v>45</v>
      </c>
    </row>
    <row r="164" spans="2:14" x14ac:dyDescent="0.15">
      <c r="B164" s="307"/>
      <c r="C164" s="315"/>
      <c r="D164" s="315"/>
      <c r="E164" s="315"/>
      <c r="F164" s="315"/>
      <c r="G164" s="315"/>
      <c r="H164" s="315"/>
      <c r="I164" s="315"/>
      <c r="J164" s="315"/>
      <c r="K164" s="315"/>
      <c r="L164" s="315"/>
      <c r="M164" s="317"/>
    </row>
    <row r="165" spans="2:14" x14ac:dyDescent="0.15">
      <c r="B165" s="155" t="s">
        <v>1306</v>
      </c>
      <c r="C165" s="156">
        <v>7.125</v>
      </c>
      <c r="D165" s="131">
        <v>0.5</v>
      </c>
      <c r="E165" s="156">
        <v>10.125</v>
      </c>
      <c r="F165" s="131">
        <v>0.875</v>
      </c>
      <c r="G165" s="131">
        <v>1.625</v>
      </c>
      <c r="H165" s="131">
        <v>1</v>
      </c>
      <c r="I165" s="156">
        <v>5.5</v>
      </c>
      <c r="J165" s="131">
        <v>2.75</v>
      </c>
      <c r="K165" s="119">
        <f>((C165-(F165*1))*2+(E165*2)+(F165*2))*12/144</f>
        <v>2.875</v>
      </c>
      <c r="L165" s="274">
        <f>K165*3.2808399*0.09290304</f>
        <v>0.87630000133197605</v>
      </c>
      <c r="M165" s="274">
        <f t="shared" si="18"/>
        <v>61.014725814527161</v>
      </c>
      <c r="N165">
        <v>41</v>
      </c>
    </row>
    <row r="166" spans="2:14" x14ac:dyDescent="0.15">
      <c r="B166" s="18" t="s">
        <v>1307</v>
      </c>
      <c r="C166" s="20">
        <v>7.125</v>
      </c>
      <c r="D166" s="129">
        <v>0.4375</v>
      </c>
      <c r="E166" s="130">
        <v>10.125</v>
      </c>
      <c r="F166" s="129">
        <v>0.8125</v>
      </c>
      <c r="G166" s="129">
        <v>1.5625</v>
      </c>
      <c r="H166" s="129">
        <v>0.9375</v>
      </c>
      <c r="I166" s="130">
        <v>5.5</v>
      </c>
      <c r="J166" s="129">
        <v>2.75</v>
      </c>
      <c r="K166" s="119">
        <f>((C166-(F166*1))*2+(E166*2)+(F166*2))*12/144</f>
        <v>2.875</v>
      </c>
      <c r="L166" s="274">
        <f>K166*3.2808399*0.09290304</f>
        <v>0.87630000133197605</v>
      </c>
      <c r="M166" s="274">
        <f t="shared" si="18"/>
        <v>55.062069637500123</v>
      </c>
      <c r="N166">
        <v>37</v>
      </c>
    </row>
    <row r="167" spans="2:14" x14ac:dyDescent="0.15">
      <c r="B167" s="18" t="s">
        <v>1308</v>
      </c>
      <c r="C167" s="20">
        <v>7</v>
      </c>
      <c r="D167" s="19">
        <v>0.4375</v>
      </c>
      <c r="E167" s="20">
        <v>10</v>
      </c>
      <c r="F167" s="19">
        <v>0.75</v>
      </c>
      <c r="G167" s="19">
        <v>1.5</v>
      </c>
      <c r="H167" s="19">
        <v>0.9375</v>
      </c>
      <c r="I167" s="20">
        <v>5.5</v>
      </c>
      <c r="J167" s="19">
        <v>2.75</v>
      </c>
      <c r="K167" s="119">
        <f>((C167-(F167*1))*2+(E167*2)+(F167*2))*12/144</f>
        <v>2.8333333333333335</v>
      </c>
      <c r="L167" s="274">
        <f>K167*3.2808399*0.09290304</f>
        <v>0.86360000131267223</v>
      </c>
      <c r="M167" s="274">
        <f t="shared" si="18"/>
        <v>50.597577504729848</v>
      </c>
      <c r="N167">
        <v>34</v>
      </c>
    </row>
    <row r="168" spans="2:14" x14ac:dyDescent="0.15">
      <c r="B168" s="186" t="s">
        <v>1309</v>
      </c>
      <c r="C168" s="22">
        <v>7</v>
      </c>
      <c r="D168" s="21">
        <v>0.375</v>
      </c>
      <c r="E168" s="22">
        <v>10</v>
      </c>
      <c r="F168" s="21">
        <v>0.625</v>
      </c>
      <c r="G168" s="21">
        <v>1.4375</v>
      </c>
      <c r="H168" s="21">
        <v>0.9375</v>
      </c>
      <c r="I168" s="22">
        <v>5.5</v>
      </c>
      <c r="J168" s="21">
        <v>2.75</v>
      </c>
      <c r="K168" s="313">
        <f>((C168-(F168*1))*2+(E168*2)+(F168*2))*12/144</f>
        <v>2.8333333333333335</v>
      </c>
      <c r="L168" s="333">
        <f>K168*3.2808399*0.09290304</f>
        <v>0.86360000131267223</v>
      </c>
      <c r="M168" s="333">
        <f t="shared" si="18"/>
        <v>45.389003349831185</v>
      </c>
      <c r="N168">
        <v>30.5</v>
      </c>
    </row>
    <row r="169" spans="2:14" x14ac:dyDescent="0.15">
      <c r="B169" s="307"/>
      <c r="C169" s="315"/>
      <c r="D169" s="315"/>
      <c r="E169" s="315"/>
      <c r="F169" s="315"/>
      <c r="G169" s="315"/>
      <c r="H169" s="315"/>
      <c r="I169" s="315"/>
      <c r="J169" s="315"/>
      <c r="K169" s="315"/>
      <c r="L169" s="315"/>
      <c r="M169" s="312"/>
    </row>
    <row r="170" spans="2:14" x14ac:dyDescent="0.15">
      <c r="B170" s="155" t="s">
        <v>1310</v>
      </c>
      <c r="C170" s="156">
        <v>7</v>
      </c>
      <c r="D170" s="131">
        <v>0.375</v>
      </c>
      <c r="E170" s="156">
        <v>8</v>
      </c>
      <c r="F170" s="131">
        <v>0.6875</v>
      </c>
      <c r="G170" s="131">
        <v>1.4375</v>
      </c>
      <c r="H170" s="131">
        <v>0.9375</v>
      </c>
      <c r="I170" s="156">
        <v>5.5</v>
      </c>
      <c r="J170" s="131">
        <v>2.75</v>
      </c>
      <c r="K170" s="119">
        <f>((C170-(F170*1))*2+(E170*2)+(F170*2))*12/144</f>
        <v>2.5</v>
      </c>
      <c r="L170" s="274">
        <f>K170*3.2808399*0.09290304</f>
        <v>0.76200000115824007</v>
      </c>
      <c r="M170" s="274">
        <f t="shared" si="18"/>
        <v>39.43634717280414</v>
      </c>
      <c r="N170">
        <v>26.5</v>
      </c>
    </row>
    <row r="171" spans="2:14" x14ac:dyDescent="0.15">
      <c r="B171" s="18" t="s">
        <v>1311</v>
      </c>
      <c r="C171" s="20">
        <v>6.875</v>
      </c>
      <c r="D171" s="129">
        <v>0.3125</v>
      </c>
      <c r="E171" s="130">
        <v>8</v>
      </c>
      <c r="F171" s="129">
        <v>0.625</v>
      </c>
      <c r="G171" s="129">
        <v>1.375</v>
      </c>
      <c r="H171" s="129">
        <v>0.875</v>
      </c>
      <c r="I171" s="130">
        <v>5.5</v>
      </c>
      <c r="J171" s="129">
        <v>2.5</v>
      </c>
      <c r="K171" s="119">
        <f>((C171-(F171*1))*2+(E171*2)+(F171*2))*12/144</f>
        <v>2.4791666666666665</v>
      </c>
      <c r="L171" s="274">
        <f>K171*3.2808399*0.09290304</f>
        <v>0.75565000114858805</v>
      </c>
      <c r="M171" s="274">
        <f t="shared" si="18"/>
        <v>35.71593706216224</v>
      </c>
      <c r="N171">
        <v>24</v>
      </c>
    </row>
    <row r="172" spans="2:14" x14ac:dyDescent="0.15">
      <c r="B172" s="186" t="s">
        <v>1312</v>
      </c>
      <c r="C172" s="22">
        <v>6.875</v>
      </c>
      <c r="D172" s="21">
        <v>0.3125</v>
      </c>
      <c r="E172" s="22">
        <v>8</v>
      </c>
      <c r="F172" s="21">
        <v>0.5</v>
      </c>
      <c r="G172" s="21">
        <v>1.3125</v>
      </c>
      <c r="H172" s="21">
        <v>0.875</v>
      </c>
      <c r="I172" s="22">
        <v>5.5</v>
      </c>
      <c r="J172" s="21">
        <v>2.5</v>
      </c>
      <c r="K172" s="313">
        <f>((C172-(F172*1))*2+(E172*2)+(F172*2))*12/144</f>
        <v>2.4791666666666665</v>
      </c>
      <c r="L172" s="333">
        <f>K172*3.2808399*0.09290304</f>
        <v>0.75565000114858805</v>
      </c>
      <c r="M172" s="333">
        <f t="shared" si="18"/>
        <v>31.99552695152034</v>
      </c>
      <c r="N172">
        <v>21.5</v>
      </c>
    </row>
    <row r="173" spans="2:14" x14ac:dyDescent="0.15">
      <c r="B173" s="307"/>
      <c r="C173" s="315"/>
      <c r="D173" s="315"/>
      <c r="E173" s="315"/>
      <c r="F173" s="315"/>
      <c r="G173" s="315"/>
      <c r="H173" s="315"/>
      <c r="I173" s="315"/>
      <c r="J173" s="315"/>
      <c r="K173" s="315"/>
      <c r="L173" s="315"/>
      <c r="M173" s="312"/>
    </row>
    <row r="174" spans="2:14" x14ac:dyDescent="0.15">
      <c r="B174" s="155" t="s">
        <v>1313</v>
      </c>
      <c r="C174" s="156">
        <v>7</v>
      </c>
      <c r="D174" s="129">
        <v>0.3125</v>
      </c>
      <c r="E174" s="130">
        <v>6.75</v>
      </c>
      <c r="F174" s="129">
        <v>0.5</v>
      </c>
      <c r="G174" s="129">
        <v>1.0625</v>
      </c>
      <c r="H174" s="129">
        <v>0.625</v>
      </c>
      <c r="I174" s="130">
        <v>3.5</v>
      </c>
      <c r="J174" s="129">
        <v>2.5</v>
      </c>
      <c r="K174" s="119">
        <f>((C174-(F174*1))*2+(E174*2)+(F174*2))*12/144</f>
        <v>2.2916666666666665</v>
      </c>
      <c r="L174" s="274">
        <f>K174*3.2808399*0.09290304</f>
        <v>0.69850000106172005</v>
      </c>
      <c r="M174" s="274">
        <f t="shared" si="18"/>
        <v>28.275116840878439</v>
      </c>
      <c r="N174">
        <v>19</v>
      </c>
    </row>
    <row r="175" spans="2:14" x14ac:dyDescent="0.15">
      <c r="B175" s="18" t="s">
        <v>1314</v>
      </c>
      <c r="C175" s="20">
        <v>7</v>
      </c>
      <c r="D175" s="19">
        <v>0.3125</v>
      </c>
      <c r="E175" s="20">
        <v>6.75</v>
      </c>
      <c r="F175" s="19">
        <v>0.4375</v>
      </c>
      <c r="G175" s="19">
        <v>1</v>
      </c>
      <c r="H175" s="19">
        <v>0.625</v>
      </c>
      <c r="I175" s="20">
        <v>3.5</v>
      </c>
      <c r="J175" s="19">
        <v>2.5</v>
      </c>
      <c r="K175" s="119">
        <f>((C175-(F175*1))*2+(E175*2)+(F175*2))*12/144</f>
        <v>2.2916666666666665</v>
      </c>
      <c r="L175" s="274">
        <f>K175*3.2808399*0.09290304</f>
        <v>0.69850000106172005</v>
      </c>
      <c r="M175" s="274">
        <f t="shared" si="18"/>
        <v>25.298788752364924</v>
      </c>
      <c r="N175">
        <v>17</v>
      </c>
    </row>
    <row r="176" spans="2:14" x14ac:dyDescent="0.15">
      <c r="B176" s="186" t="s">
        <v>1315</v>
      </c>
      <c r="C176" s="22">
        <v>6.875</v>
      </c>
      <c r="D176" s="21">
        <v>0.25</v>
      </c>
      <c r="E176" s="22">
        <v>6.75</v>
      </c>
      <c r="F176" s="21">
        <v>0.375</v>
      </c>
      <c r="G176" s="22">
        <v>0.9375</v>
      </c>
      <c r="H176" s="22">
        <v>0.625</v>
      </c>
      <c r="I176" s="22">
        <v>3.5</v>
      </c>
      <c r="J176" s="21">
        <v>2.5</v>
      </c>
      <c r="K176" s="313">
        <f>((C176-(F176*1))*2+(E176*2)+(F176*2))*12/144</f>
        <v>2.2708333333333335</v>
      </c>
      <c r="L176" s="333">
        <f>K176*3.2808399*0.09290304</f>
        <v>0.69215000105206803</v>
      </c>
      <c r="M176" s="333">
        <f t="shared" si="18"/>
        <v>22.322460663851398</v>
      </c>
      <c r="N176">
        <v>15</v>
      </c>
    </row>
    <row r="177" spans="2:14" x14ac:dyDescent="0.15">
      <c r="B177" s="307"/>
      <c r="C177" s="315"/>
      <c r="D177" s="315"/>
      <c r="E177" s="315"/>
      <c r="F177" s="315"/>
      <c r="G177" s="315"/>
      <c r="H177" s="315"/>
      <c r="I177" s="315"/>
      <c r="J177" s="315"/>
      <c r="K177" s="315"/>
      <c r="L177" s="315"/>
      <c r="M177" s="312"/>
    </row>
    <row r="178" spans="2:14" x14ac:dyDescent="0.15">
      <c r="B178" s="155" t="s">
        <v>1316</v>
      </c>
      <c r="C178" s="156">
        <v>7</v>
      </c>
      <c r="D178" s="131">
        <v>0.25</v>
      </c>
      <c r="E178" s="156">
        <v>5</v>
      </c>
      <c r="F178" s="131">
        <v>0.4375</v>
      </c>
      <c r="G178" s="156">
        <v>0.9375</v>
      </c>
      <c r="H178" s="156">
        <v>0.5625</v>
      </c>
      <c r="I178" s="156">
        <v>2.75</v>
      </c>
      <c r="J178" s="131">
        <v>2.5</v>
      </c>
      <c r="K178" s="119">
        <f>((C178-(F178*1))*2+(E178*2)+(F178*2))*12/144</f>
        <v>2</v>
      </c>
      <c r="L178" s="274">
        <f>K178*3.2808399*0.09290304</f>
        <v>0.60960000092659206</v>
      </c>
      <c r="M178" s="274">
        <f t="shared" si="18"/>
        <v>19.346132575337883</v>
      </c>
      <c r="N178">
        <v>13</v>
      </c>
    </row>
    <row r="179" spans="2:14" x14ac:dyDescent="0.15">
      <c r="B179" s="186" t="s">
        <v>1317</v>
      </c>
      <c r="C179" s="22">
        <v>6.875</v>
      </c>
      <c r="D179" s="129">
        <v>0.25</v>
      </c>
      <c r="E179" s="130">
        <v>5</v>
      </c>
      <c r="F179" s="129">
        <v>0.3125</v>
      </c>
      <c r="G179" s="130">
        <v>0.875</v>
      </c>
      <c r="H179" s="130">
        <v>0.5625</v>
      </c>
      <c r="I179" s="130">
        <v>2.75</v>
      </c>
      <c r="J179" s="129">
        <v>2.25</v>
      </c>
      <c r="K179" s="313">
        <f>((C179-(F179*1))*2+(E179*2)+(F179*2))*12/144</f>
        <v>1.9791666666666667</v>
      </c>
      <c r="L179" s="333">
        <f>K179*3.2808399*0.09290304</f>
        <v>0.60325000091694003</v>
      </c>
      <c r="M179" s="333">
        <f t="shared" si="18"/>
        <v>16.369804486824361</v>
      </c>
      <c r="N179">
        <v>11</v>
      </c>
    </row>
    <row r="180" spans="2:14" x14ac:dyDescent="0.15">
      <c r="B180" s="307"/>
      <c r="C180" s="315"/>
      <c r="D180" s="315"/>
      <c r="E180" s="315"/>
      <c r="F180" s="315"/>
      <c r="G180" s="315"/>
      <c r="H180" s="315"/>
      <c r="I180" s="315"/>
      <c r="J180" s="315"/>
      <c r="K180" s="315"/>
      <c r="L180" s="315"/>
      <c r="M180" s="312"/>
    </row>
    <row r="181" spans="2:14" x14ac:dyDescent="0.15">
      <c r="B181" s="155" t="s">
        <v>1318</v>
      </c>
      <c r="C181" s="156">
        <v>8.375</v>
      </c>
      <c r="D181" s="129">
        <v>1.75</v>
      </c>
      <c r="E181" s="130">
        <v>13.375</v>
      </c>
      <c r="F181" s="129">
        <v>2.9375</v>
      </c>
      <c r="G181" s="130">
        <v>3.6875</v>
      </c>
      <c r="H181" s="130">
        <v>1.5</v>
      </c>
      <c r="I181" s="130" t="s">
        <v>959</v>
      </c>
      <c r="J181" s="129" t="s">
        <v>959</v>
      </c>
      <c r="K181" s="119">
        <f t="shared" ref="K181:K197" si="19">((C181-(F181*1))*2+(E181*2)+(F181*2))*12/144</f>
        <v>3.625</v>
      </c>
      <c r="L181" s="274">
        <f t="shared" ref="L181:L197" si="20">K181*3.2808399*0.09290304</f>
        <v>1.1049000016794481</v>
      </c>
      <c r="M181" s="274">
        <f t="shared" si="18"/>
        <v>250.01155943513569</v>
      </c>
      <c r="N181">
        <v>168</v>
      </c>
    </row>
    <row r="182" spans="2:14" x14ac:dyDescent="0.15">
      <c r="B182" s="18" t="s">
        <v>1319</v>
      </c>
      <c r="C182" s="20">
        <v>8.125</v>
      </c>
      <c r="D182" s="19">
        <v>1.625</v>
      </c>
      <c r="E182" s="20">
        <v>13.25</v>
      </c>
      <c r="F182" s="19">
        <v>2.6875</v>
      </c>
      <c r="G182" s="20">
        <v>3.4375</v>
      </c>
      <c r="H182" s="20">
        <v>1.4375</v>
      </c>
      <c r="I182" s="20" t="s">
        <v>959</v>
      </c>
      <c r="J182" s="19" t="s">
        <v>959</v>
      </c>
      <c r="K182" s="119">
        <f t="shared" si="19"/>
        <v>3.5625</v>
      </c>
      <c r="L182" s="274">
        <f t="shared" si="20"/>
        <v>1.0858500016504919</v>
      </c>
      <c r="M182" s="274">
        <f t="shared" si="18"/>
        <v>226.94501674915591</v>
      </c>
      <c r="N182">
        <v>152.5</v>
      </c>
    </row>
    <row r="183" spans="2:14" x14ac:dyDescent="0.15">
      <c r="B183" s="18" t="s">
        <v>1320</v>
      </c>
      <c r="C183" s="20">
        <v>7.875</v>
      </c>
      <c r="D183" s="129">
        <v>1.5</v>
      </c>
      <c r="E183" s="130">
        <v>13.125</v>
      </c>
      <c r="F183" s="129">
        <v>2.5</v>
      </c>
      <c r="G183" s="130">
        <v>3.1875</v>
      </c>
      <c r="H183" s="130">
        <v>1.375</v>
      </c>
      <c r="I183" s="130" t="s">
        <v>959</v>
      </c>
      <c r="J183" s="129" t="s">
        <v>959</v>
      </c>
      <c r="K183" s="119">
        <f t="shared" si="19"/>
        <v>3.5</v>
      </c>
      <c r="L183" s="274">
        <f t="shared" si="20"/>
        <v>1.0668000016215362</v>
      </c>
      <c r="M183" s="274">
        <f t="shared" si="18"/>
        <v>207.59888417381805</v>
      </c>
      <c r="N183">
        <v>139.5</v>
      </c>
    </row>
    <row r="184" spans="2:14" x14ac:dyDescent="0.15">
      <c r="B184" s="18" t="s">
        <v>1321</v>
      </c>
      <c r="C184" s="20">
        <v>7.75</v>
      </c>
      <c r="D184" s="19">
        <v>1.375</v>
      </c>
      <c r="E184" s="20">
        <v>13</v>
      </c>
      <c r="F184" s="19">
        <v>2.25</v>
      </c>
      <c r="G184" s="20">
        <v>2.9375</v>
      </c>
      <c r="H184" s="20">
        <v>1.3125</v>
      </c>
      <c r="I184" s="20" t="s">
        <v>959</v>
      </c>
      <c r="J184" s="19" t="s">
        <v>959</v>
      </c>
      <c r="K184" s="119">
        <f t="shared" si="19"/>
        <v>3.4583333333333335</v>
      </c>
      <c r="L184" s="274">
        <f t="shared" si="20"/>
        <v>1.0541000016022322</v>
      </c>
      <c r="M184" s="274">
        <f t="shared" si="18"/>
        <v>187.50866957635179</v>
      </c>
      <c r="N184">
        <v>126</v>
      </c>
    </row>
    <row r="185" spans="2:14" x14ac:dyDescent="0.15">
      <c r="B185" s="18" t="s">
        <v>1322</v>
      </c>
      <c r="C185" s="20">
        <v>7.5</v>
      </c>
      <c r="D185" s="129">
        <v>1.3125</v>
      </c>
      <c r="E185" s="130">
        <v>12.875</v>
      </c>
      <c r="F185" s="129">
        <v>2.0625</v>
      </c>
      <c r="G185" s="130">
        <v>2.75</v>
      </c>
      <c r="H185" s="130">
        <v>1.25</v>
      </c>
      <c r="I185" s="130" t="s">
        <v>959</v>
      </c>
      <c r="J185" s="129" t="s">
        <v>959</v>
      </c>
      <c r="K185" s="119">
        <f t="shared" si="19"/>
        <v>3.3958333333333335</v>
      </c>
      <c r="L185" s="274">
        <f t="shared" si="20"/>
        <v>1.0350500015732762</v>
      </c>
      <c r="M185" s="274">
        <f t="shared" si="18"/>
        <v>171.13886508952743</v>
      </c>
      <c r="N185">
        <v>115</v>
      </c>
    </row>
    <row r="186" spans="2:14" x14ac:dyDescent="0.15">
      <c r="B186" s="18" t="s">
        <v>1323</v>
      </c>
      <c r="C186" s="20">
        <v>7.375</v>
      </c>
      <c r="D186" s="19">
        <v>1.1875</v>
      </c>
      <c r="E186" s="20">
        <v>12.75</v>
      </c>
      <c r="F186" s="19">
        <v>1.875</v>
      </c>
      <c r="G186" s="20">
        <v>2.625</v>
      </c>
      <c r="H186" s="20">
        <v>1.25</v>
      </c>
      <c r="I186" s="20" t="s">
        <v>959</v>
      </c>
      <c r="J186" s="19" t="s">
        <v>959</v>
      </c>
      <c r="K186" s="119">
        <f t="shared" si="19"/>
        <v>3.3541666666666665</v>
      </c>
      <c r="L186" s="274">
        <f t="shared" si="20"/>
        <v>1.0223500015539722</v>
      </c>
      <c r="M186" s="274">
        <f t="shared" si="18"/>
        <v>156.25722464695983</v>
      </c>
      <c r="N186">
        <v>105</v>
      </c>
    </row>
    <row r="187" spans="2:14" x14ac:dyDescent="0.15">
      <c r="B187" s="18" t="s">
        <v>1324</v>
      </c>
      <c r="C187" s="20">
        <v>7.25</v>
      </c>
      <c r="D187" s="129">
        <v>1.0625</v>
      </c>
      <c r="E187" s="130">
        <v>12.625</v>
      </c>
      <c r="F187" s="129">
        <v>1.75</v>
      </c>
      <c r="G187" s="130">
        <v>2.4375</v>
      </c>
      <c r="H187" s="130">
        <v>1.1875</v>
      </c>
      <c r="I187" s="130" t="s">
        <v>959</v>
      </c>
      <c r="J187" s="129" t="s">
        <v>959</v>
      </c>
      <c r="K187" s="119">
        <f t="shared" si="19"/>
        <v>3.3125</v>
      </c>
      <c r="L187" s="274">
        <f t="shared" si="20"/>
        <v>1.0096500015346681</v>
      </c>
      <c r="M187" s="274">
        <f t="shared" si="18"/>
        <v>141.37558420439223</v>
      </c>
      <c r="N187">
        <v>95</v>
      </c>
    </row>
    <row r="188" spans="2:14" x14ac:dyDescent="0.15">
      <c r="B188" s="18" t="s">
        <v>1325</v>
      </c>
      <c r="C188" s="20">
        <v>7</v>
      </c>
      <c r="D188" s="19">
        <v>0.9375</v>
      </c>
      <c r="E188" s="20">
        <v>12.625</v>
      </c>
      <c r="F188" s="19">
        <v>1.5625</v>
      </c>
      <c r="G188" s="20">
        <v>2.25</v>
      </c>
      <c r="H188" s="20">
        <v>1.125</v>
      </c>
      <c r="I188" s="20" t="s">
        <v>959</v>
      </c>
      <c r="J188" s="19" t="s">
        <v>959</v>
      </c>
      <c r="K188" s="119">
        <f t="shared" si="19"/>
        <v>3.2708333333333335</v>
      </c>
      <c r="L188" s="274">
        <f t="shared" si="20"/>
        <v>0.99695000151536417</v>
      </c>
      <c r="M188" s="274">
        <f t="shared" si="18"/>
        <v>126.49394376182461</v>
      </c>
      <c r="N188">
        <v>85</v>
      </c>
    </row>
    <row r="189" spans="2:14" x14ac:dyDescent="0.15">
      <c r="B189" s="18" t="s">
        <v>1326</v>
      </c>
      <c r="C189" s="20">
        <v>6.875</v>
      </c>
      <c r="D189" s="129">
        <v>0.875</v>
      </c>
      <c r="E189" s="130">
        <v>12.5</v>
      </c>
      <c r="F189" s="129">
        <v>1.375</v>
      </c>
      <c r="G189" s="130">
        <v>2.125</v>
      </c>
      <c r="H189" s="130">
        <v>1.0625</v>
      </c>
      <c r="I189" s="130" t="s">
        <v>959</v>
      </c>
      <c r="J189" s="129" t="s">
        <v>959</v>
      </c>
      <c r="K189" s="119">
        <f t="shared" si="19"/>
        <v>3.2291666666666665</v>
      </c>
      <c r="L189" s="274">
        <f t="shared" si="20"/>
        <v>0.98425000149606012</v>
      </c>
      <c r="M189" s="274">
        <f t="shared" si="18"/>
        <v>113.10046736351376</v>
      </c>
      <c r="N189">
        <v>76</v>
      </c>
    </row>
    <row r="190" spans="2:14" x14ac:dyDescent="0.15">
      <c r="B190" s="18" t="s">
        <v>1327</v>
      </c>
      <c r="C190" s="20">
        <v>6.75</v>
      </c>
      <c r="D190" s="19">
        <v>0.8125</v>
      </c>
      <c r="E190" s="20">
        <v>12.375</v>
      </c>
      <c r="F190" s="19">
        <v>1.25</v>
      </c>
      <c r="G190" s="20">
        <v>1.9375</v>
      </c>
      <c r="H190" s="20">
        <v>1</v>
      </c>
      <c r="I190" s="20" t="s">
        <v>959</v>
      </c>
      <c r="J190" s="19" t="s">
        <v>959</v>
      </c>
      <c r="K190" s="119">
        <f t="shared" si="19"/>
        <v>3.1875</v>
      </c>
      <c r="L190" s="274">
        <f t="shared" si="20"/>
        <v>0.97155000147675608</v>
      </c>
      <c r="M190" s="274">
        <f t="shared" si="18"/>
        <v>101.1951550094597</v>
      </c>
      <c r="N190">
        <v>68</v>
      </c>
    </row>
    <row r="191" spans="2:14" x14ac:dyDescent="0.15">
      <c r="B191" s="18" t="s">
        <v>1328</v>
      </c>
      <c r="C191" s="20">
        <v>6.5</v>
      </c>
      <c r="D191" s="129">
        <v>0.6875</v>
      </c>
      <c r="E191" s="130">
        <v>12.375</v>
      </c>
      <c r="F191" s="129">
        <v>1.125</v>
      </c>
      <c r="G191" s="130">
        <v>1.8125</v>
      </c>
      <c r="H191" s="130">
        <v>1</v>
      </c>
      <c r="I191" s="130">
        <v>5.5</v>
      </c>
      <c r="J191" s="129">
        <v>3</v>
      </c>
      <c r="K191" s="119">
        <f t="shared" si="19"/>
        <v>3.1458333333333335</v>
      </c>
      <c r="L191" s="274">
        <f t="shared" si="20"/>
        <v>0.95885000145745203</v>
      </c>
      <c r="M191" s="274">
        <f t="shared" si="18"/>
        <v>89.289842655405593</v>
      </c>
      <c r="N191">
        <v>60</v>
      </c>
    </row>
    <row r="192" spans="2:14" x14ac:dyDescent="0.15">
      <c r="B192" s="18" t="s">
        <v>1329</v>
      </c>
      <c r="C192" s="20">
        <v>6.5</v>
      </c>
      <c r="D192" s="19">
        <v>0.625</v>
      </c>
      <c r="E192" s="20">
        <v>12.25</v>
      </c>
      <c r="F192" s="19">
        <v>1</v>
      </c>
      <c r="G192" s="20">
        <v>1.6875</v>
      </c>
      <c r="H192" s="20">
        <v>0.9375</v>
      </c>
      <c r="I192" s="20">
        <v>5.5</v>
      </c>
      <c r="J192" s="19">
        <v>3</v>
      </c>
      <c r="K192" s="119">
        <f t="shared" si="19"/>
        <v>3.125</v>
      </c>
      <c r="L192" s="274">
        <f t="shared" si="20"/>
        <v>0.95250000144780012</v>
      </c>
      <c r="M192" s="274">
        <f t="shared" si="18"/>
        <v>78.872694345608281</v>
      </c>
      <c r="N192">
        <v>53</v>
      </c>
    </row>
    <row r="193" spans="2:14" x14ac:dyDescent="0.15">
      <c r="B193" s="18" t="s">
        <v>1330</v>
      </c>
      <c r="C193" s="20">
        <v>6.375</v>
      </c>
      <c r="D193" s="129">
        <v>0.5625</v>
      </c>
      <c r="E193" s="130">
        <v>12.125</v>
      </c>
      <c r="F193" s="129">
        <v>0.875</v>
      </c>
      <c r="G193" s="130">
        <v>1.625</v>
      </c>
      <c r="H193" s="130">
        <v>0.875</v>
      </c>
      <c r="I193" s="130">
        <v>5.5</v>
      </c>
      <c r="J193" s="129">
        <v>3</v>
      </c>
      <c r="K193" s="119">
        <f t="shared" si="19"/>
        <v>3.0833333333333335</v>
      </c>
      <c r="L193" s="274">
        <f t="shared" si="20"/>
        <v>0.93980000142849618</v>
      </c>
      <c r="M193" s="274">
        <f t="shared" si="18"/>
        <v>71.43187412432448</v>
      </c>
      <c r="N193">
        <v>48</v>
      </c>
    </row>
    <row r="194" spans="2:14" x14ac:dyDescent="0.15">
      <c r="B194" s="18" t="s">
        <v>1331</v>
      </c>
      <c r="C194" s="20">
        <v>6.25</v>
      </c>
      <c r="D194" s="19">
        <v>0.5</v>
      </c>
      <c r="E194" s="20">
        <v>12.125</v>
      </c>
      <c r="F194" s="19">
        <v>0.8125</v>
      </c>
      <c r="G194" s="20">
        <v>1.5</v>
      </c>
      <c r="H194" s="20">
        <v>0.875</v>
      </c>
      <c r="I194" s="20">
        <v>5.5</v>
      </c>
      <c r="J194" s="19">
        <v>2.75</v>
      </c>
      <c r="K194" s="119">
        <f t="shared" si="19"/>
        <v>3.0625</v>
      </c>
      <c r="L194" s="274">
        <f t="shared" si="20"/>
        <v>0.93345000141884404</v>
      </c>
      <c r="M194" s="274">
        <f t="shared" si="18"/>
        <v>64.735135925169061</v>
      </c>
      <c r="N194">
        <v>43.5</v>
      </c>
    </row>
    <row r="195" spans="2:14" x14ac:dyDescent="0.15">
      <c r="B195" s="18" t="s">
        <v>1332</v>
      </c>
      <c r="C195" s="20">
        <v>6.25</v>
      </c>
      <c r="D195" s="129">
        <v>0.5</v>
      </c>
      <c r="E195" s="130">
        <v>12.125</v>
      </c>
      <c r="F195" s="129">
        <v>0.75</v>
      </c>
      <c r="G195" s="130">
        <v>1.4375</v>
      </c>
      <c r="H195" s="130">
        <v>0.875</v>
      </c>
      <c r="I195" s="130">
        <v>5.5</v>
      </c>
      <c r="J195" s="129">
        <v>2.75</v>
      </c>
      <c r="K195" s="119">
        <f t="shared" si="19"/>
        <v>3.0625</v>
      </c>
      <c r="L195" s="274">
        <f t="shared" si="20"/>
        <v>0.93345000141884404</v>
      </c>
      <c r="M195" s="274">
        <f t="shared" si="18"/>
        <v>58.782479748142023</v>
      </c>
      <c r="N195">
        <v>39.5</v>
      </c>
    </row>
    <row r="196" spans="2:14" x14ac:dyDescent="0.15">
      <c r="B196" s="18" t="s">
        <v>1333</v>
      </c>
      <c r="C196" s="20">
        <v>6.125</v>
      </c>
      <c r="D196" s="19">
        <v>0.4375</v>
      </c>
      <c r="E196" s="20">
        <v>12</v>
      </c>
      <c r="F196" s="19">
        <v>0.6875</v>
      </c>
      <c r="G196" s="20">
        <v>1.375</v>
      </c>
      <c r="H196" s="20">
        <v>0.875</v>
      </c>
      <c r="I196" s="20">
        <v>5.5</v>
      </c>
      <c r="J196" s="19">
        <v>2.75</v>
      </c>
      <c r="K196" s="119">
        <f t="shared" si="19"/>
        <v>3.0208333333333335</v>
      </c>
      <c r="L196" s="274">
        <f t="shared" si="20"/>
        <v>0.92075000139954022</v>
      </c>
      <c r="M196" s="274">
        <f t="shared" si="18"/>
        <v>53.57390559324336</v>
      </c>
      <c r="N196">
        <v>36</v>
      </c>
    </row>
    <row r="197" spans="2:14" x14ac:dyDescent="0.15">
      <c r="B197" s="186" t="s">
        <v>1334</v>
      </c>
      <c r="C197" s="22">
        <v>6</v>
      </c>
      <c r="D197" s="21">
        <v>0.375</v>
      </c>
      <c r="E197" s="22">
        <v>12</v>
      </c>
      <c r="F197" s="21">
        <v>0.625</v>
      </c>
      <c r="G197" s="22">
        <v>1.3125</v>
      </c>
      <c r="H197" s="22">
        <v>0.8125</v>
      </c>
      <c r="I197" s="22">
        <v>5.5</v>
      </c>
      <c r="J197" s="21">
        <v>2.5</v>
      </c>
      <c r="K197" s="313">
        <f t="shared" si="19"/>
        <v>3</v>
      </c>
      <c r="L197" s="333">
        <f t="shared" si="20"/>
        <v>0.91440000138988808</v>
      </c>
      <c r="M197" s="333">
        <f t="shared" si="18"/>
        <v>48.365331438344704</v>
      </c>
      <c r="N197">
        <v>32.5</v>
      </c>
    </row>
    <row r="198" spans="2:14" x14ac:dyDescent="0.15">
      <c r="B198" s="307"/>
      <c r="C198" s="315"/>
      <c r="D198" s="315"/>
      <c r="E198" s="315"/>
      <c r="F198" s="315"/>
      <c r="G198" s="315"/>
      <c r="H198" s="315"/>
      <c r="I198" s="315"/>
      <c r="J198" s="315"/>
      <c r="K198" s="315" t="s">
        <v>850</v>
      </c>
      <c r="L198" s="315" t="s">
        <v>850</v>
      </c>
      <c r="M198" s="312">
        <f t="shared" si="18"/>
        <v>0</v>
      </c>
    </row>
    <row r="199" spans="2:14" x14ac:dyDescent="0.15">
      <c r="B199" s="155" t="s">
        <v>1335</v>
      </c>
      <c r="C199" s="156">
        <v>6.125</v>
      </c>
      <c r="D199" s="131">
        <v>0.375</v>
      </c>
      <c r="E199" s="156">
        <v>10</v>
      </c>
      <c r="F199" s="131">
        <v>0.625</v>
      </c>
      <c r="G199" s="156">
        <v>1.375</v>
      </c>
      <c r="H199" s="156">
        <v>0.8125</v>
      </c>
      <c r="I199" s="156">
        <v>5.5</v>
      </c>
      <c r="J199" s="131">
        <v>2.75</v>
      </c>
      <c r="K199" s="119">
        <f>((C199-(F199*1))*2+(E199*2)+(F199*2))*12/144</f>
        <v>2.6875</v>
      </c>
      <c r="L199" s="274">
        <f>K199*3.2808399*0.09290304</f>
        <v>0.81915000124510806</v>
      </c>
      <c r="M199" s="274">
        <f t="shared" si="18"/>
        <v>43.156757283446041</v>
      </c>
      <c r="N199">
        <v>29</v>
      </c>
    </row>
    <row r="200" spans="2:14" x14ac:dyDescent="0.15">
      <c r="B200" s="186" t="s">
        <v>1336</v>
      </c>
      <c r="C200" s="22">
        <v>6</v>
      </c>
      <c r="D200" s="21">
        <v>0.375</v>
      </c>
      <c r="E200" s="22">
        <v>10</v>
      </c>
      <c r="F200" s="21">
        <v>0.5625</v>
      </c>
      <c r="G200" s="22">
        <v>1.25</v>
      </c>
      <c r="H200" s="22">
        <v>0.8125</v>
      </c>
      <c r="I200" s="22">
        <v>5.5</v>
      </c>
      <c r="J200" s="21">
        <v>2.5</v>
      </c>
      <c r="K200" s="313">
        <f>((C200-(F200*1))*2+(E200*2)+(F200*2))*12/144</f>
        <v>2.6666666666666665</v>
      </c>
      <c r="L200" s="333">
        <f>K200*3.2808399*0.09290304</f>
        <v>0.81280000123545593</v>
      </c>
      <c r="M200" s="333">
        <f t="shared" si="18"/>
        <v>39.43634717280414</v>
      </c>
      <c r="N200">
        <v>26.5</v>
      </c>
    </row>
    <row r="201" spans="2:14" x14ac:dyDescent="0.15">
      <c r="B201" s="307"/>
      <c r="C201" s="315"/>
      <c r="D201" s="315"/>
      <c r="E201" s="315"/>
      <c r="F201" s="315"/>
      <c r="G201" s="315"/>
      <c r="H201" s="315"/>
      <c r="I201" s="315"/>
      <c r="J201" s="315"/>
      <c r="K201" s="315"/>
      <c r="L201" s="315"/>
      <c r="M201" s="312"/>
    </row>
    <row r="202" spans="2:14" x14ac:dyDescent="0.15">
      <c r="B202" s="155" t="s">
        <v>1337</v>
      </c>
      <c r="C202" s="156">
        <v>6.125</v>
      </c>
      <c r="D202" s="131">
        <v>0.375</v>
      </c>
      <c r="E202" s="156">
        <v>8.125</v>
      </c>
      <c r="F202" s="131">
        <v>0.625</v>
      </c>
      <c r="G202" s="156">
        <v>1.375</v>
      </c>
      <c r="H202" s="156">
        <v>0.8125</v>
      </c>
      <c r="I202" s="156">
        <v>5.5</v>
      </c>
      <c r="J202" s="131">
        <v>2.75</v>
      </c>
      <c r="K202" s="119">
        <f>((C202-(F202*1))*2+(E202*2)+(F202*2))*12/144</f>
        <v>2.375</v>
      </c>
      <c r="L202" s="274">
        <f>K202*3.2808399*0.09290304</f>
        <v>0.72390000110032804</v>
      </c>
      <c r="M202" s="274">
        <f t="shared" si="18"/>
        <v>37.204101106419003</v>
      </c>
      <c r="N202">
        <v>25</v>
      </c>
    </row>
    <row r="203" spans="2:14" x14ac:dyDescent="0.15">
      <c r="B203" s="18" t="s">
        <v>1338</v>
      </c>
      <c r="C203" s="20">
        <v>6</v>
      </c>
      <c r="D203" s="129">
        <v>0.3125</v>
      </c>
      <c r="E203" s="130">
        <v>8</v>
      </c>
      <c r="F203" s="129">
        <v>0.5625</v>
      </c>
      <c r="G203" s="130">
        <v>1.25</v>
      </c>
      <c r="H203" s="130">
        <v>0.8125</v>
      </c>
      <c r="I203" s="130">
        <v>5.5</v>
      </c>
      <c r="J203" s="129">
        <v>2.5</v>
      </c>
      <c r="K203" s="119">
        <f>((C203-(F203*1))*2+(E203*2)+(F203*2))*12/144</f>
        <v>2.3333333333333335</v>
      </c>
      <c r="L203" s="274">
        <f>K203*3.2808399*0.09290304</f>
        <v>0.7112000010810241</v>
      </c>
      <c r="M203" s="274">
        <f t="shared" si="18"/>
        <v>33.483690995777103</v>
      </c>
      <c r="N203">
        <v>22.5</v>
      </c>
    </row>
    <row r="204" spans="2:14" x14ac:dyDescent="0.15">
      <c r="B204" s="186" t="s">
        <v>1339</v>
      </c>
      <c r="C204" s="22">
        <v>6</v>
      </c>
      <c r="D204" s="21">
        <v>0.3125</v>
      </c>
      <c r="E204" s="22">
        <v>8</v>
      </c>
      <c r="F204" s="21">
        <v>0.5</v>
      </c>
      <c r="G204" s="22">
        <v>1.25</v>
      </c>
      <c r="H204" s="22">
        <v>0.75</v>
      </c>
      <c r="I204" s="22">
        <v>5.5</v>
      </c>
      <c r="J204" s="21">
        <v>2.5</v>
      </c>
      <c r="K204" s="313">
        <f>((C204-(F204*1))*2+(E204*2)+(F204*2))*12/144</f>
        <v>2.3333333333333335</v>
      </c>
      <c r="L204" s="333">
        <f>K204*3.2808399*0.09290304</f>
        <v>0.7112000010810241</v>
      </c>
      <c r="M204" s="333">
        <f t="shared" si="18"/>
        <v>29.763280885135202</v>
      </c>
      <c r="N204">
        <v>20</v>
      </c>
    </row>
    <row r="205" spans="2:14" x14ac:dyDescent="0.15">
      <c r="B205" s="307"/>
      <c r="C205" s="315"/>
      <c r="D205" s="315"/>
      <c r="E205" s="315"/>
      <c r="F205" s="315"/>
      <c r="G205" s="315"/>
      <c r="H205" s="315"/>
      <c r="I205" s="315"/>
      <c r="J205" s="315"/>
      <c r="K205" s="315"/>
      <c r="L205" s="315"/>
      <c r="M205" s="312"/>
    </row>
    <row r="206" spans="2:14" x14ac:dyDescent="0.15">
      <c r="B206" s="155" t="s">
        <v>1340</v>
      </c>
      <c r="C206" s="156">
        <v>6.25</v>
      </c>
      <c r="D206" s="129">
        <v>0.3125</v>
      </c>
      <c r="E206" s="130">
        <v>6.5</v>
      </c>
      <c r="F206" s="129">
        <v>0.5</v>
      </c>
      <c r="G206" s="130">
        <v>1</v>
      </c>
      <c r="H206" s="130">
        <v>0.5625</v>
      </c>
      <c r="I206" s="130">
        <v>3.5</v>
      </c>
      <c r="J206" s="129">
        <v>2.5</v>
      </c>
      <c r="K206" s="119">
        <f>((C206-(F206*1))*2+(E206*2)+(F206*2))*12/144</f>
        <v>2.125</v>
      </c>
      <c r="L206" s="274">
        <f>K206*3.2808399*0.09290304</f>
        <v>0.64770000098450409</v>
      </c>
      <c r="M206" s="274">
        <f t="shared" si="18"/>
        <v>26.042870774493302</v>
      </c>
      <c r="N206">
        <v>17.5</v>
      </c>
    </row>
    <row r="207" spans="2:14" x14ac:dyDescent="0.15">
      <c r="B207" s="18" t="s">
        <v>1341</v>
      </c>
      <c r="C207" s="20">
        <v>6.125</v>
      </c>
      <c r="D207" s="19">
        <v>0.25</v>
      </c>
      <c r="E207" s="20">
        <v>6.5</v>
      </c>
      <c r="F207" s="19">
        <v>0.4375</v>
      </c>
      <c r="G207" s="20">
        <v>0.9375</v>
      </c>
      <c r="H207" s="20">
        <v>0.5</v>
      </c>
      <c r="I207" s="20">
        <v>3.5</v>
      </c>
      <c r="J207" s="19">
        <v>2.5</v>
      </c>
      <c r="K207" s="119">
        <f>((C207-(F207*1))*2+(E207*2)+(F207*2))*12/144</f>
        <v>2.1041666666666665</v>
      </c>
      <c r="L207" s="274">
        <f>K207*3.2808399*0.09290304</f>
        <v>0.64135000097485206</v>
      </c>
      <c r="M207" s="274">
        <f t="shared" si="18"/>
        <v>22.322460663851398</v>
      </c>
      <c r="N207">
        <v>15</v>
      </c>
    </row>
    <row r="208" spans="2:14" x14ac:dyDescent="0.15">
      <c r="B208" s="186" t="s">
        <v>1342</v>
      </c>
      <c r="C208" s="22">
        <v>6.125</v>
      </c>
      <c r="D208" s="21">
        <v>0.25</v>
      </c>
      <c r="E208" s="22">
        <v>6.5</v>
      </c>
      <c r="F208" s="21">
        <v>0.375</v>
      </c>
      <c r="G208" s="22">
        <v>0.875</v>
      </c>
      <c r="H208" s="22">
        <v>0.5</v>
      </c>
      <c r="I208" s="22">
        <v>3.5</v>
      </c>
      <c r="J208" s="21">
        <v>2.5</v>
      </c>
      <c r="K208" s="313">
        <f>((C208-(F208*1))*2+(E208*2)+(F208*2))*12/144</f>
        <v>2.1041666666666665</v>
      </c>
      <c r="L208" s="333">
        <f>K208*3.2808399*0.09290304</f>
        <v>0.64135000097485206</v>
      </c>
      <c r="M208" s="333">
        <f t="shared" si="18"/>
        <v>19.346132575337883</v>
      </c>
      <c r="N208">
        <v>13</v>
      </c>
    </row>
    <row r="209" spans="2:14" x14ac:dyDescent="0.15">
      <c r="B209" s="307"/>
      <c r="C209" s="315"/>
      <c r="D209" s="315"/>
      <c r="E209" s="315"/>
      <c r="F209" s="315"/>
      <c r="G209" s="315"/>
      <c r="H209" s="315"/>
      <c r="I209" s="315"/>
      <c r="J209" s="315"/>
      <c r="K209" s="315"/>
      <c r="L209" s="315"/>
      <c r="M209" s="312"/>
    </row>
    <row r="210" spans="2:14" x14ac:dyDescent="0.15">
      <c r="B210" s="155" t="s">
        <v>1343</v>
      </c>
      <c r="C210" s="156">
        <v>6.125</v>
      </c>
      <c r="D210" s="131">
        <v>0.25</v>
      </c>
      <c r="E210" s="156">
        <v>4</v>
      </c>
      <c r="F210" s="131">
        <v>0.4375</v>
      </c>
      <c r="G210" s="156">
        <v>0.875</v>
      </c>
      <c r="H210" s="156">
        <v>0.5</v>
      </c>
      <c r="I210" s="156">
        <v>2.25</v>
      </c>
      <c r="J210" s="131">
        <v>2.5</v>
      </c>
      <c r="K210" s="119">
        <f>((C210-(F210*1))*2+(E210*2)+(F210*2))*12/144</f>
        <v>1.6875</v>
      </c>
      <c r="L210" s="274">
        <f>K210*3.2808399*0.09290304</f>
        <v>0.51435000078181203</v>
      </c>
      <c r="M210" s="274">
        <f t="shared" si="18"/>
        <v>16.369804486824361</v>
      </c>
      <c r="N210">
        <v>11</v>
      </c>
    </row>
    <row r="211" spans="2:14" x14ac:dyDescent="0.15">
      <c r="B211" s="18" t="s">
        <v>1344</v>
      </c>
      <c r="C211" s="20">
        <v>6.125</v>
      </c>
      <c r="D211" s="129">
        <v>0.25</v>
      </c>
      <c r="E211" s="130">
        <v>4</v>
      </c>
      <c r="F211" s="129">
        <v>0.375</v>
      </c>
      <c r="G211" s="130">
        <v>0.8125</v>
      </c>
      <c r="H211" s="130">
        <v>0.5</v>
      </c>
      <c r="I211" s="130">
        <v>2.25</v>
      </c>
      <c r="J211" s="129">
        <v>2.25</v>
      </c>
      <c r="K211" s="119">
        <f>((C211-(F211*1))*2+(E211*2)+(F211*2))*12/144</f>
        <v>1.6875</v>
      </c>
      <c r="L211" s="274">
        <f>K211*3.2808399*0.09290304</f>
        <v>0.51435000078181203</v>
      </c>
      <c r="M211" s="274">
        <f t="shared" ref="M211:M265" si="21">N211*3.2808399*0.4535924</f>
        <v>14.13755842043922</v>
      </c>
      <c r="N211">
        <v>9.5</v>
      </c>
    </row>
    <row r="212" spans="2:14" x14ac:dyDescent="0.15">
      <c r="B212" s="18" t="s">
        <v>1345</v>
      </c>
      <c r="C212" s="20">
        <v>6</v>
      </c>
      <c r="D212" s="19">
        <v>0.25</v>
      </c>
      <c r="E212" s="20">
        <v>4</v>
      </c>
      <c r="F212" s="19">
        <v>0.25</v>
      </c>
      <c r="G212" s="20">
        <v>0.75</v>
      </c>
      <c r="H212" s="20">
        <v>0.5</v>
      </c>
      <c r="I212" s="20">
        <v>2.25</v>
      </c>
      <c r="J212" s="19">
        <v>2.25</v>
      </c>
      <c r="K212" s="119">
        <f>((C212-(F212*1))*2+(E212*2)+(F212*2))*12/144</f>
        <v>1.6666666666666667</v>
      </c>
      <c r="L212" s="274">
        <f>K212*3.2808399*0.09290304</f>
        <v>0.50800000077216012</v>
      </c>
      <c r="M212" s="274">
        <f t="shared" si="21"/>
        <v>11.905312354054081</v>
      </c>
      <c r="N212">
        <v>8</v>
      </c>
    </row>
    <row r="213" spans="2:14" x14ac:dyDescent="0.15">
      <c r="B213" s="186" t="s">
        <v>1346</v>
      </c>
      <c r="C213" s="22">
        <v>6</v>
      </c>
      <c r="D213" s="129">
        <v>0.1875</v>
      </c>
      <c r="E213" s="130">
        <v>4</v>
      </c>
      <c r="F213" s="129">
        <v>0.25</v>
      </c>
      <c r="G213" s="130">
        <v>0.6875</v>
      </c>
      <c r="H213" s="130">
        <v>0.5</v>
      </c>
      <c r="I213" s="130">
        <v>2.25</v>
      </c>
      <c r="J213" s="129">
        <v>2.25</v>
      </c>
      <c r="K213" s="313">
        <f>((C213-(F213*1))*2+(E213*2)+(F213*2))*12/144</f>
        <v>1.6666666666666667</v>
      </c>
      <c r="L213" s="333">
        <f>K213*3.2808399*0.09290304</f>
        <v>0.50800000077216012</v>
      </c>
      <c r="M213" s="333">
        <f t="shared" si="21"/>
        <v>10.417148309797321</v>
      </c>
      <c r="N213">
        <v>7</v>
      </c>
    </row>
    <row r="214" spans="2:14" x14ac:dyDescent="0.15">
      <c r="B214" s="307"/>
      <c r="C214" s="315"/>
      <c r="D214" s="315"/>
      <c r="E214" s="315"/>
      <c r="F214" s="315"/>
      <c r="G214" s="315"/>
      <c r="H214" s="315"/>
      <c r="I214" s="315"/>
      <c r="J214" s="315"/>
      <c r="K214" s="315"/>
      <c r="L214" s="315"/>
      <c r="M214" s="312"/>
    </row>
    <row r="215" spans="2:14" x14ac:dyDescent="0.15">
      <c r="B215" s="155" t="s">
        <v>1347</v>
      </c>
      <c r="C215" s="156">
        <v>5.625</v>
      </c>
      <c r="D215" s="129">
        <v>0.75</v>
      </c>
      <c r="E215" s="130">
        <v>10.375</v>
      </c>
      <c r="F215" s="129">
        <v>1.25</v>
      </c>
      <c r="G215" s="130">
        <v>1.875</v>
      </c>
      <c r="H215" s="130">
        <v>0.9375</v>
      </c>
      <c r="I215" s="130" t="s">
        <v>959</v>
      </c>
      <c r="J215" s="129" t="s">
        <v>959</v>
      </c>
      <c r="K215" s="119">
        <f t="shared" ref="K215:K222" si="22">((C215-(F215*1))*2+(E215*2)+(F215*2))*12/144</f>
        <v>2.6666666666666665</v>
      </c>
      <c r="L215" s="274">
        <f t="shared" ref="L215:L222" si="23">K215*3.2808399*0.09290304</f>
        <v>0.81280000123545593</v>
      </c>
      <c r="M215" s="274">
        <f t="shared" si="21"/>
        <v>83.33718647837857</v>
      </c>
      <c r="N215">
        <v>56</v>
      </c>
    </row>
    <row r="216" spans="2:14" x14ac:dyDescent="0.15">
      <c r="B216" s="18" t="s">
        <v>1348</v>
      </c>
      <c r="C216" s="20">
        <v>5.5</v>
      </c>
      <c r="D216" s="19">
        <v>0.6875</v>
      </c>
      <c r="E216" s="20">
        <v>10.375</v>
      </c>
      <c r="F216" s="19">
        <v>1.125</v>
      </c>
      <c r="G216" s="20">
        <v>1.75</v>
      </c>
      <c r="H216" s="20">
        <v>0.875</v>
      </c>
      <c r="I216" s="20" t="s">
        <v>959</v>
      </c>
      <c r="J216" s="19" t="s">
        <v>959</v>
      </c>
      <c r="K216" s="119">
        <f t="shared" si="22"/>
        <v>2.6458333333333335</v>
      </c>
      <c r="L216" s="274">
        <f t="shared" si="23"/>
        <v>0.80645000122580401</v>
      </c>
      <c r="M216" s="274">
        <f t="shared" si="21"/>
        <v>74.408202212838006</v>
      </c>
      <c r="N216">
        <v>50</v>
      </c>
    </row>
    <row r="217" spans="2:14" x14ac:dyDescent="0.15">
      <c r="B217" s="18" t="s">
        <v>1349</v>
      </c>
      <c r="C217" s="20">
        <v>5.375</v>
      </c>
      <c r="D217" s="129">
        <v>0.625</v>
      </c>
      <c r="E217" s="130">
        <v>10.25</v>
      </c>
      <c r="F217" s="129">
        <v>1</v>
      </c>
      <c r="G217" s="130">
        <v>1.625</v>
      </c>
      <c r="H217" s="130">
        <v>0.8125</v>
      </c>
      <c r="I217" s="130">
        <v>5.5</v>
      </c>
      <c r="J217" s="129">
        <v>2.75</v>
      </c>
      <c r="K217" s="119">
        <f t="shared" si="22"/>
        <v>2.6041666666666665</v>
      </c>
      <c r="L217" s="274">
        <f t="shared" si="23"/>
        <v>0.79375000120650008</v>
      </c>
      <c r="M217" s="274">
        <f t="shared" si="21"/>
        <v>65.479217947297442</v>
      </c>
      <c r="N217">
        <v>44</v>
      </c>
    </row>
    <row r="218" spans="2:14" x14ac:dyDescent="0.15">
      <c r="B218" s="18" t="s">
        <v>1350</v>
      </c>
      <c r="C218" s="20">
        <v>5.25</v>
      </c>
      <c r="D218" s="19">
        <v>0.5</v>
      </c>
      <c r="E218" s="20">
        <v>10.25</v>
      </c>
      <c r="F218" s="19">
        <v>0.875</v>
      </c>
      <c r="G218" s="20">
        <v>1.5</v>
      </c>
      <c r="H218" s="20">
        <v>0.8125</v>
      </c>
      <c r="I218" s="20">
        <v>5.5</v>
      </c>
      <c r="J218" s="19">
        <v>2.75</v>
      </c>
      <c r="K218" s="119">
        <f t="shared" si="22"/>
        <v>2.5833333333333335</v>
      </c>
      <c r="L218" s="274">
        <f t="shared" si="23"/>
        <v>0.78740000119684816</v>
      </c>
      <c r="M218" s="274">
        <f t="shared" si="21"/>
        <v>57.294315703885268</v>
      </c>
      <c r="N218">
        <v>38.5</v>
      </c>
    </row>
    <row r="219" spans="2:14" x14ac:dyDescent="0.15">
      <c r="B219" s="18" t="s">
        <v>1351</v>
      </c>
      <c r="C219" s="20">
        <v>5.25</v>
      </c>
      <c r="D219" s="129">
        <v>0.5</v>
      </c>
      <c r="E219" s="130">
        <v>10.125</v>
      </c>
      <c r="F219" s="129">
        <v>0.75</v>
      </c>
      <c r="G219" s="130">
        <v>1.375</v>
      </c>
      <c r="H219" s="130">
        <v>0.75</v>
      </c>
      <c r="I219" s="130">
        <v>5.5</v>
      </c>
      <c r="J219" s="129">
        <v>2.75</v>
      </c>
      <c r="K219" s="119">
        <f t="shared" si="22"/>
        <v>2.5625</v>
      </c>
      <c r="L219" s="274">
        <f t="shared" si="23"/>
        <v>0.78105000118719603</v>
      </c>
      <c r="M219" s="274">
        <f t="shared" si="21"/>
        <v>50.597577504729848</v>
      </c>
      <c r="N219">
        <v>34</v>
      </c>
    </row>
    <row r="220" spans="2:14" x14ac:dyDescent="0.15">
      <c r="B220" s="18" t="s">
        <v>1352</v>
      </c>
      <c r="C220" s="20">
        <v>5.125</v>
      </c>
      <c r="D220" s="19">
        <v>0.4375</v>
      </c>
      <c r="E220" s="20">
        <v>10.125</v>
      </c>
      <c r="F220" s="19">
        <v>0.6875</v>
      </c>
      <c r="G220" s="20">
        <v>1.3125</v>
      </c>
      <c r="H220" s="20">
        <v>0.75</v>
      </c>
      <c r="I220" s="20">
        <v>5.5</v>
      </c>
      <c r="J220" s="19">
        <v>2.5</v>
      </c>
      <c r="K220" s="119">
        <f t="shared" si="22"/>
        <v>2.5416666666666665</v>
      </c>
      <c r="L220" s="274">
        <f t="shared" si="23"/>
        <v>0.77470000117754412</v>
      </c>
      <c r="M220" s="274">
        <f t="shared" si="21"/>
        <v>44.644921327702797</v>
      </c>
      <c r="N220">
        <v>30</v>
      </c>
    </row>
    <row r="221" spans="2:14" x14ac:dyDescent="0.15">
      <c r="B221" s="18" t="s">
        <v>1353</v>
      </c>
      <c r="C221" s="20">
        <v>5</v>
      </c>
      <c r="D221" s="129">
        <v>0.375</v>
      </c>
      <c r="E221" s="130">
        <v>10</v>
      </c>
      <c r="F221" s="129">
        <v>0.625</v>
      </c>
      <c r="G221" s="130">
        <v>1.25</v>
      </c>
      <c r="H221" s="130">
        <v>0.6875</v>
      </c>
      <c r="I221" s="130">
        <v>5.5</v>
      </c>
      <c r="J221" s="129">
        <v>2.5</v>
      </c>
      <c r="K221" s="119">
        <f t="shared" si="22"/>
        <v>2.5</v>
      </c>
      <c r="L221" s="274">
        <f t="shared" si="23"/>
        <v>0.76200000115824007</v>
      </c>
      <c r="M221" s="274">
        <f t="shared" si="21"/>
        <v>40.180429194932522</v>
      </c>
      <c r="N221">
        <v>27</v>
      </c>
    </row>
    <row r="222" spans="2:14" x14ac:dyDescent="0.15">
      <c r="B222" s="186" t="s">
        <v>1354</v>
      </c>
      <c r="C222" s="22">
        <v>5</v>
      </c>
      <c r="D222" s="21">
        <v>0.3125</v>
      </c>
      <c r="E222" s="22">
        <v>10</v>
      </c>
      <c r="F222" s="21">
        <v>0.5625</v>
      </c>
      <c r="G222" s="22">
        <v>1.1875</v>
      </c>
      <c r="H222" s="22">
        <v>0.6875</v>
      </c>
      <c r="I222" s="22">
        <v>5.5</v>
      </c>
      <c r="J222" s="21">
        <v>2.5</v>
      </c>
      <c r="K222" s="313">
        <f t="shared" si="22"/>
        <v>2.5</v>
      </c>
      <c r="L222" s="333">
        <f t="shared" si="23"/>
        <v>0.76200000115824007</v>
      </c>
      <c r="M222" s="333">
        <f t="shared" si="21"/>
        <v>36.460019084290622</v>
      </c>
      <c r="N222">
        <v>24.5</v>
      </c>
    </row>
    <row r="223" spans="2:14" x14ac:dyDescent="0.15">
      <c r="B223" s="307"/>
      <c r="C223" s="315"/>
      <c r="D223" s="315"/>
      <c r="E223" s="315"/>
      <c r="F223" s="315"/>
      <c r="G223" s="315"/>
      <c r="H223" s="315"/>
      <c r="I223" s="315"/>
      <c r="J223" s="315"/>
      <c r="K223" s="315"/>
      <c r="L223" s="315"/>
      <c r="M223" s="312"/>
    </row>
    <row r="224" spans="2:14" x14ac:dyDescent="0.15">
      <c r="B224" s="155" t="s">
        <v>1355</v>
      </c>
      <c r="C224" s="156">
        <v>5</v>
      </c>
      <c r="D224" s="129">
        <v>0.375</v>
      </c>
      <c r="E224" s="130">
        <v>8</v>
      </c>
      <c r="F224" s="129">
        <v>0.625</v>
      </c>
      <c r="G224" s="130">
        <v>1.25</v>
      </c>
      <c r="H224" s="130">
        <v>0.6875</v>
      </c>
      <c r="I224" s="130">
        <v>5.5</v>
      </c>
      <c r="J224" s="129">
        <v>2.5</v>
      </c>
      <c r="K224" s="119">
        <f>((C224-(F224*1))*2+(E224*2)+(F224*2))*12/144</f>
        <v>2.1666666666666665</v>
      </c>
      <c r="L224" s="274">
        <f>K224*3.2808399*0.09290304</f>
        <v>0.66040000100380802</v>
      </c>
      <c r="M224" s="274">
        <f t="shared" si="21"/>
        <v>33.483690995777103</v>
      </c>
      <c r="N224">
        <v>22.5</v>
      </c>
    </row>
    <row r="225" spans="2:14" x14ac:dyDescent="0.15">
      <c r="B225" s="18" t="s">
        <v>1356</v>
      </c>
      <c r="C225" s="20">
        <v>5</v>
      </c>
      <c r="D225" s="19">
        <v>0.3125</v>
      </c>
      <c r="E225" s="20">
        <v>8</v>
      </c>
      <c r="F225" s="19">
        <v>0.5</v>
      </c>
      <c r="G225" s="20">
        <v>1.125</v>
      </c>
      <c r="H225" s="20">
        <v>0.6875</v>
      </c>
      <c r="I225" s="20">
        <v>5.5</v>
      </c>
      <c r="J225" s="19">
        <v>2.5</v>
      </c>
      <c r="K225" s="119">
        <f>((C225-(F225*1))*2+(E225*2)+(F225*2))*12/144</f>
        <v>2.1666666666666665</v>
      </c>
      <c r="L225" s="274">
        <f>K225*3.2808399*0.09290304</f>
        <v>0.66040000100380802</v>
      </c>
      <c r="M225" s="274">
        <f t="shared" si="21"/>
        <v>29.019198863006821</v>
      </c>
      <c r="N225">
        <v>19.5</v>
      </c>
    </row>
    <row r="226" spans="2:14" x14ac:dyDescent="0.15">
      <c r="B226" s="186" t="s">
        <v>1357</v>
      </c>
      <c r="C226" s="22">
        <v>4.875</v>
      </c>
      <c r="D226" s="21">
        <v>0.3125</v>
      </c>
      <c r="E226" s="22">
        <v>8</v>
      </c>
      <c r="F226" s="21">
        <v>0.4375</v>
      </c>
      <c r="G226" s="22">
        <v>1.0625</v>
      </c>
      <c r="H226" s="22">
        <v>0.6875</v>
      </c>
      <c r="I226" s="22">
        <v>5.5</v>
      </c>
      <c r="J226" s="21">
        <v>2.25</v>
      </c>
      <c r="K226" s="313">
        <f>((C226-(F226*1))*2+(E226*2)+(F226*2))*12/144</f>
        <v>2.1458333333333335</v>
      </c>
      <c r="L226" s="333">
        <f>K226*3.2808399*0.09290304</f>
        <v>0.65405000099415611</v>
      </c>
      <c r="M226" s="333">
        <f t="shared" si="21"/>
        <v>24.554706730236543</v>
      </c>
      <c r="N226">
        <v>16.5</v>
      </c>
    </row>
    <row r="227" spans="2:14" x14ac:dyDescent="0.15">
      <c r="B227" s="307"/>
      <c r="C227" s="315"/>
      <c r="D227" s="315"/>
      <c r="E227" s="315"/>
      <c r="F227" s="315"/>
      <c r="G227" s="315"/>
      <c r="H227" s="315"/>
      <c r="I227" s="315"/>
      <c r="J227" s="315"/>
      <c r="K227" s="315"/>
      <c r="L227" s="315"/>
      <c r="M227" s="312"/>
    </row>
    <row r="228" spans="2:14" x14ac:dyDescent="0.15">
      <c r="B228" s="155" t="s">
        <v>1358</v>
      </c>
      <c r="C228" s="156">
        <v>5.25</v>
      </c>
      <c r="D228" s="131">
        <v>0.3125</v>
      </c>
      <c r="E228" s="156">
        <v>5.75</v>
      </c>
      <c r="F228" s="131">
        <v>0.5</v>
      </c>
      <c r="G228" s="156">
        <v>0.9375</v>
      </c>
      <c r="H228" s="156">
        <v>0.5</v>
      </c>
      <c r="I228" s="156">
        <v>2.75</v>
      </c>
      <c r="J228" s="131">
        <v>2.5</v>
      </c>
      <c r="K228" s="119">
        <f>((C228-(F228*1))*2+(E228*2)+(F228*2))*12/144</f>
        <v>1.8333333333333333</v>
      </c>
      <c r="L228" s="274">
        <f>K228*3.2808399*0.09290304</f>
        <v>0.55880000084937598</v>
      </c>
      <c r="M228" s="274">
        <f t="shared" si="21"/>
        <v>22.322460663851398</v>
      </c>
      <c r="N228">
        <v>15</v>
      </c>
    </row>
    <row r="229" spans="2:14" x14ac:dyDescent="0.15">
      <c r="B229" s="18" t="s">
        <v>1359</v>
      </c>
      <c r="C229" s="20">
        <v>5.125</v>
      </c>
      <c r="D229" s="129">
        <v>0.25</v>
      </c>
      <c r="E229" s="130">
        <v>5.75</v>
      </c>
      <c r="F229" s="129">
        <v>0.4375</v>
      </c>
      <c r="G229" s="130">
        <v>0.875</v>
      </c>
      <c r="H229" s="130">
        <v>0.5</v>
      </c>
      <c r="I229" s="130">
        <v>2.75</v>
      </c>
      <c r="J229" s="129">
        <v>2.25</v>
      </c>
      <c r="K229" s="119">
        <f>((C229-(F229*1))*2+(E229*2)+(F229*2))*12/144</f>
        <v>1.8125</v>
      </c>
      <c r="L229" s="274">
        <f>K229*3.2808399*0.09290304</f>
        <v>0.55245000083972406</v>
      </c>
      <c r="M229" s="274">
        <f t="shared" si="21"/>
        <v>19.346132575337883</v>
      </c>
      <c r="N229">
        <v>13</v>
      </c>
    </row>
    <row r="230" spans="2:14" x14ac:dyDescent="0.15">
      <c r="B230" s="186" t="s">
        <v>1360</v>
      </c>
      <c r="C230" s="22">
        <v>5.125</v>
      </c>
      <c r="D230" s="21">
        <v>0.25</v>
      </c>
      <c r="E230" s="22">
        <v>5.75</v>
      </c>
      <c r="F230" s="21">
        <v>0.375</v>
      </c>
      <c r="G230" s="22">
        <v>0.75</v>
      </c>
      <c r="H230" s="22">
        <v>0.5</v>
      </c>
      <c r="I230" s="22">
        <v>2.75</v>
      </c>
      <c r="J230" s="21">
        <v>2.25</v>
      </c>
      <c r="K230" s="313">
        <f>((C230-(F230*1))*2+(E230*2)+(F230*2))*12/144</f>
        <v>1.8125</v>
      </c>
      <c r="L230" s="333">
        <f>K230*3.2808399*0.09290304</f>
        <v>0.55245000083972406</v>
      </c>
      <c r="M230" s="333">
        <f t="shared" si="21"/>
        <v>16.369804486824361</v>
      </c>
      <c r="N230">
        <v>11</v>
      </c>
    </row>
    <row r="231" spans="2:14" x14ac:dyDescent="0.15">
      <c r="B231" s="307"/>
      <c r="C231" s="315"/>
      <c r="D231" s="315"/>
      <c r="E231" s="315"/>
      <c r="F231" s="315"/>
      <c r="G231" s="315"/>
      <c r="H231" s="315"/>
      <c r="I231" s="315"/>
      <c r="J231" s="315"/>
      <c r="K231" s="315"/>
      <c r="L231" s="315"/>
      <c r="M231" s="312"/>
    </row>
    <row r="232" spans="2:14" x14ac:dyDescent="0.15">
      <c r="B232" s="155" t="s">
        <v>1361</v>
      </c>
      <c r="C232" s="156">
        <v>5.125</v>
      </c>
      <c r="D232" s="129">
        <v>0.25</v>
      </c>
      <c r="E232" s="130">
        <v>4</v>
      </c>
      <c r="F232" s="129">
        <v>0.375</v>
      </c>
      <c r="G232" s="130">
        <v>0.8125</v>
      </c>
      <c r="H232" s="130">
        <v>0.5</v>
      </c>
      <c r="I232" s="130">
        <v>2.25</v>
      </c>
      <c r="J232" s="129">
        <v>2.25</v>
      </c>
      <c r="K232" s="119">
        <f>((C232-(F232*1))*2+(E232*2)+(F232*2))*12/144</f>
        <v>1.5208333333333333</v>
      </c>
      <c r="L232" s="274">
        <f>K232*3.2808399*0.09290304</f>
        <v>0.46355000070459607</v>
      </c>
      <c r="M232" s="274">
        <f t="shared" si="21"/>
        <v>14.13755842043922</v>
      </c>
      <c r="N232">
        <v>9.5</v>
      </c>
    </row>
    <row r="233" spans="2:14" x14ac:dyDescent="0.15">
      <c r="B233" s="18" t="s">
        <v>1362</v>
      </c>
      <c r="C233" s="20">
        <v>5</v>
      </c>
      <c r="D233" s="19">
        <v>0.25</v>
      </c>
      <c r="E233" s="20">
        <v>4</v>
      </c>
      <c r="F233" s="19">
        <v>0.3125</v>
      </c>
      <c r="G233" s="20">
        <v>0.75</v>
      </c>
      <c r="H233" s="20">
        <v>0.5</v>
      </c>
      <c r="I233" s="20">
        <v>2.25</v>
      </c>
      <c r="J233" s="19">
        <v>2.25</v>
      </c>
      <c r="K233" s="119">
        <f>((C233-(F233*1))*2+(E233*2)+(F233*2))*12/144</f>
        <v>1.5</v>
      </c>
      <c r="L233" s="274">
        <f>K233*3.2808399*0.09290304</f>
        <v>0.45720000069494404</v>
      </c>
      <c r="M233" s="274">
        <f t="shared" si="21"/>
        <v>12.649394376182462</v>
      </c>
      <c r="N233">
        <v>8.5</v>
      </c>
    </row>
    <row r="234" spans="2:14" x14ac:dyDescent="0.15">
      <c r="B234" s="18" t="s">
        <v>1363</v>
      </c>
      <c r="C234" s="20">
        <v>5</v>
      </c>
      <c r="D234" s="129">
        <v>0.25</v>
      </c>
      <c r="E234" s="130">
        <v>4</v>
      </c>
      <c r="F234" s="129">
        <v>0.25</v>
      </c>
      <c r="G234" s="130">
        <v>0.6875</v>
      </c>
      <c r="H234" s="130">
        <v>0.4375</v>
      </c>
      <c r="I234" s="130">
        <v>2.25</v>
      </c>
      <c r="J234" s="129">
        <v>2.25</v>
      </c>
      <c r="K234" s="119">
        <f>((C234-(F234*1))*2+(E234*2)+(F234*2))*12/144</f>
        <v>1.5</v>
      </c>
      <c r="L234" s="274">
        <f>K234*3.2808399*0.09290304</f>
        <v>0.45720000069494404</v>
      </c>
      <c r="M234" s="274">
        <f t="shared" si="21"/>
        <v>11.161230331925699</v>
      </c>
      <c r="N234">
        <v>7.5</v>
      </c>
    </row>
    <row r="235" spans="2:14" x14ac:dyDescent="0.15">
      <c r="B235" s="186" t="s">
        <v>1364</v>
      </c>
      <c r="C235" s="22">
        <v>4.875</v>
      </c>
      <c r="D235" s="21">
        <v>0.1875</v>
      </c>
      <c r="E235" s="22">
        <v>4</v>
      </c>
      <c r="F235" s="21">
        <v>0.1875</v>
      </c>
      <c r="G235" s="22">
        <v>0.625</v>
      </c>
      <c r="H235" s="22">
        <v>0.4375</v>
      </c>
      <c r="I235" s="22">
        <v>2.25</v>
      </c>
      <c r="J235" s="21">
        <v>2</v>
      </c>
      <c r="K235" s="313">
        <f>((C235-(F235*1))*2+(E235*2)+(F235*2))*12/144</f>
        <v>1.4791666666666667</v>
      </c>
      <c r="L235" s="333">
        <f>K235*3.2808399*0.09290304</f>
        <v>0.45085000068529202</v>
      </c>
      <c r="M235" s="333">
        <f t="shared" si="21"/>
        <v>8.92898426554056</v>
      </c>
      <c r="N235">
        <v>6</v>
      </c>
    </row>
    <row r="236" spans="2:14" x14ac:dyDescent="0.15">
      <c r="B236" s="307"/>
      <c r="C236" s="315"/>
      <c r="D236" s="315"/>
      <c r="E236" s="315"/>
      <c r="F236" s="315"/>
      <c r="G236" s="315"/>
      <c r="H236" s="315"/>
      <c r="I236" s="315"/>
      <c r="J236" s="315"/>
      <c r="K236" s="315"/>
      <c r="L236" s="315"/>
      <c r="M236" s="312"/>
    </row>
    <row r="237" spans="2:14" x14ac:dyDescent="0.15">
      <c r="B237" s="155" t="s">
        <v>1365</v>
      </c>
      <c r="C237" s="156">
        <v>4.5</v>
      </c>
      <c r="D237" s="131">
        <v>0.5625</v>
      </c>
      <c r="E237" s="156">
        <v>8.25</v>
      </c>
      <c r="F237" s="131">
        <v>0.9375</v>
      </c>
      <c r="G237" s="156">
        <v>1.4375</v>
      </c>
      <c r="H237" s="156">
        <v>0.6875</v>
      </c>
      <c r="I237" s="156" t="s">
        <v>959</v>
      </c>
      <c r="J237" s="131" t="s">
        <v>959</v>
      </c>
      <c r="K237" s="119">
        <f t="shared" ref="K237:K242" si="24">((C237-(F237*1))*2+(E237*2)+(F237*2))*12/144</f>
        <v>2.125</v>
      </c>
      <c r="L237" s="274">
        <f t="shared" ref="L237:L242" si="25">K237*3.2808399*0.09290304</f>
        <v>0.64770000098450409</v>
      </c>
      <c r="M237" s="274">
        <f t="shared" si="21"/>
        <v>49.85349548260146</v>
      </c>
      <c r="N237">
        <v>33.5</v>
      </c>
    </row>
    <row r="238" spans="2:14" x14ac:dyDescent="0.15">
      <c r="B238" s="18" t="s">
        <v>1366</v>
      </c>
      <c r="C238" s="20">
        <v>4.375</v>
      </c>
      <c r="D238" s="129">
        <v>0.5</v>
      </c>
      <c r="E238" s="130">
        <v>8.25</v>
      </c>
      <c r="F238" s="129">
        <v>0.8125</v>
      </c>
      <c r="G238" s="130">
        <v>1.3125</v>
      </c>
      <c r="H238" s="130">
        <v>0.6875</v>
      </c>
      <c r="I238" s="130">
        <v>5.5</v>
      </c>
      <c r="J238" s="129">
        <v>2.75</v>
      </c>
      <c r="K238" s="119">
        <f t="shared" si="24"/>
        <v>2.1041666666666665</v>
      </c>
      <c r="L238" s="274">
        <f t="shared" si="25"/>
        <v>0.64135000097485206</v>
      </c>
      <c r="M238" s="274">
        <f t="shared" si="21"/>
        <v>43.156757283446041</v>
      </c>
      <c r="N238">
        <v>29</v>
      </c>
    </row>
    <row r="239" spans="2:14" x14ac:dyDescent="0.15">
      <c r="B239" s="18" t="s">
        <v>1367</v>
      </c>
      <c r="C239" s="20">
        <v>4.25</v>
      </c>
      <c r="D239" s="19">
        <v>0.375</v>
      </c>
      <c r="E239" s="20">
        <v>8.125</v>
      </c>
      <c r="F239" s="19">
        <v>0.6875</v>
      </c>
      <c r="G239" s="20">
        <v>1.1875</v>
      </c>
      <c r="H239" s="20">
        <v>0.625</v>
      </c>
      <c r="I239" s="20">
        <v>5.5</v>
      </c>
      <c r="J239" s="19">
        <v>2.5</v>
      </c>
      <c r="K239" s="119">
        <f t="shared" si="24"/>
        <v>2.0625</v>
      </c>
      <c r="L239" s="274">
        <f t="shared" si="25"/>
        <v>0.62865000095554813</v>
      </c>
      <c r="M239" s="274">
        <f t="shared" si="21"/>
        <v>35.71593706216224</v>
      </c>
      <c r="N239">
        <v>24</v>
      </c>
    </row>
    <row r="240" spans="2:14" x14ac:dyDescent="0.15">
      <c r="B240" s="18" t="s">
        <v>1368</v>
      </c>
      <c r="C240" s="20">
        <v>4.125</v>
      </c>
      <c r="D240" s="129">
        <v>0.375</v>
      </c>
      <c r="E240" s="130">
        <v>8.125</v>
      </c>
      <c r="F240" s="129">
        <v>0.5625</v>
      </c>
      <c r="G240" s="130">
        <v>1.0625</v>
      </c>
      <c r="H240" s="130">
        <v>0.625</v>
      </c>
      <c r="I240" s="130">
        <v>5.5</v>
      </c>
      <c r="J240" s="129">
        <v>2.5</v>
      </c>
      <c r="K240" s="119">
        <f t="shared" si="24"/>
        <v>2.0416666666666665</v>
      </c>
      <c r="L240" s="274">
        <f t="shared" si="25"/>
        <v>0.62230000094589599</v>
      </c>
      <c r="M240" s="274">
        <f t="shared" si="21"/>
        <v>29.763280885135202</v>
      </c>
      <c r="N240">
        <v>20</v>
      </c>
    </row>
    <row r="241" spans="2:14" x14ac:dyDescent="0.15">
      <c r="B241" s="18" t="s">
        <v>1369</v>
      </c>
      <c r="C241" s="20">
        <v>4</v>
      </c>
      <c r="D241" s="19">
        <v>0.3125</v>
      </c>
      <c r="E241" s="20">
        <v>8</v>
      </c>
      <c r="F241" s="19">
        <v>0.5</v>
      </c>
      <c r="G241" s="20">
        <v>1</v>
      </c>
      <c r="H241" s="20">
        <v>0.5625</v>
      </c>
      <c r="I241" s="20">
        <v>5.5</v>
      </c>
      <c r="J241" s="19">
        <v>2.25</v>
      </c>
      <c r="K241" s="119">
        <f t="shared" si="24"/>
        <v>2</v>
      </c>
      <c r="L241" s="274">
        <f t="shared" si="25"/>
        <v>0.60960000092659206</v>
      </c>
      <c r="M241" s="274">
        <f t="shared" si="21"/>
        <v>26.042870774493302</v>
      </c>
      <c r="N241">
        <v>17.5</v>
      </c>
    </row>
    <row r="242" spans="2:14" x14ac:dyDescent="0.15">
      <c r="B242" s="186" t="s">
        <v>1370</v>
      </c>
      <c r="C242" s="22">
        <v>4</v>
      </c>
      <c r="D242" s="21">
        <v>0.3125</v>
      </c>
      <c r="E242" s="22">
        <v>8</v>
      </c>
      <c r="F242" s="21">
        <v>0.4375</v>
      </c>
      <c r="G242" s="22">
        <v>0.9375</v>
      </c>
      <c r="H242" s="22">
        <v>0.5625</v>
      </c>
      <c r="I242" s="22">
        <v>5.5</v>
      </c>
      <c r="J242" s="21">
        <v>2.25</v>
      </c>
      <c r="K242" s="313">
        <f t="shared" si="24"/>
        <v>2</v>
      </c>
      <c r="L242" s="333">
        <f t="shared" si="25"/>
        <v>0.60960000092659206</v>
      </c>
      <c r="M242" s="333">
        <f t="shared" si="21"/>
        <v>23.06654268597978</v>
      </c>
      <c r="N242">
        <v>15.5</v>
      </c>
    </row>
    <row r="243" spans="2:14" x14ac:dyDescent="0.15">
      <c r="B243" s="307"/>
      <c r="C243" s="315"/>
      <c r="D243" s="315"/>
      <c r="E243" s="315"/>
      <c r="F243" s="315"/>
      <c r="G243" s="315"/>
      <c r="H243" s="315"/>
      <c r="I243" s="315"/>
      <c r="J243" s="315"/>
      <c r="K243" s="315"/>
      <c r="L243" s="315"/>
      <c r="M243" s="312"/>
    </row>
    <row r="244" spans="2:14" x14ac:dyDescent="0.15">
      <c r="B244" s="155" t="s">
        <v>1371</v>
      </c>
      <c r="C244" s="156">
        <v>4</v>
      </c>
      <c r="D244" s="131">
        <v>0.3125</v>
      </c>
      <c r="E244" s="156">
        <v>6.5</v>
      </c>
      <c r="F244" s="131">
        <v>0.4375</v>
      </c>
      <c r="G244" s="156">
        <v>0.9375</v>
      </c>
      <c r="H244" s="156">
        <v>0.5625</v>
      </c>
      <c r="I244" s="156">
        <v>3.5</v>
      </c>
      <c r="J244" s="131">
        <v>2.25</v>
      </c>
      <c r="K244" s="119">
        <f>((C244-(F244*1))*2+(E244*2)+(F244*2))*12/144</f>
        <v>1.75</v>
      </c>
      <c r="L244" s="274">
        <f>K244*3.2808399*0.09290304</f>
        <v>0.5334000008107681</v>
      </c>
      <c r="M244" s="274">
        <f t="shared" si="21"/>
        <v>20.834296619594642</v>
      </c>
      <c r="N244">
        <v>14</v>
      </c>
    </row>
    <row r="245" spans="2:14" x14ac:dyDescent="0.15">
      <c r="B245" s="186" t="s">
        <v>1372</v>
      </c>
      <c r="C245" s="22">
        <v>4</v>
      </c>
      <c r="D245" s="21">
        <v>0.25</v>
      </c>
      <c r="E245" s="22">
        <v>6.5</v>
      </c>
      <c r="F245" s="21">
        <v>0.375</v>
      </c>
      <c r="G245" s="22">
        <v>0.875</v>
      </c>
      <c r="H245" s="22">
        <v>0.5625</v>
      </c>
      <c r="I245" s="22">
        <v>3.5</v>
      </c>
      <c r="J245" s="21">
        <v>2.25</v>
      </c>
      <c r="K245" s="313">
        <f>((C245-(F245*1))*2+(E245*2)+(F245*2))*12/144</f>
        <v>1.75</v>
      </c>
      <c r="L245" s="333">
        <f>K245*3.2808399*0.09290304</f>
        <v>0.5334000008107681</v>
      </c>
      <c r="M245" s="333">
        <f t="shared" si="21"/>
        <v>17.85796853108112</v>
      </c>
      <c r="N245">
        <v>12</v>
      </c>
    </row>
    <row r="246" spans="2:14" x14ac:dyDescent="0.15">
      <c r="B246" s="307"/>
      <c r="C246" s="315"/>
      <c r="D246" s="315"/>
      <c r="E246" s="315"/>
      <c r="F246" s="315"/>
      <c r="G246" s="315"/>
      <c r="H246" s="315"/>
      <c r="I246" s="315"/>
      <c r="J246" s="315"/>
      <c r="K246" s="315"/>
      <c r="L246" s="315"/>
      <c r="M246" s="312"/>
    </row>
    <row r="247" spans="2:14" x14ac:dyDescent="0.15">
      <c r="B247" s="155" t="s">
        <v>1373</v>
      </c>
      <c r="C247" s="156">
        <v>4.125</v>
      </c>
      <c r="D247" s="131">
        <v>0.25</v>
      </c>
      <c r="E247" s="156">
        <v>5.25</v>
      </c>
      <c r="F247" s="131">
        <v>0.375</v>
      </c>
      <c r="G247" s="156">
        <v>0.8125</v>
      </c>
      <c r="H247" s="156">
        <v>0.5</v>
      </c>
      <c r="I247" s="156">
        <v>2.75</v>
      </c>
      <c r="J247" s="131">
        <v>2.25</v>
      </c>
      <c r="K247" s="119">
        <f>((C247-(F247*1))*2+(E247*2)+(F247*2))*12/144</f>
        <v>1.5625</v>
      </c>
      <c r="L247" s="274">
        <f>K247*3.2808399*0.09290304</f>
        <v>0.47625000072390006</v>
      </c>
      <c r="M247" s="274">
        <f t="shared" si="21"/>
        <v>15.625722464695981</v>
      </c>
      <c r="N247">
        <v>10.5</v>
      </c>
    </row>
    <row r="248" spans="2:14" x14ac:dyDescent="0.15">
      <c r="B248" s="186" t="s">
        <v>1374</v>
      </c>
      <c r="C248" s="22">
        <v>4.125</v>
      </c>
      <c r="D248" s="21">
        <v>0.25</v>
      </c>
      <c r="E248" s="22">
        <v>5.25</v>
      </c>
      <c r="F248" s="21">
        <v>0.3125</v>
      </c>
      <c r="G248" s="22">
        <v>0.75</v>
      </c>
      <c r="H248" s="22">
        <v>0.4375</v>
      </c>
      <c r="I248" s="22">
        <v>2.75</v>
      </c>
      <c r="J248" s="21">
        <v>2.25</v>
      </c>
      <c r="K248" s="313">
        <f>((C248-(F248*1))*2+(E248*2)+(F248*2))*12/144</f>
        <v>1.5625</v>
      </c>
      <c r="L248" s="333">
        <f>K248*3.2808399*0.09290304</f>
        <v>0.47625000072390006</v>
      </c>
      <c r="M248" s="333">
        <f t="shared" si="21"/>
        <v>13.39347639831084</v>
      </c>
      <c r="N248">
        <v>9</v>
      </c>
    </row>
    <row r="249" spans="2:14" x14ac:dyDescent="0.15">
      <c r="B249" s="307"/>
      <c r="C249" s="315"/>
      <c r="D249" s="315"/>
      <c r="E249" s="315"/>
      <c r="F249" s="315"/>
      <c r="G249" s="315"/>
      <c r="H249" s="315"/>
      <c r="I249" s="315"/>
      <c r="J249" s="315"/>
      <c r="K249" s="315"/>
      <c r="L249" s="315"/>
      <c r="M249" s="312"/>
    </row>
    <row r="250" spans="2:14" x14ac:dyDescent="0.15">
      <c r="B250" s="155" t="s">
        <v>1375</v>
      </c>
      <c r="C250" s="156">
        <v>4</v>
      </c>
      <c r="D250" s="131">
        <v>0.25</v>
      </c>
      <c r="E250" s="156">
        <v>4</v>
      </c>
      <c r="F250" s="131">
        <v>0.3125</v>
      </c>
      <c r="G250" s="156">
        <v>0.75</v>
      </c>
      <c r="H250" s="156">
        <v>0.5</v>
      </c>
      <c r="I250" s="156">
        <v>2.25</v>
      </c>
      <c r="J250" s="131">
        <v>2.25</v>
      </c>
      <c r="K250" s="119">
        <f>((C250-(F250*1))*2+(E250*2)+(F250*2))*12/144</f>
        <v>1.3333333333333333</v>
      </c>
      <c r="L250" s="274">
        <f>K250*3.2808399*0.09290304</f>
        <v>0.40640000061772796</v>
      </c>
      <c r="M250" s="274">
        <f t="shared" si="21"/>
        <v>11.161230331925699</v>
      </c>
      <c r="N250">
        <v>7.5</v>
      </c>
    </row>
    <row r="251" spans="2:14" x14ac:dyDescent="0.15">
      <c r="B251" s="155" t="s">
        <v>1376</v>
      </c>
      <c r="C251" s="156">
        <v>4</v>
      </c>
      <c r="D251" s="129">
        <v>0.25</v>
      </c>
      <c r="E251" s="130">
        <v>4</v>
      </c>
      <c r="F251" s="129">
        <v>0.25</v>
      </c>
      <c r="G251" s="130">
        <v>0.6875</v>
      </c>
      <c r="H251" s="130">
        <v>0.4375</v>
      </c>
      <c r="I251" s="130">
        <v>2.25</v>
      </c>
      <c r="J251" s="129">
        <v>2.25</v>
      </c>
      <c r="K251" s="119">
        <f>((C251-(F251*1))*2+(E251*2)+(F251*2))*12/144</f>
        <v>1.3333333333333333</v>
      </c>
      <c r="L251" s="274">
        <f>K251*3.2808399*0.09290304</f>
        <v>0.40640000061772796</v>
      </c>
      <c r="M251" s="274">
        <f t="shared" si="21"/>
        <v>9.6730662876689415</v>
      </c>
      <c r="N251">
        <v>6.5</v>
      </c>
    </row>
    <row r="252" spans="2:14" x14ac:dyDescent="0.15">
      <c r="B252" s="18" t="s">
        <v>1377</v>
      </c>
      <c r="C252" s="20">
        <v>4</v>
      </c>
      <c r="D252" s="19">
        <v>0.1875</v>
      </c>
      <c r="E252" s="20">
        <v>4</v>
      </c>
      <c r="F252" s="19">
        <v>0.1875</v>
      </c>
      <c r="G252" s="20">
        <v>0.625</v>
      </c>
      <c r="H252" s="20">
        <v>0.4375</v>
      </c>
      <c r="I252" s="20">
        <v>2.25</v>
      </c>
      <c r="J252" s="19">
        <v>2</v>
      </c>
      <c r="K252" s="119">
        <f>((C252-(F252*1))*2+(E252*2)+(F252*2))*12/144</f>
        <v>1.3333333333333333</v>
      </c>
      <c r="L252" s="274">
        <f>K252*3.2808399*0.09290304</f>
        <v>0.40640000061772796</v>
      </c>
      <c r="M252" s="274">
        <f t="shared" si="21"/>
        <v>7.4408202212838006</v>
      </c>
      <c r="N252">
        <v>5</v>
      </c>
    </row>
    <row r="253" spans="2:14" x14ac:dyDescent="0.15">
      <c r="B253" s="307"/>
      <c r="C253" s="308"/>
      <c r="D253" s="309"/>
      <c r="E253" s="308"/>
      <c r="F253" s="309"/>
      <c r="G253" s="308"/>
      <c r="H253" s="308"/>
      <c r="I253" s="308"/>
      <c r="J253" s="309"/>
      <c r="K253" s="308"/>
      <c r="L253" s="308"/>
      <c r="M253" s="306"/>
    </row>
    <row r="254" spans="2:14" x14ac:dyDescent="0.15">
      <c r="B254" s="18" t="s">
        <v>1378</v>
      </c>
      <c r="C254" s="20">
        <v>3.25</v>
      </c>
      <c r="D254" s="19">
        <v>0.3125</v>
      </c>
      <c r="E254" s="20">
        <v>6.125</v>
      </c>
      <c r="F254" s="19">
        <v>0.4375</v>
      </c>
      <c r="G254" s="20">
        <v>0.8125</v>
      </c>
      <c r="H254" s="20">
        <v>0.4375</v>
      </c>
      <c r="I254" s="20">
        <v>3.5</v>
      </c>
      <c r="J254" s="19">
        <v>2.25</v>
      </c>
      <c r="K254" s="119">
        <f>((C254-(F254*1))*2+(E254*2)+(F254*2))*12/144</f>
        <v>1.5625</v>
      </c>
      <c r="L254" s="274">
        <f>K254*3.2808399*0.09290304</f>
        <v>0.47625000072390006</v>
      </c>
      <c r="M254" s="274">
        <f t="shared" si="21"/>
        <v>18.602050553209502</v>
      </c>
      <c r="N254">
        <v>12.5</v>
      </c>
    </row>
    <row r="255" spans="2:14" x14ac:dyDescent="0.15">
      <c r="B255" s="18" t="s">
        <v>1379</v>
      </c>
      <c r="C255" s="20">
        <v>3.125</v>
      </c>
      <c r="D255" s="129">
        <v>0.25</v>
      </c>
      <c r="E255" s="130">
        <v>6</v>
      </c>
      <c r="F255" s="129">
        <v>0.375</v>
      </c>
      <c r="G255" s="130">
        <v>0.75</v>
      </c>
      <c r="H255" s="130">
        <v>0.4375</v>
      </c>
      <c r="I255" s="130">
        <v>3.5</v>
      </c>
      <c r="J255" s="129">
        <v>2.25</v>
      </c>
      <c r="K255" s="119">
        <f>((C255-(F255*1))*2+(E255*2)+(F255*2))*12/144</f>
        <v>1.5208333333333333</v>
      </c>
      <c r="L255" s="274">
        <f>K255*3.2808399*0.09290304</f>
        <v>0.46355000070459607</v>
      </c>
      <c r="M255" s="274">
        <f t="shared" si="21"/>
        <v>14.881640442567601</v>
      </c>
      <c r="N255">
        <v>10</v>
      </c>
    </row>
    <row r="256" spans="2:14" x14ac:dyDescent="0.15">
      <c r="B256" s="186" t="s">
        <v>1380</v>
      </c>
      <c r="C256" s="22">
        <v>3</v>
      </c>
      <c r="D256" s="21">
        <v>0.25</v>
      </c>
      <c r="E256" s="22">
        <v>6</v>
      </c>
      <c r="F256" s="21">
        <v>0.25</v>
      </c>
      <c r="G256" s="22">
        <v>0.625</v>
      </c>
      <c r="H256" s="22">
        <v>0.375</v>
      </c>
      <c r="I256" s="22">
        <v>3.5</v>
      </c>
      <c r="J256" s="21">
        <v>2.25</v>
      </c>
      <c r="K256" s="313">
        <f>((C256-(F256*1))*2+(E256*2)+(F256*2))*12/144</f>
        <v>1.5</v>
      </c>
      <c r="L256" s="333">
        <f>K256*3.2808399*0.09290304</f>
        <v>0.45720000069494404</v>
      </c>
      <c r="M256" s="333">
        <f t="shared" si="21"/>
        <v>11.161230331925699</v>
      </c>
      <c r="N256">
        <v>7.5</v>
      </c>
    </row>
    <row r="257" spans="1:14" x14ac:dyDescent="0.15">
      <c r="B257" s="307"/>
      <c r="C257" s="315"/>
      <c r="D257" s="315"/>
      <c r="E257" s="315"/>
      <c r="F257" s="315"/>
      <c r="G257" s="315"/>
      <c r="H257" s="315"/>
      <c r="I257" s="315"/>
      <c r="J257" s="315"/>
      <c r="K257" s="315"/>
      <c r="L257" s="315"/>
      <c r="M257" s="312"/>
    </row>
    <row r="258" spans="1:14" x14ac:dyDescent="0.15">
      <c r="B258" s="155" t="s">
        <v>1381</v>
      </c>
      <c r="C258" s="156">
        <v>3.125</v>
      </c>
      <c r="D258" s="129">
        <v>0.25</v>
      </c>
      <c r="E258" s="130">
        <v>4</v>
      </c>
      <c r="F258" s="129">
        <v>0.375</v>
      </c>
      <c r="G258" s="130">
        <v>0.75</v>
      </c>
      <c r="H258" s="130">
        <v>0.4375</v>
      </c>
      <c r="I258" s="130">
        <v>2.25</v>
      </c>
      <c r="J258" s="129">
        <v>2.25</v>
      </c>
      <c r="K258" s="119">
        <f>((C258-(F258*1))*2+(E258*2)+(F258*2))*12/144</f>
        <v>1.1875</v>
      </c>
      <c r="L258" s="274">
        <f>K258*3.2808399*0.09290304</f>
        <v>0.36195000055016402</v>
      </c>
      <c r="M258" s="274">
        <f t="shared" si="21"/>
        <v>11.905312354054081</v>
      </c>
      <c r="N258">
        <v>8</v>
      </c>
    </row>
    <row r="259" spans="1:14" x14ac:dyDescent="0.15">
      <c r="B259" s="18" t="s">
        <v>1382</v>
      </c>
      <c r="C259" s="20">
        <v>3</v>
      </c>
      <c r="D259" s="19">
        <v>0.25</v>
      </c>
      <c r="E259" s="20">
        <v>4</v>
      </c>
      <c r="F259" s="19">
        <v>0.25</v>
      </c>
      <c r="G259" s="20">
        <v>0.625</v>
      </c>
      <c r="H259" s="20">
        <v>0.375</v>
      </c>
      <c r="I259" s="20">
        <v>2.25</v>
      </c>
      <c r="J259" s="19">
        <v>2.25</v>
      </c>
      <c r="K259" s="119">
        <f>((C259-(F259*1))*2+(E259*2)+(F259*2))*12/144</f>
        <v>1.1666666666666667</v>
      </c>
      <c r="L259" s="274">
        <f>K259*3.2808399*0.09290304</f>
        <v>0.35560000054051205</v>
      </c>
      <c r="M259" s="274">
        <f t="shared" si="21"/>
        <v>8.92898426554056</v>
      </c>
      <c r="N259">
        <v>6</v>
      </c>
    </row>
    <row r="260" spans="1:14" x14ac:dyDescent="0.15">
      <c r="B260" s="186" t="s">
        <v>1383</v>
      </c>
      <c r="C260" s="22">
        <v>3</v>
      </c>
      <c r="D260" s="129">
        <v>0.1875</v>
      </c>
      <c r="E260" s="130">
        <v>4</v>
      </c>
      <c r="F260" s="129">
        <v>0.1875</v>
      </c>
      <c r="G260" s="130">
        <v>0.5625</v>
      </c>
      <c r="H260" s="130">
        <v>0.375</v>
      </c>
      <c r="I260" s="130">
        <v>2.25</v>
      </c>
      <c r="J260" s="129">
        <v>2</v>
      </c>
      <c r="K260" s="313">
        <f>((C260-(F260*1))*2+(E260*2)+(F260*2))*12/144</f>
        <v>1.1666666666666667</v>
      </c>
      <c r="L260" s="333">
        <f>K260*3.2808399*0.09290304</f>
        <v>0.35560000054051205</v>
      </c>
      <c r="M260" s="333">
        <f t="shared" si="21"/>
        <v>6.69673819915542</v>
      </c>
      <c r="N260">
        <v>4.5</v>
      </c>
    </row>
    <row r="261" spans="1:14" x14ac:dyDescent="0.15">
      <c r="B261" s="307"/>
      <c r="C261" s="315"/>
      <c r="D261" s="315"/>
      <c r="E261" s="315"/>
      <c r="F261" s="315"/>
      <c r="G261" s="315"/>
      <c r="H261" s="315"/>
      <c r="I261" s="315"/>
      <c r="J261" s="315"/>
      <c r="K261" s="315"/>
      <c r="L261" s="315"/>
      <c r="M261" s="312"/>
    </row>
    <row r="262" spans="1:14" x14ac:dyDescent="0.15">
      <c r="B262" s="155" t="s">
        <v>1384</v>
      </c>
      <c r="C262" s="156">
        <v>2.625</v>
      </c>
      <c r="D262" s="129">
        <v>0.25</v>
      </c>
      <c r="E262" s="130">
        <v>5</v>
      </c>
      <c r="F262" s="129">
        <v>0.4375</v>
      </c>
      <c r="G262" s="130">
        <v>0.8125</v>
      </c>
      <c r="H262" s="130">
        <v>0.4375</v>
      </c>
      <c r="I262" s="130">
        <v>2.75</v>
      </c>
      <c r="J262" s="129">
        <v>2.25</v>
      </c>
      <c r="K262" s="119">
        <f>((C262-(F262*1))*2+(E262*2)+(F262*2))*12/144</f>
        <v>1.2708333333333333</v>
      </c>
      <c r="L262" s="274">
        <f>K262*3.2808399*0.09290304</f>
        <v>0.38735000058877206</v>
      </c>
      <c r="M262" s="274">
        <f t="shared" si="21"/>
        <v>14.13755842043922</v>
      </c>
      <c r="N262">
        <v>9.5</v>
      </c>
    </row>
    <row r="263" spans="1:14" x14ac:dyDescent="0.15">
      <c r="B263" s="186" t="s">
        <v>1385</v>
      </c>
      <c r="C263" s="22">
        <v>2.5</v>
      </c>
      <c r="D263" s="21">
        <v>0.25</v>
      </c>
      <c r="E263" s="22">
        <v>5</v>
      </c>
      <c r="F263" s="21">
        <v>0.375</v>
      </c>
      <c r="G263" s="22">
        <v>0.75</v>
      </c>
      <c r="H263" s="22">
        <v>0.4375</v>
      </c>
      <c r="I263" s="22">
        <v>2.75</v>
      </c>
      <c r="J263" s="21">
        <v>2.25</v>
      </c>
      <c r="K263" s="313">
        <f>((C263-(F263*1))*2+(E263*2)+(F263*2))*12/144</f>
        <v>1.25</v>
      </c>
      <c r="L263" s="333">
        <f>K263*3.2808399*0.09290304</f>
        <v>0.38100000057912004</v>
      </c>
      <c r="M263" s="333">
        <f t="shared" si="21"/>
        <v>11.905312354054081</v>
      </c>
      <c r="N263">
        <v>8</v>
      </c>
    </row>
    <row r="264" spans="1:14" x14ac:dyDescent="0.15">
      <c r="B264" s="307"/>
      <c r="C264" s="315"/>
      <c r="D264" s="315"/>
      <c r="E264" s="315"/>
      <c r="F264" s="315"/>
      <c r="G264" s="315"/>
      <c r="H264" s="315"/>
      <c r="I264" s="315"/>
      <c r="J264" s="315"/>
      <c r="K264" s="315"/>
      <c r="L264" s="315"/>
      <c r="M264" s="312"/>
    </row>
    <row r="265" spans="1:14" x14ac:dyDescent="0.15">
      <c r="B265" s="18" t="s">
        <v>1386</v>
      </c>
      <c r="C265" s="20">
        <v>2.125</v>
      </c>
      <c r="D265" s="19">
        <v>0.25</v>
      </c>
      <c r="E265" s="20">
        <v>4</v>
      </c>
      <c r="F265" s="19">
        <v>0.375</v>
      </c>
      <c r="G265" s="20">
        <v>0.6875</v>
      </c>
      <c r="H265" s="20">
        <v>0.4375</v>
      </c>
      <c r="I265" s="20">
        <v>2.25</v>
      </c>
      <c r="J265" s="19">
        <v>2</v>
      </c>
      <c r="K265" s="132">
        <f>((C265-(F265*1))*2+(E265*2)+(F265*2))*12/144</f>
        <v>1.0208333333333333</v>
      </c>
      <c r="L265" s="272">
        <f>K265*3.2808399*0.09290304</f>
        <v>0.311150000472948</v>
      </c>
      <c r="M265" s="272">
        <f t="shared" si="21"/>
        <v>9.6730662876689415</v>
      </c>
      <c r="N265">
        <v>6.5</v>
      </c>
    </row>
    <row r="266" spans="1:14" x14ac:dyDescent="0.15">
      <c r="B266" s="162" t="s">
        <v>850</v>
      </c>
      <c r="C266" s="163" t="s">
        <v>850</v>
      </c>
      <c r="D266" s="163" t="s">
        <v>850</v>
      </c>
      <c r="E266" s="163" t="s">
        <v>850</v>
      </c>
      <c r="F266" s="163" t="s">
        <v>850</v>
      </c>
      <c r="G266" s="163"/>
      <c r="H266" s="163"/>
      <c r="I266" s="163" t="s">
        <v>850</v>
      </c>
      <c r="J266" s="163" t="s">
        <v>850</v>
      </c>
    </row>
    <row r="267" spans="1:14" x14ac:dyDescent="0.15">
      <c r="A267" s="133"/>
      <c r="B267" s="162" t="s">
        <v>850</v>
      </c>
      <c r="C267" s="163" t="s">
        <v>850</v>
      </c>
      <c r="D267" s="162" t="s">
        <v>850</v>
      </c>
      <c r="E267" s="162" t="s">
        <v>850</v>
      </c>
      <c r="F267" s="162" t="s">
        <v>850</v>
      </c>
      <c r="G267" s="162" t="s">
        <v>850</v>
      </c>
      <c r="H267" s="162" t="s">
        <v>850</v>
      </c>
      <c r="I267" s="162" t="s">
        <v>850</v>
      </c>
      <c r="J267" s="162" t="s">
        <v>850</v>
      </c>
      <c r="K267" s="133"/>
    </row>
    <row r="268" spans="1:14" x14ac:dyDescent="0.15">
      <c r="A268" s="133"/>
      <c r="B268" s="162" t="s">
        <v>850</v>
      </c>
      <c r="C268" s="163" t="s">
        <v>850</v>
      </c>
      <c r="D268" s="163" t="s">
        <v>850</v>
      </c>
      <c r="E268" s="163" t="s">
        <v>850</v>
      </c>
      <c r="F268" s="163" t="s">
        <v>850</v>
      </c>
      <c r="G268" s="163"/>
      <c r="H268" s="163"/>
      <c r="I268" s="163" t="s">
        <v>850</v>
      </c>
      <c r="J268" s="163" t="s">
        <v>850</v>
      </c>
      <c r="K268" s="133"/>
    </row>
    <row r="269" spans="1:14" x14ac:dyDescent="0.15">
      <c r="A269" s="133"/>
      <c r="B269" s="162" t="s">
        <v>850</v>
      </c>
      <c r="C269" s="163" t="s">
        <v>850</v>
      </c>
      <c r="D269" s="162" t="s">
        <v>850</v>
      </c>
      <c r="E269" s="162" t="s">
        <v>850</v>
      </c>
      <c r="F269" s="162" t="s">
        <v>850</v>
      </c>
      <c r="G269" s="162" t="s">
        <v>850</v>
      </c>
      <c r="H269" s="162" t="s">
        <v>850</v>
      </c>
      <c r="I269" s="162" t="s">
        <v>850</v>
      </c>
      <c r="J269" s="162" t="s">
        <v>850</v>
      </c>
      <c r="K269" s="133"/>
    </row>
    <row r="270" spans="1:14" x14ac:dyDescent="0.15">
      <c r="A270" s="133"/>
      <c r="B270" s="162" t="s">
        <v>850</v>
      </c>
      <c r="C270" s="163" t="s">
        <v>850</v>
      </c>
      <c r="D270" s="163" t="s">
        <v>850</v>
      </c>
      <c r="E270" s="163" t="s">
        <v>850</v>
      </c>
      <c r="F270" s="163" t="s">
        <v>850</v>
      </c>
      <c r="G270" s="163"/>
      <c r="H270" s="163"/>
      <c r="I270" s="163" t="s">
        <v>850</v>
      </c>
      <c r="J270" s="163" t="s">
        <v>850</v>
      </c>
      <c r="K270" s="133"/>
    </row>
    <row r="271" spans="1:14" x14ac:dyDescent="0.15">
      <c r="A271" s="133"/>
      <c r="B271" s="162" t="s">
        <v>850</v>
      </c>
      <c r="C271" s="163" t="s">
        <v>850</v>
      </c>
      <c r="D271" s="162" t="s">
        <v>850</v>
      </c>
      <c r="E271" s="162" t="s">
        <v>850</v>
      </c>
      <c r="F271" s="162" t="s">
        <v>850</v>
      </c>
      <c r="G271" s="162" t="s">
        <v>850</v>
      </c>
      <c r="H271" s="162" t="s">
        <v>850</v>
      </c>
      <c r="I271" s="162" t="s">
        <v>850</v>
      </c>
      <c r="J271" s="162" t="s">
        <v>850</v>
      </c>
      <c r="K271" s="133"/>
    </row>
    <row r="272" spans="1:14" x14ac:dyDescent="0.15">
      <c r="A272" s="133"/>
      <c r="B272" s="162" t="s">
        <v>850</v>
      </c>
      <c r="C272" s="163" t="s">
        <v>850</v>
      </c>
      <c r="D272" s="163" t="s">
        <v>850</v>
      </c>
      <c r="E272" s="163" t="s">
        <v>850</v>
      </c>
      <c r="F272" s="163" t="s">
        <v>850</v>
      </c>
      <c r="G272" s="163"/>
      <c r="H272" s="163"/>
      <c r="I272" s="163" t="s">
        <v>850</v>
      </c>
      <c r="J272" s="163" t="s">
        <v>850</v>
      </c>
      <c r="K272" s="133"/>
    </row>
    <row r="273" spans="1:11" x14ac:dyDescent="0.15">
      <c r="A273" s="133"/>
      <c r="B273" s="162" t="s">
        <v>850</v>
      </c>
      <c r="C273" s="163" t="s">
        <v>850</v>
      </c>
      <c r="D273" s="162" t="s">
        <v>850</v>
      </c>
      <c r="E273" s="162" t="s">
        <v>850</v>
      </c>
      <c r="F273" s="162" t="s">
        <v>850</v>
      </c>
      <c r="G273" s="162" t="s">
        <v>850</v>
      </c>
      <c r="H273" s="162" t="s">
        <v>850</v>
      </c>
      <c r="I273" s="162" t="s">
        <v>850</v>
      </c>
      <c r="J273" s="162" t="s">
        <v>850</v>
      </c>
      <c r="K273" s="133"/>
    </row>
    <row r="274" spans="1:11" x14ac:dyDescent="0.15">
      <c r="A274" s="133"/>
      <c r="B274" s="162" t="s">
        <v>850</v>
      </c>
      <c r="C274" s="163" t="s">
        <v>850</v>
      </c>
      <c r="D274" s="163" t="s">
        <v>850</v>
      </c>
      <c r="E274" s="163" t="s">
        <v>850</v>
      </c>
      <c r="F274" s="163" t="s">
        <v>850</v>
      </c>
      <c r="G274" s="163"/>
      <c r="H274" s="163"/>
      <c r="I274" s="163" t="s">
        <v>850</v>
      </c>
      <c r="J274" s="163" t="s">
        <v>850</v>
      </c>
      <c r="K274" s="133"/>
    </row>
    <row r="275" spans="1:11" x14ac:dyDescent="0.15">
      <c r="A275" s="133"/>
      <c r="B275" s="162" t="s">
        <v>850</v>
      </c>
      <c r="C275" s="163" t="s">
        <v>850</v>
      </c>
      <c r="D275" s="162" t="s">
        <v>850</v>
      </c>
      <c r="E275" s="162" t="s">
        <v>850</v>
      </c>
      <c r="F275" s="162" t="s">
        <v>850</v>
      </c>
      <c r="G275" s="162" t="s">
        <v>850</v>
      </c>
      <c r="H275" s="162" t="s">
        <v>850</v>
      </c>
      <c r="I275" s="162" t="s">
        <v>850</v>
      </c>
      <c r="J275" s="162" t="s">
        <v>850</v>
      </c>
      <c r="K275" s="133"/>
    </row>
    <row r="276" spans="1:11" x14ac:dyDescent="0.15">
      <c r="A276" s="133"/>
      <c r="B276" s="162" t="s">
        <v>850</v>
      </c>
      <c r="C276" s="163" t="s">
        <v>850</v>
      </c>
      <c r="D276" s="163" t="s">
        <v>850</v>
      </c>
      <c r="E276" s="163" t="s">
        <v>850</v>
      </c>
      <c r="F276" s="163" t="s">
        <v>850</v>
      </c>
      <c r="G276" s="163"/>
      <c r="H276" s="163"/>
      <c r="I276" s="163" t="s">
        <v>850</v>
      </c>
      <c r="J276" s="163" t="s">
        <v>850</v>
      </c>
      <c r="K276" s="133"/>
    </row>
    <row r="277" spans="1:11" x14ac:dyDescent="0.15">
      <c r="A277" s="133"/>
      <c r="B277" s="162" t="s">
        <v>850</v>
      </c>
      <c r="C277" s="163" t="s">
        <v>850</v>
      </c>
      <c r="D277" s="162" t="s">
        <v>850</v>
      </c>
      <c r="E277" s="162" t="s">
        <v>850</v>
      </c>
      <c r="F277" s="162" t="s">
        <v>850</v>
      </c>
      <c r="G277" s="162" t="s">
        <v>850</v>
      </c>
      <c r="H277" s="162" t="s">
        <v>850</v>
      </c>
      <c r="I277" s="162" t="s">
        <v>850</v>
      </c>
      <c r="J277" s="162" t="s">
        <v>850</v>
      </c>
      <c r="K277" s="133"/>
    </row>
    <row r="278" spans="1:11" x14ac:dyDescent="0.15">
      <c r="A278" s="133"/>
      <c r="B278" s="162" t="s">
        <v>850</v>
      </c>
      <c r="C278" s="163" t="s">
        <v>850</v>
      </c>
      <c r="D278" s="163" t="s">
        <v>850</v>
      </c>
      <c r="E278" s="163" t="s">
        <v>850</v>
      </c>
      <c r="F278" s="163" t="s">
        <v>850</v>
      </c>
      <c r="G278" s="163"/>
      <c r="H278" s="163"/>
      <c r="I278" s="163" t="s">
        <v>850</v>
      </c>
      <c r="J278" s="163" t="s">
        <v>850</v>
      </c>
      <c r="K278" s="133"/>
    </row>
    <row r="279" spans="1:11" x14ac:dyDescent="0.15">
      <c r="A279" s="133"/>
      <c r="B279" s="162" t="s">
        <v>850</v>
      </c>
      <c r="C279" s="163" t="s">
        <v>850</v>
      </c>
      <c r="D279" s="162" t="s">
        <v>850</v>
      </c>
      <c r="E279" s="162" t="s">
        <v>850</v>
      </c>
      <c r="F279" s="162" t="s">
        <v>850</v>
      </c>
      <c r="G279" s="162" t="s">
        <v>850</v>
      </c>
      <c r="H279" s="162" t="s">
        <v>850</v>
      </c>
      <c r="I279" s="162" t="s">
        <v>850</v>
      </c>
      <c r="J279" s="162" t="s">
        <v>850</v>
      </c>
      <c r="K279" s="133"/>
    </row>
    <row r="280" spans="1:11" x14ac:dyDescent="0.15">
      <c r="A280" s="133"/>
      <c r="B280" s="162" t="s">
        <v>850</v>
      </c>
      <c r="C280" s="163" t="s">
        <v>850</v>
      </c>
      <c r="D280" s="163" t="s">
        <v>850</v>
      </c>
      <c r="E280" s="163" t="s">
        <v>850</v>
      </c>
      <c r="F280" s="163" t="s">
        <v>850</v>
      </c>
      <c r="G280" s="163"/>
      <c r="H280" s="163"/>
      <c r="I280" s="163" t="s">
        <v>850</v>
      </c>
      <c r="J280" s="163" t="s">
        <v>850</v>
      </c>
      <c r="K280" s="133"/>
    </row>
    <row r="281" spans="1:11" x14ac:dyDescent="0.15">
      <c r="A281" s="133"/>
      <c r="B281" s="162" t="s">
        <v>850</v>
      </c>
      <c r="C281" s="163" t="s">
        <v>850</v>
      </c>
      <c r="D281" s="162" t="s">
        <v>850</v>
      </c>
      <c r="E281" s="162" t="s">
        <v>850</v>
      </c>
      <c r="F281" s="162" t="s">
        <v>850</v>
      </c>
      <c r="G281" s="162" t="s">
        <v>850</v>
      </c>
      <c r="H281" s="162" t="s">
        <v>850</v>
      </c>
      <c r="I281" s="162" t="s">
        <v>850</v>
      </c>
      <c r="J281" s="162" t="s">
        <v>850</v>
      </c>
      <c r="K281" s="133"/>
    </row>
    <row r="282" spans="1:11" x14ac:dyDescent="0.15">
      <c r="A282" s="133"/>
      <c r="B282" s="162" t="s">
        <v>850</v>
      </c>
      <c r="C282" s="163" t="s">
        <v>850</v>
      </c>
      <c r="D282" s="163" t="s">
        <v>850</v>
      </c>
      <c r="E282" s="163" t="s">
        <v>850</v>
      </c>
      <c r="F282" s="163" t="s">
        <v>850</v>
      </c>
      <c r="G282" s="163"/>
      <c r="H282" s="163"/>
      <c r="I282" s="163" t="s">
        <v>850</v>
      </c>
      <c r="J282" s="163" t="s">
        <v>850</v>
      </c>
      <c r="K282" s="133"/>
    </row>
    <row r="283" spans="1:11" x14ac:dyDescent="0.15">
      <c r="A283" s="133"/>
      <c r="B283" s="162" t="s">
        <v>850</v>
      </c>
      <c r="C283" s="163" t="s">
        <v>850</v>
      </c>
      <c r="D283" s="162" t="s">
        <v>850</v>
      </c>
      <c r="E283" s="162" t="s">
        <v>850</v>
      </c>
      <c r="F283" s="162" t="s">
        <v>850</v>
      </c>
      <c r="G283" s="162" t="s">
        <v>850</v>
      </c>
      <c r="H283" s="162" t="s">
        <v>850</v>
      </c>
      <c r="I283" s="162" t="s">
        <v>850</v>
      </c>
      <c r="J283" s="162" t="s">
        <v>850</v>
      </c>
      <c r="K283" s="133"/>
    </row>
    <row r="284" spans="1:11" x14ac:dyDescent="0.15">
      <c r="A284" s="133"/>
      <c r="B284" s="162" t="s">
        <v>850</v>
      </c>
      <c r="C284" s="163" t="s">
        <v>850</v>
      </c>
      <c r="D284" s="163" t="s">
        <v>850</v>
      </c>
      <c r="E284" s="163" t="s">
        <v>850</v>
      </c>
      <c r="F284" s="163" t="s">
        <v>850</v>
      </c>
      <c r="G284" s="163"/>
      <c r="H284" s="163"/>
      <c r="I284" s="163" t="s">
        <v>850</v>
      </c>
      <c r="J284" s="163" t="s">
        <v>850</v>
      </c>
      <c r="K284" s="133"/>
    </row>
    <row r="285" spans="1:11" x14ac:dyDescent="0.15">
      <c r="A285" s="133"/>
      <c r="B285" s="162" t="s">
        <v>850</v>
      </c>
      <c r="C285" s="163" t="s">
        <v>850</v>
      </c>
      <c r="D285" s="162" t="s">
        <v>850</v>
      </c>
      <c r="E285" s="162" t="s">
        <v>850</v>
      </c>
      <c r="F285" s="162" t="s">
        <v>850</v>
      </c>
      <c r="G285" s="162" t="s">
        <v>850</v>
      </c>
      <c r="H285" s="162" t="s">
        <v>850</v>
      </c>
      <c r="I285" s="162" t="s">
        <v>850</v>
      </c>
      <c r="J285" s="162" t="s">
        <v>850</v>
      </c>
      <c r="K285" s="133"/>
    </row>
    <row r="286" spans="1:11" x14ac:dyDescent="0.15">
      <c r="A286" s="133"/>
      <c r="B286" s="162" t="s">
        <v>850</v>
      </c>
      <c r="C286" s="163" t="s">
        <v>850</v>
      </c>
      <c r="D286" s="163" t="s">
        <v>850</v>
      </c>
      <c r="E286" s="163" t="s">
        <v>850</v>
      </c>
      <c r="F286" s="163" t="s">
        <v>850</v>
      </c>
      <c r="G286" s="163"/>
      <c r="H286" s="163"/>
      <c r="I286" s="163" t="s">
        <v>850</v>
      </c>
      <c r="J286" s="163" t="s">
        <v>850</v>
      </c>
      <c r="K286" s="133"/>
    </row>
    <row r="287" spans="1:11" x14ac:dyDescent="0.15">
      <c r="A287" s="133"/>
      <c r="B287" s="162" t="s">
        <v>850</v>
      </c>
      <c r="C287" s="163" t="s">
        <v>850</v>
      </c>
      <c r="D287" s="162" t="s">
        <v>850</v>
      </c>
      <c r="E287" s="162" t="s">
        <v>850</v>
      </c>
      <c r="F287" s="162" t="s">
        <v>850</v>
      </c>
      <c r="G287" s="162" t="s">
        <v>850</v>
      </c>
      <c r="H287" s="162" t="s">
        <v>850</v>
      </c>
      <c r="I287" s="162" t="s">
        <v>850</v>
      </c>
      <c r="J287" s="162" t="s">
        <v>850</v>
      </c>
      <c r="K287" s="133"/>
    </row>
    <row r="288" spans="1:11" x14ac:dyDescent="0.15">
      <c r="A288" s="133"/>
      <c r="B288" s="162" t="s">
        <v>850</v>
      </c>
      <c r="C288" s="163" t="s">
        <v>850</v>
      </c>
      <c r="D288" s="163" t="s">
        <v>850</v>
      </c>
      <c r="E288" s="163" t="s">
        <v>850</v>
      </c>
      <c r="F288" s="163" t="s">
        <v>850</v>
      </c>
      <c r="G288" s="163"/>
      <c r="H288" s="163"/>
      <c r="I288" s="163" t="s">
        <v>850</v>
      </c>
      <c r="J288" s="163" t="s">
        <v>850</v>
      </c>
      <c r="K288" s="133"/>
    </row>
    <row r="289" spans="1:11" x14ac:dyDescent="0.15">
      <c r="A289" s="133"/>
      <c r="B289" s="162" t="s">
        <v>850</v>
      </c>
      <c r="C289" s="163" t="s">
        <v>850</v>
      </c>
      <c r="D289" s="162" t="s">
        <v>850</v>
      </c>
      <c r="E289" s="162" t="s">
        <v>850</v>
      </c>
      <c r="F289" s="162" t="s">
        <v>850</v>
      </c>
      <c r="G289" s="162" t="s">
        <v>850</v>
      </c>
      <c r="H289" s="162" t="s">
        <v>850</v>
      </c>
      <c r="I289" s="162" t="s">
        <v>850</v>
      </c>
      <c r="J289" s="162" t="s">
        <v>850</v>
      </c>
      <c r="K289" s="133"/>
    </row>
    <row r="290" spans="1:11" x14ac:dyDescent="0.15">
      <c r="A290" s="133"/>
      <c r="B290" s="162" t="s">
        <v>850</v>
      </c>
      <c r="C290" s="163" t="s">
        <v>850</v>
      </c>
      <c r="D290" s="163" t="s">
        <v>850</v>
      </c>
      <c r="E290" s="163" t="s">
        <v>850</v>
      </c>
      <c r="F290" s="163" t="s">
        <v>850</v>
      </c>
      <c r="G290" s="163"/>
      <c r="H290" s="163"/>
      <c r="I290" s="163" t="s">
        <v>850</v>
      </c>
      <c r="J290" s="163" t="s">
        <v>850</v>
      </c>
      <c r="K290" s="133"/>
    </row>
    <row r="291" spans="1:11" x14ac:dyDescent="0.15">
      <c r="A291" s="133"/>
      <c r="B291" s="162" t="s">
        <v>850</v>
      </c>
      <c r="C291" s="163" t="s">
        <v>850</v>
      </c>
      <c r="D291" s="162" t="s">
        <v>850</v>
      </c>
      <c r="E291" s="162" t="s">
        <v>850</v>
      </c>
      <c r="F291" s="162" t="s">
        <v>850</v>
      </c>
      <c r="G291" s="162" t="s">
        <v>850</v>
      </c>
      <c r="H291" s="162" t="s">
        <v>850</v>
      </c>
      <c r="I291" s="162" t="s">
        <v>850</v>
      </c>
      <c r="J291" s="162" t="s">
        <v>850</v>
      </c>
      <c r="K291" s="133"/>
    </row>
    <row r="292" spans="1:11" x14ac:dyDescent="0.15">
      <c r="A292" s="133"/>
      <c r="B292" s="162" t="s">
        <v>850</v>
      </c>
      <c r="C292" s="163" t="s">
        <v>850</v>
      </c>
      <c r="D292" s="163" t="s">
        <v>850</v>
      </c>
      <c r="E292" s="163" t="s">
        <v>850</v>
      </c>
      <c r="F292" s="163" t="s">
        <v>850</v>
      </c>
      <c r="G292" s="163"/>
      <c r="H292" s="163"/>
      <c r="I292" s="163" t="s">
        <v>850</v>
      </c>
      <c r="J292" s="163" t="s">
        <v>850</v>
      </c>
      <c r="K292" s="133"/>
    </row>
    <row r="293" spans="1:11" x14ac:dyDescent="0.15">
      <c r="A293" s="133"/>
      <c r="B293" s="162" t="s">
        <v>850</v>
      </c>
      <c r="C293" s="163" t="s">
        <v>850</v>
      </c>
      <c r="D293" s="162" t="s">
        <v>850</v>
      </c>
      <c r="E293" s="162" t="s">
        <v>850</v>
      </c>
      <c r="F293" s="162" t="s">
        <v>850</v>
      </c>
      <c r="G293" s="162" t="s">
        <v>850</v>
      </c>
      <c r="H293" s="162" t="s">
        <v>850</v>
      </c>
      <c r="I293" s="162" t="s">
        <v>850</v>
      </c>
      <c r="J293" s="162" t="s">
        <v>850</v>
      </c>
      <c r="K293" s="133"/>
    </row>
    <row r="294" spans="1:11" x14ac:dyDescent="0.15">
      <c r="A294" s="133"/>
      <c r="B294" s="162" t="s">
        <v>850</v>
      </c>
      <c r="C294" s="163" t="s">
        <v>850</v>
      </c>
      <c r="D294" s="163" t="s">
        <v>850</v>
      </c>
      <c r="E294" s="163" t="s">
        <v>850</v>
      </c>
      <c r="F294" s="163" t="s">
        <v>850</v>
      </c>
      <c r="G294" s="163"/>
      <c r="H294" s="163"/>
      <c r="I294" s="163" t="s">
        <v>850</v>
      </c>
      <c r="J294" s="163" t="s">
        <v>850</v>
      </c>
      <c r="K294" s="133"/>
    </row>
    <row r="295" spans="1:11" x14ac:dyDescent="0.15">
      <c r="A295" s="133"/>
      <c r="B295" s="162" t="s">
        <v>850</v>
      </c>
      <c r="C295" s="163" t="s">
        <v>850</v>
      </c>
      <c r="D295" s="162" t="s">
        <v>850</v>
      </c>
      <c r="E295" s="162" t="s">
        <v>850</v>
      </c>
      <c r="F295" s="162" t="s">
        <v>850</v>
      </c>
      <c r="G295" s="162" t="s">
        <v>850</v>
      </c>
      <c r="H295" s="162" t="s">
        <v>850</v>
      </c>
      <c r="I295" s="162" t="s">
        <v>850</v>
      </c>
      <c r="J295" s="162" t="s">
        <v>850</v>
      </c>
      <c r="K295" s="133"/>
    </row>
    <row r="296" spans="1:11" x14ac:dyDescent="0.15">
      <c r="A296" s="133"/>
      <c r="B296" s="162" t="s">
        <v>850</v>
      </c>
      <c r="C296" s="163" t="s">
        <v>850</v>
      </c>
      <c r="D296" s="163" t="s">
        <v>850</v>
      </c>
      <c r="E296" s="163" t="s">
        <v>850</v>
      </c>
      <c r="F296" s="163" t="s">
        <v>850</v>
      </c>
      <c r="G296" s="163"/>
      <c r="H296" s="163"/>
      <c r="I296" s="163" t="s">
        <v>850</v>
      </c>
      <c r="J296" s="163" t="s">
        <v>850</v>
      </c>
      <c r="K296" s="133"/>
    </row>
    <row r="297" spans="1:11" x14ac:dyDescent="0.15">
      <c r="A297" s="133"/>
      <c r="B297" s="162" t="s">
        <v>850</v>
      </c>
      <c r="C297" s="163" t="s">
        <v>850</v>
      </c>
      <c r="D297" s="162" t="s">
        <v>850</v>
      </c>
      <c r="E297" s="162" t="s">
        <v>850</v>
      </c>
      <c r="F297" s="162" t="s">
        <v>850</v>
      </c>
      <c r="G297" s="162" t="s">
        <v>850</v>
      </c>
      <c r="H297" s="162" t="s">
        <v>850</v>
      </c>
      <c r="I297" s="162" t="s">
        <v>850</v>
      </c>
      <c r="J297" s="162" t="s">
        <v>850</v>
      </c>
      <c r="K297" s="133"/>
    </row>
    <row r="298" spans="1:11" x14ac:dyDescent="0.15">
      <c r="A298" s="133"/>
      <c r="B298" s="162" t="s">
        <v>850</v>
      </c>
      <c r="C298" s="163" t="s">
        <v>850</v>
      </c>
      <c r="D298" s="163" t="s">
        <v>850</v>
      </c>
      <c r="E298" s="163" t="s">
        <v>850</v>
      </c>
      <c r="F298" s="163" t="s">
        <v>850</v>
      </c>
      <c r="G298" s="163"/>
      <c r="H298" s="163"/>
      <c r="I298" s="163" t="s">
        <v>850</v>
      </c>
      <c r="J298" s="163" t="s">
        <v>850</v>
      </c>
      <c r="K298" s="133"/>
    </row>
    <row r="299" spans="1:11" x14ac:dyDescent="0.15">
      <c r="A299" s="133"/>
      <c r="B299" s="162" t="s">
        <v>850</v>
      </c>
      <c r="C299" s="163" t="s">
        <v>850</v>
      </c>
      <c r="D299" s="162" t="s">
        <v>850</v>
      </c>
      <c r="E299" s="162" t="s">
        <v>850</v>
      </c>
      <c r="F299" s="162" t="s">
        <v>850</v>
      </c>
      <c r="G299" s="162" t="s">
        <v>850</v>
      </c>
      <c r="H299" s="162" t="s">
        <v>850</v>
      </c>
      <c r="I299" s="162" t="s">
        <v>850</v>
      </c>
      <c r="J299" s="162" t="s">
        <v>850</v>
      </c>
      <c r="K299" s="133"/>
    </row>
    <row r="300" spans="1:11" x14ac:dyDescent="0.15">
      <c r="A300" s="133"/>
      <c r="B300" s="162" t="s">
        <v>850</v>
      </c>
      <c r="C300" s="163" t="s">
        <v>850</v>
      </c>
      <c r="D300" s="163" t="s">
        <v>850</v>
      </c>
      <c r="E300" s="163" t="s">
        <v>850</v>
      </c>
      <c r="F300" s="163" t="s">
        <v>850</v>
      </c>
      <c r="G300" s="163"/>
      <c r="H300" s="163"/>
      <c r="I300" s="163" t="s">
        <v>850</v>
      </c>
      <c r="J300" s="163" t="s">
        <v>850</v>
      </c>
      <c r="K300" s="133"/>
    </row>
    <row r="301" spans="1:11" x14ac:dyDescent="0.15">
      <c r="A301" s="133"/>
      <c r="B301" s="162" t="s">
        <v>850</v>
      </c>
      <c r="C301" s="163" t="s">
        <v>850</v>
      </c>
      <c r="D301" s="162" t="s">
        <v>850</v>
      </c>
      <c r="E301" s="162" t="s">
        <v>850</v>
      </c>
      <c r="F301" s="162" t="s">
        <v>850</v>
      </c>
      <c r="G301" s="162" t="s">
        <v>850</v>
      </c>
      <c r="H301" s="162" t="s">
        <v>850</v>
      </c>
      <c r="I301" s="162" t="s">
        <v>850</v>
      </c>
      <c r="J301" s="162" t="s">
        <v>850</v>
      </c>
      <c r="K301" s="133"/>
    </row>
    <row r="302" spans="1:11" x14ac:dyDescent="0.15">
      <c r="A302" s="133"/>
      <c r="B302" s="162" t="s">
        <v>850</v>
      </c>
      <c r="C302" s="163" t="s">
        <v>850</v>
      </c>
      <c r="D302" s="163" t="s">
        <v>850</v>
      </c>
      <c r="E302" s="163" t="s">
        <v>850</v>
      </c>
      <c r="F302" s="163" t="s">
        <v>850</v>
      </c>
      <c r="G302" s="163"/>
      <c r="H302" s="163"/>
      <c r="I302" s="163" t="s">
        <v>850</v>
      </c>
      <c r="J302" s="163" t="s">
        <v>850</v>
      </c>
      <c r="K302" s="133"/>
    </row>
    <row r="303" spans="1:11" x14ac:dyDescent="0.15">
      <c r="A303" s="133"/>
      <c r="B303" s="162" t="s">
        <v>850</v>
      </c>
      <c r="C303" s="163" t="s">
        <v>850</v>
      </c>
      <c r="D303" s="162" t="s">
        <v>850</v>
      </c>
      <c r="E303" s="162" t="s">
        <v>850</v>
      </c>
      <c r="F303" s="162" t="s">
        <v>850</v>
      </c>
      <c r="G303" s="162" t="s">
        <v>850</v>
      </c>
      <c r="H303" s="162" t="s">
        <v>850</v>
      </c>
      <c r="I303" s="162" t="s">
        <v>850</v>
      </c>
      <c r="J303" s="162" t="s">
        <v>850</v>
      </c>
      <c r="K303" s="133"/>
    </row>
    <row r="304" spans="1:11" x14ac:dyDescent="0.15">
      <c r="A304" s="133"/>
      <c r="B304" s="162" t="s">
        <v>850</v>
      </c>
      <c r="C304" s="163" t="s">
        <v>850</v>
      </c>
      <c r="D304" s="163" t="s">
        <v>850</v>
      </c>
      <c r="E304" s="163" t="s">
        <v>850</v>
      </c>
      <c r="F304" s="163" t="s">
        <v>850</v>
      </c>
      <c r="G304" s="163"/>
      <c r="H304" s="163"/>
      <c r="I304" s="163" t="s">
        <v>850</v>
      </c>
      <c r="J304" s="163" t="s">
        <v>850</v>
      </c>
      <c r="K304" s="133"/>
    </row>
    <row r="305" spans="1:11" x14ac:dyDescent="0.15">
      <c r="A305" s="133"/>
      <c r="B305" s="162" t="s">
        <v>850</v>
      </c>
      <c r="C305" s="163" t="s">
        <v>850</v>
      </c>
      <c r="D305" s="162" t="s">
        <v>850</v>
      </c>
      <c r="E305" s="162" t="s">
        <v>850</v>
      </c>
      <c r="F305" s="162" t="s">
        <v>850</v>
      </c>
      <c r="G305" s="162" t="s">
        <v>850</v>
      </c>
      <c r="H305" s="162" t="s">
        <v>850</v>
      </c>
      <c r="I305" s="162" t="s">
        <v>850</v>
      </c>
      <c r="J305" s="162" t="s">
        <v>850</v>
      </c>
      <c r="K305" s="133"/>
    </row>
    <row r="306" spans="1:11" x14ac:dyDescent="0.15">
      <c r="A306" s="133"/>
      <c r="B306" s="162" t="s">
        <v>850</v>
      </c>
      <c r="C306" s="163" t="s">
        <v>850</v>
      </c>
      <c r="D306" s="163" t="s">
        <v>850</v>
      </c>
      <c r="E306" s="163" t="s">
        <v>850</v>
      </c>
      <c r="F306" s="163" t="s">
        <v>850</v>
      </c>
      <c r="G306" s="163"/>
      <c r="H306" s="163"/>
      <c r="I306" s="163" t="s">
        <v>850</v>
      </c>
      <c r="J306" s="163" t="s">
        <v>850</v>
      </c>
      <c r="K306" s="133"/>
    </row>
    <row r="307" spans="1:11" x14ac:dyDescent="0.15">
      <c r="A307" s="133"/>
      <c r="B307" s="162" t="s">
        <v>850</v>
      </c>
      <c r="C307" s="163" t="s">
        <v>850</v>
      </c>
      <c r="D307" s="162" t="s">
        <v>850</v>
      </c>
      <c r="E307" s="162" t="s">
        <v>850</v>
      </c>
      <c r="F307" s="162" t="s">
        <v>850</v>
      </c>
      <c r="G307" s="162" t="s">
        <v>850</v>
      </c>
      <c r="H307" s="162" t="s">
        <v>850</v>
      </c>
      <c r="I307" s="162" t="s">
        <v>850</v>
      </c>
      <c r="J307" s="162" t="s">
        <v>850</v>
      </c>
      <c r="K307" s="133"/>
    </row>
    <row r="308" spans="1:11" x14ac:dyDescent="0.15">
      <c r="A308" s="133"/>
      <c r="B308" s="162" t="s">
        <v>850</v>
      </c>
      <c r="C308" s="163" t="s">
        <v>850</v>
      </c>
      <c r="D308" s="163" t="s">
        <v>850</v>
      </c>
      <c r="E308" s="163" t="s">
        <v>850</v>
      </c>
      <c r="F308" s="163" t="s">
        <v>850</v>
      </c>
      <c r="G308" s="163"/>
      <c r="H308" s="163"/>
      <c r="I308" s="163" t="s">
        <v>850</v>
      </c>
      <c r="J308" s="163" t="s">
        <v>850</v>
      </c>
      <c r="K308" s="133"/>
    </row>
    <row r="309" spans="1:11" x14ac:dyDescent="0.15">
      <c r="A309" s="133"/>
      <c r="B309" s="162" t="s">
        <v>850</v>
      </c>
      <c r="C309" s="163" t="s">
        <v>850</v>
      </c>
      <c r="D309" s="162" t="s">
        <v>850</v>
      </c>
      <c r="E309" s="162" t="s">
        <v>850</v>
      </c>
      <c r="F309" s="162" t="s">
        <v>850</v>
      </c>
      <c r="G309" s="162" t="s">
        <v>850</v>
      </c>
      <c r="H309" s="162" t="s">
        <v>850</v>
      </c>
      <c r="I309" s="162" t="s">
        <v>850</v>
      </c>
      <c r="J309" s="162" t="s">
        <v>850</v>
      </c>
      <c r="K309" s="133"/>
    </row>
    <row r="310" spans="1:11" x14ac:dyDescent="0.15">
      <c r="A310" s="133"/>
      <c r="B310" s="162" t="s">
        <v>850</v>
      </c>
      <c r="C310" s="163" t="s">
        <v>850</v>
      </c>
      <c r="D310" s="163" t="s">
        <v>850</v>
      </c>
      <c r="E310" s="163" t="s">
        <v>850</v>
      </c>
      <c r="F310" s="163" t="s">
        <v>850</v>
      </c>
      <c r="G310" s="163"/>
      <c r="H310" s="163"/>
      <c r="I310" s="163" t="s">
        <v>850</v>
      </c>
      <c r="J310" s="163" t="s">
        <v>850</v>
      </c>
      <c r="K310" s="133"/>
    </row>
    <row r="311" spans="1:11" x14ac:dyDescent="0.15">
      <c r="A311" s="133"/>
      <c r="B311" s="162" t="s">
        <v>850</v>
      </c>
      <c r="C311" s="163" t="s">
        <v>850</v>
      </c>
      <c r="D311" s="162" t="s">
        <v>850</v>
      </c>
      <c r="E311" s="162" t="s">
        <v>850</v>
      </c>
      <c r="F311" s="162" t="s">
        <v>850</v>
      </c>
      <c r="G311" s="162" t="s">
        <v>850</v>
      </c>
      <c r="H311" s="162" t="s">
        <v>850</v>
      </c>
      <c r="I311" s="162" t="s">
        <v>850</v>
      </c>
      <c r="J311" s="162" t="s">
        <v>850</v>
      </c>
      <c r="K311" s="133"/>
    </row>
    <row r="312" spans="1:11" x14ac:dyDescent="0.15">
      <c r="A312" s="133"/>
      <c r="B312" s="162" t="s">
        <v>850</v>
      </c>
      <c r="C312" s="163" t="s">
        <v>850</v>
      </c>
      <c r="D312" s="163" t="s">
        <v>850</v>
      </c>
      <c r="E312" s="163" t="s">
        <v>850</v>
      </c>
      <c r="F312" s="163" t="s">
        <v>850</v>
      </c>
      <c r="G312" s="163"/>
      <c r="H312" s="163"/>
      <c r="I312" s="163" t="s">
        <v>850</v>
      </c>
      <c r="J312" s="163" t="s">
        <v>850</v>
      </c>
      <c r="K312" s="133"/>
    </row>
    <row r="313" spans="1:11" x14ac:dyDescent="0.15">
      <c r="A313" s="133"/>
      <c r="B313" s="162" t="s">
        <v>850</v>
      </c>
      <c r="C313" s="163" t="s">
        <v>850</v>
      </c>
      <c r="D313" s="162" t="s">
        <v>850</v>
      </c>
      <c r="E313" s="162" t="s">
        <v>850</v>
      </c>
      <c r="F313" s="162" t="s">
        <v>850</v>
      </c>
      <c r="G313" s="162" t="s">
        <v>850</v>
      </c>
      <c r="H313" s="162" t="s">
        <v>850</v>
      </c>
      <c r="I313" s="162" t="s">
        <v>850</v>
      </c>
      <c r="J313" s="162" t="s">
        <v>850</v>
      </c>
      <c r="K313" s="133"/>
    </row>
    <row r="314" spans="1:11" x14ac:dyDescent="0.15">
      <c r="A314" s="133"/>
      <c r="B314" s="162" t="s">
        <v>850</v>
      </c>
      <c r="C314" s="163" t="s">
        <v>850</v>
      </c>
      <c r="D314" s="163" t="s">
        <v>850</v>
      </c>
      <c r="E314" s="163" t="s">
        <v>850</v>
      </c>
      <c r="F314" s="163" t="s">
        <v>850</v>
      </c>
      <c r="G314" s="163"/>
      <c r="H314" s="163"/>
      <c r="I314" s="163" t="s">
        <v>850</v>
      </c>
      <c r="J314" s="163" t="s">
        <v>850</v>
      </c>
      <c r="K314" s="133"/>
    </row>
    <row r="315" spans="1:11" x14ac:dyDescent="0.15">
      <c r="A315" s="133"/>
      <c r="B315" s="162" t="s">
        <v>850</v>
      </c>
      <c r="C315" s="163" t="s">
        <v>850</v>
      </c>
      <c r="D315" s="162" t="s">
        <v>850</v>
      </c>
      <c r="E315" s="162" t="s">
        <v>850</v>
      </c>
      <c r="F315" s="162" t="s">
        <v>850</v>
      </c>
      <c r="G315" s="162" t="s">
        <v>850</v>
      </c>
      <c r="H315" s="162" t="s">
        <v>850</v>
      </c>
      <c r="I315" s="162" t="s">
        <v>850</v>
      </c>
      <c r="J315" s="162" t="s">
        <v>850</v>
      </c>
      <c r="K315" s="133"/>
    </row>
    <row r="316" spans="1:11" x14ac:dyDescent="0.15">
      <c r="A316" s="133"/>
      <c r="B316" s="162" t="s">
        <v>850</v>
      </c>
      <c r="C316" s="163" t="s">
        <v>850</v>
      </c>
      <c r="D316" s="163" t="s">
        <v>850</v>
      </c>
      <c r="E316" s="163" t="s">
        <v>850</v>
      </c>
      <c r="F316" s="163" t="s">
        <v>850</v>
      </c>
      <c r="G316" s="163"/>
      <c r="H316" s="163"/>
      <c r="I316" s="163" t="s">
        <v>850</v>
      </c>
      <c r="J316" s="163" t="s">
        <v>850</v>
      </c>
      <c r="K316" s="133"/>
    </row>
    <row r="317" spans="1:11" x14ac:dyDescent="0.15">
      <c r="A317" s="133"/>
      <c r="B317" s="162" t="s">
        <v>850</v>
      </c>
      <c r="C317" s="163" t="s">
        <v>850</v>
      </c>
      <c r="D317" s="162" t="s">
        <v>850</v>
      </c>
      <c r="E317" s="162" t="s">
        <v>850</v>
      </c>
      <c r="F317" s="162" t="s">
        <v>850</v>
      </c>
      <c r="G317" s="162" t="s">
        <v>850</v>
      </c>
      <c r="H317" s="162" t="s">
        <v>850</v>
      </c>
      <c r="I317" s="162" t="s">
        <v>850</v>
      </c>
      <c r="J317" s="162" t="s">
        <v>850</v>
      </c>
      <c r="K317" s="133"/>
    </row>
    <row r="318" spans="1:11" x14ac:dyDescent="0.15">
      <c r="A318" s="133"/>
      <c r="B318" s="162" t="s">
        <v>850</v>
      </c>
      <c r="C318" s="163" t="s">
        <v>850</v>
      </c>
      <c r="D318" s="163" t="s">
        <v>850</v>
      </c>
      <c r="E318" s="163" t="s">
        <v>850</v>
      </c>
      <c r="F318" s="163" t="s">
        <v>850</v>
      </c>
      <c r="G318" s="163"/>
      <c r="H318" s="163"/>
      <c r="I318" s="163" t="s">
        <v>850</v>
      </c>
      <c r="J318" s="163" t="s">
        <v>850</v>
      </c>
      <c r="K318" s="133"/>
    </row>
    <row r="319" spans="1:11" x14ac:dyDescent="0.15">
      <c r="A319" s="133"/>
      <c r="B319" s="162" t="s">
        <v>850</v>
      </c>
      <c r="C319" s="163" t="s">
        <v>850</v>
      </c>
      <c r="D319" s="162" t="s">
        <v>850</v>
      </c>
      <c r="E319" s="162" t="s">
        <v>850</v>
      </c>
      <c r="F319" s="162" t="s">
        <v>850</v>
      </c>
      <c r="G319" s="162" t="s">
        <v>850</v>
      </c>
      <c r="H319" s="162" t="s">
        <v>850</v>
      </c>
      <c r="I319" s="162" t="s">
        <v>850</v>
      </c>
      <c r="J319" s="162" t="s">
        <v>850</v>
      </c>
      <c r="K319" s="133"/>
    </row>
    <row r="320" spans="1:11" x14ac:dyDescent="0.15">
      <c r="A320" s="133"/>
      <c r="B320" s="162" t="s">
        <v>850</v>
      </c>
      <c r="C320" s="163" t="s">
        <v>850</v>
      </c>
      <c r="D320" s="163" t="s">
        <v>850</v>
      </c>
      <c r="E320" s="163" t="s">
        <v>850</v>
      </c>
      <c r="F320" s="163" t="s">
        <v>850</v>
      </c>
      <c r="G320" s="163"/>
      <c r="H320" s="163"/>
      <c r="I320" s="163" t="s">
        <v>850</v>
      </c>
      <c r="J320" s="163" t="s">
        <v>850</v>
      </c>
      <c r="K320" s="133"/>
    </row>
    <row r="321" spans="1:11" x14ac:dyDescent="0.15">
      <c r="A321" s="133"/>
      <c r="B321" s="162" t="s">
        <v>850</v>
      </c>
      <c r="C321" s="163" t="s">
        <v>850</v>
      </c>
      <c r="D321" s="162" t="s">
        <v>850</v>
      </c>
      <c r="E321" s="162" t="s">
        <v>850</v>
      </c>
      <c r="F321" s="162" t="s">
        <v>850</v>
      </c>
      <c r="G321" s="162" t="s">
        <v>850</v>
      </c>
      <c r="H321" s="162" t="s">
        <v>850</v>
      </c>
      <c r="I321" s="162" t="s">
        <v>850</v>
      </c>
      <c r="J321" s="162" t="s">
        <v>850</v>
      </c>
      <c r="K321" s="133"/>
    </row>
    <row r="322" spans="1:11" x14ac:dyDescent="0.15">
      <c r="A322" s="133"/>
      <c r="B322" s="162" t="s">
        <v>850</v>
      </c>
      <c r="C322" s="163" t="s">
        <v>850</v>
      </c>
      <c r="D322" s="163" t="s">
        <v>850</v>
      </c>
      <c r="E322" s="163" t="s">
        <v>850</v>
      </c>
      <c r="F322" s="163" t="s">
        <v>850</v>
      </c>
      <c r="G322" s="163"/>
      <c r="H322" s="163"/>
      <c r="I322" s="163" t="s">
        <v>850</v>
      </c>
      <c r="J322" s="163" t="s">
        <v>850</v>
      </c>
      <c r="K322" s="133"/>
    </row>
    <row r="323" spans="1:11" x14ac:dyDescent="0.15">
      <c r="A323" s="133"/>
      <c r="B323" s="162" t="s">
        <v>850</v>
      </c>
      <c r="C323" s="163" t="s">
        <v>850</v>
      </c>
      <c r="D323" s="162" t="s">
        <v>850</v>
      </c>
      <c r="E323" s="162" t="s">
        <v>850</v>
      </c>
      <c r="F323" s="162" t="s">
        <v>850</v>
      </c>
      <c r="G323" s="162" t="s">
        <v>850</v>
      </c>
      <c r="H323" s="162" t="s">
        <v>850</v>
      </c>
      <c r="I323" s="162" t="s">
        <v>850</v>
      </c>
      <c r="J323" s="162" t="s">
        <v>850</v>
      </c>
      <c r="K323" s="133"/>
    </row>
    <row r="324" spans="1:11" x14ac:dyDescent="0.15">
      <c r="A324" s="133"/>
      <c r="B324" s="162" t="s">
        <v>850</v>
      </c>
      <c r="C324" s="163" t="s">
        <v>850</v>
      </c>
      <c r="D324" s="163" t="s">
        <v>850</v>
      </c>
      <c r="E324" s="163" t="s">
        <v>850</v>
      </c>
      <c r="F324" s="163" t="s">
        <v>850</v>
      </c>
      <c r="G324" s="163"/>
      <c r="H324" s="163"/>
      <c r="I324" s="163" t="s">
        <v>850</v>
      </c>
      <c r="J324" s="163" t="s">
        <v>850</v>
      </c>
      <c r="K324" s="133"/>
    </row>
    <row r="325" spans="1:11" x14ac:dyDescent="0.15">
      <c r="A325" s="133"/>
      <c r="B325" s="162" t="s">
        <v>850</v>
      </c>
      <c r="C325" s="163" t="s">
        <v>850</v>
      </c>
      <c r="D325" s="162" t="s">
        <v>850</v>
      </c>
      <c r="E325" s="162" t="s">
        <v>850</v>
      </c>
      <c r="F325" s="162" t="s">
        <v>850</v>
      </c>
      <c r="G325" s="162" t="s">
        <v>850</v>
      </c>
      <c r="H325" s="162" t="s">
        <v>850</v>
      </c>
      <c r="I325" s="162" t="s">
        <v>850</v>
      </c>
      <c r="J325" s="162" t="s">
        <v>850</v>
      </c>
      <c r="K325" s="133"/>
    </row>
    <row r="326" spans="1:11" x14ac:dyDescent="0.15">
      <c r="A326" s="133"/>
      <c r="B326" s="162" t="s">
        <v>850</v>
      </c>
      <c r="C326" s="163" t="s">
        <v>850</v>
      </c>
      <c r="D326" s="163" t="s">
        <v>850</v>
      </c>
      <c r="E326" s="163" t="s">
        <v>850</v>
      </c>
      <c r="F326" s="163" t="s">
        <v>850</v>
      </c>
      <c r="G326" s="163"/>
      <c r="H326" s="163"/>
      <c r="I326" s="163" t="s">
        <v>850</v>
      </c>
      <c r="J326" s="163" t="s">
        <v>850</v>
      </c>
      <c r="K326" s="133"/>
    </row>
    <row r="327" spans="1:11" x14ac:dyDescent="0.15">
      <c r="A327" s="133"/>
      <c r="B327" s="162" t="s">
        <v>850</v>
      </c>
      <c r="C327" s="163" t="s">
        <v>850</v>
      </c>
      <c r="D327" s="162" t="s">
        <v>850</v>
      </c>
      <c r="E327" s="162" t="s">
        <v>850</v>
      </c>
      <c r="F327" s="162" t="s">
        <v>850</v>
      </c>
      <c r="G327" s="162" t="s">
        <v>850</v>
      </c>
      <c r="H327" s="162" t="s">
        <v>850</v>
      </c>
      <c r="I327" s="162" t="s">
        <v>850</v>
      </c>
      <c r="J327" s="162" t="s">
        <v>850</v>
      </c>
      <c r="K327" s="133"/>
    </row>
    <row r="328" spans="1:11" x14ac:dyDescent="0.15">
      <c r="A328" s="133"/>
      <c r="B328" s="162" t="s">
        <v>850</v>
      </c>
      <c r="C328" s="163" t="s">
        <v>850</v>
      </c>
      <c r="D328" s="163" t="s">
        <v>850</v>
      </c>
      <c r="E328" s="163" t="s">
        <v>850</v>
      </c>
      <c r="F328" s="163" t="s">
        <v>850</v>
      </c>
      <c r="G328" s="163"/>
      <c r="H328" s="163"/>
      <c r="I328" s="163" t="s">
        <v>850</v>
      </c>
      <c r="J328" s="163" t="s">
        <v>850</v>
      </c>
      <c r="K328" s="133"/>
    </row>
    <row r="329" spans="1:11" x14ac:dyDescent="0.15">
      <c r="A329" s="133"/>
      <c r="B329" s="162" t="s">
        <v>850</v>
      </c>
      <c r="C329" s="163" t="s">
        <v>850</v>
      </c>
      <c r="D329" s="162" t="s">
        <v>850</v>
      </c>
      <c r="E329" s="162" t="s">
        <v>850</v>
      </c>
      <c r="F329" s="162" t="s">
        <v>850</v>
      </c>
      <c r="G329" s="162" t="s">
        <v>850</v>
      </c>
      <c r="H329" s="162" t="s">
        <v>850</v>
      </c>
      <c r="I329" s="162" t="s">
        <v>850</v>
      </c>
      <c r="J329" s="162" t="s">
        <v>850</v>
      </c>
      <c r="K329" s="133"/>
    </row>
    <row r="330" spans="1:11" x14ac:dyDescent="0.15">
      <c r="A330" s="133"/>
      <c r="B330" s="162" t="s">
        <v>850</v>
      </c>
      <c r="C330" s="163" t="s">
        <v>850</v>
      </c>
      <c r="D330" s="163" t="s">
        <v>850</v>
      </c>
      <c r="E330" s="163" t="s">
        <v>850</v>
      </c>
      <c r="F330" s="163" t="s">
        <v>850</v>
      </c>
      <c r="G330" s="163"/>
      <c r="H330" s="163"/>
      <c r="I330" s="163" t="s">
        <v>850</v>
      </c>
      <c r="J330" s="163" t="s">
        <v>850</v>
      </c>
      <c r="K330" s="133"/>
    </row>
    <row r="331" spans="1:11" x14ac:dyDescent="0.15">
      <c r="A331" s="133"/>
      <c r="B331" s="162" t="s">
        <v>850</v>
      </c>
      <c r="C331" s="163" t="s">
        <v>850</v>
      </c>
      <c r="D331" s="162" t="s">
        <v>850</v>
      </c>
      <c r="E331" s="162" t="s">
        <v>850</v>
      </c>
      <c r="F331" s="162" t="s">
        <v>850</v>
      </c>
      <c r="G331" s="162" t="s">
        <v>850</v>
      </c>
      <c r="H331" s="162" t="s">
        <v>850</v>
      </c>
      <c r="I331" s="162" t="s">
        <v>850</v>
      </c>
      <c r="J331" s="162" t="s">
        <v>850</v>
      </c>
      <c r="K331" s="133"/>
    </row>
    <row r="332" spans="1:11" x14ac:dyDescent="0.15">
      <c r="A332" s="133"/>
      <c r="B332" s="162" t="s">
        <v>850</v>
      </c>
      <c r="C332" s="163" t="s">
        <v>850</v>
      </c>
      <c r="D332" s="163" t="s">
        <v>850</v>
      </c>
      <c r="E332" s="163" t="s">
        <v>850</v>
      </c>
      <c r="F332" s="163" t="s">
        <v>850</v>
      </c>
      <c r="G332" s="163"/>
      <c r="H332" s="163"/>
      <c r="I332" s="163" t="s">
        <v>850</v>
      </c>
      <c r="J332" s="163" t="s">
        <v>850</v>
      </c>
      <c r="K332" s="133"/>
    </row>
    <row r="333" spans="1:11" x14ac:dyDescent="0.15">
      <c r="A333" s="133"/>
      <c r="B333" s="162" t="s">
        <v>850</v>
      </c>
      <c r="C333" s="163" t="s">
        <v>850</v>
      </c>
      <c r="D333" s="162" t="s">
        <v>850</v>
      </c>
      <c r="E333" s="162" t="s">
        <v>850</v>
      </c>
      <c r="F333" s="162" t="s">
        <v>850</v>
      </c>
      <c r="G333" s="162" t="s">
        <v>850</v>
      </c>
      <c r="H333" s="162" t="s">
        <v>850</v>
      </c>
      <c r="I333" s="162" t="s">
        <v>850</v>
      </c>
      <c r="J333" s="162" t="s">
        <v>850</v>
      </c>
      <c r="K333" s="133"/>
    </row>
    <row r="334" spans="1:11" x14ac:dyDescent="0.15">
      <c r="A334" s="133"/>
      <c r="B334" s="162" t="s">
        <v>850</v>
      </c>
      <c r="C334" s="163" t="s">
        <v>850</v>
      </c>
      <c r="D334" s="163" t="s">
        <v>850</v>
      </c>
      <c r="E334" s="163" t="s">
        <v>850</v>
      </c>
      <c r="F334" s="163" t="s">
        <v>850</v>
      </c>
      <c r="G334" s="163"/>
      <c r="H334" s="163"/>
      <c r="I334" s="163" t="s">
        <v>850</v>
      </c>
      <c r="J334" s="163" t="s">
        <v>850</v>
      </c>
      <c r="K334" s="133"/>
    </row>
    <row r="335" spans="1:11" x14ac:dyDescent="0.15">
      <c r="A335" s="133"/>
      <c r="B335" s="162" t="s">
        <v>850</v>
      </c>
      <c r="C335" s="163" t="s">
        <v>850</v>
      </c>
      <c r="D335" s="162" t="s">
        <v>850</v>
      </c>
      <c r="E335" s="162" t="s">
        <v>850</v>
      </c>
      <c r="F335" s="162" t="s">
        <v>850</v>
      </c>
      <c r="G335" s="162" t="s">
        <v>850</v>
      </c>
      <c r="H335" s="162" t="s">
        <v>850</v>
      </c>
      <c r="I335" s="162" t="s">
        <v>850</v>
      </c>
      <c r="J335" s="162" t="s">
        <v>850</v>
      </c>
      <c r="K335" s="133"/>
    </row>
    <row r="336" spans="1:11" x14ac:dyDescent="0.15">
      <c r="A336" s="133"/>
      <c r="B336" s="162" t="s">
        <v>850</v>
      </c>
      <c r="C336" s="163" t="s">
        <v>850</v>
      </c>
      <c r="D336" s="163" t="s">
        <v>850</v>
      </c>
      <c r="E336" s="163" t="s">
        <v>850</v>
      </c>
      <c r="F336" s="163" t="s">
        <v>850</v>
      </c>
      <c r="G336" s="163"/>
      <c r="H336" s="163"/>
      <c r="I336" s="163" t="s">
        <v>850</v>
      </c>
      <c r="J336" s="163" t="s">
        <v>850</v>
      </c>
      <c r="K336" s="133"/>
    </row>
    <row r="337" spans="1:11" x14ac:dyDescent="0.15">
      <c r="A337" s="133"/>
      <c r="B337" s="162" t="s">
        <v>850</v>
      </c>
      <c r="C337" s="163" t="s">
        <v>850</v>
      </c>
      <c r="D337" s="162" t="s">
        <v>850</v>
      </c>
      <c r="E337" s="162" t="s">
        <v>850</v>
      </c>
      <c r="F337" s="162" t="s">
        <v>850</v>
      </c>
      <c r="G337" s="162" t="s">
        <v>850</v>
      </c>
      <c r="H337" s="162" t="s">
        <v>850</v>
      </c>
      <c r="I337" s="162" t="s">
        <v>850</v>
      </c>
      <c r="J337" s="162" t="s">
        <v>850</v>
      </c>
      <c r="K337" s="133"/>
    </row>
    <row r="338" spans="1:11" x14ac:dyDescent="0.15">
      <c r="A338" s="133"/>
      <c r="B338" s="162" t="s">
        <v>850</v>
      </c>
      <c r="C338" s="163" t="s">
        <v>850</v>
      </c>
      <c r="D338" s="163" t="s">
        <v>850</v>
      </c>
      <c r="E338" s="163" t="s">
        <v>850</v>
      </c>
      <c r="F338" s="163" t="s">
        <v>850</v>
      </c>
      <c r="G338" s="163"/>
      <c r="H338" s="163"/>
      <c r="I338" s="163" t="s">
        <v>850</v>
      </c>
      <c r="J338" s="163" t="s">
        <v>850</v>
      </c>
      <c r="K338" s="133"/>
    </row>
    <row r="339" spans="1:11" x14ac:dyDescent="0.15">
      <c r="A339" s="133"/>
      <c r="B339" s="162" t="s">
        <v>850</v>
      </c>
      <c r="C339" s="163" t="s">
        <v>850</v>
      </c>
      <c r="D339" s="162" t="s">
        <v>850</v>
      </c>
      <c r="E339" s="162" t="s">
        <v>850</v>
      </c>
      <c r="F339" s="162" t="s">
        <v>850</v>
      </c>
      <c r="G339" s="162" t="s">
        <v>850</v>
      </c>
      <c r="H339" s="162" t="s">
        <v>850</v>
      </c>
      <c r="I339" s="162" t="s">
        <v>850</v>
      </c>
      <c r="J339" s="162" t="s">
        <v>850</v>
      </c>
      <c r="K339" s="133"/>
    </row>
    <row r="340" spans="1:11" x14ac:dyDescent="0.15">
      <c r="A340" s="133"/>
      <c r="B340" s="162" t="s">
        <v>850</v>
      </c>
      <c r="C340" s="163" t="s">
        <v>850</v>
      </c>
      <c r="D340" s="163" t="s">
        <v>850</v>
      </c>
      <c r="E340" s="163" t="s">
        <v>850</v>
      </c>
      <c r="F340" s="163" t="s">
        <v>850</v>
      </c>
      <c r="G340" s="163"/>
      <c r="H340" s="163"/>
      <c r="I340" s="163" t="s">
        <v>850</v>
      </c>
      <c r="J340" s="163" t="s">
        <v>850</v>
      </c>
      <c r="K340" s="133"/>
    </row>
    <row r="341" spans="1:11" x14ac:dyDescent="0.15">
      <c r="A341" s="133"/>
      <c r="B341" s="162" t="s">
        <v>850</v>
      </c>
      <c r="C341" s="163" t="s">
        <v>850</v>
      </c>
      <c r="D341" s="162" t="s">
        <v>850</v>
      </c>
      <c r="E341" s="162" t="s">
        <v>850</v>
      </c>
      <c r="F341" s="162" t="s">
        <v>850</v>
      </c>
      <c r="G341" s="162" t="s">
        <v>850</v>
      </c>
      <c r="H341" s="162" t="s">
        <v>850</v>
      </c>
      <c r="I341" s="162" t="s">
        <v>850</v>
      </c>
      <c r="J341" s="162" t="s">
        <v>850</v>
      </c>
      <c r="K341" s="133"/>
    </row>
    <row r="342" spans="1:11" x14ac:dyDescent="0.15">
      <c r="A342" s="133"/>
      <c r="B342" s="162" t="s">
        <v>850</v>
      </c>
      <c r="C342" s="163" t="s">
        <v>850</v>
      </c>
      <c r="D342" s="163" t="s">
        <v>850</v>
      </c>
      <c r="E342" s="163" t="s">
        <v>850</v>
      </c>
      <c r="F342" s="163" t="s">
        <v>850</v>
      </c>
      <c r="G342" s="163"/>
      <c r="H342" s="163"/>
      <c r="I342" s="163" t="s">
        <v>850</v>
      </c>
      <c r="J342" s="163" t="s">
        <v>850</v>
      </c>
      <c r="K342" s="133"/>
    </row>
    <row r="343" spans="1:11" x14ac:dyDescent="0.15">
      <c r="A343" s="133"/>
      <c r="B343" s="162" t="s">
        <v>850</v>
      </c>
      <c r="C343" s="163" t="s">
        <v>850</v>
      </c>
      <c r="D343" s="162" t="s">
        <v>850</v>
      </c>
      <c r="E343" s="162" t="s">
        <v>850</v>
      </c>
      <c r="F343" s="162" t="s">
        <v>850</v>
      </c>
      <c r="G343" s="162" t="s">
        <v>850</v>
      </c>
      <c r="H343" s="162" t="s">
        <v>850</v>
      </c>
      <c r="I343" s="162" t="s">
        <v>850</v>
      </c>
      <c r="J343" s="162" t="s">
        <v>850</v>
      </c>
      <c r="K343" s="133"/>
    </row>
    <row r="344" spans="1:11" x14ac:dyDescent="0.15">
      <c r="A344" s="133"/>
      <c r="B344" s="162" t="s">
        <v>850</v>
      </c>
      <c r="C344" s="163" t="s">
        <v>850</v>
      </c>
      <c r="D344" s="163" t="s">
        <v>850</v>
      </c>
      <c r="E344" s="163" t="s">
        <v>850</v>
      </c>
      <c r="F344" s="163" t="s">
        <v>850</v>
      </c>
      <c r="G344" s="163"/>
      <c r="H344" s="163"/>
      <c r="I344" s="163" t="s">
        <v>850</v>
      </c>
      <c r="J344" s="163" t="s">
        <v>850</v>
      </c>
      <c r="K344" s="133"/>
    </row>
    <row r="345" spans="1:11" x14ac:dyDescent="0.15">
      <c r="A345" s="133"/>
      <c r="B345" s="162" t="s">
        <v>850</v>
      </c>
      <c r="C345" s="163" t="s">
        <v>850</v>
      </c>
      <c r="D345" s="162" t="s">
        <v>850</v>
      </c>
      <c r="E345" s="162" t="s">
        <v>850</v>
      </c>
      <c r="F345" s="162" t="s">
        <v>850</v>
      </c>
      <c r="G345" s="162" t="s">
        <v>850</v>
      </c>
      <c r="H345" s="162" t="s">
        <v>850</v>
      </c>
      <c r="I345" s="162" t="s">
        <v>850</v>
      </c>
      <c r="J345" s="162" t="s">
        <v>850</v>
      </c>
      <c r="K345" s="133"/>
    </row>
    <row r="346" spans="1:11" x14ac:dyDescent="0.15">
      <c r="A346" s="133"/>
      <c r="B346" s="162" t="s">
        <v>850</v>
      </c>
      <c r="C346" s="163" t="s">
        <v>850</v>
      </c>
      <c r="D346" s="163" t="s">
        <v>850</v>
      </c>
      <c r="E346" s="163" t="s">
        <v>850</v>
      </c>
      <c r="F346" s="163" t="s">
        <v>850</v>
      </c>
      <c r="G346" s="163"/>
      <c r="H346" s="163"/>
      <c r="I346" s="163" t="s">
        <v>850</v>
      </c>
      <c r="J346" s="163" t="s">
        <v>850</v>
      </c>
      <c r="K346" s="133"/>
    </row>
    <row r="347" spans="1:11" x14ac:dyDescent="0.15">
      <c r="A347" s="133"/>
      <c r="B347" s="162" t="s">
        <v>850</v>
      </c>
      <c r="C347" s="163" t="s">
        <v>850</v>
      </c>
      <c r="D347" s="162" t="s">
        <v>850</v>
      </c>
      <c r="E347" s="162" t="s">
        <v>850</v>
      </c>
      <c r="F347" s="162" t="s">
        <v>850</v>
      </c>
      <c r="G347" s="162" t="s">
        <v>850</v>
      </c>
      <c r="H347" s="162" t="s">
        <v>850</v>
      </c>
      <c r="I347" s="162" t="s">
        <v>850</v>
      </c>
      <c r="J347" s="162" t="s">
        <v>850</v>
      </c>
      <c r="K347" s="133"/>
    </row>
    <row r="348" spans="1:11" x14ac:dyDescent="0.15">
      <c r="A348" s="133"/>
      <c r="B348" s="162" t="s">
        <v>850</v>
      </c>
      <c r="C348" s="163" t="s">
        <v>850</v>
      </c>
      <c r="D348" s="163" t="s">
        <v>850</v>
      </c>
      <c r="E348" s="163" t="s">
        <v>850</v>
      </c>
      <c r="F348" s="163" t="s">
        <v>850</v>
      </c>
      <c r="G348" s="163"/>
      <c r="H348" s="163"/>
      <c r="I348" s="163" t="s">
        <v>850</v>
      </c>
      <c r="J348" s="163" t="s">
        <v>850</v>
      </c>
      <c r="K348" s="133"/>
    </row>
    <row r="349" spans="1:11" x14ac:dyDescent="0.15">
      <c r="A349" s="133"/>
      <c r="B349" s="162" t="s">
        <v>850</v>
      </c>
      <c r="C349" s="163" t="s">
        <v>850</v>
      </c>
      <c r="D349" s="162" t="s">
        <v>850</v>
      </c>
      <c r="E349" s="162" t="s">
        <v>850</v>
      </c>
      <c r="F349" s="162" t="s">
        <v>850</v>
      </c>
      <c r="G349" s="162" t="s">
        <v>850</v>
      </c>
      <c r="H349" s="162" t="s">
        <v>850</v>
      </c>
      <c r="I349" s="162" t="s">
        <v>850</v>
      </c>
      <c r="J349" s="162" t="s">
        <v>850</v>
      </c>
      <c r="K349" s="133"/>
    </row>
    <row r="350" spans="1:11" x14ac:dyDescent="0.15">
      <c r="A350" s="133"/>
      <c r="B350" s="162" t="s">
        <v>850</v>
      </c>
      <c r="C350" s="163" t="s">
        <v>850</v>
      </c>
      <c r="D350" s="163" t="s">
        <v>850</v>
      </c>
      <c r="E350" s="163" t="s">
        <v>850</v>
      </c>
      <c r="F350" s="163" t="s">
        <v>850</v>
      </c>
      <c r="G350" s="163"/>
      <c r="H350" s="163"/>
      <c r="I350" s="163" t="s">
        <v>850</v>
      </c>
      <c r="J350" s="163" t="s">
        <v>850</v>
      </c>
      <c r="K350" s="133"/>
    </row>
    <row r="351" spans="1:11" x14ac:dyDescent="0.15">
      <c r="A351" s="133"/>
      <c r="B351" s="162" t="s">
        <v>850</v>
      </c>
      <c r="C351" s="163" t="s">
        <v>850</v>
      </c>
      <c r="D351" s="162" t="s">
        <v>850</v>
      </c>
      <c r="E351" s="162" t="s">
        <v>850</v>
      </c>
      <c r="F351" s="162" t="s">
        <v>850</v>
      </c>
      <c r="G351" s="162" t="s">
        <v>850</v>
      </c>
      <c r="H351" s="162" t="s">
        <v>850</v>
      </c>
      <c r="I351" s="162" t="s">
        <v>850</v>
      </c>
      <c r="J351" s="162" t="s">
        <v>850</v>
      </c>
      <c r="K351" s="133"/>
    </row>
    <row r="352" spans="1:11" x14ac:dyDescent="0.15">
      <c r="A352" s="133"/>
      <c r="B352" s="162" t="s">
        <v>850</v>
      </c>
      <c r="C352" s="163" t="s">
        <v>850</v>
      </c>
      <c r="D352" s="163" t="s">
        <v>850</v>
      </c>
      <c r="E352" s="163" t="s">
        <v>850</v>
      </c>
      <c r="F352" s="163" t="s">
        <v>850</v>
      </c>
      <c r="G352" s="163"/>
      <c r="H352" s="163"/>
      <c r="I352" s="163" t="s">
        <v>850</v>
      </c>
      <c r="J352" s="163" t="s">
        <v>850</v>
      </c>
      <c r="K352" s="133"/>
    </row>
    <row r="353" spans="1:11" x14ac:dyDescent="0.15">
      <c r="A353" s="133"/>
      <c r="B353" s="162" t="s">
        <v>850</v>
      </c>
      <c r="C353" s="163" t="s">
        <v>850</v>
      </c>
      <c r="D353" s="162" t="s">
        <v>850</v>
      </c>
      <c r="E353" s="162" t="s">
        <v>850</v>
      </c>
      <c r="F353" s="162" t="s">
        <v>850</v>
      </c>
      <c r="G353" s="162" t="s">
        <v>850</v>
      </c>
      <c r="H353" s="162" t="s">
        <v>850</v>
      </c>
      <c r="I353" s="162" t="s">
        <v>850</v>
      </c>
      <c r="J353" s="162" t="s">
        <v>850</v>
      </c>
      <c r="K353" s="133"/>
    </row>
    <row r="354" spans="1:11" x14ac:dyDescent="0.15">
      <c r="A354" s="133"/>
      <c r="B354" s="162" t="s">
        <v>850</v>
      </c>
      <c r="C354" s="163" t="s">
        <v>850</v>
      </c>
      <c r="D354" s="163" t="s">
        <v>850</v>
      </c>
      <c r="E354" s="163" t="s">
        <v>850</v>
      </c>
      <c r="F354" s="163" t="s">
        <v>850</v>
      </c>
      <c r="G354" s="163"/>
      <c r="H354" s="163"/>
      <c r="I354" s="163" t="s">
        <v>850</v>
      </c>
      <c r="J354" s="163" t="s">
        <v>850</v>
      </c>
      <c r="K354" s="133"/>
    </row>
    <row r="355" spans="1:11" x14ac:dyDescent="0.15">
      <c r="A355" s="133"/>
      <c r="B355" s="162" t="s">
        <v>850</v>
      </c>
      <c r="C355" s="163" t="s">
        <v>850</v>
      </c>
      <c r="D355" s="162" t="s">
        <v>850</v>
      </c>
      <c r="E355" s="162" t="s">
        <v>850</v>
      </c>
      <c r="F355" s="162" t="s">
        <v>850</v>
      </c>
      <c r="G355" s="162" t="s">
        <v>850</v>
      </c>
      <c r="H355" s="162" t="s">
        <v>850</v>
      </c>
      <c r="I355" s="162" t="s">
        <v>850</v>
      </c>
      <c r="J355" s="162" t="s">
        <v>850</v>
      </c>
      <c r="K355" s="133"/>
    </row>
    <row r="356" spans="1:11" x14ac:dyDescent="0.15">
      <c r="A356" s="133"/>
      <c r="B356" s="162" t="s">
        <v>850</v>
      </c>
      <c r="C356" s="163" t="s">
        <v>850</v>
      </c>
      <c r="D356" s="163" t="s">
        <v>850</v>
      </c>
      <c r="E356" s="163" t="s">
        <v>850</v>
      </c>
      <c r="F356" s="163" t="s">
        <v>850</v>
      </c>
      <c r="G356" s="163"/>
      <c r="H356" s="163"/>
      <c r="I356" s="163" t="s">
        <v>850</v>
      </c>
      <c r="J356" s="163" t="s">
        <v>850</v>
      </c>
      <c r="K356" s="133"/>
    </row>
    <row r="357" spans="1:11" x14ac:dyDescent="0.15">
      <c r="A357" s="133"/>
      <c r="B357" s="162" t="s">
        <v>850</v>
      </c>
      <c r="C357" s="163" t="s">
        <v>850</v>
      </c>
      <c r="D357" s="162" t="s">
        <v>850</v>
      </c>
      <c r="E357" s="162" t="s">
        <v>850</v>
      </c>
      <c r="F357" s="162" t="s">
        <v>850</v>
      </c>
      <c r="G357" s="162" t="s">
        <v>850</v>
      </c>
      <c r="H357" s="162" t="s">
        <v>850</v>
      </c>
      <c r="I357" s="162" t="s">
        <v>850</v>
      </c>
      <c r="J357" s="162" t="s">
        <v>850</v>
      </c>
      <c r="K357" s="133"/>
    </row>
    <row r="358" spans="1:11" x14ac:dyDescent="0.15">
      <c r="A358" s="133"/>
      <c r="B358" s="162" t="s">
        <v>850</v>
      </c>
      <c r="C358" s="163" t="s">
        <v>850</v>
      </c>
      <c r="D358" s="163" t="s">
        <v>850</v>
      </c>
      <c r="E358" s="163" t="s">
        <v>850</v>
      </c>
      <c r="F358" s="163" t="s">
        <v>850</v>
      </c>
      <c r="G358" s="163"/>
      <c r="H358" s="163"/>
      <c r="I358" s="163" t="s">
        <v>850</v>
      </c>
      <c r="J358" s="163" t="s">
        <v>850</v>
      </c>
      <c r="K358" s="133"/>
    </row>
    <row r="359" spans="1:11" x14ac:dyDescent="0.15">
      <c r="A359" s="133"/>
      <c r="B359" s="162" t="s">
        <v>850</v>
      </c>
      <c r="C359" s="163" t="s">
        <v>850</v>
      </c>
      <c r="D359" s="162" t="s">
        <v>850</v>
      </c>
      <c r="E359" s="162" t="s">
        <v>850</v>
      </c>
      <c r="F359" s="162" t="s">
        <v>850</v>
      </c>
      <c r="G359" s="162" t="s">
        <v>850</v>
      </c>
      <c r="H359" s="162" t="s">
        <v>850</v>
      </c>
      <c r="I359" s="162" t="s">
        <v>850</v>
      </c>
      <c r="J359" s="162" t="s">
        <v>850</v>
      </c>
      <c r="K359" s="133"/>
    </row>
    <row r="360" spans="1:11" x14ac:dyDescent="0.15">
      <c r="A360" s="133"/>
      <c r="B360" s="162" t="s">
        <v>850</v>
      </c>
      <c r="C360" s="163" t="s">
        <v>850</v>
      </c>
      <c r="D360" s="163" t="s">
        <v>850</v>
      </c>
      <c r="E360" s="163" t="s">
        <v>850</v>
      </c>
      <c r="F360" s="163" t="s">
        <v>850</v>
      </c>
      <c r="G360" s="163"/>
      <c r="H360" s="163"/>
      <c r="I360" s="163" t="s">
        <v>850</v>
      </c>
      <c r="J360" s="163" t="s">
        <v>850</v>
      </c>
      <c r="K360" s="133"/>
    </row>
    <row r="361" spans="1:11" x14ac:dyDescent="0.15">
      <c r="A361" s="133"/>
      <c r="B361" s="162" t="s">
        <v>850</v>
      </c>
      <c r="C361" s="163" t="s">
        <v>850</v>
      </c>
      <c r="D361" s="162" t="s">
        <v>850</v>
      </c>
      <c r="E361" s="162" t="s">
        <v>850</v>
      </c>
      <c r="F361" s="162" t="s">
        <v>850</v>
      </c>
      <c r="G361" s="162" t="s">
        <v>850</v>
      </c>
      <c r="H361" s="162" t="s">
        <v>850</v>
      </c>
      <c r="I361" s="162" t="s">
        <v>850</v>
      </c>
      <c r="J361" s="162" t="s">
        <v>850</v>
      </c>
      <c r="K361" s="133"/>
    </row>
    <row r="362" spans="1:11" x14ac:dyDescent="0.15">
      <c r="A362" s="133"/>
      <c r="B362" s="162" t="s">
        <v>850</v>
      </c>
      <c r="C362" s="163" t="s">
        <v>850</v>
      </c>
      <c r="D362" s="163" t="s">
        <v>850</v>
      </c>
      <c r="E362" s="163" t="s">
        <v>850</v>
      </c>
      <c r="F362" s="163" t="s">
        <v>850</v>
      </c>
      <c r="G362" s="163"/>
      <c r="H362" s="163"/>
      <c r="I362" s="163" t="s">
        <v>850</v>
      </c>
      <c r="J362" s="163" t="s">
        <v>850</v>
      </c>
      <c r="K362" s="133"/>
    </row>
    <row r="363" spans="1:11" x14ac:dyDescent="0.15">
      <c r="A363" s="133"/>
      <c r="B363" s="162" t="s">
        <v>850</v>
      </c>
      <c r="C363" s="163" t="s">
        <v>850</v>
      </c>
      <c r="D363" s="162" t="s">
        <v>850</v>
      </c>
      <c r="E363" s="162" t="s">
        <v>850</v>
      </c>
      <c r="F363" s="162" t="s">
        <v>850</v>
      </c>
      <c r="G363" s="162" t="s">
        <v>850</v>
      </c>
      <c r="H363" s="162" t="s">
        <v>850</v>
      </c>
      <c r="I363" s="162" t="s">
        <v>850</v>
      </c>
      <c r="J363" s="162" t="s">
        <v>850</v>
      </c>
      <c r="K363" s="133"/>
    </row>
    <row r="364" spans="1:11" x14ac:dyDescent="0.15">
      <c r="A364" s="133"/>
      <c r="B364" s="162" t="s">
        <v>850</v>
      </c>
      <c r="C364" s="163" t="s">
        <v>850</v>
      </c>
      <c r="D364" s="163" t="s">
        <v>850</v>
      </c>
      <c r="E364" s="163" t="s">
        <v>850</v>
      </c>
      <c r="F364" s="163" t="s">
        <v>850</v>
      </c>
      <c r="G364" s="163"/>
      <c r="H364" s="163"/>
      <c r="I364" s="163" t="s">
        <v>850</v>
      </c>
      <c r="J364" s="163" t="s">
        <v>850</v>
      </c>
      <c r="K364" s="133"/>
    </row>
    <row r="365" spans="1:11" x14ac:dyDescent="0.15">
      <c r="A365" s="133"/>
      <c r="B365" s="162" t="s">
        <v>850</v>
      </c>
      <c r="C365" s="163" t="s">
        <v>850</v>
      </c>
      <c r="D365" s="162" t="s">
        <v>850</v>
      </c>
      <c r="E365" s="162" t="s">
        <v>850</v>
      </c>
      <c r="F365" s="162" t="s">
        <v>850</v>
      </c>
      <c r="G365" s="162" t="s">
        <v>850</v>
      </c>
      <c r="H365" s="162" t="s">
        <v>850</v>
      </c>
      <c r="I365" s="162" t="s">
        <v>850</v>
      </c>
      <c r="J365" s="162" t="s">
        <v>850</v>
      </c>
      <c r="K365" s="133"/>
    </row>
    <row r="366" spans="1:11" x14ac:dyDescent="0.15">
      <c r="A366" s="133"/>
      <c r="B366" s="162" t="s">
        <v>850</v>
      </c>
      <c r="C366" s="163" t="s">
        <v>850</v>
      </c>
      <c r="D366" s="163" t="s">
        <v>850</v>
      </c>
      <c r="E366" s="163" t="s">
        <v>850</v>
      </c>
      <c r="F366" s="163" t="s">
        <v>850</v>
      </c>
      <c r="G366" s="163"/>
      <c r="H366" s="163"/>
      <c r="I366" s="163" t="s">
        <v>850</v>
      </c>
      <c r="J366" s="163" t="s">
        <v>850</v>
      </c>
      <c r="K366" s="133"/>
    </row>
    <row r="367" spans="1:11" x14ac:dyDescent="0.15">
      <c r="A367" s="133"/>
      <c r="B367" s="162" t="s">
        <v>850</v>
      </c>
      <c r="C367" s="163" t="s">
        <v>850</v>
      </c>
      <c r="D367" s="162" t="s">
        <v>850</v>
      </c>
      <c r="E367" s="162" t="s">
        <v>850</v>
      </c>
      <c r="F367" s="162" t="s">
        <v>850</v>
      </c>
      <c r="G367" s="162" t="s">
        <v>850</v>
      </c>
      <c r="H367" s="162" t="s">
        <v>850</v>
      </c>
      <c r="I367" s="162" t="s">
        <v>850</v>
      </c>
      <c r="J367" s="162" t="s">
        <v>850</v>
      </c>
      <c r="K367" s="133"/>
    </row>
    <row r="368" spans="1:11" x14ac:dyDescent="0.15">
      <c r="A368" s="133"/>
      <c r="B368" s="162" t="s">
        <v>850</v>
      </c>
      <c r="C368" s="163" t="s">
        <v>850</v>
      </c>
      <c r="D368" s="163" t="s">
        <v>850</v>
      </c>
      <c r="E368" s="163" t="s">
        <v>850</v>
      </c>
      <c r="F368" s="163" t="s">
        <v>850</v>
      </c>
      <c r="G368" s="163"/>
      <c r="H368" s="163"/>
      <c r="I368" s="163" t="s">
        <v>850</v>
      </c>
      <c r="J368" s="163" t="s">
        <v>850</v>
      </c>
      <c r="K368" s="133"/>
    </row>
    <row r="369" spans="1:11" x14ac:dyDescent="0.15">
      <c r="A369" s="133"/>
      <c r="B369" s="162" t="s">
        <v>850</v>
      </c>
      <c r="C369" s="163" t="s">
        <v>850</v>
      </c>
      <c r="D369" s="162" t="s">
        <v>850</v>
      </c>
      <c r="E369" s="162" t="s">
        <v>850</v>
      </c>
      <c r="F369" s="162" t="s">
        <v>850</v>
      </c>
      <c r="G369" s="162" t="s">
        <v>850</v>
      </c>
      <c r="H369" s="162" t="s">
        <v>850</v>
      </c>
      <c r="I369" s="162" t="s">
        <v>850</v>
      </c>
      <c r="J369" s="162" t="s">
        <v>850</v>
      </c>
      <c r="K369" s="133"/>
    </row>
    <row r="370" spans="1:11" x14ac:dyDescent="0.15">
      <c r="A370" s="133"/>
      <c r="B370" s="162" t="s">
        <v>850</v>
      </c>
      <c r="C370" s="163" t="s">
        <v>850</v>
      </c>
      <c r="D370" s="163" t="s">
        <v>850</v>
      </c>
      <c r="E370" s="163" t="s">
        <v>850</v>
      </c>
      <c r="F370" s="163" t="s">
        <v>850</v>
      </c>
      <c r="G370" s="163"/>
      <c r="H370" s="163"/>
      <c r="I370" s="163" t="s">
        <v>850</v>
      </c>
      <c r="J370" s="163" t="s">
        <v>850</v>
      </c>
      <c r="K370" s="133"/>
    </row>
    <row r="371" spans="1:11" x14ac:dyDescent="0.15">
      <c r="A371" s="133"/>
      <c r="B371" s="162" t="s">
        <v>850</v>
      </c>
      <c r="C371" s="163" t="s">
        <v>850</v>
      </c>
      <c r="D371" s="162" t="s">
        <v>850</v>
      </c>
      <c r="E371" s="162" t="s">
        <v>850</v>
      </c>
      <c r="F371" s="162" t="s">
        <v>850</v>
      </c>
      <c r="G371" s="162" t="s">
        <v>850</v>
      </c>
      <c r="H371" s="162" t="s">
        <v>850</v>
      </c>
      <c r="I371" s="162" t="s">
        <v>850</v>
      </c>
      <c r="J371" s="162" t="s">
        <v>850</v>
      </c>
      <c r="K371" s="133"/>
    </row>
    <row r="372" spans="1:11" x14ac:dyDescent="0.15">
      <c r="A372" s="133"/>
      <c r="B372" s="162" t="s">
        <v>850</v>
      </c>
      <c r="C372" s="163" t="s">
        <v>850</v>
      </c>
      <c r="D372" s="163" t="s">
        <v>850</v>
      </c>
      <c r="E372" s="163" t="s">
        <v>850</v>
      </c>
      <c r="F372" s="163" t="s">
        <v>850</v>
      </c>
      <c r="G372" s="163"/>
      <c r="H372" s="163"/>
      <c r="I372" s="163" t="s">
        <v>850</v>
      </c>
      <c r="J372" s="163" t="s">
        <v>850</v>
      </c>
      <c r="K372" s="133"/>
    </row>
    <row r="373" spans="1:11" x14ac:dyDescent="0.15">
      <c r="A373" s="133"/>
      <c r="B373" s="162" t="s">
        <v>850</v>
      </c>
      <c r="C373" s="163" t="s">
        <v>850</v>
      </c>
      <c r="D373" s="162" t="s">
        <v>850</v>
      </c>
      <c r="E373" s="162" t="s">
        <v>850</v>
      </c>
      <c r="F373" s="162" t="s">
        <v>850</v>
      </c>
      <c r="G373" s="162" t="s">
        <v>850</v>
      </c>
      <c r="H373" s="162" t="s">
        <v>850</v>
      </c>
      <c r="I373" s="162" t="s">
        <v>850</v>
      </c>
      <c r="J373" s="162" t="s">
        <v>850</v>
      </c>
      <c r="K373" s="133"/>
    </row>
    <row r="374" spans="1:11" x14ac:dyDescent="0.15">
      <c r="A374" s="133"/>
      <c r="B374" s="162" t="s">
        <v>850</v>
      </c>
      <c r="C374" s="163" t="s">
        <v>850</v>
      </c>
      <c r="D374" s="163" t="s">
        <v>850</v>
      </c>
      <c r="E374" s="163" t="s">
        <v>850</v>
      </c>
      <c r="F374" s="163" t="s">
        <v>850</v>
      </c>
      <c r="G374" s="163"/>
      <c r="H374" s="163"/>
      <c r="I374" s="163" t="s">
        <v>850</v>
      </c>
      <c r="J374" s="163" t="s">
        <v>850</v>
      </c>
      <c r="K374" s="133"/>
    </row>
    <row r="375" spans="1:11" x14ac:dyDescent="0.15">
      <c r="A375" s="133"/>
      <c r="B375" s="162" t="s">
        <v>850</v>
      </c>
      <c r="C375" s="163" t="s">
        <v>850</v>
      </c>
      <c r="D375" s="162" t="s">
        <v>850</v>
      </c>
      <c r="E375" s="162" t="s">
        <v>850</v>
      </c>
      <c r="F375" s="162" t="s">
        <v>850</v>
      </c>
      <c r="G375" s="162" t="s">
        <v>850</v>
      </c>
      <c r="H375" s="162" t="s">
        <v>850</v>
      </c>
      <c r="I375" s="162" t="s">
        <v>850</v>
      </c>
      <c r="J375" s="162" t="s">
        <v>850</v>
      </c>
      <c r="K375" s="133"/>
    </row>
    <row r="376" spans="1:11" x14ac:dyDescent="0.15">
      <c r="A376" s="133"/>
      <c r="B376" s="162" t="s">
        <v>850</v>
      </c>
      <c r="C376" s="163" t="s">
        <v>850</v>
      </c>
      <c r="D376" s="163" t="s">
        <v>850</v>
      </c>
      <c r="E376" s="163" t="s">
        <v>850</v>
      </c>
      <c r="F376" s="163" t="s">
        <v>850</v>
      </c>
      <c r="G376" s="163"/>
      <c r="H376" s="163"/>
      <c r="I376" s="163" t="s">
        <v>850</v>
      </c>
      <c r="J376" s="163" t="s">
        <v>850</v>
      </c>
      <c r="K376" s="133"/>
    </row>
    <row r="377" spans="1:11" x14ac:dyDescent="0.15">
      <c r="A377" s="133"/>
      <c r="B377" s="162" t="s">
        <v>850</v>
      </c>
      <c r="C377" s="163" t="s">
        <v>850</v>
      </c>
      <c r="D377" s="162" t="s">
        <v>850</v>
      </c>
      <c r="E377" s="162" t="s">
        <v>850</v>
      </c>
      <c r="F377" s="162" t="s">
        <v>850</v>
      </c>
      <c r="G377" s="162" t="s">
        <v>850</v>
      </c>
      <c r="H377" s="162" t="s">
        <v>850</v>
      </c>
      <c r="I377" s="162" t="s">
        <v>850</v>
      </c>
      <c r="J377" s="162" t="s">
        <v>850</v>
      </c>
      <c r="K377" s="133"/>
    </row>
    <row r="378" spans="1:11" x14ac:dyDescent="0.15">
      <c r="A378" s="133"/>
      <c r="B378" s="162" t="s">
        <v>850</v>
      </c>
      <c r="C378" s="163" t="s">
        <v>850</v>
      </c>
      <c r="D378" s="163" t="s">
        <v>850</v>
      </c>
      <c r="E378" s="163" t="s">
        <v>850</v>
      </c>
      <c r="F378" s="163" t="s">
        <v>850</v>
      </c>
      <c r="G378" s="163"/>
      <c r="H378" s="163"/>
      <c r="I378" s="163" t="s">
        <v>850</v>
      </c>
      <c r="J378" s="163" t="s">
        <v>850</v>
      </c>
      <c r="K378" s="133"/>
    </row>
    <row r="379" spans="1:11" x14ac:dyDescent="0.15">
      <c r="A379" s="133"/>
      <c r="B379" s="162" t="s">
        <v>850</v>
      </c>
      <c r="C379" s="163" t="s">
        <v>850</v>
      </c>
      <c r="D379" s="162" t="s">
        <v>850</v>
      </c>
      <c r="E379" s="162" t="s">
        <v>850</v>
      </c>
      <c r="F379" s="162" t="s">
        <v>850</v>
      </c>
      <c r="G379" s="162" t="s">
        <v>850</v>
      </c>
      <c r="H379" s="162" t="s">
        <v>850</v>
      </c>
      <c r="I379" s="162" t="s">
        <v>850</v>
      </c>
      <c r="J379" s="162" t="s">
        <v>850</v>
      </c>
      <c r="K379" s="133"/>
    </row>
    <row r="380" spans="1:11" x14ac:dyDescent="0.15">
      <c r="A380" s="133"/>
      <c r="B380" s="162" t="s">
        <v>850</v>
      </c>
      <c r="C380" s="163" t="s">
        <v>850</v>
      </c>
      <c r="D380" s="163" t="s">
        <v>850</v>
      </c>
      <c r="E380" s="163" t="s">
        <v>850</v>
      </c>
      <c r="F380" s="163" t="s">
        <v>850</v>
      </c>
      <c r="G380" s="163"/>
      <c r="H380" s="163"/>
      <c r="I380" s="163" t="s">
        <v>850</v>
      </c>
      <c r="J380" s="163" t="s">
        <v>850</v>
      </c>
      <c r="K380" s="133"/>
    </row>
    <row r="381" spans="1:11" x14ac:dyDescent="0.15">
      <c r="A381" s="133"/>
      <c r="B381" s="162" t="s">
        <v>850</v>
      </c>
      <c r="C381" s="163" t="s">
        <v>850</v>
      </c>
      <c r="D381" s="162" t="s">
        <v>850</v>
      </c>
      <c r="E381" s="162" t="s">
        <v>850</v>
      </c>
      <c r="F381" s="162" t="s">
        <v>850</v>
      </c>
      <c r="G381" s="162" t="s">
        <v>850</v>
      </c>
      <c r="H381" s="162" t="s">
        <v>850</v>
      </c>
      <c r="I381" s="162" t="s">
        <v>850</v>
      </c>
      <c r="J381" s="162" t="s">
        <v>850</v>
      </c>
      <c r="K381" s="133"/>
    </row>
    <row r="382" spans="1:11" x14ac:dyDescent="0.15">
      <c r="A382" s="133"/>
      <c r="B382" s="162" t="s">
        <v>850</v>
      </c>
      <c r="C382" s="163" t="s">
        <v>850</v>
      </c>
      <c r="D382" s="163" t="s">
        <v>850</v>
      </c>
      <c r="E382" s="163" t="s">
        <v>850</v>
      </c>
      <c r="F382" s="163" t="s">
        <v>850</v>
      </c>
      <c r="G382" s="163"/>
      <c r="H382" s="163"/>
      <c r="I382" s="163" t="s">
        <v>850</v>
      </c>
      <c r="J382" s="163" t="s">
        <v>850</v>
      </c>
      <c r="K382" s="133"/>
    </row>
    <row r="383" spans="1:11" x14ac:dyDescent="0.15">
      <c r="A383" s="133"/>
      <c r="B383" s="162" t="s">
        <v>850</v>
      </c>
      <c r="C383" s="163" t="s">
        <v>850</v>
      </c>
      <c r="D383" s="162" t="s">
        <v>850</v>
      </c>
      <c r="E383" s="162" t="s">
        <v>850</v>
      </c>
      <c r="F383" s="162" t="s">
        <v>850</v>
      </c>
      <c r="G383" s="162" t="s">
        <v>850</v>
      </c>
      <c r="H383" s="162" t="s">
        <v>850</v>
      </c>
      <c r="I383" s="162" t="s">
        <v>850</v>
      </c>
      <c r="J383" s="162" t="s">
        <v>850</v>
      </c>
      <c r="K383" s="133"/>
    </row>
    <row r="384" spans="1:11" x14ac:dyDescent="0.15">
      <c r="A384" s="133"/>
      <c r="B384" s="162" t="s">
        <v>850</v>
      </c>
      <c r="C384" s="163" t="s">
        <v>850</v>
      </c>
      <c r="D384" s="163" t="s">
        <v>850</v>
      </c>
      <c r="E384" s="163" t="s">
        <v>850</v>
      </c>
      <c r="F384" s="163" t="s">
        <v>850</v>
      </c>
      <c r="G384" s="163"/>
      <c r="H384" s="163"/>
      <c r="I384" s="163" t="s">
        <v>850</v>
      </c>
      <c r="J384" s="163" t="s">
        <v>850</v>
      </c>
      <c r="K384" s="133"/>
    </row>
    <row r="385" spans="1:11" x14ac:dyDescent="0.15">
      <c r="A385" s="133"/>
      <c r="B385" s="162" t="s">
        <v>850</v>
      </c>
      <c r="C385" s="163" t="s">
        <v>850</v>
      </c>
      <c r="D385" s="162" t="s">
        <v>850</v>
      </c>
      <c r="E385" s="162" t="s">
        <v>850</v>
      </c>
      <c r="F385" s="162" t="s">
        <v>850</v>
      </c>
      <c r="G385" s="162" t="s">
        <v>850</v>
      </c>
      <c r="H385" s="162" t="s">
        <v>850</v>
      </c>
      <c r="I385" s="162" t="s">
        <v>850</v>
      </c>
      <c r="J385" s="162" t="s">
        <v>850</v>
      </c>
      <c r="K385" s="133"/>
    </row>
    <row r="386" spans="1:11" x14ac:dyDescent="0.15">
      <c r="A386" s="133"/>
      <c r="B386" s="162" t="s">
        <v>850</v>
      </c>
      <c r="C386" s="163" t="s">
        <v>850</v>
      </c>
      <c r="D386" s="163" t="s">
        <v>850</v>
      </c>
      <c r="E386" s="163" t="s">
        <v>850</v>
      </c>
      <c r="F386" s="163" t="s">
        <v>850</v>
      </c>
      <c r="G386" s="163"/>
      <c r="H386" s="163"/>
      <c r="I386" s="163" t="s">
        <v>850</v>
      </c>
      <c r="J386" s="163" t="s">
        <v>850</v>
      </c>
      <c r="K386" s="133"/>
    </row>
    <row r="387" spans="1:11" x14ac:dyDescent="0.15">
      <c r="A387" s="133"/>
      <c r="B387" s="162" t="s">
        <v>850</v>
      </c>
      <c r="C387" s="163" t="s">
        <v>850</v>
      </c>
      <c r="D387" s="162" t="s">
        <v>850</v>
      </c>
      <c r="E387" s="162" t="s">
        <v>850</v>
      </c>
      <c r="F387" s="162" t="s">
        <v>850</v>
      </c>
      <c r="G387" s="162" t="s">
        <v>850</v>
      </c>
      <c r="H387" s="162" t="s">
        <v>850</v>
      </c>
      <c r="I387" s="162" t="s">
        <v>850</v>
      </c>
      <c r="J387" s="162" t="s">
        <v>850</v>
      </c>
      <c r="K387" s="133"/>
    </row>
    <row r="388" spans="1:11" x14ac:dyDescent="0.15">
      <c r="A388" s="133"/>
      <c r="B388" s="162" t="s">
        <v>850</v>
      </c>
      <c r="C388" s="163" t="s">
        <v>850</v>
      </c>
      <c r="D388" s="163" t="s">
        <v>850</v>
      </c>
      <c r="E388" s="163" t="s">
        <v>850</v>
      </c>
      <c r="F388" s="163" t="s">
        <v>850</v>
      </c>
      <c r="G388" s="163"/>
      <c r="H388" s="163"/>
      <c r="I388" s="163" t="s">
        <v>850</v>
      </c>
      <c r="J388" s="163" t="s">
        <v>850</v>
      </c>
      <c r="K388" s="133"/>
    </row>
    <row r="389" spans="1:11" x14ac:dyDescent="0.15">
      <c r="A389" s="133"/>
      <c r="B389" s="162" t="s">
        <v>850</v>
      </c>
      <c r="C389" s="163" t="s">
        <v>850</v>
      </c>
      <c r="D389" s="162" t="s">
        <v>850</v>
      </c>
      <c r="E389" s="162" t="s">
        <v>850</v>
      </c>
      <c r="F389" s="162" t="s">
        <v>850</v>
      </c>
      <c r="G389" s="162" t="s">
        <v>850</v>
      </c>
      <c r="H389" s="162" t="s">
        <v>850</v>
      </c>
      <c r="I389" s="162" t="s">
        <v>850</v>
      </c>
      <c r="J389" s="162" t="s">
        <v>850</v>
      </c>
      <c r="K389" s="133"/>
    </row>
    <row r="390" spans="1:11" x14ac:dyDescent="0.15">
      <c r="A390" s="133"/>
      <c r="B390" s="162" t="s">
        <v>850</v>
      </c>
      <c r="C390" s="163" t="s">
        <v>850</v>
      </c>
      <c r="D390" s="163" t="s">
        <v>850</v>
      </c>
      <c r="E390" s="163" t="s">
        <v>850</v>
      </c>
      <c r="F390" s="163" t="s">
        <v>850</v>
      </c>
      <c r="G390" s="163"/>
      <c r="H390" s="163"/>
      <c r="I390" s="163" t="s">
        <v>850</v>
      </c>
      <c r="J390" s="163" t="s">
        <v>850</v>
      </c>
      <c r="K390" s="133"/>
    </row>
    <row r="391" spans="1:11" x14ac:dyDescent="0.15">
      <c r="A391" s="133"/>
      <c r="B391" s="162" t="s">
        <v>850</v>
      </c>
      <c r="C391" s="163" t="s">
        <v>850</v>
      </c>
      <c r="D391" s="162" t="s">
        <v>850</v>
      </c>
      <c r="E391" s="162" t="s">
        <v>850</v>
      </c>
      <c r="F391" s="162" t="s">
        <v>850</v>
      </c>
      <c r="G391" s="162" t="s">
        <v>850</v>
      </c>
      <c r="H391" s="162" t="s">
        <v>850</v>
      </c>
      <c r="I391" s="162" t="s">
        <v>850</v>
      </c>
      <c r="J391" s="162" t="s">
        <v>850</v>
      </c>
      <c r="K391" s="133"/>
    </row>
    <row r="392" spans="1:11" x14ac:dyDescent="0.15">
      <c r="A392" s="133"/>
      <c r="B392" s="162" t="s">
        <v>850</v>
      </c>
      <c r="C392" s="163" t="s">
        <v>850</v>
      </c>
      <c r="D392" s="163" t="s">
        <v>850</v>
      </c>
      <c r="E392" s="163" t="s">
        <v>850</v>
      </c>
      <c r="F392" s="163" t="s">
        <v>850</v>
      </c>
      <c r="G392" s="163"/>
      <c r="H392" s="163"/>
      <c r="I392" s="163" t="s">
        <v>850</v>
      </c>
      <c r="J392" s="163" t="s">
        <v>850</v>
      </c>
      <c r="K392" s="133"/>
    </row>
    <row r="393" spans="1:11" x14ac:dyDescent="0.15">
      <c r="A393" s="133"/>
      <c r="B393" s="162" t="s">
        <v>850</v>
      </c>
      <c r="C393" s="163" t="s">
        <v>850</v>
      </c>
      <c r="D393" s="162" t="s">
        <v>850</v>
      </c>
      <c r="E393" s="162" t="s">
        <v>850</v>
      </c>
      <c r="F393" s="162" t="s">
        <v>850</v>
      </c>
      <c r="G393" s="162" t="s">
        <v>850</v>
      </c>
      <c r="H393" s="162" t="s">
        <v>850</v>
      </c>
      <c r="I393" s="162" t="s">
        <v>850</v>
      </c>
      <c r="J393" s="162" t="s">
        <v>850</v>
      </c>
      <c r="K393" s="133"/>
    </row>
    <row r="394" spans="1:11" x14ac:dyDescent="0.15">
      <c r="A394" s="133"/>
      <c r="B394" s="162" t="s">
        <v>850</v>
      </c>
      <c r="C394" s="163" t="s">
        <v>850</v>
      </c>
      <c r="D394" s="163" t="s">
        <v>850</v>
      </c>
      <c r="E394" s="163" t="s">
        <v>850</v>
      </c>
      <c r="F394" s="163" t="s">
        <v>850</v>
      </c>
      <c r="G394" s="163"/>
      <c r="H394" s="163"/>
      <c r="I394" s="163" t="s">
        <v>850</v>
      </c>
      <c r="J394" s="163" t="s">
        <v>850</v>
      </c>
      <c r="K394" s="133"/>
    </row>
    <row r="395" spans="1:11" x14ac:dyDescent="0.15">
      <c r="A395" s="133"/>
      <c r="B395" s="162" t="s">
        <v>850</v>
      </c>
      <c r="C395" s="163" t="s">
        <v>850</v>
      </c>
      <c r="D395" s="162" t="s">
        <v>850</v>
      </c>
      <c r="E395" s="162" t="s">
        <v>850</v>
      </c>
      <c r="F395" s="162" t="s">
        <v>850</v>
      </c>
      <c r="G395" s="162" t="s">
        <v>850</v>
      </c>
      <c r="H395" s="162" t="s">
        <v>850</v>
      </c>
      <c r="I395" s="162" t="s">
        <v>850</v>
      </c>
      <c r="J395" s="162" t="s">
        <v>850</v>
      </c>
      <c r="K395" s="133"/>
    </row>
    <row r="396" spans="1:11" x14ac:dyDescent="0.15">
      <c r="A396" s="133"/>
      <c r="B396" s="162" t="s">
        <v>850</v>
      </c>
      <c r="C396" s="163" t="s">
        <v>850</v>
      </c>
      <c r="D396" s="163" t="s">
        <v>850</v>
      </c>
      <c r="E396" s="163" t="s">
        <v>850</v>
      </c>
      <c r="F396" s="163" t="s">
        <v>850</v>
      </c>
      <c r="G396" s="163"/>
      <c r="H396" s="163"/>
      <c r="I396" s="163" t="s">
        <v>850</v>
      </c>
      <c r="J396" s="163" t="s">
        <v>850</v>
      </c>
      <c r="K396" s="133"/>
    </row>
    <row r="397" spans="1:11" x14ac:dyDescent="0.15">
      <c r="A397" s="133"/>
      <c r="B397" s="162" t="s">
        <v>850</v>
      </c>
      <c r="C397" s="163" t="s">
        <v>850</v>
      </c>
      <c r="D397" s="162" t="s">
        <v>850</v>
      </c>
      <c r="E397" s="162" t="s">
        <v>850</v>
      </c>
      <c r="F397" s="162" t="s">
        <v>850</v>
      </c>
      <c r="G397" s="162" t="s">
        <v>850</v>
      </c>
      <c r="H397" s="162" t="s">
        <v>850</v>
      </c>
      <c r="I397" s="162" t="s">
        <v>850</v>
      </c>
      <c r="J397" s="162" t="s">
        <v>850</v>
      </c>
      <c r="K397" s="133"/>
    </row>
    <row r="398" spans="1:11" x14ac:dyDescent="0.15">
      <c r="A398" s="133"/>
      <c r="B398" s="162" t="s">
        <v>850</v>
      </c>
      <c r="C398" s="163" t="s">
        <v>850</v>
      </c>
      <c r="D398" s="163" t="s">
        <v>850</v>
      </c>
      <c r="E398" s="163" t="s">
        <v>850</v>
      </c>
      <c r="F398" s="163" t="s">
        <v>850</v>
      </c>
      <c r="G398" s="163"/>
      <c r="H398" s="163"/>
      <c r="I398" s="163" t="s">
        <v>850</v>
      </c>
      <c r="J398" s="163" t="s">
        <v>850</v>
      </c>
      <c r="K398" s="133"/>
    </row>
    <row r="399" spans="1:11" x14ac:dyDescent="0.15">
      <c r="A399" s="133"/>
      <c r="B399" s="162" t="s">
        <v>850</v>
      </c>
      <c r="C399" s="163" t="s">
        <v>850</v>
      </c>
      <c r="D399" s="162" t="s">
        <v>850</v>
      </c>
      <c r="E399" s="162" t="s">
        <v>850</v>
      </c>
      <c r="F399" s="162" t="s">
        <v>850</v>
      </c>
      <c r="G399" s="162" t="s">
        <v>850</v>
      </c>
      <c r="H399" s="162" t="s">
        <v>850</v>
      </c>
      <c r="I399" s="162" t="s">
        <v>850</v>
      </c>
      <c r="J399" s="162" t="s">
        <v>850</v>
      </c>
      <c r="K399" s="133"/>
    </row>
    <row r="400" spans="1:11" x14ac:dyDescent="0.15">
      <c r="A400" s="133"/>
      <c r="B400" s="162" t="s">
        <v>850</v>
      </c>
      <c r="C400" s="163" t="s">
        <v>850</v>
      </c>
      <c r="D400" s="163" t="s">
        <v>850</v>
      </c>
      <c r="E400" s="163" t="s">
        <v>850</v>
      </c>
      <c r="F400" s="163" t="s">
        <v>850</v>
      </c>
      <c r="G400" s="163"/>
      <c r="H400" s="163"/>
      <c r="I400" s="163" t="s">
        <v>850</v>
      </c>
      <c r="J400" s="163" t="s">
        <v>850</v>
      </c>
      <c r="K400" s="133"/>
    </row>
    <row r="401" spans="1:11" x14ac:dyDescent="0.15">
      <c r="A401" s="133"/>
      <c r="B401" s="162" t="s">
        <v>850</v>
      </c>
      <c r="C401" s="163" t="s">
        <v>850</v>
      </c>
      <c r="D401" s="162" t="s">
        <v>850</v>
      </c>
      <c r="E401" s="162" t="s">
        <v>850</v>
      </c>
      <c r="F401" s="162" t="s">
        <v>850</v>
      </c>
      <c r="G401" s="162" t="s">
        <v>850</v>
      </c>
      <c r="H401" s="162" t="s">
        <v>850</v>
      </c>
      <c r="I401" s="162" t="s">
        <v>850</v>
      </c>
      <c r="J401" s="162" t="s">
        <v>850</v>
      </c>
      <c r="K401" s="133"/>
    </row>
    <row r="402" spans="1:11" x14ac:dyDescent="0.15">
      <c r="A402" s="133"/>
      <c r="B402" s="162" t="s">
        <v>850</v>
      </c>
      <c r="C402" s="163" t="s">
        <v>850</v>
      </c>
      <c r="D402" s="163" t="s">
        <v>850</v>
      </c>
      <c r="E402" s="163" t="s">
        <v>850</v>
      </c>
      <c r="F402" s="163" t="s">
        <v>850</v>
      </c>
      <c r="G402" s="163"/>
      <c r="H402" s="163"/>
      <c r="I402" s="163" t="s">
        <v>850</v>
      </c>
      <c r="J402" s="163" t="s">
        <v>850</v>
      </c>
      <c r="K402" s="133"/>
    </row>
    <row r="403" spans="1:11" x14ac:dyDescent="0.15">
      <c r="A403" s="133"/>
      <c r="B403" s="162" t="s">
        <v>850</v>
      </c>
      <c r="C403" s="163" t="s">
        <v>850</v>
      </c>
      <c r="D403" s="162" t="s">
        <v>850</v>
      </c>
      <c r="E403" s="162" t="s">
        <v>850</v>
      </c>
      <c r="F403" s="162" t="s">
        <v>850</v>
      </c>
      <c r="G403" s="162" t="s">
        <v>850</v>
      </c>
      <c r="H403" s="162" t="s">
        <v>850</v>
      </c>
      <c r="I403" s="162" t="s">
        <v>850</v>
      </c>
      <c r="J403" s="162" t="s">
        <v>850</v>
      </c>
      <c r="K403" s="133"/>
    </row>
    <row r="404" spans="1:11" x14ac:dyDescent="0.15">
      <c r="A404" s="133"/>
      <c r="B404" s="162" t="s">
        <v>850</v>
      </c>
      <c r="C404" s="163" t="s">
        <v>850</v>
      </c>
      <c r="D404" s="163" t="s">
        <v>850</v>
      </c>
      <c r="E404" s="163" t="s">
        <v>850</v>
      </c>
      <c r="F404" s="163" t="s">
        <v>850</v>
      </c>
      <c r="G404" s="163"/>
      <c r="H404" s="163"/>
      <c r="I404" s="163" t="s">
        <v>850</v>
      </c>
      <c r="J404" s="163" t="s">
        <v>850</v>
      </c>
      <c r="K404" s="133"/>
    </row>
    <row r="405" spans="1:11" x14ac:dyDescent="0.15">
      <c r="A405" s="133"/>
      <c r="B405" s="162" t="s">
        <v>850</v>
      </c>
      <c r="C405" s="163" t="s">
        <v>850</v>
      </c>
      <c r="D405" s="162" t="s">
        <v>850</v>
      </c>
      <c r="E405" s="162" t="s">
        <v>850</v>
      </c>
      <c r="F405" s="162" t="s">
        <v>850</v>
      </c>
      <c r="G405" s="162" t="s">
        <v>850</v>
      </c>
      <c r="H405" s="162" t="s">
        <v>850</v>
      </c>
      <c r="I405" s="162" t="s">
        <v>850</v>
      </c>
      <c r="J405" s="162" t="s">
        <v>850</v>
      </c>
      <c r="K405" s="133"/>
    </row>
    <row r="406" spans="1:11" x14ac:dyDescent="0.15">
      <c r="A406" s="133"/>
      <c r="B406" s="162" t="s">
        <v>850</v>
      </c>
      <c r="C406" s="163" t="s">
        <v>850</v>
      </c>
      <c r="D406" s="163" t="s">
        <v>850</v>
      </c>
      <c r="E406" s="163" t="s">
        <v>850</v>
      </c>
      <c r="F406" s="163" t="s">
        <v>850</v>
      </c>
      <c r="G406" s="163"/>
      <c r="H406" s="163"/>
      <c r="I406" s="163" t="s">
        <v>850</v>
      </c>
      <c r="J406" s="163" t="s">
        <v>850</v>
      </c>
      <c r="K406" s="133"/>
    </row>
    <row r="407" spans="1:11" x14ac:dyDescent="0.15">
      <c r="A407" s="133"/>
      <c r="B407" s="162" t="s">
        <v>850</v>
      </c>
      <c r="C407" s="163" t="s">
        <v>850</v>
      </c>
      <c r="D407" s="162" t="s">
        <v>850</v>
      </c>
      <c r="E407" s="162" t="s">
        <v>850</v>
      </c>
      <c r="F407" s="162" t="s">
        <v>850</v>
      </c>
      <c r="G407" s="162" t="s">
        <v>850</v>
      </c>
      <c r="H407" s="162" t="s">
        <v>850</v>
      </c>
      <c r="I407" s="162" t="s">
        <v>850</v>
      </c>
      <c r="J407" s="162" t="s">
        <v>850</v>
      </c>
      <c r="K407" s="133"/>
    </row>
    <row r="408" spans="1:11" x14ac:dyDescent="0.15">
      <c r="A408" s="133"/>
      <c r="B408" s="162" t="s">
        <v>850</v>
      </c>
      <c r="C408" s="163" t="s">
        <v>850</v>
      </c>
      <c r="D408" s="163" t="s">
        <v>850</v>
      </c>
      <c r="E408" s="163" t="s">
        <v>850</v>
      </c>
      <c r="F408" s="163" t="s">
        <v>850</v>
      </c>
      <c r="G408" s="163"/>
      <c r="H408" s="163"/>
      <c r="I408" s="163" t="s">
        <v>850</v>
      </c>
      <c r="J408" s="163" t="s">
        <v>850</v>
      </c>
      <c r="K408" s="133"/>
    </row>
    <row r="409" spans="1:11" x14ac:dyDescent="0.15">
      <c r="A409" s="133"/>
      <c r="B409" s="162" t="s">
        <v>850</v>
      </c>
      <c r="C409" s="163" t="s">
        <v>850</v>
      </c>
      <c r="D409" s="162" t="s">
        <v>850</v>
      </c>
      <c r="E409" s="162" t="s">
        <v>850</v>
      </c>
      <c r="F409" s="162" t="s">
        <v>850</v>
      </c>
      <c r="G409" s="162" t="s">
        <v>850</v>
      </c>
      <c r="H409" s="162" t="s">
        <v>850</v>
      </c>
      <c r="I409" s="162" t="s">
        <v>850</v>
      </c>
      <c r="J409" s="162" t="s">
        <v>850</v>
      </c>
      <c r="K409" s="133"/>
    </row>
    <row r="410" spans="1:11" x14ac:dyDescent="0.15">
      <c r="A410" s="133"/>
      <c r="B410" s="162" t="s">
        <v>850</v>
      </c>
      <c r="C410" s="163" t="s">
        <v>850</v>
      </c>
      <c r="D410" s="163" t="s">
        <v>850</v>
      </c>
      <c r="E410" s="163" t="s">
        <v>850</v>
      </c>
      <c r="F410" s="163" t="s">
        <v>850</v>
      </c>
      <c r="G410" s="163"/>
      <c r="H410" s="163"/>
      <c r="I410" s="163" t="s">
        <v>850</v>
      </c>
      <c r="J410" s="163" t="s">
        <v>850</v>
      </c>
      <c r="K410" s="133"/>
    </row>
    <row r="411" spans="1:11" x14ac:dyDescent="0.15">
      <c r="A411" s="133"/>
      <c r="B411" s="162" t="s">
        <v>850</v>
      </c>
      <c r="C411" s="163" t="s">
        <v>850</v>
      </c>
      <c r="D411" s="162" t="s">
        <v>850</v>
      </c>
      <c r="E411" s="162" t="s">
        <v>850</v>
      </c>
      <c r="F411" s="162" t="s">
        <v>850</v>
      </c>
      <c r="G411" s="162" t="s">
        <v>850</v>
      </c>
      <c r="H411" s="162" t="s">
        <v>850</v>
      </c>
      <c r="I411" s="162" t="s">
        <v>850</v>
      </c>
      <c r="J411" s="162" t="s">
        <v>850</v>
      </c>
      <c r="K411" s="133"/>
    </row>
    <row r="412" spans="1:11" x14ac:dyDescent="0.15">
      <c r="A412" s="133"/>
      <c r="B412" s="162" t="s">
        <v>850</v>
      </c>
      <c r="C412" s="163" t="s">
        <v>850</v>
      </c>
      <c r="D412" s="163" t="s">
        <v>850</v>
      </c>
      <c r="E412" s="163" t="s">
        <v>850</v>
      </c>
      <c r="F412" s="163" t="s">
        <v>850</v>
      </c>
      <c r="G412" s="163"/>
      <c r="H412" s="163"/>
      <c r="I412" s="163" t="s">
        <v>850</v>
      </c>
      <c r="J412" s="163" t="s">
        <v>850</v>
      </c>
      <c r="K412" s="133"/>
    </row>
    <row r="413" spans="1:11" x14ac:dyDescent="0.15">
      <c r="A413" s="133"/>
      <c r="B413" s="162" t="s">
        <v>850</v>
      </c>
      <c r="C413" s="163" t="s">
        <v>850</v>
      </c>
      <c r="D413" s="162" t="s">
        <v>850</v>
      </c>
      <c r="E413" s="162" t="s">
        <v>850</v>
      </c>
      <c r="F413" s="162" t="s">
        <v>850</v>
      </c>
      <c r="G413" s="162" t="s">
        <v>850</v>
      </c>
      <c r="H413" s="162" t="s">
        <v>850</v>
      </c>
      <c r="I413" s="162" t="s">
        <v>850</v>
      </c>
      <c r="J413" s="162" t="s">
        <v>850</v>
      </c>
      <c r="K413" s="133"/>
    </row>
    <row r="414" spans="1:11" x14ac:dyDescent="0.15">
      <c r="A414" s="133"/>
      <c r="B414" s="162" t="s">
        <v>850</v>
      </c>
      <c r="C414" s="163" t="s">
        <v>850</v>
      </c>
      <c r="D414" s="163" t="s">
        <v>850</v>
      </c>
      <c r="E414" s="163" t="s">
        <v>850</v>
      </c>
      <c r="F414" s="163" t="s">
        <v>850</v>
      </c>
      <c r="G414" s="163"/>
      <c r="H414" s="163"/>
      <c r="I414" s="163" t="s">
        <v>850</v>
      </c>
      <c r="J414" s="163" t="s">
        <v>850</v>
      </c>
      <c r="K414" s="133"/>
    </row>
    <row r="415" spans="1:11" x14ac:dyDescent="0.15">
      <c r="A415" s="133"/>
      <c r="B415" s="162" t="s">
        <v>850</v>
      </c>
      <c r="C415" s="163" t="s">
        <v>850</v>
      </c>
      <c r="D415" s="162" t="s">
        <v>850</v>
      </c>
      <c r="E415" s="162" t="s">
        <v>850</v>
      </c>
      <c r="F415" s="162" t="s">
        <v>850</v>
      </c>
      <c r="G415" s="162" t="s">
        <v>850</v>
      </c>
      <c r="H415" s="162" t="s">
        <v>850</v>
      </c>
      <c r="I415" s="162" t="s">
        <v>850</v>
      </c>
      <c r="J415" s="162" t="s">
        <v>850</v>
      </c>
      <c r="K415" s="133"/>
    </row>
    <row r="416" spans="1:11" x14ac:dyDescent="0.15">
      <c r="A416" s="133"/>
      <c r="B416" s="162" t="s">
        <v>850</v>
      </c>
      <c r="C416" s="163" t="s">
        <v>850</v>
      </c>
      <c r="D416" s="163" t="s">
        <v>850</v>
      </c>
      <c r="E416" s="163" t="s">
        <v>850</v>
      </c>
      <c r="F416" s="163" t="s">
        <v>850</v>
      </c>
      <c r="G416" s="163"/>
      <c r="H416" s="163"/>
      <c r="I416" s="163" t="s">
        <v>850</v>
      </c>
      <c r="J416" s="163" t="s">
        <v>850</v>
      </c>
      <c r="K416" s="133"/>
    </row>
    <row r="417" spans="1:11" x14ac:dyDescent="0.15">
      <c r="A417" s="133"/>
      <c r="B417" s="162" t="s">
        <v>850</v>
      </c>
      <c r="C417" s="163" t="s">
        <v>850</v>
      </c>
      <c r="D417" s="162" t="s">
        <v>850</v>
      </c>
      <c r="E417" s="162" t="s">
        <v>850</v>
      </c>
      <c r="F417" s="162" t="s">
        <v>850</v>
      </c>
      <c r="G417" s="162" t="s">
        <v>850</v>
      </c>
      <c r="H417" s="162" t="s">
        <v>850</v>
      </c>
      <c r="I417" s="162" t="s">
        <v>850</v>
      </c>
      <c r="J417" s="162" t="s">
        <v>850</v>
      </c>
      <c r="K417" s="133"/>
    </row>
    <row r="418" spans="1:11" x14ac:dyDescent="0.15">
      <c r="A418" s="133"/>
      <c r="B418" s="162" t="s">
        <v>850</v>
      </c>
      <c r="C418" s="163" t="s">
        <v>850</v>
      </c>
      <c r="D418" s="163" t="s">
        <v>850</v>
      </c>
      <c r="E418" s="163" t="s">
        <v>850</v>
      </c>
      <c r="F418" s="163" t="s">
        <v>850</v>
      </c>
      <c r="G418" s="163"/>
      <c r="H418" s="163"/>
      <c r="I418" s="163" t="s">
        <v>850</v>
      </c>
      <c r="J418" s="163" t="s">
        <v>850</v>
      </c>
      <c r="K418" s="133"/>
    </row>
    <row r="419" spans="1:11" x14ac:dyDescent="0.15">
      <c r="A419" s="133"/>
      <c r="B419" s="162" t="s">
        <v>850</v>
      </c>
      <c r="C419" s="163" t="s">
        <v>850</v>
      </c>
      <c r="D419" s="162" t="s">
        <v>850</v>
      </c>
      <c r="E419" s="162" t="s">
        <v>850</v>
      </c>
      <c r="F419" s="162" t="s">
        <v>850</v>
      </c>
      <c r="G419" s="162" t="s">
        <v>850</v>
      </c>
      <c r="H419" s="162" t="s">
        <v>850</v>
      </c>
      <c r="I419" s="162" t="s">
        <v>850</v>
      </c>
      <c r="J419" s="162" t="s">
        <v>850</v>
      </c>
      <c r="K419" s="133"/>
    </row>
    <row r="420" spans="1:11" x14ac:dyDescent="0.15">
      <c r="A420" s="133"/>
      <c r="B420" s="162" t="s">
        <v>850</v>
      </c>
      <c r="C420" s="163" t="s">
        <v>850</v>
      </c>
      <c r="D420" s="163" t="s">
        <v>850</v>
      </c>
      <c r="E420" s="163" t="s">
        <v>850</v>
      </c>
      <c r="F420" s="163" t="s">
        <v>850</v>
      </c>
      <c r="G420" s="163"/>
      <c r="H420" s="163"/>
      <c r="I420" s="163" t="s">
        <v>850</v>
      </c>
      <c r="J420" s="163" t="s">
        <v>850</v>
      </c>
      <c r="K420" s="133"/>
    </row>
    <row r="421" spans="1:11" x14ac:dyDescent="0.15">
      <c r="A421" s="133"/>
      <c r="B421" s="162" t="s">
        <v>850</v>
      </c>
      <c r="C421" s="163" t="s">
        <v>850</v>
      </c>
      <c r="D421" s="162" t="s">
        <v>850</v>
      </c>
      <c r="E421" s="162" t="s">
        <v>850</v>
      </c>
      <c r="F421" s="162" t="s">
        <v>850</v>
      </c>
      <c r="G421" s="162" t="s">
        <v>850</v>
      </c>
      <c r="H421" s="162" t="s">
        <v>850</v>
      </c>
      <c r="I421" s="162" t="s">
        <v>850</v>
      </c>
      <c r="J421" s="162" t="s">
        <v>850</v>
      </c>
      <c r="K421" s="133"/>
    </row>
    <row r="422" spans="1:11" x14ac:dyDescent="0.15">
      <c r="A422" s="133"/>
      <c r="B422" s="162" t="s">
        <v>850</v>
      </c>
      <c r="C422" s="163" t="s">
        <v>850</v>
      </c>
      <c r="D422" s="163" t="s">
        <v>850</v>
      </c>
      <c r="E422" s="163" t="s">
        <v>850</v>
      </c>
      <c r="F422" s="163" t="s">
        <v>850</v>
      </c>
      <c r="G422" s="163"/>
      <c r="H422" s="163"/>
      <c r="I422" s="163" t="s">
        <v>850</v>
      </c>
      <c r="J422" s="163" t="s">
        <v>850</v>
      </c>
      <c r="K422" s="133"/>
    </row>
    <row r="423" spans="1:11" x14ac:dyDescent="0.15">
      <c r="A423" s="133"/>
      <c r="B423" s="162" t="s">
        <v>850</v>
      </c>
      <c r="C423" s="163" t="s">
        <v>850</v>
      </c>
      <c r="D423" s="162" t="s">
        <v>850</v>
      </c>
      <c r="E423" s="162" t="s">
        <v>850</v>
      </c>
      <c r="F423" s="162" t="s">
        <v>850</v>
      </c>
      <c r="G423" s="162" t="s">
        <v>850</v>
      </c>
      <c r="H423" s="162" t="s">
        <v>850</v>
      </c>
      <c r="I423" s="162" t="s">
        <v>850</v>
      </c>
      <c r="J423" s="162" t="s">
        <v>850</v>
      </c>
      <c r="K423" s="133"/>
    </row>
    <row r="424" spans="1:11" x14ac:dyDescent="0.15">
      <c r="A424" s="133"/>
      <c r="B424" s="162" t="s">
        <v>850</v>
      </c>
      <c r="C424" s="163" t="s">
        <v>850</v>
      </c>
      <c r="D424" s="163" t="s">
        <v>850</v>
      </c>
      <c r="E424" s="163" t="s">
        <v>850</v>
      </c>
      <c r="F424" s="163" t="s">
        <v>850</v>
      </c>
      <c r="G424" s="163"/>
      <c r="H424" s="163"/>
      <c r="I424" s="163" t="s">
        <v>850</v>
      </c>
      <c r="J424" s="163" t="s">
        <v>850</v>
      </c>
      <c r="K424" s="133"/>
    </row>
    <row r="425" spans="1:11" x14ac:dyDescent="0.15">
      <c r="A425" s="133"/>
      <c r="B425" s="162" t="s">
        <v>850</v>
      </c>
      <c r="C425" s="163" t="s">
        <v>850</v>
      </c>
      <c r="D425" s="162" t="s">
        <v>850</v>
      </c>
      <c r="E425" s="162" t="s">
        <v>850</v>
      </c>
      <c r="F425" s="162" t="s">
        <v>850</v>
      </c>
      <c r="G425" s="162" t="s">
        <v>850</v>
      </c>
      <c r="H425" s="162" t="s">
        <v>850</v>
      </c>
      <c r="I425" s="162" t="s">
        <v>850</v>
      </c>
      <c r="J425" s="162" t="s">
        <v>850</v>
      </c>
      <c r="K425" s="133"/>
    </row>
    <row r="426" spans="1:11" x14ac:dyDescent="0.15">
      <c r="A426" s="133"/>
      <c r="B426" s="162" t="s">
        <v>850</v>
      </c>
      <c r="C426" s="163" t="s">
        <v>850</v>
      </c>
      <c r="D426" s="163" t="s">
        <v>850</v>
      </c>
      <c r="E426" s="163" t="s">
        <v>850</v>
      </c>
      <c r="F426" s="163" t="s">
        <v>850</v>
      </c>
      <c r="G426" s="163"/>
      <c r="H426" s="163"/>
      <c r="I426" s="163" t="s">
        <v>850</v>
      </c>
      <c r="J426" s="163" t="s">
        <v>850</v>
      </c>
      <c r="K426" s="133"/>
    </row>
    <row r="427" spans="1:11" x14ac:dyDescent="0.15">
      <c r="A427" s="133"/>
      <c r="B427" s="162" t="s">
        <v>850</v>
      </c>
      <c r="C427" s="163" t="s">
        <v>850</v>
      </c>
      <c r="D427" s="162" t="s">
        <v>850</v>
      </c>
      <c r="E427" s="162" t="s">
        <v>850</v>
      </c>
      <c r="F427" s="162" t="s">
        <v>850</v>
      </c>
      <c r="G427" s="162" t="s">
        <v>850</v>
      </c>
      <c r="H427" s="162" t="s">
        <v>850</v>
      </c>
      <c r="I427" s="162" t="s">
        <v>850</v>
      </c>
      <c r="J427" s="162" t="s">
        <v>850</v>
      </c>
      <c r="K427" s="133"/>
    </row>
    <row r="428" spans="1:11" x14ac:dyDescent="0.15">
      <c r="A428" s="133"/>
      <c r="B428" s="162" t="s">
        <v>850</v>
      </c>
      <c r="C428" s="163" t="s">
        <v>850</v>
      </c>
      <c r="D428" s="163" t="s">
        <v>850</v>
      </c>
      <c r="E428" s="163" t="s">
        <v>850</v>
      </c>
      <c r="F428" s="163" t="s">
        <v>850</v>
      </c>
      <c r="G428" s="163"/>
      <c r="H428" s="163"/>
      <c r="I428" s="163" t="s">
        <v>850</v>
      </c>
      <c r="J428" s="163" t="s">
        <v>850</v>
      </c>
      <c r="K428" s="133"/>
    </row>
    <row r="429" spans="1:11" x14ac:dyDescent="0.15">
      <c r="A429" s="133"/>
      <c r="B429" s="162" t="s">
        <v>850</v>
      </c>
      <c r="C429" s="163" t="s">
        <v>850</v>
      </c>
      <c r="D429" s="162" t="s">
        <v>850</v>
      </c>
      <c r="E429" s="162" t="s">
        <v>850</v>
      </c>
      <c r="F429" s="162" t="s">
        <v>850</v>
      </c>
      <c r="G429" s="162" t="s">
        <v>850</v>
      </c>
      <c r="H429" s="162" t="s">
        <v>850</v>
      </c>
      <c r="I429" s="162" t="s">
        <v>850</v>
      </c>
      <c r="J429" s="162" t="s">
        <v>850</v>
      </c>
      <c r="K429" s="133"/>
    </row>
    <row r="430" spans="1:11" x14ac:dyDescent="0.15">
      <c r="A430" s="133"/>
      <c r="B430" s="162" t="s">
        <v>850</v>
      </c>
      <c r="C430" s="163" t="s">
        <v>850</v>
      </c>
      <c r="D430" s="163" t="s">
        <v>850</v>
      </c>
      <c r="E430" s="163" t="s">
        <v>850</v>
      </c>
      <c r="F430" s="163" t="s">
        <v>850</v>
      </c>
      <c r="G430" s="163"/>
      <c r="H430" s="163"/>
      <c r="I430" s="163" t="s">
        <v>850</v>
      </c>
      <c r="J430" s="163" t="s">
        <v>850</v>
      </c>
      <c r="K430" s="133"/>
    </row>
    <row r="431" spans="1:11" x14ac:dyDescent="0.15">
      <c r="A431" s="133"/>
      <c r="B431" s="162" t="s">
        <v>850</v>
      </c>
      <c r="C431" s="163" t="s">
        <v>850</v>
      </c>
      <c r="D431" s="162" t="s">
        <v>850</v>
      </c>
      <c r="E431" s="162" t="s">
        <v>850</v>
      </c>
      <c r="F431" s="162" t="s">
        <v>850</v>
      </c>
      <c r="G431" s="162" t="s">
        <v>850</v>
      </c>
      <c r="H431" s="162" t="s">
        <v>850</v>
      </c>
      <c r="I431" s="162" t="s">
        <v>850</v>
      </c>
      <c r="J431" s="162" t="s">
        <v>850</v>
      </c>
      <c r="K431" s="133"/>
    </row>
    <row r="432" spans="1:11" x14ac:dyDescent="0.15">
      <c r="A432" s="133"/>
      <c r="B432" s="162" t="s">
        <v>850</v>
      </c>
      <c r="C432" s="163" t="s">
        <v>850</v>
      </c>
      <c r="D432" s="163" t="s">
        <v>850</v>
      </c>
      <c r="E432" s="163" t="s">
        <v>850</v>
      </c>
      <c r="F432" s="163" t="s">
        <v>850</v>
      </c>
      <c r="G432" s="163"/>
      <c r="H432" s="163"/>
      <c r="I432" s="163" t="s">
        <v>850</v>
      </c>
      <c r="J432" s="163" t="s">
        <v>850</v>
      </c>
      <c r="K432" s="133"/>
    </row>
    <row r="433" spans="1:11" x14ac:dyDescent="0.15">
      <c r="A433" s="133"/>
      <c r="B433" s="162" t="s">
        <v>850</v>
      </c>
      <c r="C433" s="163" t="s">
        <v>850</v>
      </c>
      <c r="D433" s="162" t="s">
        <v>850</v>
      </c>
      <c r="E433" s="162" t="s">
        <v>850</v>
      </c>
      <c r="F433" s="162" t="s">
        <v>850</v>
      </c>
      <c r="G433" s="162" t="s">
        <v>850</v>
      </c>
      <c r="H433" s="162" t="s">
        <v>850</v>
      </c>
      <c r="I433" s="162" t="s">
        <v>850</v>
      </c>
      <c r="J433" s="162" t="s">
        <v>850</v>
      </c>
      <c r="K433" s="133"/>
    </row>
    <row r="434" spans="1:11" x14ac:dyDescent="0.15">
      <c r="A434" s="133"/>
      <c r="B434" s="133"/>
      <c r="C434" s="133"/>
      <c r="D434" s="133"/>
      <c r="E434" s="133"/>
      <c r="F434" s="133"/>
      <c r="G434" s="133"/>
      <c r="H434" s="133"/>
      <c r="I434" s="133"/>
      <c r="J434" s="133"/>
      <c r="K434" s="133"/>
    </row>
    <row r="435" spans="1:11" x14ac:dyDescent="0.15">
      <c r="A435" s="133"/>
      <c r="B435" s="133"/>
      <c r="C435" s="133"/>
      <c r="D435" s="133"/>
      <c r="E435" s="133"/>
      <c r="F435" s="133"/>
      <c r="G435" s="133"/>
      <c r="H435" s="133"/>
      <c r="I435" s="133"/>
      <c r="J435" s="133"/>
      <c r="K435" s="133"/>
    </row>
    <row r="436" spans="1:11" x14ac:dyDescent="0.15">
      <c r="A436" s="133"/>
      <c r="B436" s="133"/>
      <c r="C436" s="133"/>
      <c r="D436" s="133"/>
      <c r="E436" s="133"/>
      <c r="F436" s="133"/>
      <c r="G436" s="133"/>
      <c r="H436" s="133"/>
      <c r="I436" s="133"/>
      <c r="J436" s="133"/>
      <c r="K436" s="133"/>
    </row>
    <row r="437" spans="1:11" x14ac:dyDescent="0.15">
      <c r="A437" s="133"/>
      <c r="B437" s="133"/>
      <c r="C437" s="133"/>
      <c r="D437" s="133"/>
      <c r="E437" s="133"/>
      <c r="F437" s="133"/>
      <c r="G437" s="133"/>
      <c r="H437" s="133"/>
      <c r="I437" s="133"/>
      <c r="J437" s="133"/>
      <c r="K437" s="133"/>
    </row>
    <row r="438" spans="1:11" x14ac:dyDescent="0.15">
      <c r="A438" s="133"/>
      <c r="B438" s="133"/>
      <c r="C438" s="133"/>
      <c r="D438" s="133"/>
      <c r="E438" s="133"/>
      <c r="F438" s="133"/>
      <c r="G438" s="133"/>
      <c r="H438" s="133"/>
      <c r="I438" s="133"/>
      <c r="J438" s="133"/>
      <c r="K438" s="133"/>
    </row>
    <row r="439" spans="1:11" x14ac:dyDescent="0.15">
      <c r="A439" s="133"/>
      <c r="B439" s="133"/>
      <c r="C439" s="133"/>
      <c r="D439" s="133"/>
      <c r="E439" s="133"/>
      <c r="F439" s="133"/>
      <c r="G439" s="133"/>
      <c r="H439" s="133"/>
      <c r="I439" s="133"/>
      <c r="J439" s="133"/>
      <c r="K439" s="133"/>
    </row>
    <row r="440" spans="1:11" x14ac:dyDescent="0.15">
      <c r="A440" s="133"/>
      <c r="B440" s="133"/>
      <c r="C440" s="133"/>
      <c r="D440" s="133"/>
      <c r="E440" s="133"/>
      <c r="F440" s="133"/>
      <c r="G440" s="133"/>
      <c r="H440" s="133"/>
      <c r="I440" s="133"/>
      <c r="J440" s="133"/>
      <c r="K440" s="133"/>
    </row>
    <row r="441" spans="1:11" x14ac:dyDescent="0.15">
      <c r="A441" s="133"/>
      <c r="B441" s="133"/>
      <c r="C441" s="133"/>
      <c r="D441" s="133"/>
      <c r="E441" s="133"/>
      <c r="F441" s="133"/>
      <c r="G441" s="133"/>
      <c r="H441" s="133"/>
      <c r="I441" s="133"/>
      <c r="J441" s="133"/>
      <c r="K441" s="133"/>
    </row>
    <row r="442" spans="1:11" x14ac:dyDescent="0.15">
      <c r="A442" s="133"/>
      <c r="B442" s="133"/>
      <c r="C442" s="133"/>
      <c r="D442" s="133"/>
      <c r="E442" s="133"/>
      <c r="F442" s="133"/>
      <c r="G442" s="133"/>
      <c r="H442" s="133"/>
      <c r="I442" s="133"/>
      <c r="J442" s="133"/>
      <c r="K442" s="133"/>
    </row>
    <row r="443" spans="1:11" x14ac:dyDescent="0.15">
      <c r="A443" s="133"/>
      <c r="B443" s="133"/>
      <c r="C443" s="133"/>
      <c r="D443" s="133"/>
      <c r="E443" s="133"/>
      <c r="F443" s="133"/>
      <c r="G443" s="133"/>
      <c r="H443" s="133"/>
      <c r="I443" s="133"/>
      <c r="J443" s="133"/>
      <c r="K443" s="133"/>
    </row>
    <row r="444" spans="1:11" x14ac:dyDescent="0.15">
      <c r="A444" s="133"/>
      <c r="B444" s="133"/>
      <c r="C444" s="133"/>
      <c r="D444" s="133"/>
      <c r="E444" s="133"/>
      <c r="F444" s="133"/>
      <c r="G444" s="133"/>
      <c r="H444" s="133"/>
      <c r="I444" s="133"/>
      <c r="J444" s="133"/>
      <c r="K444" s="133"/>
    </row>
    <row r="445" spans="1:11" x14ac:dyDescent="0.15">
      <c r="A445" s="133"/>
      <c r="B445" s="133"/>
      <c r="C445" s="133"/>
      <c r="D445" s="133"/>
      <c r="E445" s="133"/>
      <c r="F445" s="133"/>
      <c r="G445" s="133"/>
      <c r="H445" s="133"/>
      <c r="I445" s="133"/>
      <c r="J445" s="133"/>
      <c r="K445" s="133"/>
    </row>
    <row r="446" spans="1:11" x14ac:dyDescent="0.15">
      <c r="A446" s="133"/>
      <c r="B446" s="133"/>
      <c r="C446" s="133"/>
      <c r="D446" s="133"/>
      <c r="E446" s="133"/>
      <c r="F446" s="133"/>
      <c r="G446" s="133"/>
      <c r="H446" s="133"/>
      <c r="I446" s="133"/>
      <c r="J446" s="133"/>
      <c r="K446" s="133"/>
    </row>
    <row r="447" spans="1:11" x14ac:dyDescent="0.15">
      <c r="A447" s="133"/>
      <c r="B447" s="133"/>
      <c r="C447" s="133"/>
      <c r="D447" s="133"/>
      <c r="E447" s="133"/>
      <c r="F447" s="133"/>
      <c r="G447" s="133"/>
      <c r="H447" s="133"/>
      <c r="I447" s="133"/>
      <c r="J447" s="133"/>
      <c r="K447" s="133"/>
    </row>
    <row r="448" spans="1:11" x14ac:dyDescent="0.15">
      <c r="A448" s="133"/>
      <c r="B448" s="133"/>
      <c r="C448" s="133"/>
      <c r="D448" s="133"/>
      <c r="E448" s="133"/>
      <c r="F448" s="133"/>
      <c r="G448" s="133"/>
      <c r="H448" s="133"/>
      <c r="I448" s="133"/>
      <c r="J448" s="133"/>
      <c r="K448" s="133"/>
    </row>
    <row r="449" spans="1:11" x14ac:dyDescent="0.15">
      <c r="A449" s="133"/>
      <c r="B449" s="133"/>
      <c r="C449" s="133"/>
      <c r="D449" s="133"/>
      <c r="E449" s="133"/>
      <c r="F449" s="133"/>
      <c r="G449" s="133"/>
      <c r="H449" s="133"/>
      <c r="I449" s="133"/>
      <c r="J449" s="133"/>
      <c r="K449" s="133"/>
    </row>
    <row r="450" spans="1:11" x14ac:dyDescent="0.15">
      <c r="A450" s="133"/>
      <c r="B450" s="133"/>
      <c r="C450" s="133"/>
      <c r="D450" s="133"/>
      <c r="E450" s="133"/>
      <c r="F450" s="133"/>
      <c r="G450" s="133"/>
      <c r="H450" s="133"/>
      <c r="I450" s="133"/>
      <c r="J450" s="133"/>
      <c r="K450" s="133"/>
    </row>
    <row r="451" spans="1:11" x14ac:dyDescent="0.15">
      <c r="A451" s="133"/>
      <c r="B451" s="133"/>
      <c r="C451" s="133"/>
      <c r="D451" s="133"/>
      <c r="E451" s="133"/>
      <c r="F451" s="133"/>
      <c r="G451" s="133"/>
      <c r="H451" s="133"/>
      <c r="I451" s="133"/>
      <c r="J451" s="133"/>
      <c r="K451" s="133"/>
    </row>
    <row r="452" spans="1:11" x14ac:dyDescent="0.15">
      <c r="A452" s="133"/>
      <c r="B452" s="133"/>
      <c r="C452" s="133"/>
      <c r="D452" s="133"/>
      <c r="E452" s="133"/>
      <c r="F452" s="133"/>
      <c r="G452" s="133"/>
      <c r="H452" s="133"/>
      <c r="I452" s="133"/>
      <c r="J452" s="133"/>
      <c r="K452" s="133"/>
    </row>
    <row r="453" spans="1:11" x14ac:dyDescent="0.15">
      <c r="A453" s="133"/>
      <c r="B453" s="133"/>
      <c r="C453" s="133"/>
      <c r="D453" s="133"/>
      <c r="E453" s="133"/>
      <c r="F453" s="133"/>
      <c r="G453" s="133"/>
      <c r="H453" s="133"/>
      <c r="I453" s="133"/>
      <c r="J453" s="133"/>
      <c r="K453" s="133"/>
    </row>
    <row r="454" spans="1:11" x14ac:dyDescent="0.15">
      <c r="A454" s="133"/>
      <c r="B454" s="133"/>
      <c r="C454" s="133"/>
      <c r="D454" s="133"/>
      <c r="E454" s="133"/>
      <c r="F454" s="133"/>
      <c r="G454" s="133"/>
      <c r="H454" s="133"/>
      <c r="I454" s="133"/>
      <c r="J454" s="133"/>
      <c r="K454" s="133"/>
    </row>
    <row r="455" spans="1:11" x14ac:dyDescent="0.15">
      <c r="A455" s="133"/>
      <c r="B455" s="133"/>
      <c r="C455" s="133"/>
      <c r="D455" s="133"/>
      <c r="E455" s="133"/>
      <c r="F455" s="133"/>
      <c r="G455" s="133"/>
      <c r="H455" s="133"/>
      <c r="I455" s="133"/>
      <c r="J455" s="133"/>
      <c r="K455" s="133"/>
    </row>
    <row r="456" spans="1:11" x14ac:dyDescent="0.15">
      <c r="A456" s="133"/>
      <c r="B456" s="133"/>
      <c r="C456" s="133"/>
      <c r="D456" s="133"/>
      <c r="E456" s="133"/>
      <c r="F456" s="133"/>
      <c r="G456" s="133"/>
      <c r="H456" s="133"/>
      <c r="I456" s="133"/>
      <c r="J456" s="133"/>
      <c r="K456" s="133"/>
    </row>
    <row r="457" spans="1:11" x14ac:dyDescent="0.15">
      <c r="A457" s="133"/>
      <c r="B457" s="133"/>
      <c r="C457" s="133"/>
      <c r="D457" s="133"/>
      <c r="E457" s="133"/>
      <c r="F457" s="133"/>
      <c r="G457" s="133"/>
      <c r="H457" s="133"/>
      <c r="I457" s="133"/>
      <c r="J457" s="133"/>
      <c r="K457" s="133"/>
    </row>
  </sheetData>
  <phoneticPr fontId="80" type="noConversion"/>
  <pageMargins left="0.75" right="0.75" top="1" bottom="1" header="0.5" footer="0.5"/>
  <pageSetup orientation="portrait"/>
  <headerFooter alignWithMargins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38A76-F7C8-5042-A286-DA9B958D41CA}">
  <dimension ref="B1:O95"/>
  <sheetViews>
    <sheetView showGridLines="0" zoomScale="90" workbookViewId="0">
      <pane ySplit="16" topLeftCell="A17" activePane="bottomLeft" state="frozen"/>
      <selection pane="bottomLeft"/>
    </sheetView>
  </sheetViews>
  <sheetFormatPr baseColWidth="10" defaultColWidth="8.83203125" defaultRowHeight="13" x14ac:dyDescent="0.15"/>
  <cols>
    <col min="1" max="1" width="3.6640625" customWidth="1"/>
    <col min="2" max="2" width="11.6640625" customWidth="1"/>
    <col min="3" max="3" width="8.83203125" customWidth="1"/>
    <col min="4" max="4" width="9.6640625" customWidth="1"/>
    <col min="5" max="5" width="11.5" customWidth="1"/>
    <col min="6" max="9" width="8.83203125" customWidth="1"/>
    <col min="10" max="10" width="10.33203125" customWidth="1"/>
    <col min="11" max="11" width="10.5" customWidth="1"/>
    <col min="12" max="12" width="13.5" customWidth="1"/>
    <col min="13" max="13" width="11.5" customWidth="1"/>
    <col min="14" max="14" width="8.83203125" customWidth="1"/>
    <col min="15" max="15" width="0" hidden="1" customWidth="1"/>
  </cols>
  <sheetData>
    <row r="1" spans="2:14" x14ac:dyDescent="0.15">
      <c r="B1" s="112">
        <f ca="1">NOW()</f>
        <v>45636.449309606483</v>
      </c>
    </row>
    <row r="2" spans="2:14" ht="16" x14ac:dyDescent="0.2">
      <c r="B2" s="113"/>
      <c r="H2" s="35" t="s">
        <v>1679</v>
      </c>
    </row>
    <row r="3" spans="2:14" ht="16" x14ac:dyDescent="0.2">
      <c r="H3" s="35" t="s">
        <v>1674</v>
      </c>
    </row>
    <row r="4" spans="2:14" x14ac:dyDescent="0.15">
      <c r="H4" s="187"/>
    </row>
    <row r="5" spans="2:14" ht="16" x14ac:dyDescent="0.2">
      <c r="H5" s="35"/>
    </row>
    <row r="6" spans="2:14" ht="16" x14ac:dyDescent="0.2">
      <c r="D6" s="35" t="s">
        <v>1688</v>
      </c>
      <c r="E6" s="35"/>
      <c r="F6" s="187"/>
      <c r="K6" s="35" t="s">
        <v>1681</v>
      </c>
    </row>
    <row r="7" spans="2:14" ht="16" x14ac:dyDescent="0.2">
      <c r="B7" s="191"/>
    </row>
    <row r="8" spans="2:14" ht="16" x14ac:dyDescent="0.2">
      <c r="B8" s="191"/>
    </row>
    <row r="9" spans="2:14" ht="16" x14ac:dyDescent="0.2">
      <c r="K9" s="35" t="s">
        <v>1677</v>
      </c>
    </row>
    <row r="10" spans="2:14" ht="16" x14ac:dyDescent="0.2">
      <c r="F10" s="35" t="s">
        <v>846</v>
      </c>
    </row>
    <row r="11" spans="2:14" ht="23" x14ac:dyDescent="0.25">
      <c r="B11" s="188" t="s">
        <v>1388</v>
      </c>
      <c r="F11" s="35" t="s">
        <v>1685</v>
      </c>
      <c r="I11" s="35" t="s">
        <v>1689</v>
      </c>
    </row>
    <row r="12" spans="2:14" ht="23" x14ac:dyDescent="0.25">
      <c r="B12" s="188" t="s">
        <v>1392</v>
      </c>
      <c r="F12" s="35"/>
    </row>
    <row r="13" spans="2:14" ht="16" x14ac:dyDescent="0.2">
      <c r="I13" s="35"/>
    </row>
    <row r="14" spans="2:14" ht="17" thickBot="1" x14ac:dyDescent="0.25">
      <c r="J14" s="29" t="s">
        <v>1680</v>
      </c>
    </row>
    <row r="15" spans="2:14" x14ac:dyDescent="0.15">
      <c r="B15" s="373" t="s">
        <v>1390</v>
      </c>
      <c r="C15" s="362" t="s">
        <v>846</v>
      </c>
      <c r="D15" s="362" t="s">
        <v>1634</v>
      </c>
      <c r="E15" s="362" t="s">
        <v>858</v>
      </c>
      <c r="F15" s="362" t="s">
        <v>1108</v>
      </c>
      <c r="G15" s="374" t="s">
        <v>860</v>
      </c>
      <c r="H15" s="362" t="s">
        <v>1062</v>
      </c>
      <c r="I15" s="365" t="s">
        <v>1051</v>
      </c>
      <c r="J15" s="362" t="s">
        <v>847</v>
      </c>
      <c r="K15" s="377" t="s">
        <v>1047</v>
      </c>
      <c r="L15" s="365" t="s">
        <v>1514</v>
      </c>
      <c r="M15" s="365" t="s">
        <v>1743</v>
      </c>
      <c r="N15" s="365" t="s">
        <v>1435</v>
      </c>
    </row>
    <row r="16" spans="2:14" ht="14" thickBot="1" x14ac:dyDescent="0.2">
      <c r="B16" s="375" t="s">
        <v>845</v>
      </c>
      <c r="C16" s="376" t="s">
        <v>855</v>
      </c>
      <c r="D16" s="376" t="s">
        <v>857</v>
      </c>
      <c r="E16" s="376" t="s">
        <v>1046</v>
      </c>
      <c r="F16" s="376" t="s">
        <v>892</v>
      </c>
      <c r="G16" s="369"/>
      <c r="H16" s="371"/>
      <c r="I16" s="370" t="s">
        <v>1052</v>
      </c>
      <c r="J16" s="371" t="s">
        <v>848</v>
      </c>
      <c r="K16" s="369" t="s">
        <v>848</v>
      </c>
      <c r="L16" s="370" t="s">
        <v>1515</v>
      </c>
      <c r="M16" s="372" t="s">
        <v>1744</v>
      </c>
      <c r="N16" s="372" t="s">
        <v>1764</v>
      </c>
    </row>
    <row r="17" spans="2:15" x14ac:dyDescent="0.15">
      <c r="B17" s="127" t="s">
        <v>1391</v>
      </c>
      <c r="C17" s="128">
        <v>12.25</v>
      </c>
      <c r="D17" s="129">
        <v>0.8125</v>
      </c>
      <c r="E17" s="130">
        <v>8</v>
      </c>
      <c r="F17" s="129">
        <v>1.0625</v>
      </c>
      <c r="G17" s="174">
        <v>2</v>
      </c>
      <c r="H17" s="174">
        <v>1.125</v>
      </c>
      <c r="I17" s="174">
        <v>1</v>
      </c>
      <c r="J17" s="130" t="s">
        <v>850</v>
      </c>
      <c r="K17" s="129" t="s">
        <v>850</v>
      </c>
      <c r="L17" s="119">
        <f>((C17-(F17*1))*2+(E17*2)+(F17*2))*12/144</f>
        <v>3.375</v>
      </c>
      <c r="M17" s="273">
        <f>L17*3.2808399*0.09290304</f>
        <v>1.0287000015636241</v>
      </c>
      <c r="N17" s="273">
        <f>O17*3.2808399*0.4535924</f>
        <v>90.033924677533989</v>
      </c>
      <c r="O17">
        <v>60.5</v>
      </c>
    </row>
    <row r="18" spans="2:15" x14ac:dyDescent="0.15">
      <c r="B18" s="186" t="s">
        <v>1393</v>
      </c>
      <c r="C18" s="22">
        <v>12.25</v>
      </c>
      <c r="D18" s="21">
        <v>0.625</v>
      </c>
      <c r="E18" s="22">
        <v>7.875</v>
      </c>
      <c r="F18" s="21">
        <v>1.0625</v>
      </c>
      <c r="G18" s="21">
        <v>2</v>
      </c>
      <c r="H18" s="21">
        <v>1.125</v>
      </c>
      <c r="I18" s="21">
        <v>1</v>
      </c>
      <c r="J18" s="22" t="s">
        <v>850</v>
      </c>
      <c r="K18" s="21" t="s">
        <v>850</v>
      </c>
      <c r="L18" s="313">
        <f>((C18-(F18*1))*2+(E18*2)+(F18*2))*12/144</f>
        <v>3.3541666666666665</v>
      </c>
      <c r="M18" s="333">
        <f>L18*3.2808399*0.09290304</f>
        <v>1.0223500015539722</v>
      </c>
      <c r="N18" s="333">
        <f t="shared" ref="N18:N60" si="0">O18*3.2808399*0.4535924</f>
        <v>78.872694345608281</v>
      </c>
      <c r="O18">
        <v>53</v>
      </c>
    </row>
    <row r="19" spans="2:15" x14ac:dyDescent="0.15">
      <c r="B19" s="307"/>
      <c r="C19" s="315"/>
      <c r="D19" s="315"/>
      <c r="E19" s="315"/>
      <c r="F19" s="315"/>
      <c r="G19" s="315"/>
      <c r="H19" s="315"/>
      <c r="I19" s="315"/>
      <c r="J19" s="315"/>
      <c r="K19" s="315"/>
      <c r="L19" s="316"/>
      <c r="M19" s="317"/>
      <c r="N19" s="312"/>
    </row>
    <row r="20" spans="2:15" x14ac:dyDescent="0.15">
      <c r="B20" s="155" t="s">
        <v>1394</v>
      </c>
      <c r="C20" s="156">
        <v>12</v>
      </c>
      <c r="D20" s="129">
        <v>0.75</v>
      </c>
      <c r="E20" s="130">
        <v>7.25</v>
      </c>
      <c r="F20" s="129">
        <v>0.875</v>
      </c>
      <c r="G20" s="129">
        <v>1.75</v>
      </c>
      <c r="H20" s="129">
        <v>0.875</v>
      </c>
      <c r="I20" s="129">
        <v>1</v>
      </c>
      <c r="J20" s="130">
        <v>4</v>
      </c>
      <c r="K20" s="129">
        <v>3</v>
      </c>
      <c r="L20" s="119">
        <f t="shared" ref="L20:L61" si="1">((C20-(F20*1))*2+(E20*2)+(F20*2))*12/144</f>
        <v>3.2083333333333335</v>
      </c>
      <c r="M20" s="274">
        <f t="shared" ref="M20:M61" si="2">L20*3.2808399*0.09290304</f>
        <v>0.97790000148640821</v>
      </c>
      <c r="N20" s="274">
        <f t="shared" si="0"/>
        <v>74.408202212838006</v>
      </c>
      <c r="O20">
        <v>50</v>
      </c>
    </row>
    <row r="21" spans="2:15" x14ac:dyDescent="0.15">
      <c r="B21" s="18" t="s">
        <v>1395</v>
      </c>
      <c r="C21" s="20">
        <v>12</v>
      </c>
      <c r="D21" s="19">
        <v>0.625</v>
      </c>
      <c r="E21" s="20">
        <v>7.125</v>
      </c>
      <c r="F21" s="19">
        <v>0.875</v>
      </c>
      <c r="G21" s="19">
        <v>1.75</v>
      </c>
      <c r="H21" s="19">
        <v>0.875</v>
      </c>
      <c r="I21" s="19">
        <v>1</v>
      </c>
      <c r="J21" s="20">
        <v>4</v>
      </c>
      <c r="K21" s="19">
        <v>3</v>
      </c>
      <c r="L21" s="119">
        <f t="shared" si="1"/>
        <v>3.1875</v>
      </c>
      <c r="M21" s="274">
        <f t="shared" si="2"/>
        <v>0.97155000147675608</v>
      </c>
      <c r="N21" s="274">
        <f t="shared" si="0"/>
        <v>66.967381991554205</v>
      </c>
      <c r="O21">
        <v>45</v>
      </c>
    </row>
    <row r="22" spans="2:15" x14ac:dyDescent="0.15">
      <c r="B22" s="186" t="s">
        <v>1396</v>
      </c>
      <c r="C22" s="22">
        <v>12</v>
      </c>
      <c r="D22" s="129">
        <v>0.5</v>
      </c>
      <c r="E22" s="130">
        <v>7</v>
      </c>
      <c r="F22" s="129">
        <v>0.875</v>
      </c>
      <c r="G22" s="129">
        <v>1.75</v>
      </c>
      <c r="H22" s="129">
        <v>0.875</v>
      </c>
      <c r="I22" s="129">
        <v>1</v>
      </c>
      <c r="J22" s="130" t="s">
        <v>850</v>
      </c>
      <c r="K22" s="129" t="s">
        <v>850</v>
      </c>
      <c r="L22" s="313">
        <f t="shared" si="1"/>
        <v>3.1666666666666665</v>
      </c>
      <c r="M22" s="333">
        <f t="shared" si="2"/>
        <v>0.96520000146710394</v>
      </c>
      <c r="N22" s="333">
        <f t="shared" si="0"/>
        <v>59.526561770270405</v>
      </c>
      <c r="O22">
        <v>40</v>
      </c>
    </row>
    <row r="23" spans="2:15" x14ac:dyDescent="0.15">
      <c r="B23" s="307"/>
      <c r="C23" s="315"/>
      <c r="D23" s="315"/>
      <c r="E23" s="315"/>
      <c r="F23" s="315"/>
      <c r="G23" s="315"/>
      <c r="H23" s="315"/>
      <c r="I23" s="315"/>
      <c r="J23" s="315"/>
      <c r="K23" s="315"/>
      <c r="L23" s="316"/>
      <c r="M23" s="317"/>
      <c r="N23" s="312"/>
    </row>
    <row r="24" spans="2:15" x14ac:dyDescent="0.15">
      <c r="B24" s="155" t="s">
        <v>1397</v>
      </c>
      <c r="C24" s="156">
        <v>10.125</v>
      </c>
      <c r="D24" s="129">
        <v>0.8125</v>
      </c>
      <c r="E24" s="130">
        <v>7.25</v>
      </c>
      <c r="F24" s="129">
        <v>0.9375</v>
      </c>
      <c r="G24" s="129">
        <v>1.75</v>
      </c>
      <c r="H24" s="129">
        <v>0.9375</v>
      </c>
      <c r="I24" s="129">
        <v>1</v>
      </c>
      <c r="J24" s="130" t="s">
        <v>850</v>
      </c>
      <c r="K24" s="129" t="s">
        <v>850</v>
      </c>
      <c r="L24" s="119">
        <f t="shared" si="1"/>
        <v>2.8958333333333335</v>
      </c>
      <c r="M24" s="274">
        <f t="shared" si="2"/>
        <v>0.88265000134162819</v>
      </c>
      <c r="N24" s="274">
        <f t="shared" si="0"/>
        <v>71.43187412432448</v>
      </c>
      <c r="O24">
        <v>48</v>
      </c>
    </row>
    <row r="25" spans="2:15" x14ac:dyDescent="0.15">
      <c r="B25" s="186" t="s">
        <v>1398</v>
      </c>
      <c r="C25" s="22">
        <v>10.125</v>
      </c>
      <c r="D25" s="21">
        <v>0.6875</v>
      </c>
      <c r="E25" s="22">
        <v>7</v>
      </c>
      <c r="F25" s="21">
        <v>0.9375</v>
      </c>
      <c r="G25" s="21">
        <v>1.75</v>
      </c>
      <c r="H25" s="21">
        <v>0.9375</v>
      </c>
      <c r="I25" s="21">
        <v>1</v>
      </c>
      <c r="J25" s="22" t="s">
        <v>850</v>
      </c>
      <c r="K25" s="21" t="s">
        <v>850</v>
      </c>
      <c r="L25" s="313">
        <f t="shared" si="1"/>
        <v>2.8541666666666665</v>
      </c>
      <c r="M25" s="333">
        <f t="shared" si="2"/>
        <v>0.86995000132232414</v>
      </c>
      <c r="N25" s="333">
        <f t="shared" si="0"/>
        <v>63.99105390304068</v>
      </c>
      <c r="O25">
        <v>43</v>
      </c>
    </row>
    <row r="26" spans="2:15" x14ac:dyDescent="0.15">
      <c r="B26" s="307"/>
      <c r="C26" s="315"/>
      <c r="D26" s="315"/>
      <c r="E26" s="315"/>
      <c r="F26" s="315"/>
      <c r="G26" s="315"/>
      <c r="H26" s="315"/>
      <c r="I26" s="315"/>
      <c r="J26" s="315"/>
      <c r="K26" s="315"/>
      <c r="L26" s="316"/>
      <c r="M26" s="317"/>
      <c r="N26" s="312"/>
    </row>
    <row r="27" spans="2:15" x14ac:dyDescent="0.15">
      <c r="B27" s="155" t="s">
        <v>1399</v>
      </c>
      <c r="C27" s="156">
        <v>10</v>
      </c>
      <c r="D27" s="129">
        <v>0.625</v>
      </c>
      <c r="E27" s="130">
        <v>6.375</v>
      </c>
      <c r="F27" s="129">
        <v>0.8125</v>
      </c>
      <c r="G27" s="129">
        <v>1.625</v>
      </c>
      <c r="H27" s="129">
        <v>0.8125</v>
      </c>
      <c r="I27" s="129">
        <v>0.875</v>
      </c>
      <c r="J27" s="130">
        <v>3.5</v>
      </c>
      <c r="K27" s="129">
        <v>3</v>
      </c>
      <c r="L27" s="119">
        <f t="shared" si="1"/>
        <v>2.7291666666666665</v>
      </c>
      <c r="M27" s="274">
        <f t="shared" si="2"/>
        <v>0.83185000126441211</v>
      </c>
      <c r="N27" s="274">
        <f t="shared" si="0"/>
        <v>55.806151659628505</v>
      </c>
      <c r="O27">
        <v>37.5</v>
      </c>
    </row>
    <row r="28" spans="2:15" x14ac:dyDescent="0.15">
      <c r="B28" s="186" t="s">
        <v>1400</v>
      </c>
      <c r="C28" s="22">
        <v>10</v>
      </c>
      <c r="D28" s="21">
        <v>0.5</v>
      </c>
      <c r="E28" s="22">
        <v>6.25</v>
      </c>
      <c r="F28" s="21">
        <v>0.8125</v>
      </c>
      <c r="G28" s="21">
        <v>1.625</v>
      </c>
      <c r="H28" s="21">
        <v>0.8125</v>
      </c>
      <c r="I28" s="21">
        <v>0.875</v>
      </c>
      <c r="J28" s="22" t="s">
        <v>850</v>
      </c>
      <c r="K28" s="21" t="s">
        <v>850</v>
      </c>
      <c r="L28" s="313">
        <f t="shared" si="1"/>
        <v>2.7083333333333335</v>
      </c>
      <c r="M28" s="333">
        <f t="shared" si="2"/>
        <v>0.8255000012547602</v>
      </c>
      <c r="N28" s="333">
        <f t="shared" si="0"/>
        <v>49.109413460473085</v>
      </c>
      <c r="O28">
        <v>33</v>
      </c>
    </row>
    <row r="29" spans="2:15" x14ac:dyDescent="0.15">
      <c r="B29" s="307"/>
      <c r="C29" s="315"/>
      <c r="D29" s="315"/>
      <c r="E29" s="315"/>
      <c r="F29" s="315"/>
      <c r="G29" s="315"/>
      <c r="H29" s="315"/>
      <c r="I29" s="315"/>
      <c r="J29" s="315"/>
      <c r="K29" s="315"/>
      <c r="L29" s="316"/>
      <c r="M29" s="317"/>
      <c r="N29" s="312"/>
    </row>
    <row r="30" spans="2:15" x14ac:dyDescent="0.15">
      <c r="B30" s="155" t="s">
        <v>1401</v>
      </c>
      <c r="C30" s="156">
        <v>9</v>
      </c>
      <c r="D30" s="131">
        <v>0.6875</v>
      </c>
      <c r="E30" s="156">
        <v>6.25</v>
      </c>
      <c r="F30" s="131">
        <v>0.6875</v>
      </c>
      <c r="G30" s="131">
        <v>1.5</v>
      </c>
      <c r="H30" s="131">
        <v>0.6875</v>
      </c>
      <c r="I30" s="131">
        <v>0.875</v>
      </c>
      <c r="J30" s="156">
        <v>3.5</v>
      </c>
      <c r="K30" s="131">
        <v>2.75</v>
      </c>
      <c r="L30" s="119">
        <f t="shared" si="1"/>
        <v>2.5416666666666665</v>
      </c>
      <c r="M30" s="274">
        <f t="shared" si="2"/>
        <v>0.77470000117754412</v>
      </c>
      <c r="N30" s="274">
        <f t="shared" si="0"/>
        <v>52.085741548986604</v>
      </c>
      <c r="O30">
        <v>35</v>
      </c>
    </row>
    <row r="31" spans="2:15" x14ac:dyDescent="0.15">
      <c r="B31" s="186" t="s">
        <v>1402</v>
      </c>
      <c r="C31" s="22">
        <v>9</v>
      </c>
      <c r="D31" s="21">
        <v>0.4375</v>
      </c>
      <c r="E31" s="22">
        <v>6</v>
      </c>
      <c r="F31" s="21">
        <v>0.6875</v>
      </c>
      <c r="G31" s="21">
        <v>1.5</v>
      </c>
      <c r="H31" s="21">
        <v>0.6875</v>
      </c>
      <c r="I31" s="21">
        <v>0.875</v>
      </c>
      <c r="J31" s="22">
        <v>3.5</v>
      </c>
      <c r="K31" s="21">
        <v>2.75</v>
      </c>
      <c r="L31" s="313">
        <f t="shared" si="1"/>
        <v>2.5</v>
      </c>
      <c r="M31" s="333">
        <f t="shared" si="2"/>
        <v>0.76200000115824007</v>
      </c>
      <c r="N31" s="333">
        <f t="shared" si="0"/>
        <v>40.701286610422393</v>
      </c>
      <c r="O31">
        <v>27.35</v>
      </c>
    </row>
    <row r="32" spans="2:15" x14ac:dyDescent="0.15">
      <c r="B32" s="307"/>
      <c r="C32" s="315"/>
      <c r="D32" s="315"/>
      <c r="E32" s="315"/>
      <c r="F32" s="315"/>
      <c r="G32" s="315"/>
      <c r="H32" s="315"/>
      <c r="I32" s="315"/>
      <c r="J32" s="315"/>
      <c r="K32" s="315"/>
      <c r="L32" s="316"/>
      <c r="M32" s="317"/>
      <c r="N32" s="312"/>
    </row>
    <row r="33" spans="2:15" x14ac:dyDescent="0.15">
      <c r="B33" s="155" t="s">
        <v>1403</v>
      </c>
      <c r="C33" s="156">
        <v>7.5</v>
      </c>
      <c r="D33" s="129">
        <v>0.5625</v>
      </c>
      <c r="E33" s="130">
        <v>5.625</v>
      </c>
      <c r="F33" s="129">
        <v>0.625</v>
      </c>
      <c r="G33" s="129">
        <v>1.375</v>
      </c>
      <c r="H33" s="129">
        <v>0.5625</v>
      </c>
      <c r="I33" s="129">
        <v>0.75</v>
      </c>
      <c r="J33" s="130">
        <v>3.5</v>
      </c>
      <c r="K33" s="129">
        <v>2.75</v>
      </c>
      <c r="L33" s="119">
        <f t="shared" si="1"/>
        <v>2.1875</v>
      </c>
      <c r="M33" s="274">
        <f t="shared" si="2"/>
        <v>0.66675000101346005</v>
      </c>
      <c r="N33" s="274">
        <f t="shared" si="0"/>
        <v>37.204101106419003</v>
      </c>
      <c r="O33">
        <v>25</v>
      </c>
    </row>
    <row r="34" spans="2:15" x14ac:dyDescent="0.15">
      <c r="B34" s="186" t="s">
        <v>1404</v>
      </c>
      <c r="C34" s="22">
        <v>7.5</v>
      </c>
      <c r="D34" s="21">
        <v>0.4375</v>
      </c>
      <c r="E34" s="22">
        <v>5.5</v>
      </c>
      <c r="F34" s="21">
        <v>0.625</v>
      </c>
      <c r="G34" s="21">
        <v>1.375</v>
      </c>
      <c r="H34" s="21">
        <v>0.5625</v>
      </c>
      <c r="I34" s="21">
        <v>0.75</v>
      </c>
      <c r="J34" s="22">
        <v>3.5</v>
      </c>
      <c r="K34" s="21">
        <v>2.75</v>
      </c>
      <c r="L34" s="313">
        <f t="shared" si="1"/>
        <v>2.1666666666666665</v>
      </c>
      <c r="M34" s="333">
        <f t="shared" si="2"/>
        <v>0.66040000100380802</v>
      </c>
      <c r="N34" s="333">
        <f t="shared" si="0"/>
        <v>31.921118749307499</v>
      </c>
      <c r="O34">
        <v>21.45</v>
      </c>
    </row>
    <row r="35" spans="2:15" x14ac:dyDescent="0.15">
      <c r="B35" s="307"/>
      <c r="C35" s="315"/>
      <c r="D35" s="315"/>
      <c r="E35" s="315"/>
      <c r="F35" s="315"/>
      <c r="G35" s="315"/>
      <c r="H35" s="315"/>
      <c r="I35" s="315"/>
      <c r="J35" s="315"/>
      <c r="K35" s="315"/>
      <c r="L35" s="316"/>
      <c r="M35" s="317"/>
      <c r="N35" s="312"/>
    </row>
    <row r="36" spans="2:15" x14ac:dyDescent="0.15">
      <c r="B36" s="155" t="s">
        <v>1405</v>
      </c>
      <c r="C36" s="156">
        <v>6</v>
      </c>
      <c r="D36" s="131">
        <v>0.6875</v>
      </c>
      <c r="E36" s="156">
        <v>5.5</v>
      </c>
      <c r="F36" s="131">
        <v>0.6875</v>
      </c>
      <c r="G36" s="131">
        <v>1.4375</v>
      </c>
      <c r="H36" s="131">
        <v>0.6875</v>
      </c>
      <c r="I36" s="131">
        <v>0.75</v>
      </c>
      <c r="J36" s="156">
        <v>3</v>
      </c>
      <c r="K36" s="131">
        <v>2.75</v>
      </c>
      <c r="L36" s="119">
        <f t="shared" si="1"/>
        <v>1.9166666666666667</v>
      </c>
      <c r="M36" s="274">
        <f t="shared" si="2"/>
        <v>0.58420000088798407</v>
      </c>
      <c r="N36" s="274">
        <f t="shared" si="0"/>
        <v>37.204101106419003</v>
      </c>
      <c r="O36">
        <v>25</v>
      </c>
    </row>
    <row r="37" spans="2:15" x14ac:dyDescent="0.15">
      <c r="B37" s="186" t="s">
        <v>1406</v>
      </c>
      <c r="C37" s="22">
        <v>6</v>
      </c>
      <c r="D37" s="21">
        <v>0.4375</v>
      </c>
      <c r="E37" s="22">
        <v>5.25</v>
      </c>
      <c r="F37" s="21">
        <v>0.6875</v>
      </c>
      <c r="G37" s="21">
        <v>1.4375</v>
      </c>
      <c r="H37" s="21">
        <v>0.625</v>
      </c>
      <c r="I37" s="21">
        <v>0.75</v>
      </c>
      <c r="J37" s="22">
        <v>3</v>
      </c>
      <c r="K37" s="21">
        <v>2.75</v>
      </c>
      <c r="L37" s="313">
        <f t="shared" si="1"/>
        <v>1.875</v>
      </c>
      <c r="M37" s="333">
        <f t="shared" si="2"/>
        <v>0.57150000086868002</v>
      </c>
      <c r="N37" s="333">
        <f t="shared" si="0"/>
        <v>30.358546502837903</v>
      </c>
      <c r="O37">
        <v>20.399999999999999</v>
      </c>
    </row>
    <row r="38" spans="2:15" x14ac:dyDescent="0.15">
      <c r="B38" s="307"/>
      <c r="C38" s="315"/>
      <c r="D38" s="315"/>
      <c r="E38" s="315"/>
      <c r="F38" s="315"/>
      <c r="G38" s="315"/>
      <c r="H38" s="315"/>
      <c r="I38" s="315"/>
      <c r="J38" s="315"/>
      <c r="K38" s="315"/>
      <c r="L38" s="316"/>
      <c r="M38" s="317"/>
      <c r="N38" s="312"/>
    </row>
    <row r="39" spans="2:15" x14ac:dyDescent="0.15">
      <c r="B39" s="155" t="s">
        <v>1407</v>
      </c>
      <c r="C39" s="156">
        <v>6</v>
      </c>
      <c r="D39" s="131">
        <v>0.4375</v>
      </c>
      <c r="E39" s="156">
        <v>5.125</v>
      </c>
      <c r="F39" s="131">
        <v>0.5625</v>
      </c>
      <c r="G39" s="131">
        <v>1.1875</v>
      </c>
      <c r="H39" s="131">
        <v>0.5</v>
      </c>
      <c r="I39" s="131">
        <v>0.75</v>
      </c>
      <c r="J39" s="156">
        <v>3</v>
      </c>
      <c r="K39" s="131">
        <v>2.5</v>
      </c>
      <c r="L39" s="119">
        <f t="shared" si="1"/>
        <v>1.8541666666666667</v>
      </c>
      <c r="M39" s="274">
        <f t="shared" si="2"/>
        <v>0.56515000085902811</v>
      </c>
      <c r="N39" s="274">
        <f t="shared" si="0"/>
        <v>26.042870774493302</v>
      </c>
      <c r="O39">
        <v>17.5</v>
      </c>
    </row>
    <row r="40" spans="2:15" x14ac:dyDescent="0.15">
      <c r="B40" s="186" t="s">
        <v>1408</v>
      </c>
      <c r="C40" s="22">
        <v>6</v>
      </c>
      <c r="D40" s="129">
        <v>0.375</v>
      </c>
      <c r="E40" s="130">
        <v>5</v>
      </c>
      <c r="F40" s="129">
        <v>0.5625</v>
      </c>
      <c r="G40" s="129">
        <v>1.1875</v>
      </c>
      <c r="H40" s="129">
        <v>0.5</v>
      </c>
      <c r="I40" s="129">
        <v>0.75</v>
      </c>
      <c r="J40" s="130">
        <v>3</v>
      </c>
      <c r="K40" s="129">
        <v>2.5</v>
      </c>
      <c r="L40" s="313">
        <f t="shared" si="1"/>
        <v>1.8333333333333333</v>
      </c>
      <c r="M40" s="333">
        <f t="shared" si="2"/>
        <v>0.55880000084937598</v>
      </c>
      <c r="N40" s="333">
        <f t="shared" si="0"/>
        <v>23.661808303682488</v>
      </c>
      <c r="O40">
        <v>15.9</v>
      </c>
    </row>
    <row r="41" spans="2:15" x14ac:dyDescent="0.15">
      <c r="B41" s="307"/>
      <c r="C41" s="315"/>
      <c r="D41" s="315"/>
      <c r="E41" s="315"/>
      <c r="F41" s="315"/>
      <c r="G41" s="315"/>
      <c r="H41" s="315"/>
      <c r="I41" s="315"/>
      <c r="J41" s="315"/>
      <c r="K41" s="315"/>
      <c r="L41" s="316"/>
      <c r="M41" s="317"/>
      <c r="N41" s="312"/>
    </row>
    <row r="42" spans="2:15" x14ac:dyDescent="0.15">
      <c r="B42" s="155" t="s">
        <v>1409</v>
      </c>
      <c r="C42" s="156">
        <v>5</v>
      </c>
      <c r="D42" s="129">
        <v>0.625</v>
      </c>
      <c r="E42" s="130">
        <v>5</v>
      </c>
      <c r="F42" s="129">
        <v>0.5</v>
      </c>
      <c r="G42" s="129">
        <v>1.125</v>
      </c>
      <c r="H42" s="129">
        <v>0.5</v>
      </c>
      <c r="I42" s="129">
        <v>0.75</v>
      </c>
      <c r="J42" s="130">
        <v>2.75</v>
      </c>
      <c r="K42" s="129">
        <v>2.5</v>
      </c>
      <c r="L42" s="119">
        <f t="shared" si="1"/>
        <v>1.6666666666666667</v>
      </c>
      <c r="M42" s="274">
        <f t="shared" si="2"/>
        <v>0.50800000077216012</v>
      </c>
      <c r="N42" s="274">
        <f t="shared" si="0"/>
        <v>26.042870774493302</v>
      </c>
      <c r="O42">
        <v>17.5</v>
      </c>
    </row>
    <row r="43" spans="2:15" x14ac:dyDescent="0.15">
      <c r="B43" s="186" t="s">
        <v>1410</v>
      </c>
      <c r="C43" s="22">
        <v>5</v>
      </c>
      <c r="D43" s="21">
        <v>0.3125</v>
      </c>
      <c r="E43" s="22">
        <v>4.625</v>
      </c>
      <c r="F43" s="21">
        <v>0.5</v>
      </c>
      <c r="G43" s="21">
        <v>1.125</v>
      </c>
      <c r="H43" s="21">
        <v>0.5</v>
      </c>
      <c r="I43" s="21">
        <v>0.75</v>
      </c>
      <c r="J43" s="22">
        <v>2.75</v>
      </c>
      <c r="K43" s="21">
        <v>2.5</v>
      </c>
      <c r="L43" s="313">
        <f t="shared" si="1"/>
        <v>1.6041666666666667</v>
      </c>
      <c r="M43" s="333">
        <f t="shared" si="2"/>
        <v>0.48895000074320411</v>
      </c>
      <c r="N43" s="333">
        <f t="shared" si="0"/>
        <v>18.899683362060852</v>
      </c>
      <c r="O43">
        <v>12.7</v>
      </c>
    </row>
    <row r="44" spans="2:15" x14ac:dyDescent="0.15">
      <c r="B44" s="307"/>
      <c r="C44" s="315"/>
      <c r="D44" s="315"/>
      <c r="E44" s="315"/>
      <c r="F44" s="315"/>
      <c r="G44" s="315"/>
      <c r="H44" s="315"/>
      <c r="I44" s="315"/>
      <c r="J44" s="315"/>
      <c r="K44" s="315"/>
      <c r="L44" s="316"/>
      <c r="M44" s="317"/>
      <c r="N44" s="312"/>
    </row>
    <row r="45" spans="2:15" x14ac:dyDescent="0.15">
      <c r="B45" s="155" t="s">
        <v>1411</v>
      </c>
      <c r="C45" s="156">
        <v>4</v>
      </c>
      <c r="D45" s="131">
        <v>0.4375</v>
      </c>
      <c r="E45" s="156">
        <v>4.125</v>
      </c>
      <c r="F45" s="131">
        <v>0.4375</v>
      </c>
      <c r="G45" s="131">
        <v>1</v>
      </c>
      <c r="H45" s="131">
        <v>0.4375</v>
      </c>
      <c r="I45" s="131">
        <v>0.75</v>
      </c>
      <c r="J45" s="156">
        <v>2.25</v>
      </c>
      <c r="K45" s="131">
        <v>2.5</v>
      </c>
      <c r="L45" s="119">
        <f t="shared" si="1"/>
        <v>1.3541666666666667</v>
      </c>
      <c r="M45" s="274">
        <f t="shared" si="2"/>
        <v>0.4127500006273801</v>
      </c>
      <c r="N45" s="274">
        <f t="shared" si="0"/>
        <v>17.113886508952739</v>
      </c>
      <c r="O45">
        <v>11.5</v>
      </c>
    </row>
    <row r="46" spans="2:15" x14ac:dyDescent="0.15">
      <c r="B46" s="186" t="s">
        <v>1412</v>
      </c>
      <c r="C46" s="22">
        <v>4</v>
      </c>
      <c r="D46" s="129">
        <v>0.25</v>
      </c>
      <c r="E46" s="130">
        <v>4</v>
      </c>
      <c r="F46" s="129">
        <v>0.4375</v>
      </c>
      <c r="G46" s="129">
        <v>1</v>
      </c>
      <c r="H46" s="129">
        <v>0.4375</v>
      </c>
      <c r="I46" s="129">
        <v>0.75</v>
      </c>
      <c r="J46" s="130">
        <v>2.25</v>
      </c>
      <c r="K46" s="129">
        <v>2.5</v>
      </c>
      <c r="L46" s="313">
        <f t="shared" si="1"/>
        <v>1.3333333333333333</v>
      </c>
      <c r="M46" s="333">
        <f t="shared" si="2"/>
        <v>0.40640000061772796</v>
      </c>
      <c r="N46" s="333">
        <f t="shared" si="0"/>
        <v>13.691109207162192</v>
      </c>
      <c r="O46">
        <v>9.1999999999999993</v>
      </c>
    </row>
    <row r="47" spans="2:15" x14ac:dyDescent="0.15">
      <c r="B47" s="307"/>
      <c r="C47" s="315"/>
      <c r="D47" s="315"/>
      <c r="E47" s="315"/>
      <c r="F47" s="315"/>
      <c r="G47" s="315"/>
      <c r="H47" s="315"/>
      <c r="I47" s="315"/>
      <c r="J47" s="315"/>
      <c r="K47" s="315"/>
      <c r="L47" s="316"/>
      <c r="M47" s="317"/>
      <c r="N47" s="312"/>
    </row>
    <row r="48" spans="2:15" x14ac:dyDescent="0.15">
      <c r="B48" s="155" t="s">
        <v>1413</v>
      </c>
      <c r="C48" s="156">
        <v>3.5</v>
      </c>
      <c r="D48" s="129">
        <v>0.4375</v>
      </c>
      <c r="E48" s="130">
        <v>3.875</v>
      </c>
      <c r="F48" s="129">
        <v>0.375</v>
      </c>
      <c r="G48" s="129">
        <v>0.9375</v>
      </c>
      <c r="H48" s="129">
        <v>0.375</v>
      </c>
      <c r="I48" s="129">
        <v>0.625</v>
      </c>
      <c r="J48" s="130" t="s">
        <v>850</v>
      </c>
      <c r="K48" s="129" t="s">
        <v>850</v>
      </c>
      <c r="L48" s="119">
        <f t="shared" si="1"/>
        <v>1.2291666666666667</v>
      </c>
      <c r="M48" s="274">
        <f t="shared" si="2"/>
        <v>0.37465000056946801</v>
      </c>
      <c r="N48" s="274">
        <f t="shared" si="0"/>
        <v>14.881640442567601</v>
      </c>
      <c r="O48">
        <v>10</v>
      </c>
    </row>
    <row r="49" spans="2:15" x14ac:dyDescent="0.15">
      <c r="B49" s="186" t="s">
        <v>1414</v>
      </c>
      <c r="C49" s="22">
        <v>3.5</v>
      </c>
      <c r="D49" s="21">
        <v>0.25</v>
      </c>
      <c r="E49" s="22">
        <v>3.625</v>
      </c>
      <c r="F49" s="21">
        <v>0.375</v>
      </c>
      <c r="G49" s="21">
        <v>0.9375</v>
      </c>
      <c r="H49" s="21">
        <v>0.375</v>
      </c>
      <c r="I49" s="21">
        <v>0.625</v>
      </c>
      <c r="J49" s="22">
        <v>2.25</v>
      </c>
      <c r="K49" s="21">
        <v>2.5</v>
      </c>
      <c r="L49" s="313">
        <f t="shared" si="1"/>
        <v>1.1875</v>
      </c>
      <c r="M49" s="333">
        <f t="shared" si="2"/>
        <v>0.36195000055016402</v>
      </c>
      <c r="N49" s="333">
        <f t="shared" si="0"/>
        <v>96.730662876689408</v>
      </c>
      <c r="O49">
        <v>65</v>
      </c>
    </row>
    <row r="50" spans="2:15" x14ac:dyDescent="0.15">
      <c r="B50" s="307"/>
      <c r="C50" s="315"/>
      <c r="D50" s="315"/>
      <c r="E50" s="315"/>
      <c r="F50" s="315"/>
      <c r="G50" s="315"/>
      <c r="H50" s="315"/>
      <c r="I50" s="315"/>
      <c r="J50" s="315"/>
      <c r="K50" s="315"/>
      <c r="L50" s="316"/>
      <c r="M50" s="317"/>
      <c r="N50" s="312"/>
    </row>
    <row r="51" spans="2:15" x14ac:dyDescent="0.15">
      <c r="B51" s="155" t="s">
        <v>1415</v>
      </c>
      <c r="C51" s="156">
        <v>3</v>
      </c>
      <c r="D51" s="131">
        <v>0.4375</v>
      </c>
      <c r="E51" s="156">
        <v>3.625</v>
      </c>
      <c r="F51" s="131">
        <v>0.375</v>
      </c>
      <c r="G51" s="131">
        <v>0.875</v>
      </c>
      <c r="H51" s="131">
        <v>0.375</v>
      </c>
      <c r="I51" s="131">
        <v>0.625</v>
      </c>
      <c r="J51" s="156">
        <v>2</v>
      </c>
      <c r="K51" s="131">
        <v>2.25</v>
      </c>
      <c r="L51" s="119">
        <f t="shared" si="1"/>
        <v>1.1041666666666667</v>
      </c>
      <c r="M51" s="274">
        <f t="shared" si="2"/>
        <v>0.33655000051155609</v>
      </c>
      <c r="N51" s="274">
        <f t="shared" si="0"/>
        <v>12.835414881714556</v>
      </c>
      <c r="O51">
        <v>8.625</v>
      </c>
    </row>
    <row r="52" spans="2:15" x14ac:dyDescent="0.15">
      <c r="B52" s="186" t="s">
        <v>1416</v>
      </c>
      <c r="C52" s="22">
        <v>3</v>
      </c>
      <c r="D52" s="129">
        <v>0.25</v>
      </c>
      <c r="E52" s="130">
        <v>3.375</v>
      </c>
      <c r="F52" s="129">
        <v>0.375</v>
      </c>
      <c r="G52" s="129">
        <v>0.875</v>
      </c>
      <c r="H52" s="129">
        <v>0.375</v>
      </c>
      <c r="I52" s="176" t="s">
        <v>1054</v>
      </c>
      <c r="J52" s="177" t="s">
        <v>1054</v>
      </c>
      <c r="K52" s="129">
        <v>2.25</v>
      </c>
      <c r="L52" s="313">
        <f t="shared" si="1"/>
        <v>1.0625</v>
      </c>
      <c r="M52" s="333">
        <f t="shared" si="2"/>
        <v>0.32385000049225204</v>
      </c>
      <c r="N52" s="333">
        <f t="shared" si="0"/>
        <v>9.3010252766047508</v>
      </c>
      <c r="O52">
        <v>6.25</v>
      </c>
    </row>
    <row r="53" spans="2:15" x14ac:dyDescent="0.15">
      <c r="B53" s="307"/>
      <c r="C53" s="315"/>
      <c r="D53" s="315"/>
      <c r="E53" s="315"/>
      <c r="F53" s="315"/>
      <c r="G53" s="315"/>
      <c r="H53" s="315"/>
      <c r="I53" s="337"/>
      <c r="J53" s="337"/>
      <c r="K53" s="315"/>
      <c r="L53" s="316"/>
      <c r="M53" s="317"/>
      <c r="N53" s="312"/>
    </row>
    <row r="54" spans="2:15" x14ac:dyDescent="0.15">
      <c r="B54" s="155" t="s">
        <v>1417</v>
      </c>
      <c r="C54" s="156">
        <v>2.5</v>
      </c>
      <c r="D54" s="129">
        <v>0.5</v>
      </c>
      <c r="E54" s="130">
        <v>3.25</v>
      </c>
      <c r="F54" s="129">
        <v>0.3125</v>
      </c>
      <c r="G54" s="129">
        <v>0.8125</v>
      </c>
      <c r="H54" s="129">
        <v>0.3125</v>
      </c>
      <c r="I54" s="176" t="s">
        <v>1054</v>
      </c>
      <c r="J54" s="178" t="s">
        <v>850</v>
      </c>
      <c r="K54" s="129" t="s">
        <v>850</v>
      </c>
      <c r="L54" s="119">
        <f t="shared" si="1"/>
        <v>0.95833333333333337</v>
      </c>
      <c r="M54" s="274">
        <f t="shared" si="2"/>
        <v>0.29210000044399204</v>
      </c>
      <c r="N54" s="274">
        <f t="shared" si="0"/>
        <v>10.975209826393606</v>
      </c>
      <c r="O54">
        <v>7.375</v>
      </c>
    </row>
    <row r="55" spans="2:15" x14ac:dyDescent="0.15">
      <c r="B55" s="186" t="s">
        <v>1418</v>
      </c>
      <c r="C55" s="22">
        <v>2.5</v>
      </c>
      <c r="D55" s="21">
        <v>0.1875</v>
      </c>
      <c r="E55" s="22">
        <v>3</v>
      </c>
      <c r="F55" s="21">
        <v>0.3125</v>
      </c>
      <c r="G55" s="21">
        <v>0.8125</v>
      </c>
      <c r="H55" s="21">
        <v>0.3125</v>
      </c>
      <c r="I55" s="338" t="s">
        <v>1054</v>
      </c>
      <c r="J55" s="339" t="s">
        <v>1054</v>
      </c>
      <c r="K55" s="21">
        <v>2.25</v>
      </c>
      <c r="L55" s="313">
        <f t="shared" si="1"/>
        <v>0.91666666666666663</v>
      </c>
      <c r="M55" s="333">
        <f t="shared" si="2"/>
        <v>0.27940000042468799</v>
      </c>
      <c r="N55" s="333">
        <f t="shared" si="0"/>
        <v>7.4408202212838006</v>
      </c>
      <c r="O55">
        <v>5</v>
      </c>
    </row>
    <row r="56" spans="2:15" x14ac:dyDescent="0.15">
      <c r="B56" s="307" t="s">
        <v>850</v>
      </c>
      <c r="C56" s="315" t="s">
        <v>850</v>
      </c>
      <c r="D56" s="315" t="s">
        <v>850</v>
      </c>
      <c r="E56" s="315" t="s">
        <v>850</v>
      </c>
      <c r="F56" s="315" t="s">
        <v>850</v>
      </c>
      <c r="G56" s="315" t="s">
        <v>850</v>
      </c>
      <c r="H56" s="315"/>
      <c r="I56" s="337" t="s">
        <v>850</v>
      </c>
      <c r="J56" s="337" t="s">
        <v>850</v>
      </c>
      <c r="K56" s="315" t="s">
        <v>850</v>
      </c>
      <c r="L56" s="316"/>
      <c r="M56" s="317"/>
      <c r="N56" s="312"/>
    </row>
    <row r="57" spans="2:15" x14ac:dyDescent="0.15">
      <c r="B57" s="155" t="s">
        <v>1419</v>
      </c>
      <c r="C57" s="156">
        <v>2</v>
      </c>
      <c r="D57" s="131">
        <v>0.3125</v>
      </c>
      <c r="E57" s="156">
        <v>2.75</v>
      </c>
      <c r="F57" s="131">
        <v>0.3125</v>
      </c>
      <c r="G57" s="131">
        <v>0.75</v>
      </c>
      <c r="H57" s="131">
        <v>0.3125</v>
      </c>
      <c r="I57" s="340" t="s">
        <v>1054</v>
      </c>
      <c r="J57" s="341" t="s">
        <v>1054</v>
      </c>
      <c r="K57" s="131">
        <v>2</v>
      </c>
      <c r="L57" s="119">
        <f t="shared" si="1"/>
        <v>0.79166666666666663</v>
      </c>
      <c r="M57" s="274">
        <f t="shared" si="2"/>
        <v>0.24130000036677599</v>
      </c>
      <c r="N57" s="274">
        <f t="shared" si="0"/>
        <v>7.0687792102196099</v>
      </c>
      <c r="O57">
        <v>4.75</v>
      </c>
    </row>
    <row r="58" spans="2:15" x14ac:dyDescent="0.15">
      <c r="B58" s="186" t="s">
        <v>1420</v>
      </c>
      <c r="C58" s="22">
        <v>2</v>
      </c>
      <c r="D58" s="129">
        <v>0.1875</v>
      </c>
      <c r="E58" s="130">
        <v>2.625</v>
      </c>
      <c r="F58" s="129">
        <v>0.3125</v>
      </c>
      <c r="G58" s="129">
        <v>0.75</v>
      </c>
      <c r="H58" s="129">
        <v>0.3125</v>
      </c>
      <c r="I58" s="176" t="s">
        <v>1054</v>
      </c>
      <c r="J58" s="177" t="s">
        <v>1054</v>
      </c>
      <c r="K58" s="129">
        <v>2</v>
      </c>
      <c r="L58" s="313">
        <f t="shared" si="1"/>
        <v>0.77083333333333337</v>
      </c>
      <c r="M58" s="333">
        <f t="shared" si="2"/>
        <v>0.23495000035712404</v>
      </c>
      <c r="N58" s="333">
        <f t="shared" si="0"/>
        <v>5.7294315703885266</v>
      </c>
      <c r="O58">
        <v>3.85</v>
      </c>
    </row>
    <row r="59" spans="2:15" x14ac:dyDescent="0.15">
      <c r="B59" s="307"/>
      <c r="C59" s="315"/>
      <c r="D59" s="315"/>
      <c r="E59" s="315"/>
      <c r="F59" s="315"/>
      <c r="G59" s="315"/>
      <c r="H59" s="315"/>
      <c r="I59" s="337"/>
      <c r="J59" s="337"/>
      <c r="K59" s="315"/>
      <c r="L59" s="316"/>
      <c r="M59" s="317"/>
      <c r="N59" s="312"/>
      <c r="O59" t="s">
        <v>850</v>
      </c>
    </row>
    <row r="60" spans="2:15" x14ac:dyDescent="0.15">
      <c r="B60" s="155" t="s">
        <v>1421</v>
      </c>
      <c r="C60" s="156">
        <v>1.5</v>
      </c>
      <c r="D60" s="129">
        <v>0.375</v>
      </c>
      <c r="E60" s="130">
        <v>2.5</v>
      </c>
      <c r="F60" s="129">
        <v>0.25</v>
      </c>
      <c r="G60" s="129">
        <v>0.6875</v>
      </c>
      <c r="H60" s="129">
        <v>0.25</v>
      </c>
      <c r="I60" s="176" t="s">
        <v>1054</v>
      </c>
      <c r="J60" s="177" t="s">
        <v>1054</v>
      </c>
      <c r="K60" s="176" t="s">
        <v>1054</v>
      </c>
      <c r="L60" s="119">
        <f t="shared" si="1"/>
        <v>0.66666666666666663</v>
      </c>
      <c r="M60" s="274">
        <f t="shared" si="2"/>
        <v>0.20320000030886398</v>
      </c>
      <c r="N60" s="274">
        <f t="shared" si="0"/>
        <v>5.5806151659628496</v>
      </c>
      <c r="O60">
        <v>3.75</v>
      </c>
    </row>
    <row r="61" spans="2:15" x14ac:dyDescent="0.15">
      <c r="B61" s="18" t="s">
        <v>1422</v>
      </c>
      <c r="C61" s="20">
        <v>1.5</v>
      </c>
      <c r="D61" s="19">
        <v>0.1875</v>
      </c>
      <c r="E61" s="20">
        <v>2.375</v>
      </c>
      <c r="F61" s="19">
        <v>0.25</v>
      </c>
      <c r="G61" s="19">
        <v>0.6875</v>
      </c>
      <c r="H61" s="19">
        <v>0.25</v>
      </c>
      <c r="I61" s="179" t="s">
        <v>1054</v>
      </c>
      <c r="J61" s="180" t="s">
        <v>1054</v>
      </c>
      <c r="K61" s="179" t="s">
        <v>1054</v>
      </c>
      <c r="L61" s="119">
        <f t="shared" si="1"/>
        <v>0.64583333333333337</v>
      </c>
      <c r="M61" s="274">
        <f t="shared" si="2"/>
        <v>0.19685000029921204</v>
      </c>
      <c r="N61" s="274"/>
      <c r="O61">
        <v>2.85</v>
      </c>
    </row>
    <row r="62" spans="2:15" x14ac:dyDescent="0.15">
      <c r="B62" s="162" t="s">
        <v>850</v>
      </c>
      <c r="C62" s="163" t="s">
        <v>850</v>
      </c>
      <c r="D62" s="163" t="s">
        <v>850</v>
      </c>
      <c r="E62" s="163" t="s">
        <v>850</v>
      </c>
      <c r="F62" s="163" t="s">
        <v>850</v>
      </c>
      <c r="G62" s="163" t="s">
        <v>850</v>
      </c>
      <c r="H62" s="163" t="s">
        <v>850</v>
      </c>
      <c r="I62" s="163" t="s">
        <v>850</v>
      </c>
      <c r="J62" s="163" t="s">
        <v>850</v>
      </c>
      <c r="K62" s="133"/>
    </row>
    <row r="63" spans="2:15" x14ac:dyDescent="0.15">
      <c r="B63" s="133"/>
      <c r="C63" s="133"/>
      <c r="D63" s="133"/>
      <c r="E63" s="133"/>
      <c r="F63" s="133"/>
      <c r="G63" s="133"/>
      <c r="H63" s="133"/>
      <c r="I63" s="133"/>
      <c r="J63" s="133"/>
      <c r="K63" s="133"/>
    </row>
    <row r="64" spans="2:15" x14ac:dyDescent="0.15">
      <c r="B64" s="133"/>
      <c r="C64" s="133"/>
      <c r="D64" s="133"/>
      <c r="E64" s="133"/>
      <c r="F64" s="133"/>
      <c r="G64" s="133"/>
      <c r="H64" s="133"/>
      <c r="I64" s="133"/>
      <c r="J64" s="133"/>
      <c r="K64" s="133"/>
    </row>
    <row r="65" spans="2:11" x14ac:dyDescent="0.15">
      <c r="B65" s="133"/>
      <c r="C65" s="133"/>
      <c r="D65" s="133"/>
      <c r="E65" s="133"/>
      <c r="F65" s="133"/>
      <c r="G65" s="133"/>
      <c r="H65" s="133"/>
      <c r="I65" s="133"/>
      <c r="J65" s="133"/>
      <c r="K65" s="133"/>
    </row>
    <row r="66" spans="2:11" x14ac:dyDescent="0.15">
      <c r="B66" s="133"/>
      <c r="C66" s="133"/>
      <c r="D66" s="133"/>
      <c r="E66" s="133"/>
      <c r="F66" s="133"/>
      <c r="G66" s="133"/>
      <c r="H66" s="133"/>
      <c r="I66" s="133"/>
      <c r="J66" s="133"/>
      <c r="K66" s="133"/>
    </row>
    <row r="67" spans="2:11" x14ac:dyDescent="0.15">
      <c r="B67" s="133"/>
      <c r="C67" s="133"/>
      <c r="D67" s="133"/>
      <c r="E67" s="133"/>
      <c r="F67" s="133"/>
      <c r="G67" s="133"/>
      <c r="H67" s="133"/>
      <c r="I67" s="133"/>
      <c r="J67" s="133"/>
      <c r="K67" s="133"/>
    </row>
    <row r="68" spans="2:11" x14ac:dyDescent="0.15">
      <c r="B68" s="133"/>
      <c r="C68" s="133"/>
      <c r="D68" s="133"/>
      <c r="E68" s="133"/>
      <c r="F68" s="133"/>
      <c r="G68" s="133"/>
      <c r="H68" s="133"/>
      <c r="I68" s="133"/>
      <c r="J68" s="133"/>
      <c r="K68" s="133"/>
    </row>
    <row r="69" spans="2:11" x14ac:dyDescent="0.15">
      <c r="B69" s="133"/>
      <c r="C69" s="133"/>
      <c r="D69" s="133"/>
      <c r="E69" s="133"/>
      <c r="F69" s="133"/>
      <c r="G69" s="133"/>
      <c r="H69" s="133"/>
      <c r="I69" s="133"/>
      <c r="J69" s="133"/>
      <c r="K69" s="133"/>
    </row>
    <row r="70" spans="2:11" x14ac:dyDescent="0.15">
      <c r="B70" s="133"/>
      <c r="C70" s="133"/>
      <c r="D70" s="133"/>
      <c r="E70" s="133"/>
      <c r="F70" s="133"/>
      <c r="G70" s="133"/>
      <c r="H70" s="133"/>
      <c r="I70" s="133"/>
      <c r="J70" s="133"/>
      <c r="K70" s="133"/>
    </row>
    <row r="71" spans="2:11" x14ac:dyDescent="0.15">
      <c r="B71" s="133"/>
      <c r="C71" s="133"/>
      <c r="D71" s="133"/>
      <c r="E71" s="133"/>
      <c r="F71" s="133"/>
      <c r="G71" s="133"/>
      <c r="H71" s="133"/>
      <c r="I71" s="133"/>
      <c r="J71" s="133"/>
      <c r="K71" s="133"/>
    </row>
    <row r="72" spans="2:11" x14ac:dyDescent="0.15">
      <c r="B72" s="133"/>
      <c r="C72" s="133"/>
      <c r="D72" s="133"/>
      <c r="E72" s="133"/>
      <c r="F72" s="133"/>
      <c r="G72" s="133"/>
      <c r="H72" s="133"/>
      <c r="I72" s="133"/>
      <c r="J72" s="133"/>
      <c r="K72" s="133"/>
    </row>
    <row r="73" spans="2:11" x14ac:dyDescent="0.15">
      <c r="B73" s="133"/>
      <c r="C73" s="133"/>
      <c r="D73" s="133"/>
      <c r="E73" s="133"/>
      <c r="F73" s="133"/>
      <c r="G73" s="133"/>
      <c r="H73" s="133"/>
      <c r="I73" s="133"/>
      <c r="J73" s="133"/>
      <c r="K73" s="133"/>
    </row>
    <row r="74" spans="2:11" x14ac:dyDescent="0.15">
      <c r="B74" s="133"/>
      <c r="C74" s="133"/>
      <c r="D74" s="133"/>
      <c r="E74" s="133"/>
      <c r="F74" s="133"/>
      <c r="G74" s="133"/>
      <c r="H74" s="133"/>
      <c r="I74" s="133"/>
      <c r="J74" s="133"/>
      <c r="K74" s="133"/>
    </row>
    <row r="75" spans="2:11" x14ac:dyDescent="0.15">
      <c r="B75" s="133"/>
      <c r="C75" s="133"/>
      <c r="D75" s="133"/>
      <c r="E75" s="133"/>
      <c r="F75" s="133"/>
      <c r="G75" s="133"/>
      <c r="H75" s="133"/>
      <c r="I75" s="133"/>
      <c r="J75" s="133"/>
      <c r="K75" s="133"/>
    </row>
    <row r="76" spans="2:11" x14ac:dyDescent="0.15">
      <c r="B76" s="133"/>
      <c r="C76" s="133"/>
      <c r="D76" s="133"/>
      <c r="E76" s="133"/>
      <c r="F76" s="133"/>
      <c r="G76" s="133"/>
      <c r="H76" s="133"/>
      <c r="I76" s="133"/>
      <c r="J76" s="133"/>
      <c r="K76" s="133"/>
    </row>
    <row r="77" spans="2:11" x14ac:dyDescent="0.15">
      <c r="B77" s="133"/>
      <c r="C77" s="133"/>
      <c r="D77" s="133"/>
      <c r="E77" s="133"/>
      <c r="F77" s="133"/>
      <c r="G77" s="133"/>
      <c r="H77" s="133"/>
      <c r="I77" s="133"/>
      <c r="J77" s="133"/>
      <c r="K77" s="133"/>
    </row>
    <row r="78" spans="2:11" x14ac:dyDescent="0.15">
      <c r="B78" s="133"/>
      <c r="C78" s="133"/>
      <c r="D78" s="133"/>
      <c r="E78" s="133"/>
      <c r="F78" s="133"/>
      <c r="G78" s="133"/>
      <c r="H78" s="133"/>
      <c r="I78" s="133"/>
      <c r="J78" s="133"/>
      <c r="K78" s="133"/>
    </row>
    <row r="79" spans="2:11" x14ac:dyDescent="0.15">
      <c r="B79" s="133"/>
      <c r="C79" s="133"/>
      <c r="D79" s="133"/>
      <c r="E79" s="133"/>
      <c r="F79" s="133"/>
      <c r="G79" s="133"/>
      <c r="H79" s="133"/>
      <c r="I79" s="133"/>
      <c r="J79" s="133"/>
      <c r="K79" s="133"/>
    </row>
    <row r="80" spans="2:11" x14ac:dyDescent="0.15">
      <c r="B80" s="133"/>
      <c r="C80" s="133"/>
      <c r="D80" s="133"/>
      <c r="E80" s="133"/>
      <c r="F80" s="133"/>
      <c r="G80" s="133"/>
      <c r="H80" s="133"/>
      <c r="I80" s="133"/>
      <c r="J80" s="133"/>
      <c r="K80" s="133"/>
    </row>
    <row r="81" spans="2:11" x14ac:dyDescent="0.15">
      <c r="B81" s="133"/>
      <c r="C81" s="133"/>
      <c r="D81" s="133"/>
      <c r="E81" s="133"/>
      <c r="F81" s="133"/>
      <c r="G81" s="133"/>
      <c r="H81" s="133"/>
      <c r="I81" s="133"/>
      <c r="J81" s="133"/>
      <c r="K81" s="133"/>
    </row>
    <row r="82" spans="2:11" x14ac:dyDescent="0.15">
      <c r="B82" s="133"/>
      <c r="C82" s="133"/>
      <c r="D82" s="133"/>
      <c r="E82" s="133"/>
      <c r="F82" s="133"/>
      <c r="G82" s="133"/>
      <c r="H82" s="133"/>
      <c r="I82" s="133"/>
      <c r="J82" s="133"/>
      <c r="K82" s="133"/>
    </row>
    <row r="83" spans="2:11" x14ac:dyDescent="0.15">
      <c r="B83" s="133"/>
      <c r="C83" s="133"/>
      <c r="D83" s="133"/>
      <c r="E83" s="133"/>
      <c r="F83" s="133"/>
      <c r="G83" s="133"/>
      <c r="H83" s="133"/>
      <c r="I83" s="133"/>
      <c r="J83" s="133"/>
      <c r="K83" s="133"/>
    </row>
    <row r="84" spans="2:11" x14ac:dyDescent="0.15">
      <c r="B84" s="133"/>
      <c r="C84" s="133"/>
      <c r="D84" s="133"/>
      <c r="E84" s="133"/>
      <c r="F84" s="133"/>
      <c r="G84" s="133"/>
      <c r="H84" s="133"/>
      <c r="I84" s="133"/>
      <c r="J84" s="133"/>
      <c r="K84" s="133"/>
    </row>
    <row r="85" spans="2:11" x14ac:dyDescent="0.15">
      <c r="B85" s="133"/>
      <c r="C85" s="133"/>
      <c r="D85" s="133"/>
      <c r="E85" s="133"/>
      <c r="F85" s="133"/>
      <c r="G85" s="133"/>
      <c r="H85" s="133"/>
      <c r="I85" s="133"/>
      <c r="J85" s="133"/>
      <c r="K85" s="133"/>
    </row>
    <row r="86" spans="2:11" x14ac:dyDescent="0.15">
      <c r="B86" s="133"/>
      <c r="C86" s="133"/>
      <c r="D86" s="133"/>
      <c r="E86" s="133"/>
      <c r="F86" s="133"/>
      <c r="G86" s="133"/>
      <c r="H86" s="133"/>
      <c r="I86" s="133"/>
      <c r="J86" s="133"/>
      <c r="K86" s="133"/>
    </row>
    <row r="87" spans="2:11" x14ac:dyDescent="0.15">
      <c r="B87" s="133"/>
      <c r="C87" s="133"/>
      <c r="D87" s="133"/>
      <c r="E87" s="133"/>
      <c r="F87" s="133"/>
      <c r="G87" s="133"/>
      <c r="H87" s="133"/>
      <c r="I87" s="133"/>
      <c r="J87" s="133"/>
      <c r="K87" s="133"/>
    </row>
    <row r="88" spans="2:11" x14ac:dyDescent="0.15">
      <c r="B88" s="133"/>
      <c r="C88" s="133"/>
      <c r="D88" s="133"/>
      <c r="E88" s="133"/>
      <c r="F88" s="133"/>
      <c r="G88" s="133"/>
      <c r="H88" s="133"/>
      <c r="I88" s="133"/>
      <c r="J88" s="133"/>
      <c r="K88" s="133"/>
    </row>
    <row r="89" spans="2:11" x14ac:dyDescent="0.15">
      <c r="B89" s="133"/>
      <c r="C89" s="133"/>
      <c r="D89" s="133"/>
      <c r="E89" s="133"/>
      <c r="F89" s="133"/>
      <c r="G89" s="133"/>
      <c r="H89" s="133"/>
      <c r="I89" s="133"/>
      <c r="J89" s="133"/>
      <c r="K89" s="133"/>
    </row>
    <row r="90" spans="2:11" x14ac:dyDescent="0.15">
      <c r="B90" s="133"/>
      <c r="C90" s="133"/>
      <c r="D90" s="133"/>
      <c r="E90" s="133"/>
      <c r="F90" s="133"/>
      <c r="G90" s="133"/>
      <c r="H90" s="133"/>
      <c r="I90" s="133"/>
      <c r="J90" s="133"/>
      <c r="K90" s="133"/>
    </row>
    <row r="91" spans="2:11" x14ac:dyDescent="0.15">
      <c r="B91" s="133"/>
      <c r="C91" s="133"/>
      <c r="D91" s="133"/>
      <c r="E91" s="133"/>
      <c r="F91" s="133"/>
      <c r="G91" s="133"/>
      <c r="H91" s="133"/>
      <c r="I91" s="133"/>
      <c r="J91" s="133"/>
      <c r="K91" s="133"/>
    </row>
    <row r="92" spans="2:11" x14ac:dyDescent="0.15">
      <c r="B92" s="133"/>
      <c r="C92" s="133"/>
      <c r="D92" s="133"/>
      <c r="E92" s="133"/>
      <c r="F92" s="133"/>
      <c r="G92" s="133"/>
      <c r="H92" s="133"/>
      <c r="I92" s="133"/>
      <c r="J92" s="133"/>
      <c r="K92" s="133"/>
    </row>
    <row r="93" spans="2:11" x14ac:dyDescent="0.15">
      <c r="B93" s="133"/>
      <c r="C93" s="133"/>
      <c r="D93" s="133"/>
      <c r="E93" s="133"/>
      <c r="F93" s="133"/>
      <c r="G93" s="133"/>
      <c r="H93" s="133"/>
      <c r="I93" s="133"/>
      <c r="J93" s="133"/>
      <c r="K93" s="133"/>
    </row>
    <row r="94" spans="2:11" x14ac:dyDescent="0.15">
      <c r="B94" s="133"/>
      <c r="C94" s="133"/>
      <c r="D94" s="133"/>
      <c r="E94" s="133"/>
      <c r="F94" s="133"/>
      <c r="G94" s="133"/>
      <c r="H94" s="133"/>
      <c r="I94" s="133"/>
      <c r="J94" s="133"/>
      <c r="K94" s="133"/>
    </row>
    <row r="95" spans="2:11" x14ac:dyDescent="0.15">
      <c r="B95" s="133"/>
      <c r="C95" s="133"/>
      <c r="D95" s="133"/>
      <c r="E95" s="133"/>
      <c r="F95" s="133"/>
      <c r="G95" s="133"/>
      <c r="H95" s="133"/>
      <c r="I95" s="133"/>
      <c r="J95" s="133"/>
      <c r="K95" s="133"/>
    </row>
  </sheetData>
  <phoneticPr fontId="80" type="noConversion"/>
  <pageMargins left="0.75" right="0.75" top="1" bottom="1" header="0.5" footer="0.5"/>
  <pageSetup orientation="portrait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W Shapes</vt:lpstr>
      <vt:lpstr>M Shapes</vt:lpstr>
      <vt:lpstr>S Shapes</vt:lpstr>
      <vt:lpstr>HP Shapes</vt:lpstr>
      <vt:lpstr>Channels</vt:lpstr>
      <vt:lpstr>MC Channels</vt:lpstr>
      <vt:lpstr>Angles</vt:lpstr>
      <vt:lpstr>W Tees</vt:lpstr>
      <vt:lpstr>S Tees</vt:lpstr>
      <vt:lpstr>Tubing</vt:lpstr>
      <vt:lpstr>Grating</vt:lpstr>
      <vt:lpstr>Bolts</vt:lpstr>
      <vt:lpstr>Girder wt</vt:lpstr>
      <vt:lpstr>Weights</vt:lpstr>
      <vt:lpstr>Brace Formulas</vt:lpstr>
      <vt:lpstr>Rt. Triang.</vt:lpstr>
      <vt:lpstr>Oblique Triang.</vt:lpstr>
      <vt:lpstr>Adding Calculator</vt:lpstr>
      <vt:lpstr>Ladders</vt:lpstr>
      <vt:lpstr>Stairs</vt:lpstr>
      <vt:lpstr>Vessel Platf.</vt:lpstr>
      <vt:lpstr>Pipe Tables</vt:lpstr>
      <vt:lpstr>ELL. Head Dim</vt:lpstr>
      <vt:lpstr>Pipe Spans</vt:lpstr>
      <vt:lpstr>ELL's</vt:lpstr>
      <vt:lpstr>Tee's &amp; Reducers</vt:lpstr>
      <vt:lpstr>Flanges</vt:lpstr>
      <vt:lpstr>Flg Weights</vt:lpstr>
    </vt:vector>
  </TitlesOfParts>
  <Company>ABB Lummus Global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cEllis</dc:creator>
  <cp:lastModifiedBy>Raiesh Ghimire</cp:lastModifiedBy>
  <cp:lastPrinted>2006-06-05T15:20:00Z</cp:lastPrinted>
  <dcterms:created xsi:type="dcterms:W3CDTF">1999-09-17T14:09:16Z</dcterms:created>
  <dcterms:modified xsi:type="dcterms:W3CDTF">2024-12-10T05:19:17Z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1552858296</vt:i4>
  </property>
  <property fmtid="{D5CDD505-2E9C-101B-9397-08002B2CF9AE}" pid="3" name="_EmailSubject">
    <vt:lpwstr>ENG REF BOOK</vt:lpwstr>
  </property>
  <property fmtid="{D5CDD505-2E9C-101B-9397-08002B2CF9AE}" pid="4" name="_AuthorEmail">
    <vt:lpwstr>Jason.Boudreaux@mustangeng.com</vt:lpwstr>
  </property>
  <property fmtid="{D5CDD505-2E9C-101B-9397-08002B2CF9AE}" pid="5" name="_AuthorEmailDisplayName">
    <vt:lpwstr>Boudreaux, Jason</vt:lpwstr>
  </property>
  <property fmtid="{D5CDD505-2E9C-101B-9397-08002B2CF9AE}" pid="6" name="_ReviewingToolsShownOnce">
    <vt:lpwstr/>
  </property>
</Properties>
</file>