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neDrive\client\DATAS\Vee yen Tools\fY 2020-21\"/>
    </mc:Choice>
  </mc:AlternateContent>
  <bookViews>
    <workbookView xWindow="-120" yWindow="-120" windowWidth="20730" windowHeight="11310" activeTab="8"/>
  </bookViews>
  <sheets>
    <sheet name="MEMO (2)" sheetId="11" r:id="rId1"/>
    <sheet name="MEMO(3)" sheetId="13" r:id="rId2"/>
    <sheet name="26as" sheetId="3" r:id="rId3"/>
    <sheet name="Sheet2" sheetId="10" r:id="rId4"/>
    <sheet name="MEMO" sheetId="2" r:id="rId5"/>
    <sheet name="Sheet6 (2)" sheetId="1" state="hidden" r:id="rId6"/>
    <sheet name="tallybs2015-16" sheetId="8" state="hidden" r:id="rId7"/>
    <sheet name="BS" sheetId="5" r:id="rId8"/>
    <sheet name="pL " sheetId="6" r:id="rId9"/>
    <sheet name="2021 WORKINGS" sheetId="12" r:id="rId10"/>
    <sheet name="tally pl 2015-16" sheetId="4" state="hidden" r:id="rId11"/>
    <sheet name="Sheet1" sheetId="7" state="hidden" r:id="rId12"/>
    <sheet name="dep" sheetId="9" r:id="rId13"/>
  </sheets>
  <externalReferences>
    <externalReference r:id="rId14"/>
  </externalReferenc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11" i="6" l="1"/>
  <c r="F41" i="13" l="1"/>
  <c r="E19" i="13"/>
  <c r="E17" i="13"/>
  <c r="E15" i="13"/>
  <c r="F20" i="13"/>
  <c r="F27" i="13" s="1"/>
  <c r="F32" i="13" s="1"/>
  <c r="L32" i="13" s="1"/>
  <c r="L33" i="13" s="1"/>
  <c r="F34" i="13" s="1"/>
  <c r="F36" i="13" s="1"/>
  <c r="D53" i="9"/>
  <c r="E126" i="6"/>
  <c r="E92" i="5"/>
  <c r="G92" i="5"/>
  <c r="E83" i="5"/>
  <c r="E82" i="5" s="1"/>
  <c r="F37" i="13" l="1"/>
  <c r="F38" i="13" s="1"/>
  <c r="F39" i="13" s="1"/>
  <c r="C8" i="12"/>
  <c r="C11" i="12" l="1"/>
  <c r="C13" i="12" s="1"/>
  <c r="G109" i="6"/>
  <c r="E103" i="6" l="1"/>
  <c r="E107" i="6" s="1"/>
  <c r="E48" i="5"/>
  <c r="C57" i="9"/>
  <c r="E56" i="9"/>
  <c r="E55" i="9"/>
  <c r="G55" i="9" s="1"/>
  <c r="H55" i="9" s="1"/>
  <c r="E54" i="9"/>
  <c r="G54" i="9" s="1"/>
  <c r="H54" i="9" s="1"/>
  <c r="E53" i="9"/>
  <c r="E52" i="9"/>
  <c r="E51" i="9"/>
  <c r="G51" i="9" s="1"/>
  <c r="H51" i="9" s="1"/>
  <c r="E50" i="9"/>
  <c r="G50" i="9" s="1"/>
  <c r="H50" i="9" s="1"/>
  <c r="E49" i="9"/>
  <c r="E48" i="9"/>
  <c r="E47" i="9"/>
  <c r="G47" i="9" s="1"/>
  <c r="H47" i="9" s="1"/>
  <c r="E46" i="9"/>
  <c r="E109" i="6" l="1"/>
  <c r="G126" i="6"/>
  <c r="G46" i="9"/>
  <c r="G49" i="9"/>
  <c r="H49" i="9" s="1"/>
  <c r="G53" i="9"/>
  <c r="H53" i="9" s="1"/>
  <c r="E57" i="9"/>
  <c r="G48" i="9"/>
  <c r="H48" i="9" s="1"/>
  <c r="G52" i="9"/>
  <c r="H52" i="9" s="1"/>
  <c r="G56" i="9"/>
  <c r="H56" i="9" s="1"/>
  <c r="F15" i="11"/>
  <c r="F17" i="11" s="1"/>
  <c r="G54" i="5"/>
  <c r="L23" i="11"/>
  <c r="G53" i="5"/>
  <c r="G17" i="5"/>
  <c r="G57" i="9" l="1"/>
  <c r="H46" i="9"/>
  <c r="H57" i="9" s="1"/>
  <c r="G37" i="11"/>
  <c r="G38" i="11" s="1"/>
  <c r="G39" i="11"/>
  <c r="G41" i="11" s="1"/>
  <c r="G52" i="5"/>
  <c r="G19" i="5"/>
  <c r="G61" i="6"/>
  <c r="E55" i="6"/>
  <c r="E20" i="5"/>
  <c r="E49" i="5"/>
  <c r="E57" i="5" s="1"/>
  <c r="C18" i="9"/>
  <c r="C38" i="9"/>
  <c r="E37" i="9"/>
  <c r="G37" i="9" s="1"/>
  <c r="H37" i="9" s="1"/>
  <c r="E36" i="9"/>
  <c r="G36" i="9" s="1"/>
  <c r="H36" i="9" s="1"/>
  <c r="E35" i="9"/>
  <c r="E34" i="9"/>
  <c r="E33" i="9"/>
  <c r="G33" i="9" s="1"/>
  <c r="H33" i="9" s="1"/>
  <c r="E32" i="9"/>
  <c r="G32" i="9" s="1"/>
  <c r="H32" i="9" s="1"/>
  <c r="E31" i="9"/>
  <c r="E30" i="9"/>
  <c r="E29" i="9"/>
  <c r="G29" i="9" s="1"/>
  <c r="H29" i="9" s="1"/>
  <c r="E28" i="9"/>
  <c r="G28" i="9" s="1"/>
  <c r="H28" i="9" s="1"/>
  <c r="E27" i="9"/>
  <c r="E26" i="9"/>
  <c r="E74" i="6"/>
  <c r="E70" i="6"/>
  <c r="E23" i="6"/>
  <c r="E27" i="6"/>
  <c r="E59" i="6" l="1"/>
  <c r="G63" i="6" s="1"/>
  <c r="G78" i="6" s="1"/>
  <c r="E38" i="9"/>
  <c r="G31" i="9"/>
  <c r="H31" i="9" s="1"/>
  <c r="G35" i="9"/>
  <c r="H35" i="9" s="1"/>
  <c r="G26" i="9"/>
  <c r="G30" i="9"/>
  <c r="H30" i="9" s="1"/>
  <c r="G34" i="9"/>
  <c r="H34" i="9" s="1"/>
  <c r="G27" i="9"/>
  <c r="H27" i="9" s="1"/>
  <c r="E61" i="6"/>
  <c r="F15" i="2"/>
  <c r="F17" i="2" s="1"/>
  <c r="H26" i="9" l="1"/>
  <c r="H38" i="9" s="1"/>
  <c r="G47" i="5" s="1"/>
  <c r="G57" i="5" s="1"/>
  <c r="J57" i="5" s="1"/>
  <c r="G38" i="9"/>
  <c r="E66" i="6" s="1"/>
  <c r="E76" i="6" s="1"/>
  <c r="F19" i="11" l="1"/>
  <c r="G20" i="11" s="1"/>
  <c r="G27" i="11" s="1"/>
  <c r="G32" i="11" s="1"/>
  <c r="I71" i="6"/>
  <c r="E78" i="6"/>
  <c r="E14" i="9"/>
  <c r="G14" i="9" s="1"/>
  <c r="H14" i="9" l="1"/>
  <c r="C35" i="4"/>
  <c r="E17" i="9"/>
  <c r="G17" i="9" s="1"/>
  <c r="E16" i="9"/>
  <c r="G16" i="9" s="1"/>
  <c r="E15" i="9"/>
  <c r="G15" i="9" s="1"/>
  <c r="E13" i="9"/>
  <c r="G13" i="9" s="1"/>
  <c r="E12" i="9"/>
  <c r="G12" i="9" s="1"/>
  <c r="E11" i="9"/>
  <c r="G11" i="9" s="1"/>
  <c r="E10" i="9"/>
  <c r="G10" i="9" s="1"/>
  <c r="E9" i="9"/>
  <c r="G9" i="9" s="1"/>
  <c r="E8" i="9"/>
  <c r="G8" i="9" s="1"/>
  <c r="E7" i="9"/>
  <c r="E6" i="9"/>
  <c r="G6" i="9" s="1"/>
  <c r="G35" i="10"/>
  <c r="G27" i="10"/>
  <c r="G33" i="10" s="1"/>
  <c r="G45" i="10"/>
  <c r="F20" i="10"/>
  <c r="F23" i="10" s="1"/>
  <c r="F25" i="10" s="1"/>
  <c r="E18" i="9" l="1"/>
  <c r="G7" i="9"/>
  <c r="G18" i="9" s="1"/>
  <c r="E19" i="6" s="1"/>
  <c r="H9" i="9"/>
  <c r="H13" i="9"/>
  <c r="H12" i="9"/>
  <c r="H15" i="9"/>
  <c r="H8" i="9"/>
  <c r="H10" i="9"/>
  <c r="H17" i="9"/>
  <c r="H11" i="9"/>
  <c r="H16" i="9"/>
  <c r="G37" i="10"/>
  <c r="G39" i="10" s="1"/>
  <c r="G42" i="10" s="1"/>
  <c r="G43" i="10" s="1"/>
  <c r="G44" i="10" s="1"/>
  <c r="G46" i="10" s="1"/>
  <c r="H7" i="9" l="1"/>
  <c r="H6" i="9"/>
  <c r="H18" i="9" l="1"/>
  <c r="G10" i="5" s="1"/>
  <c r="G23" i="5" s="1"/>
  <c r="G14" i="6"/>
  <c r="E12" i="6" s="1"/>
  <c r="E14" i="6" l="1"/>
  <c r="G16" i="6"/>
  <c r="G31" i="6" s="1"/>
  <c r="E29" i="6" s="1"/>
  <c r="I26" i="6" l="1"/>
  <c r="F19" i="2"/>
  <c r="G20" i="2" s="1"/>
  <c r="E31" i="6"/>
  <c r="E11" i="5"/>
  <c r="I35" i="3"/>
  <c r="F14" i="1"/>
  <c r="F18" i="1" s="1"/>
  <c r="F21" i="1" s="1"/>
  <c r="F23" i="1" s="1"/>
  <c r="G25" i="1" s="1"/>
  <c r="G31" i="1" s="1"/>
  <c r="G35" i="1" s="1"/>
  <c r="G37" i="1" s="1"/>
  <c r="G40" i="1" s="1"/>
  <c r="L27" i="1"/>
  <c r="G24" i="2" l="1"/>
  <c r="G28" i="2" s="1"/>
  <c r="G30" i="2" s="1"/>
  <c r="G33" i="2" s="1"/>
  <c r="G34" i="2" s="1"/>
  <c r="G35" i="2" s="1"/>
  <c r="G37" i="2" s="1"/>
  <c r="E12" i="5"/>
  <c r="E23" i="5" s="1"/>
  <c r="J23" i="5" s="1"/>
</calcChain>
</file>

<file path=xl/sharedStrings.xml><?xml version="1.0" encoding="utf-8"?>
<sst xmlns="http://schemas.openxmlformats.org/spreadsheetml/2006/main" count="622" uniqueCount="246">
  <si>
    <t>Tax Payable</t>
  </si>
  <si>
    <t>Less: Rebate</t>
  </si>
  <si>
    <t xml:space="preserve">Tax on Above </t>
  </si>
  <si>
    <t xml:space="preserve">Total Income </t>
  </si>
  <si>
    <t>U/s 80C</t>
  </si>
  <si>
    <t>Less : Deductions u/c VI A</t>
  </si>
  <si>
    <t>Gross Total Income</t>
  </si>
  <si>
    <t>Income from Chit fund</t>
  </si>
  <si>
    <t>Income from Other sources</t>
  </si>
  <si>
    <t>Higher of above</t>
  </si>
  <si>
    <t>lic</t>
  </si>
  <si>
    <t>Profit as  per Profit and loss account</t>
  </si>
  <si>
    <t>8% of Above</t>
  </si>
  <si>
    <t>Total Gross receipts u/s 44AD</t>
  </si>
  <si>
    <t>Add: Labour charges</t>
  </si>
  <si>
    <t>Sales as per Books</t>
  </si>
  <si>
    <t>Sales as per Vat Returns</t>
  </si>
  <si>
    <t xml:space="preserve">Income from Business Of Vee Yen Tools </t>
  </si>
  <si>
    <t xml:space="preserve">Memo of Income </t>
  </si>
  <si>
    <t>CIRCLE</t>
  </si>
  <si>
    <t>16/05/1975</t>
  </si>
  <si>
    <t>DOB</t>
  </si>
  <si>
    <t>adnpv9882f16051975</t>
  </si>
  <si>
    <t>ADDRESS</t>
  </si>
  <si>
    <t>JAGANATHAN</t>
  </si>
  <si>
    <t>FATHERS NAME</t>
  </si>
  <si>
    <t>ADNPV9882F</t>
  </si>
  <si>
    <t>PAN:</t>
  </si>
  <si>
    <t>VENKATESAN</t>
  </si>
  <si>
    <t>NAME:</t>
  </si>
  <si>
    <t>View 1 - 4 of 4</t>
  </si>
  <si>
    <t xml:space="preserve"> of 1</t>
  </si>
  <si>
    <t xml:space="preserve">Page </t>
  </si>
  <si>
    <t>CHEW03325A</t>
  </si>
  <si>
    <t>WOOSU AUTOMOTIVE INDIA PRIVATE LIMITED</t>
  </si>
  <si>
    <t>CHEG14187F</t>
  </si>
  <si>
    <t>G S KISHOREKUMAR</t>
  </si>
  <si>
    <t>CHEB05083B</t>
  </si>
  <si>
    <t>BEST CUTTING TOOLS</t>
  </si>
  <si>
    <t>CHEB00159F</t>
  </si>
  <si>
    <t>BRAKES INDIA PRIVATE LIMITED</t>
  </si>
  <si>
    <t>Deposited ( Rs. )</t>
  </si>
  <si>
    <t>Total TDS</t>
  </si>
  <si>
    <t xml:space="preserve"> </t>
  </si>
  <si>
    <t>Total Tax Deducted# ( Rs. )</t>
  </si>
  <si>
    <t>Credited ( Rs. )</t>
  </si>
  <si>
    <t xml:space="preserve">Paid / </t>
  </si>
  <si>
    <t xml:space="preserve">Total Amount </t>
  </si>
  <si>
    <t>TAN of Deductor</t>
  </si>
  <si>
    <t>Name of Deductor</t>
  </si>
  <si>
    <t>Sr. No.</t>
  </si>
  <si>
    <t>PART A – Details of Tax Deducted at Source</t>
  </si>
  <si>
    <t>Refer www.tin-nsdl.com / www.utiitsl.com for more details. In case of discrepancy in status of PAN please contact your Assessing OfficerCommunication details for TRACES can be updated in 'Profile' section. However, these changes will not be updated in PAN database as mentioned above</t>
  </si>
  <si>
    <t>Above data / Status of PAN is as per PAN details. For any changes in data as mentioned above, you may submit request for corrections.</t>
  </si>
  <si>
    <t>Click here to 'Verify TDS Certificate'</t>
  </si>
  <si>
    <t>CHENNAI, TAMILNADU, 600050</t>
  </si>
  <si>
    <t>NO 3/4, THIRUVALLUVAR STREET, 3RD CROSS ST, TMP NAGAR PADI,</t>
  </si>
  <si>
    <t>Address of Assessee</t>
  </si>
  <si>
    <t>JAGANADAN VENKATESAN</t>
  </si>
  <si>
    <t>Name of Assessee</t>
  </si>
  <si>
    <t>2015-16</t>
  </si>
  <si>
    <t>Assessment Year</t>
  </si>
  <si>
    <t>2014-15</t>
  </si>
  <si>
    <t>Financial Year</t>
  </si>
  <si>
    <t>Active</t>
  </si>
  <si>
    <t>Current Status of PAN</t>
  </si>
  <si>
    <t>Permanent Account Number (PAN)</t>
  </si>
  <si>
    <t>Less Tds</t>
  </si>
  <si>
    <t>Add: Material Processing charges</t>
  </si>
  <si>
    <t>Add: Education Cess @3%</t>
  </si>
  <si>
    <t>Refund Due</t>
  </si>
  <si>
    <t>GANDHIJI STREET, MATHIAZHAGAN NAGAR</t>
  </si>
  <si>
    <t>PADI</t>
  </si>
  <si>
    <t>Particulars</t>
  </si>
  <si>
    <t>Direct Expenses</t>
  </si>
  <si>
    <t>Consumables and Tooling Cost</t>
  </si>
  <si>
    <t>Labour Charges Paid</t>
  </si>
  <si>
    <t>Indirect Expenses</t>
  </si>
  <si>
    <t xml:space="preserve">M/s . VEE YEN TOOLS </t>
  </si>
  <si>
    <t>No , 4/b Thiruvalluvar Street T M P Nagar Padi Chennai 600050</t>
  </si>
  <si>
    <t>To Purchases</t>
  </si>
  <si>
    <t>To  Gross Profit C/d</t>
  </si>
  <si>
    <t>By   Gross Profit B/d</t>
  </si>
  <si>
    <t>To Net Profit</t>
  </si>
  <si>
    <t>To Accounting Charges</t>
  </si>
  <si>
    <t>To Bank Charges &amp; Interest Expenses</t>
  </si>
  <si>
    <t>To Cutting Charges</t>
  </si>
  <si>
    <t>To Electricity Charges</t>
  </si>
  <si>
    <t>To Office Expenses</t>
  </si>
  <si>
    <t>To Petrol Expenses</t>
  </si>
  <si>
    <t>To Printing &amp; Stationery</t>
  </si>
  <si>
    <t>To Rent</t>
  </si>
  <si>
    <t>To Repairs &amp; Maintenance</t>
  </si>
  <si>
    <t>To Salary</t>
  </si>
  <si>
    <t>To Staff Welfare</t>
  </si>
  <si>
    <t>To Telephone Charges</t>
  </si>
  <si>
    <t>Amount</t>
  </si>
  <si>
    <t>(In Rs)</t>
  </si>
  <si>
    <t>For VEE YEN TOOLS</t>
  </si>
  <si>
    <t>Proprietor</t>
  </si>
  <si>
    <t>Venkatesan</t>
  </si>
  <si>
    <t>Place: Chennai</t>
  </si>
  <si>
    <t xml:space="preserve">Capital Account </t>
  </si>
  <si>
    <t>Add: Net Profit</t>
  </si>
  <si>
    <t>Vee Yen Tools</t>
  </si>
  <si>
    <t>Liabilities</t>
  </si>
  <si>
    <t>as at 31-Mar-2015</t>
  </si>
  <si>
    <t>Assets</t>
  </si>
  <si>
    <t>Capital Account</t>
  </si>
  <si>
    <t>Fixed Assets</t>
  </si>
  <si>
    <t>Capital</t>
  </si>
  <si>
    <t>Accmulated Depreciation</t>
  </si>
  <si>
    <t>Chit Fund</t>
  </si>
  <si>
    <t>Airconditinor</t>
  </si>
  <si>
    <t>CREDIT CARD</t>
  </si>
  <si>
    <t>Cell Phone</t>
  </si>
  <si>
    <t>Tax Refund</t>
  </si>
  <si>
    <t>Computer</t>
  </si>
  <si>
    <t>Loans (Liability)</t>
  </si>
  <si>
    <t>Cylinder Grinder Machine</t>
  </si>
  <si>
    <t>Bank OD A/c</t>
  </si>
  <si>
    <t>Lanson Toyota</t>
  </si>
  <si>
    <t>Secured Loans</t>
  </si>
  <si>
    <t>Micron Lath</t>
  </si>
  <si>
    <t>Unsecured Loans</t>
  </si>
  <si>
    <t>Milling Machine</t>
  </si>
  <si>
    <t>Current Liabilities</t>
  </si>
  <si>
    <t>Padi- House</t>
  </si>
  <si>
    <t>Duties &amp; Taxes</t>
  </si>
  <si>
    <t>Pulsar Motor Cycle</t>
  </si>
  <si>
    <t>Provisions</t>
  </si>
  <si>
    <t>Surface Grinding Machine</t>
  </si>
  <si>
    <t>Sundry Creditors</t>
  </si>
  <si>
    <t>Tools &amp; Cutting Machine</t>
  </si>
  <si>
    <t>Suspense A/c</t>
  </si>
  <si>
    <t>Current Assets</t>
  </si>
  <si>
    <t>CHEQUE PAID</t>
  </si>
  <si>
    <t>Closing Stock</t>
  </si>
  <si>
    <t>CHEQUE RECEIVED</t>
  </si>
  <si>
    <t>Sundry Debtors</t>
  </si>
  <si>
    <t>LABOUR WORKS</t>
  </si>
  <si>
    <t>Cash-in-hand</t>
  </si>
  <si>
    <t>Square Off</t>
  </si>
  <si>
    <t>Bank Accounts</t>
  </si>
  <si>
    <t>Teac Engineering</t>
  </si>
  <si>
    <t>Loans &amp; Advances</t>
  </si>
  <si>
    <t>Profit &amp; Loss A/c</t>
  </si>
  <si>
    <t>Telephone Deposits</t>
  </si>
  <si>
    <t>Opening Balance</t>
  </si>
  <si>
    <t>Diff. in Opening Balances</t>
  </si>
  <si>
    <t>Current Period</t>
  </si>
  <si>
    <t>Total</t>
  </si>
  <si>
    <t xml:space="preserve">Secured Loans </t>
  </si>
  <si>
    <t>Bank overdraft</t>
  </si>
  <si>
    <t>Expenses Payable</t>
  </si>
  <si>
    <t>Cash in hand</t>
  </si>
  <si>
    <t>cash at bank</t>
  </si>
  <si>
    <t xml:space="preserve">    (As Per Schedule A)</t>
  </si>
  <si>
    <t xml:space="preserve">Total </t>
  </si>
  <si>
    <t>Name of Asset</t>
  </si>
  <si>
    <t>Additions</t>
  </si>
  <si>
    <t>%</t>
  </si>
  <si>
    <t>Depreciation for the year</t>
  </si>
  <si>
    <t>To Depreciation - (schedule B)</t>
  </si>
  <si>
    <t>Airconditioner</t>
  </si>
  <si>
    <t>Vee Yen Tools Fy 2015-16</t>
  </si>
  <si>
    <t>1-Apr-2015 to 31-Mar-2016</t>
  </si>
  <si>
    <t>Opening Stock</t>
  </si>
  <si>
    <t>Sales Accounts</t>
  </si>
  <si>
    <t>STOCK</t>
  </si>
  <si>
    <t>Labour Charges</t>
  </si>
  <si>
    <t>Purchase Accounts</t>
  </si>
  <si>
    <t>Sales @ 5%</t>
  </si>
  <si>
    <t>Purchase5</t>
  </si>
  <si>
    <t>SALES CST</t>
  </si>
  <si>
    <t>Sales Exempted</t>
  </si>
  <si>
    <t>Gross Profit c/o</t>
  </si>
  <si>
    <t>Accounting Charges</t>
  </si>
  <si>
    <t>Gross Profit b/f</t>
  </si>
  <si>
    <t>BANK CHARGES</t>
  </si>
  <si>
    <t>BANK INTEREST</t>
  </si>
  <si>
    <t>Car Loan Interest</t>
  </si>
  <si>
    <t>conveyance</t>
  </si>
  <si>
    <t>Depreciation</t>
  </si>
  <si>
    <t>Electricity Charges</t>
  </si>
  <si>
    <t>INSURANCE CHARGES</t>
  </si>
  <si>
    <t>office Expenses</t>
  </si>
  <si>
    <t>Project Expenses</t>
  </si>
  <si>
    <t>rent</t>
  </si>
  <si>
    <t>salary</t>
  </si>
  <si>
    <t>Staff Welfare</t>
  </si>
  <si>
    <t>telephone Charges</t>
  </si>
  <si>
    <t>Nett Profit</t>
  </si>
  <si>
    <t>By Sales</t>
  </si>
  <si>
    <t>as at 31-Mar-2016</t>
  </si>
  <si>
    <t>LIC</t>
  </si>
  <si>
    <t>CAR LOAN</t>
  </si>
  <si>
    <t>Income Tax Payable</t>
  </si>
  <si>
    <t>Less: Transferred</t>
  </si>
  <si>
    <t>Tds Receivable</t>
  </si>
  <si>
    <t>Schedule A</t>
  </si>
  <si>
    <t>COMPUTATION OF TOTAL INCOME</t>
  </si>
  <si>
    <t>Plant and Macinery</t>
  </si>
  <si>
    <t xml:space="preserve">Assessment Year </t>
  </si>
  <si>
    <t>Work in Progress</t>
  </si>
  <si>
    <t>8% of the TO u/s 44AD</t>
  </si>
  <si>
    <t>BALANCE SHEET AS ON 31.03.2019</t>
  </si>
  <si>
    <t>PROFIT AND LOSS ACCOUNT FOR THE YEAR ENDED 31.03.2019</t>
  </si>
  <si>
    <t>Date: 27.07.2019</t>
  </si>
  <si>
    <t xml:space="preserve">For Ramajayam and Associates </t>
  </si>
  <si>
    <t>Chartered Accountants</t>
  </si>
  <si>
    <t>CA J Ramajayam M com ACA DISA</t>
  </si>
  <si>
    <t>Firm No 021074S</t>
  </si>
  <si>
    <t>Mem No 248923</t>
  </si>
  <si>
    <t>PROFIT AND LOSS ACCOUNT FOR THE YEAR ENDED 31.03.2020</t>
  </si>
  <si>
    <t>Depreciation statement for the  FY 2018-19</t>
  </si>
  <si>
    <t>Depreciation statement for the  FY 2019-20</t>
  </si>
  <si>
    <t>By Work in Progress</t>
  </si>
  <si>
    <t>To Opening Work in Progress</t>
  </si>
  <si>
    <t>By Closing Work in Progress</t>
  </si>
  <si>
    <t>BALANCE SHEET AS ON 31.03.2020</t>
  </si>
  <si>
    <t>Date: 27.07.2020</t>
  </si>
  <si>
    <t>2019-20</t>
  </si>
  <si>
    <t>Income from Other Sources</t>
  </si>
  <si>
    <t>2020-21</t>
  </si>
  <si>
    <t xml:space="preserve">Income from House Property </t>
  </si>
  <si>
    <t>Interest on Housing Loan</t>
  </si>
  <si>
    <t>U/s 80D</t>
  </si>
  <si>
    <t>Self Assessment Tax payable</t>
  </si>
  <si>
    <t>WDV as On 01.04.2018</t>
  </si>
  <si>
    <t>WDV as On 31.03.2019</t>
  </si>
  <si>
    <t>WDV as On 31.03.2020</t>
  </si>
  <si>
    <t>WDV as On 01.04.2019</t>
  </si>
  <si>
    <t>BALANCE SHEET AS ON 31.03.2021</t>
  </si>
  <si>
    <t>WDV as On 31.03.2021</t>
  </si>
  <si>
    <t>WDV as On 01.04.2020</t>
  </si>
  <si>
    <t>PROFIT AND LOSS ACCOUNT FOR THE YEAR ENDED 31.03.2021</t>
  </si>
  <si>
    <t>WDV</t>
  </si>
  <si>
    <t>Loans and advances</t>
  </si>
  <si>
    <t>Date: 12-11-2021</t>
  </si>
  <si>
    <t>Refund</t>
  </si>
  <si>
    <t>2021-22</t>
  </si>
  <si>
    <t>By Closing Stock</t>
  </si>
  <si>
    <t>To Opening Stock</t>
  </si>
  <si>
    <t>Depreciation statement for the  FY 2020-21</t>
  </si>
  <si>
    <t>Closing stock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</si>
</sst>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0"/>
  </numFmts>
  <fonts count="15" x14ac:knownFonts="1">
    <font>
      <sz val="11"/>
      <color theme="1"/>
      <name val="Calibri"/>
      <family val="2"/>
      <scheme val="minor"/>
    </font>
    <font>
      <b/>
      <sz val="11"/>
      <color theme="1"/>
      <name val="Calibri"/>
      <family val="2"/>
      <scheme val="minor"/>
    </font>
    <font>
      <sz val="11"/>
      <color theme="1"/>
      <name val="Verdana"/>
      <family val="2"/>
    </font>
    <font>
      <b/>
      <sz val="11"/>
      <color theme="1"/>
      <name val="Verdana"/>
      <family val="2"/>
    </font>
    <font>
      <sz val="10"/>
      <color theme="1"/>
      <name val="Verdana"/>
      <family val="2"/>
    </font>
    <font>
      <sz val="10"/>
      <color theme="1"/>
      <name val="Calibri"/>
      <family val="2"/>
      <scheme val="minor"/>
    </font>
    <font>
      <b/>
      <sz val="10"/>
      <color theme="1"/>
      <name val="Verdana"/>
      <family val="2"/>
    </font>
    <font>
      <b/>
      <sz val="14"/>
      <color theme="1"/>
      <name val="Calibri"/>
      <family val="2"/>
      <scheme val="minor"/>
    </font>
    <font>
      <b/>
      <sz val="9"/>
      <color theme="1"/>
      <name val="Arial"/>
      <family val="2"/>
    </font>
    <font>
      <sz val="9"/>
      <color theme="1"/>
      <name val="Arial"/>
      <family val="2"/>
    </font>
    <font>
      <i/>
      <sz val="9"/>
      <color theme="1"/>
      <name val="Arial"/>
      <family val="2"/>
    </font>
    <font>
      <sz val="10"/>
      <color theme="1"/>
      <name val="Arial"/>
      <family val="2"/>
    </font>
    <font>
      <b/>
      <sz val="10"/>
      <color theme="1"/>
      <name val="Arial"/>
      <family val="2"/>
    </font>
    <font>
      <i/>
      <sz val="10"/>
      <color theme="1"/>
      <name val="Arial"/>
      <family val="2"/>
    </font>
    <font>
      <b/>
      <i/>
      <sz val="9"/>
      <color theme="1"/>
      <name val="Arial"/>
      <family val="2"/>
    </font>
  </fonts>
  <fills count="3">
    <fill>
      <patternFill patternType="none"/>
    </fill>
    <fill>
      <patternFill patternType="gray125"/>
    </fill>
    <fill>
      <patternFill patternType="solid">
        <fgColor rgb="FFFFFF00"/>
        <bgColor indexed="64"/>
      </patternFill>
    </fill>
  </fills>
  <borders count="20">
    <border>
      <left/>
      <right/>
      <top/>
      <bottom/>
      <diagonal/>
    </border>
    <border>
      <left/>
      <right/>
      <top style="thin">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0"/>
      </top>
      <bottom style="thin">
        <color indexed="64"/>
      </bottom>
      <diagonal/>
    </border>
  </borders>
  <cellStyleXfs count="1">
    <xf numFmtId="0" fontId="0" fillId="0" borderId="0"/>
  </cellStyleXfs>
  <cellXfs count="114">
    <xf numFmtId="0" fontId="0" fillId="0" borderId="0" xfId="0"/>
    <xf numFmtId="0" fontId="0" fillId="0" borderId="1" xfId="0" applyBorder="1"/>
    <xf numFmtId="0" fontId="0" fillId="0" borderId="2" xfId="0" applyBorder="1"/>
    <xf numFmtId="1" fontId="0" fillId="0" borderId="0" xfId="0" applyNumberFormat="1"/>
    <xf numFmtId="0" fontId="0" fillId="0" borderId="0" xfId="0" applyBorder="1"/>
    <xf numFmtId="4" fontId="0" fillId="0" borderId="0" xfId="0" applyNumberFormat="1"/>
    <xf numFmtId="0" fontId="0" fillId="0" borderId="0" xfId="0" applyNumberFormat="1"/>
    <xf numFmtId="3" fontId="0" fillId="0" borderId="0" xfId="0" applyNumberFormat="1"/>
    <xf numFmtId="3" fontId="0" fillId="0" borderId="2" xfId="0" applyNumberFormat="1" applyBorder="1"/>
    <xf numFmtId="3" fontId="0" fillId="0" borderId="1" xfId="0" applyNumberFormat="1" applyBorder="1"/>
    <xf numFmtId="0" fontId="0" fillId="0" borderId="0" xfId="0" applyAlignment="1">
      <alignment horizontal="right"/>
    </xf>
    <xf numFmtId="0" fontId="1" fillId="0" borderId="0" xfId="0" applyFont="1"/>
    <xf numFmtId="0" fontId="0" fillId="0" borderId="0" xfId="0" applyFont="1"/>
    <xf numFmtId="0" fontId="0" fillId="0" borderId="0" xfId="0" applyAlignment="1">
      <alignment horizontal="center"/>
    </xf>
    <xf numFmtId="0" fontId="0" fillId="0" borderId="0" xfId="0" applyAlignment="1">
      <alignment horizontal="center"/>
    </xf>
    <xf numFmtId="0" fontId="2" fillId="0" borderId="0" xfId="0" applyFont="1"/>
    <xf numFmtId="0" fontId="5" fillId="0" borderId="0" xfId="0" applyFont="1" applyBorder="1"/>
    <xf numFmtId="0" fontId="5" fillId="0" borderId="0" xfId="0" applyFont="1"/>
    <xf numFmtId="0" fontId="3" fillId="0" borderId="3" xfId="0" applyFont="1" applyBorder="1"/>
    <xf numFmtId="0" fontId="4" fillId="0" borderId="4" xfId="0" applyFont="1" applyBorder="1" applyAlignment="1">
      <alignment horizontal="left"/>
    </xf>
    <xf numFmtId="0" fontId="4" fillId="0" borderId="5" xfId="0" applyFont="1" applyBorder="1" applyAlignment="1">
      <alignment horizontal="left"/>
    </xf>
    <xf numFmtId="0" fontId="6" fillId="0" borderId="5" xfId="0" applyFont="1" applyBorder="1" applyAlignment="1">
      <alignment horizontal="left"/>
    </xf>
    <xf numFmtId="0" fontId="4" fillId="0" borderId="5" xfId="0" applyFont="1" applyFill="1" applyBorder="1" applyAlignment="1">
      <alignment horizontal="left"/>
    </xf>
    <xf numFmtId="0" fontId="4" fillId="0" borderId="5" xfId="0" applyFont="1" applyBorder="1"/>
    <xf numFmtId="0" fontId="4" fillId="0" borderId="6" xfId="0" applyFont="1" applyBorder="1" applyAlignment="1">
      <alignment horizontal="left"/>
    </xf>
    <xf numFmtId="3" fontId="4" fillId="0" borderId="4" xfId="0" applyNumberFormat="1" applyFont="1" applyBorder="1" applyAlignment="1">
      <alignment horizontal="right"/>
    </xf>
    <xf numFmtId="3" fontId="4" fillId="0" borderId="5" xfId="0" applyNumberFormat="1" applyFont="1" applyBorder="1" applyAlignment="1">
      <alignment horizontal="right"/>
    </xf>
    <xf numFmtId="3" fontId="4" fillId="0" borderId="5" xfId="0" applyNumberFormat="1" applyFont="1" applyBorder="1"/>
    <xf numFmtId="3" fontId="0" fillId="0" borderId="5" xfId="0" applyNumberFormat="1" applyBorder="1"/>
    <xf numFmtId="0" fontId="4" fillId="0" borderId="5" xfId="0" applyFont="1" applyBorder="1" applyAlignment="1">
      <alignment horizontal="right"/>
    </xf>
    <xf numFmtId="3" fontId="6" fillId="0" borderId="7" xfId="0" applyNumberFormat="1" applyFont="1" applyBorder="1"/>
    <xf numFmtId="3" fontId="6" fillId="0" borderId="7" xfId="0" applyNumberFormat="1" applyFont="1" applyBorder="1" applyAlignment="1">
      <alignment horizontal="right"/>
    </xf>
    <xf numFmtId="0" fontId="8" fillId="0" borderId="8" xfId="0" applyFont="1" applyBorder="1" applyAlignment="1">
      <alignment horizontal="left" vertical="top" indent="2"/>
    </xf>
    <xf numFmtId="0" fontId="8" fillId="0" borderId="2" xfId="0" applyFont="1" applyBorder="1" applyAlignment="1">
      <alignment horizontal="left" vertical="top" indent="2"/>
    </xf>
    <xf numFmtId="0" fontId="8" fillId="0" borderId="0" xfId="0" applyFont="1" applyAlignment="1">
      <alignment vertical="top"/>
    </xf>
    <xf numFmtId="0" fontId="10" fillId="0" borderId="0" xfId="0" applyFont="1" applyAlignment="1">
      <alignment horizontal="right" vertical="top"/>
    </xf>
    <xf numFmtId="164" fontId="8" fillId="0" borderId="0" xfId="0" applyNumberFormat="1" applyFont="1" applyAlignment="1">
      <alignment horizontal="right" vertical="top"/>
    </xf>
    <xf numFmtId="0" fontId="8" fillId="0" borderId="9" xfId="0" applyFont="1" applyBorder="1" applyAlignment="1">
      <alignment vertical="top"/>
    </xf>
    <xf numFmtId="0" fontId="10" fillId="0" borderId="0" xfId="0" applyFont="1" applyAlignment="1">
      <alignment horizontal="left" vertical="top" indent="1"/>
    </xf>
    <xf numFmtId="164" fontId="10" fillId="0" borderId="0" xfId="0" applyNumberFormat="1" applyFont="1" applyAlignment="1">
      <alignment horizontal="right" vertical="top"/>
    </xf>
    <xf numFmtId="0" fontId="8" fillId="0" borderId="0" xfId="0" applyFont="1" applyAlignment="1">
      <alignment horizontal="right" vertical="top"/>
    </xf>
    <xf numFmtId="0" fontId="10" fillId="0" borderId="10" xfId="0" applyFont="1" applyBorder="1" applyAlignment="1">
      <alignment horizontal="left" vertical="top" indent="1"/>
    </xf>
    <xf numFmtId="164" fontId="10" fillId="0" borderId="2" xfId="0" applyNumberFormat="1" applyFont="1" applyBorder="1" applyAlignment="1">
      <alignment horizontal="right" vertical="top"/>
    </xf>
    <xf numFmtId="0" fontId="9" fillId="0" borderId="0" xfId="0" applyFont="1" applyAlignment="1">
      <alignment horizontal="left" vertical="top" indent="1"/>
    </xf>
    <xf numFmtId="0" fontId="8" fillId="0" borderId="10" xfId="0" applyFont="1" applyBorder="1" applyAlignment="1">
      <alignment vertical="top"/>
    </xf>
    <xf numFmtId="0" fontId="9" fillId="0" borderId="10" xfId="0" applyFont="1" applyBorder="1" applyAlignment="1">
      <alignment horizontal="left" vertical="top" indent="1"/>
    </xf>
    <xf numFmtId="0" fontId="10" fillId="0" borderId="2" xfId="0" applyFont="1" applyBorder="1" applyAlignment="1">
      <alignment horizontal="right" vertical="top"/>
    </xf>
    <xf numFmtId="0" fontId="9" fillId="0" borderId="10" xfId="0" applyFont="1" applyBorder="1" applyAlignment="1">
      <alignment vertical="top"/>
    </xf>
    <xf numFmtId="164" fontId="10" fillId="0" borderId="0" xfId="0" applyNumberFormat="1" applyFont="1" applyBorder="1" applyAlignment="1">
      <alignment horizontal="right" vertical="top"/>
    </xf>
    <xf numFmtId="0" fontId="11" fillId="0" borderId="0" xfId="0" applyFont="1" applyAlignment="1">
      <alignment vertical="top"/>
    </xf>
    <xf numFmtId="0" fontId="12" fillId="0" borderId="11" xfId="0" applyFont="1" applyBorder="1" applyAlignment="1">
      <alignment horizontal="left" vertical="top" indent="2"/>
    </xf>
    <xf numFmtId="0" fontId="13" fillId="0" borderId="11" xfId="0" applyFont="1" applyBorder="1" applyAlignment="1">
      <alignment horizontal="right" vertical="top"/>
    </xf>
    <xf numFmtId="164" fontId="12" fillId="0" borderId="11" xfId="0" applyNumberFormat="1" applyFont="1" applyBorder="1" applyAlignment="1">
      <alignment horizontal="right" vertical="top"/>
    </xf>
    <xf numFmtId="0" fontId="12" fillId="0" borderId="12" xfId="0" applyFont="1" applyBorder="1" applyAlignment="1">
      <alignment horizontal="left" vertical="top" indent="2"/>
    </xf>
    <xf numFmtId="0" fontId="13" fillId="0" borderId="13" xfId="0" applyFont="1" applyBorder="1" applyAlignment="1">
      <alignment horizontal="right" vertical="top"/>
    </xf>
    <xf numFmtId="164" fontId="12" fillId="0" borderId="13" xfId="0" applyNumberFormat="1" applyFont="1" applyBorder="1" applyAlignment="1">
      <alignment horizontal="right" vertical="top"/>
    </xf>
    <xf numFmtId="3" fontId="6" fillId="0" borderId="5" xfId="0" applyNumberFormat="1" applyFont="1" applyBorder="1" applyAlignment="1">
      <alignment horizontal="right"/>
    </xf>
    <xf numFmtId="3" fontId="4" fillId="0" borderId="6" xfId="0" applyNumberFormat="1" applyFont="1" applyBorder="1" applyAlignment="1">
      <alignment horizontal="right"/>
    </xf>
    <xf numFmtId="0" fontId="6" fillId="0" borderId="5" xfId="0" applyFont="1" applyBorder="1"/>
    <xf numFmtId="3" fontId="1" fillId="0" borderId="0" xfId="0" applyNumberFormat="1" applyFont="1"/>
    <xf numFmtId="0" fontId="4" fillId="0" borderId="3" xfId="0" applyFont="1" applyFill="1" applyBorder="1" applyAlignment="1">
      <alignment vertical="top"/>
    </xf>
    <xf numFmtId="3" fontId="4" fillId="0" borderId="3" xfId="0" applyNumberFormat="1" applyFont="1" applyFill="1" applyBorder="1" applyAlignment="1">
      <alignment horizontal="right" vertical="top"/>
    </xf>
    <xf numFmtId="3" fontId="4" fillId="0" borderId="3" xfId="0" applyNumberFormat="1" applyFont="1" applyFill="1" applyBorder="1"/>
    <xf numFmtId="3" fontId="4" fillId="0" borderId="3" xfId="0" applyNumberFormat="1" applyFont="1" applyBorder="1"/>
    <xf numFmtId="0" fontId="6" fillId="0" borderId="3" xfId="0" applyFont="1" applyFill="1" applyBorder="1" applyAlignment="1">
      <alignment vertical="top"/>
    </xf>
    <xf numFmtId="3" fontId="6" fillId="0" borderId="3" xfId="0" applyNumberFormat="1" applyFont="1" applyBorder="1"/>
    <xf numFmtId="0" fontId="6" fillId="0" borderId="3" xfId="0" applyFont="1" applyBorder="1" applyAlignment="1">
      <alignment wrapText="1"/>
    </xf>
    <xf numFmtId="3" fontId="0" fillId="0" borderId="0" xfId="0" applyNumberFormat="1" applyBorder="1"/>
    <xf numFmtId="0" fontId="8" fillId="0" borderId="9" xfId="0" applyFont="1" applyBorder="1" applyAlignment="1">
      <alignment horizontal="left" vertical="top" indent="2"/>
    </xf>
    <xf numFmtId="0" fontId="12" fillId="0" borderId="2" xfId="0" applyFont="1" applyBorder="1" applyAlignment="1">
      <alignment horizontal="left" vertical="top" indent="2"/>
    </xf>
    <xf numFmtId="0" fontId="12" fillId="0" borderId="16" xfId="0" applyFont="1" applyBorder="1" applyAlignment="1">
      <alignment horizontal="left" vertical="top" indent="2"/>
    </xf>
    <xf numFmtId="0" fontId="10" fillId="0" borderId="8" xfId="0" applyFont="1" applyBorder="1" applyAlignment="1">
      <alignment horizontal="right" vertical="top"/>
    </xf>
    <xf numFmtId="164" fontId="8" fillId="0" borderId="14" xfId="0" applyNumberFormat="1" applyFont="1" applyBorder="1" applyAlignment="1">
      <alignment horizontal="right" vertical="top"/>
    </xf>
    <xf numFmtId="0" fontId="8" fillId="0" borderId="17" xfId="0" applyFont="1" applyBorder="1" applyAlignment="1">
      <alignment horizontal="right" vertical="top"/>
    </xf>
    <xf numFmtId="0" fontId="10" fillId="0" borderId="0" xfId="0" applyFont="1" applyBorder="1" applyAlignment="1">
      <alignment horizontal="right" vertical="top"/>
    </xf>
    <xf numFmtId="164" fontId="8" fillId="0" borderId="17" xfId="0" applyNumberFormat="1" applyFont="1" applyBorder="1" applyAlignment="1">
      <alignment horizontal="right" vertical="top"/>
    </xf>
    <xf numFmtId="0" fontId="14" fillId="0" borderId="0" xfId="0" applyFont="1" applyAlignment="1">
      <alignment vertical="top"/>
    </xf>
    <xf numFmtId="164" fontId="14" fillId="0" borderId="17" xfId="0" applyNumberFormat="1" applyFont="1" applyBorder="1" applyAlignment="1">
      <alignment horizontal="right" vertical="top"/>
    </xf>
    <xf numFmtId="164" fontId="8" fillId="0" borderId="13" xfId="0" applyNumberFormat="1" applyFont="1" applyBorder="1" applyAlignment="1">
      <alignment horizontal="right" vertical="top"/>
    </xf>
    <xf numFmtId="0" fontId="14" fillId="0" borderId="10" xfId="0" applyFont="1" applyBorder="1" applyAlignment="1">
      <alignment vertical="top"/>
    </xf>
    <xf numFmtId="164" fontId="14" fillId="0" borderId="0" xfId="0" applyNumberFormat="1" applyFont="1" applyAlignment="1">
      <alignment horizontal="right" vertical="top"/>
    </xf>
    <xf numFmtId="0" fontId="8" fillId="0" borderId="13" xfId="0" applyFont="1" applyBorder="1" applyAlignment="1">
      <alignment horizontal="left" vertical="top" indent="2"/>
    </xf>
    <xf numFmtId="0" fontId="10" fillId="0" borderId="13" xfId="0" applyFont="1" applyBorder="1" applyAlignment="1">
      <alignment horizontal="right" vertical="top"/>
    </xf>
    <xf numFmtId="164" fontId="8" fillId="0" borderId="18" xfId="0" applyNumberFormat="1" applyFont="1" applyBorder="1" applyAlignment="1">
      <alignment horizontal="right" vertical="top"/>
    </xf>
    <xf numFmtId="0" fontId="8" fillId="0" borderId="12" xfId="0" applyFont="1" applyBorder="1" applyAlignment="1">
      <alignment horizontal="left" vertical="top" indent="2"/>
    </xf>
    <xf numFmtId="164" fontId="10" fillId="2" borderId="0" xfId="0" applyNumberFormat="1" applyFont="1" applyFill="1" applyBorder="1" applyAlignment="1">
      <alignment horizontal="right" vertical="top"/>
    </xf>
    <xf numFmtId="164" fontId="10" fillId="0" borderId="2" xfId="0" applyNumberFormat="1" applyFont="1" applyFill="1" applyBorder="1" applyAlignment="1">
      <alignment horizontal="right" vertical="top"/>
    </xf>
    <xf numFmtId="164" fontId="10" fillId="0" borderId="0" xfId="0" applyNumberFormat="1" applyFont="1" applyFill="1" applyBorder="1" applyAlignment="1">
      <alignment horizontal="right" vertical="top"/>
    </xf>
    <xf numFmtId="164" fontId="0" fillId="0" borderId="0" xfId="0" applyNumberFormat="1"/>
    <xf numFmtId="0" fontId="12" fillId="0" borderId="13" xfId="0" applyFont="1" applyBorder="1" applyAlignment="1">
      <alignment horizontal="left" vertical="top" indent="2"/>
    </xf>
    <xf numFmtId="0" fontId="12" fillId="0" borderId="19" xfId="0" applyFont="1" applyBorder="1" applyAlignment="1">
      <alignment horizontal="left" vertical="top" indent="2"/>
    </xf>
    <xf numFmtId="0" fontId="0" fillId="0" borderId="0" xfId="0" applyAlignment="1">
      <alignment horizontal="center"/>
    </xf>
    <xf numFmtId="0" fontId="0" fillId="0" borderId="0" xfId="0" applyFont="1" applyAlignment="1">
      <alignment horizontal="left"/>
    </xf>
    <xf numFmtId="0" fontId="0" fillId="0" borderId="0" xfId="0" applyAlignment="1">
      <alignment horizontal="left"/>
    </xf>
    <xf numFmtId="0" fontId="0" fillId="0" borderId="10" xfId="0" applyBorder="1"/>
    <xf numFmtId="0" fontId="0" fillId="0" borderId="16" xfId="0" applyBorder="1"/>
    <xf numFmtId="0" fontId="0" fillId="0" borderId="5" xfId="0" applyBorder="1"/>
    <xf numFmtId="4" fontId="0" fillId="0" borderId="5" xfId="0" applyNumberFormat="1" applyBorder="1"/>
    <xf numFmtId="165" fontId="0" fillId="0" borderId="0" xfId="0" applyNumberFormat="1"/>
    <xf numFmtId="3" fontId="0" fillId="0" borderId="3" xfId="0" applyNumberFormat="1" applyBorder="1"/>
    <xf numFmtId="0" fontId="1" fillId="0" borderId="12" xfId="0" applyFont="1" applyBorder="1"/>
    <xf numFmtId="0" fontId="1" fillId="0" borderId="3" xfId="0" applyFont="1" applyBorder="1"/>
    <xf numFmtId="0" fontId="1" fillId="0" borderId="13" xfId="0" applyFont="1" applyBorder="1"/>
    <xf numFmtId="3" fontId="1" fillId="0" borderId="7" xfId="0" applyNumberFormat="1" applyFont="1" applyBorder="1"/>
    <xf numFmtId="0" fontId="0" fillId="0" borderId="0" xfId="0" applyAlignment="1">
      <alignment horizontal="center" vertical="center"/>
    </xf>
    <xf numFmtId="0" fontId="6" fillId="0" borderId="0" xfId="0" applyFont="1" applyFill="1" applyBorder="1" applyAlignment="1">
      <alignment vertical="top"/>
    </xf>
    <xf numFmtId="3" fontId="6" fillId="0" borderId="0" xfId="0" applyNumberFormat="1" applyFont="1" applyBorder="1"/>
    <xf numFmtId="0" fontId="8" fillId="0" borderId="8" xfId="0" applyFont="1" applyBorder="1" applyAlignment="1">
      <alignment horizontal="center" vertical="top" wrapText="1"/>
    </xf>
    <xf numFmtId="0" fontId="9" fillId="0" borderId="2" xfId="0" applyFont="1" applyBorder="1" applyAlignment="1">
      <alignment horizontal="center" vertical="top" wrapText="1"/>
    </xf>
    <xf numFmtId="0" fontId="0" fillId="0" borderId="0" xfId="0" applyAlignment="1">
      <alignment horizontal="center"/>
    </xf>
    <xf numFmtId="0" fontId="7" fillId="0" borderId="0" xfId="0" applyFont="1" applyAlignment="1">
      <alignment horizontal="center"/>
    </xf>
    <xf numFmtId="0" fontId="8" fillId="0" borderId="14" xfId="0" applyFont="1" applyBorder="1" applyAlignment="1">
      <alignment horizontal="center" vertical="top" wrapText="1"/>
    </xf>
    <xf numFmtId="0" fontId="9" fillId="0" borderId="15" xfId="0" applyFont="1" applyBorder="1" applyAlignment="1">
      <alignment horizontal="center" vertical="top" wrapText="1"/>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RAM/OneDrive/client/CLIENT%20DATA%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 DATABASE"/>
      <sheetName val="2012-13"/>
      <sheetName val="Sheet3"/>
      <sheetName val="Sheet2"/>
      <sheetName val="Sheet4"/>
      <sheetName val="gm "/>
      <sheetName val="ST DATABASE"/>
      <sheetName val="Sheet1"/>
      <sheetName val="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5">
          <cell r="C15">
            <v>998494</v>
          </cell>
          <cell r="K15">
            <v>396375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E3:M42"/>
  <sheetViews>
    <sheetView topLeftCell="A18" workbookViewId="0">
      <selection activeCell="G34" sqref="G34"/>
    </sheetView>
  </sheetViews>
  <sheetFormatPr defaultRowHeight="15" x14ac:dyDescent="0.25"/>
  <cols>
    <col min="5" max="5" width="36" customWidth="1"/>
    <col min="6" max="6" width="23.5703125" customWidth="1"/>
    <col min="7" max="7" width="9.140625" style="7"/>
  </cols>
  <sheetData>
    <row r="3" spans="5:13" x14ac:dyDescent="0.25">
      <c r="E3" s="11" t="s">
        <v>29</v>
      </c>
      <c r="F3" s="11" t="s">
        <v>28</v>
      </c>
      <c r="G3" s="59"/>
      <c r="H3" s="11"/>
      <c r="I3" s="11"/>
      <c r="J3" s="11"/>
    </row>
    <row r="4" spans="5:13" x14ac:dyDescent="0.25">
      <c r="E4" s="11" t="s">
        <v>27</v>
      </c>
      <c r="F4" s="11" t="s">
        <v>26</v>
      </c>
      <c r="G4" s="59"/>
      <c r="H4" s="11"/>
      <c r="I4" s="11"/>
      <c r="J4" s="11"/>
      <c r="M4" t="s">
        <v>22</v>
      </c>
    </row>
    <row r="5" spans="5:13" x14ac:dyDescent="0.25">
      <c r="E5" s="11" t="s">
        <v>25</v>
      </c>
      <c r="F5" s="11" t="s">
        <v>24</v>
      </c>
      <c r="G5" s="59"/>
      <c r="H5" s="11"/>
      <c r="I5" s="11"/>
      <c r="J5" s="11"/>
    </row>
    <row r="6" spans="5:13" x14ac:dyDescent="0.25">
      <c r="E6" s="11" t="s">
        <v>23</v>
      </c>
      <c r="F6" s="11" t="s">
        <v>71</v>
      </c>
      <c r="G6" s="59"/>
      <c r="H6" s="11"/>
      <c r="I6" s="11"/>
      <c r="J6" s="11"/>
    </row>
    <row r="7" spans="5:13" x14ac:dyDescent="0.25">
      <c r="E7" s="11"/>
      <c r="F7" s="11" t="s">
        <v>72</v>
      </c>
      <c r="G7" s="59"/>
      <c r="H7" s="11"/>
      <c r="I7" s="11"/>
      <c r="J7" s="11"/>
    </row>
    <row r="8" spans="5:13" x14ac:dyDescent="0.25">
      <c r="E8" s="11"/>
      <c r="F8" s="11"/>
      <c r="G8" s="59"/>
      <c r="H8" s="11"/>
      <c r="I8" s="11"/>
      <c r="J8" s="11"/>
    </row>
    <row r="9" spans="5:13" x14ac:dyDescent="0.25">
      <c r="E9" s="11" t="s">
        <v>21</v>
      </c>
      <c r="F9" s="11" t="s">
        <v>20</v>
      </c>
      <c r="G9" s="59"/>
      <c r="H9" s="11"/>
      <c r="I9" s="11"/>
      <c r="J9" s="11"/>
    </row>
    <row r="10" spans="5:13" x14ac:dyDescent="0.25">
      <c r="E10" s="11" t="s">
        <v>203</v>
      </c>
      <c r="F10" s="11" t="s">
        <v>224</v>
      </c>
      <c r="G10" s="59"/>
      <c r="H10" s="11"/>
      <c r="I10" s="11"/>
      <c r="J10" s="11"/>
    </row>
    <row r="11" spans="5:13" x14ac:dyDescent="0.25">
      <c r="E11" s="11"/>
      <c r="F11" s="11"/>
      <c r="G11" s="59"/>
      <c r="H11" s="11"/>
      <c r="I11" s="11"/>
      <c r="J11" s="11"/>
    </row>
    <row r="12" spans="5:13" x14ac:dyDescent="0.25">
      <c r="E12" s="11"/>
      <c r="F12" s="11"/>
      <c r="G12" s="59"/>
      <c r="H12" s="11"/>
      <c r="I12" s="11"/>
      <c r="J12" s="11"/>
    </row>
    <row r="13" spans="5:13" x14ac:dyDescent="0.25">
      <c r="E13" s="11" t="s">
        <v>201</v>
      </c>
      <c r="F13" s="11"/>
      <c r="G13" s="59"/>
      <c r="H13" s="11"/>
      <c r="I13" s="11"/>
      <c r="J13" s="11"/>
    </row>
    <row r="14" spans="5:13" x14ac:dyDescent="0.25">
      <c r="E14" s="11"/>
      <c r="F14" s="11"/>
      <c r="G14" s="59"/>
      <c r="H14" s="11"/>
      <c r="I14" s="11"/>
      <c r="J14" s="11"/>
    </row>
    <row r="15" spans="5:13" x14ac:dyDescent="0.25">
      <c r="E15" t="s">
        <v>17</v>
      </c>
      <c r="F15" s="7">
        <f>+'pL '!G55</f>
        <v>3775107</v>
      </c>
    </row>
    <row r="16" spans="5:13" x14ac:dyDescent="0.25">
      <c r="F16" s="7"/>
      <c r="H16" s="7"/>
    </row>
    <row r="17" spans="5:12" x14ac:dyDescent="0.25">
      <c r="E17" t="s">
        <v>205</v>
      </c>
      <c r="F17" s="7">
        <f>+F15*0.08</f>
        <v>302008.56</v>
      </c>
      <c r="H17" s="7"/>
    </row>
    <row r="18" spans="5:12" x14ac:dyDescent="0.25">
      <c r="F18" s="7"/>
      <c r="H18" s="7"/>
    </row>
    <row r="19" spans="5:12" x14ac:dyDescent="0.25">
      <c r="E19" t="s">
        <v>11</v>
      </c>
      <c r="F19" s="8">
        <f>+'pL '!E76</f>
        <v>965456.95</v>
      </c>
      <c r="H19" s="7"/>
      <c r="L19" t="s">
        <v>10</v>
      </c>
    </row>
    <row r="20" spans="5:12" x14ac:dyDescent="0.25">
      <c r="E20" t="s">
        <v>9</v>
      </c>
      <c r="F20" s="7"/>
      <c r="G20" s="7">
        <f>+MAX(F19:F19)</f>
        <v>965456.95</v>
      </c>
      <c r="H20" s="7"/>
      <c r="L20">
        <v>22978</v>
      </c>
    </row>
    <row r="21" spans="5:12" x14ac:dyDescent="0.25">
      <c r="F21" s="7"/>
      <c r="H21" s="7"/>
      <c r="L21">
        <v>4598</v>
      </c>
    </row>
    <row r="22" spans="5:12" x14ac:dyDescent="0.25">
      <c r="E22" s="11" t="s">
        <v>225</v>
      </c>
      <c r="F22" s="7"/>
      <c r="H22" s="7"/>
    </row>
    <row r="23" spans="5:12" x14ac:dyDescent="0.25">
      <c r="E23" s="11"/>
      <c r="F23" s="7"/>
      <c r="H23" s="7"/>
      <c r="L23">
        <f>SUM(L20:L21)</f>
        <v>27576</v>
      </c>
    </row>
    <row r="24" spans="5:12" x14ac:dyDescent="0.25">
      <c r="E24" t="s">
        <v>226</v>
      </c>
      <c r="F24" s="7"/>
      <c r="G24" s="7">
        <v>-145855</v>
      </c>
      <c r="H24" s="7"/>
    </row>
    <row r="25" spans="5:12" x14ac:dyDescent="0.25">
      <c r="F25" s="7"/>
      <c r="H25" s="7"/>
    </row>
    <row r="26" spans="5:12" x14ac:dyDescent="0.25">
      <c r="F26" s="7"/>
      <c r="G26" s="8"/>
      <c r="H26" s="7"/>
    </row>
    <row r="27" spans="5:12" x14ac:dyDescent="0.25">
      <c r="E27" t="s">
        <v>6</v>
      </c>
      <c r="F27" s="7"/>
      <c r="G27" s="7">
        <f>SUM(G15:G25)</f>
        <v>819601.95</v>
      </c>
      <c r="H27" s="7"/>
    </row>
    <row r="28" spans="5:12" x14ac:dyDescent="0.25">
      <c r="E28" t="s">
        <v>5</v>
      </c>
      <c r="F28" s="7"/>
      <c r="H28" s="7"/>
    </row>
    <row r="29" spans="5:12" x14ac:dyDescent="0.25">
      <c r="E29" t="s">
        <v>4</v>
      </c>
      <c r="F29" s="7"/>
      <c r="G29" s="7">
        <v>150000</v>
      </c>
      <c r="H29" s="7"/>
    </row>
    <row r="30" spans="5:12" x14ac:dyDescent="0.25">
      <c r="E30" t="s">
        <v>227</v>
      </c>
      <c r="F30" s="7"/>
      <c r="G30" s="7">
        <v>75000</v>
      </c>
      <c r="H30" s="7"/>
    </row>
    <row r="31" spans="5:12" x14ac:dyDescent="0.25">
      <c r="F31" s="7"/>
      <c r="H31" s="7"/>
    </row>
    <row r="32" spans="5:12" ht="15.75" thickBot="1" x14ac:dyDescent="0.3">
      <c r="E32" t="s">
        <v>3</v>
      </c>
      <c r="F32" s="7"/>
      <c r="G32" s="9">
        <f>+G27-G29-G30</f>
        <v>594601.94999999995</v>
      </c>
      <c r="H32" s="7"/>
    </row>
    <row r="33" spans="5:8" ht="15.75" thickTop="1" x14ac:dyDescent="0.25">
      <c r="F33" s="7"/>
      <c r="H33" s="7"/>
    </row>
    <row r="34" spans="5:8" x14ac:dyDescent="0.25">
      <c r="E34" t="s">
        <v>2</v>
      </c>
      <c r="F34" s="7"/>
      <c r="G34" s="7">
        <v>31420</v>
      </c>
      <c r="H34" s="7"/>
    </row>
    <row r="35" spans="5:8" x14ac:dyDescent="0.25">
      <c r="F35" s="7"/>
      <c r="H35" s="7"/>
    </row>
    <row r="36" spans="5:8" x14ac:dyDescent="0.25">
      <c r="E36" t="s">
        <v>1</v>
      </c>
      <c r="F36" s="7"/>
      <c r="G36" s="8">
        <v>0</v>
      </c>
      <c r="H36" s="7"/>
    </row>
    <row r="37" spans="5:8" x14ac:dyDescent="0.25">
      <c r="F37" s="7"/>
      <c r="G37" s="7">
        <f>+G34-G36</f>
        <v>31420</v>
      </c>
      <c r="H37" s="7"/>
    </row>
    <row r="38" spans="5:8" x14ac:dyDescent="0.25">
      <c r="E38" t="s">
        <v>69</v>
      </c>
      <c r="F38" s="7"/>
      <c r="G38" s="8">
        <f>+G37*0.04</f>
        <v>1256.8</v>
      </c>
      <c r="H38" s="7"/>
    </row>
    <row r="39" spans="5:8" x14ac:dyDescent="0.25">
      <c r="F39" s="7"/>
      <c r="G39" s="7">
        <f>+G37+G38</f>
        <v>32676.799999999999</v>
      </c>
      <c r="H39" s="7"/>
    </row>
    <row r="40" spans="5:8" x14ac:dyDescent="0.25">
      <c r="E40" t="s">
        <v>67</v>
      </c>
      <c r="F40" s="7"/>
      <c r="G40" s="8">
        <v>27292</v>
      </c>
      <c r="H40" s="7"/>
    </row>
    <row r="41" spans="5:8" ht="15.75" thickBot="1" x14ac:dyDescent="0.3">
      <c r="E41" t="s">
        <v>228</v>
      </c>
      <c r="F41" s="7"/>
      <c r="G41" s="9">
        <f>+G39-G40</f>
        <v>5384.7999999999993</v>
      </c>
      <c r="H41" s="7"/>
    </row>
    <row r="42" spans="5:8" ht="15.75" thickTop="1" x14ac:dyDescent="0.25"/>
  </sheetData>
  <pageMargins left="0.7" right="0.7" top="0.75" bottom="0.75" header="0.3" footer="0.3"/>
  <pageSetup paperSize="9" scale="5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3"/>
  <sheetViews>
    <sheetView workbookViewId="0">
      <selection activeCell="C5" sqref="C5"/>
    </sheetView>
  </sheetViews>
  <sheetFormatPr defaultRowHeight="15" x14ac:dyDescent="0.25"/>
  <cols>
    <col min="3" max="3" width="11.7109375" bestFit="1" customWidth="1"/>
  </cols>
  <sheetData>
    <row r="3" spans="2:3" x14ac:dyDescent="0.25">
      <c r="B3" t="s">
        <v>107</v>
      </c>
      <c r="C3" s="5">
        <v>2075436.8499999999</v>
      </c>
    </row>
    <row r="4" spans="2:3" x14ac:dyDescent="0.25">
      <c r="C4" s="5">
        <v>510000</v>
      </c>
    </row>
    <row r="5" spans="2:3" x14ac:dyDescent="0.25">
      <c r="C5" s="5">
        <v>305000</v>
      </c>
    </row>
    <row r="6" spans="2:3" x14ac:dyDescent="0.25">
      <c r="C6" s="5"/>
    </row>
    <row r="8" spans="2:3" x14ac:dyDescent="0.25">
      <c r="C8" s="5">
        <f>SUM(C3:C7)</f>
        <v>2890436.8499999996</v>
      </c>
    </row>
    <row r="11" spans="2:3" x14ac:dyDescent="0.25">
      <c r="B11" t="s">
        <v>237</v>
      </c>
      <c r="C11" s="5">
        <f>+C8*0.85</f>
        <v>2456871.3224999998</v>
      </c>
    </row>
    <row r="13" spans="2:3" x14ac:dyDescent="0.25">
      <c r="C13" s="5">
        <f>C8-C11</f>
        <v>433565.52749999985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8"/>
  <sheetViews>
    <sheetView topLeftCell="A15" workbookViewId="0">
      <selection activeCell="C35" sqref="C35"/>
    </sheetView>
  </sheetViews>
  <sheetFormatPr defaultRowHeight="15" x14ac:dyDescent="0.25"/>
  <cols>
    <col min="2" max="2" width="28.28515625" bestFit="1" customWidth="1"/>
    <col min="3" max="3" width="10.42578125" bestFit="1" customWidth="1"/>
    <col min="4" max="4" width="11" bestFit="1" customWidth="1"/>
    <col min="5" max="5" width="15.85546875" bestFit="1" customWidth="1"/>
    <col min="7" max="7" width="11" bestFit="1" customWidth="1"/>
  </cols>
  <sheetData>
    <row r="2" spans="2:7" x14ac:dyDescent="0.25">
      <c r="B2" s="32"/>
      <c r="C2" s="107" t="s">
        <v>165</v>
      </c>
      <c r="D2" s="111"/>
      <c r="E2" s="68"/>
      <c r="F2" s="107" t="s">
        <v>165</v>
      </c>
      <c r="G2" s="107"/>
    </row>
    <row r="3" spans="2:7" x14ac:dyDescent="0.25">
      <c r="B3" s="69" t="s">
        <v>73</v>
      </c>
      <c r="C3" s="108" t="s">
        <v>166</v>
      </c>
      <c r="D3" s="112"/>
      <c r="E3" s="70" t="s">
        <v>73</v>
      </c>
      <c r="F3" s="108" t="s">
        <v>166</v>
      </c>
      <c r="G3" s="108"/>
    </row>
    <row r="4" spans="2:7" x14ac:dyDescent="0.25">
      <c r="B4" s="34" t="s">
        <v>167</v>
      </c>
      <c r="C4" s="71"/>
      <c r="D4" s="72">
        <v>103082.08</v>
      </c>
      <c r="E4" s="37" t="s">
        <v>168</v>
      </c>
      <c r="F4" s="35"/>
      <c r="G4" s="36">
        <v>2565812</v>
      </c>
    </row>
    <row r="5" spans="2:7" x14ac:dyDescent="0.25">
      <c r="B5" s="38" t="s">
        <v>169</v>
      </c>
      <c r="C5" s="42">
        <v>103082.08</v>
      </c>
      <c r="D5" s="73"/>
      <c r="E5" s="38" t="s">
        <v>170</v>
      </c>
      <c r="F5" s="39">
        <v>847111</v>
      </c>
      <c r="G5" s="40"/>
    </row>
    <row r="6" spans="2:7" x14ac:dyDescent="0.25">
      <c r="B6" s="34" t="s">
        <v>171</v>
      </c>
      <c r="C6" s="74"/>
      <c r="D6" s="75">
        <v>335855.73</v>
      </c>
      <c r="E6" s="38" t="s">
        <v>172</v>
      </c>
      <c r="F6" s="39">
        <v>719789</v>
      </c>
      <c r="G6" s="40"/>
    </row>
    <row r="7" spans="2:7" x14ac:dyDescent="0.25">
      <c r="B7" s="38" t="s">
        <v>173</v>
      </c>
      <c r="C7" s="42">
        <v>335855.73</v>
      </c>
      <c r="D7" s="73"/>
      <c r="E7" s="38" t="s">
        <v>174</v>
      </c>
      <c r="F7" s="39">
        <v>11310</v>
      </c>
      <c r="G7" s="40"/>
    </row>
    <row r="8" spans="2:7" x14ac:dyDescent="0.25">
      <c r="B8" s="34" t="s">
        <v>74</v>
      </c>
      <c r="C8" s="74"/>
      <c r="D8" s="73"/>
      <c r="E8" s="38" t="s">
        <v>175</v>
      </c>
      <c r="F8" s="42">
        <v>987602</v>
      </c>
      <c r="G8" s="40"/>
    </row>
    <row r="9" spans="2:7" x14ac:dyDescent="0.25">
      <c r="B9" s="76" t="s">
        <v>176</v>
      </c>
      <c r="C9" s="74"/>
      <c r="D9" s="77">
        <v>2427616.19</v>
      </c>
      <c r="E9" s="44" t="s">
        <v>137</v>
      </c>
      <c r="F9" s="35"/>
      <c r="G9" s="36">
        <v>300742</v>
      </c>
    </row>
    <row r="10" spans="2:7" x14ac:dyDescent="0.25">
      <c r="B10" s="35"/>
      <c r="C10" s="78"/>
      <c r="D10" s="49"/>
      <c r="E10" s="38" t="s">
        <v>169</v>
      </c>
      <c r="F10" s="42">
        <v>300742</v>
      </c>
      <c r="G10" s="40"/>
    </row>
    <row r="11" spans="2:7" x14ac:dyDescent="0.25">
      <c r="B11" s="34" t="s">
        <v>77</v>
      </c>
      <c r="C11" s="74"/>
      <c r="D11" s="75">
        <v>2015465.58</v>
      </c>
      <c r="E11" s="35"/>
      <c r="F11" s="78">
        <v>2866554</v>
      </c>
      <c r="G11" s="49"/>
    </row>
    <row r="12" spans="2:7" x14ac:dyDescent="0.25">
      <c r="B12" s="38" t="s">
        <v>177</v>
      </c>
      <c r="C12" s="85">
        <v>10500</v>
      </c>
      <c r="D12" s="73"/>
      <c r="E12" s="79" t="s">
        <v>178</v>
      </c>
      <c r="F12" s="35"/>
      <c r="G12" s="80">
        <v>2427616.19</v>
      </c>
    </row>
    <row r="13" spans="2:7" x14ac:dyDescent="0.25">
      <c r="B13" s="38" t="s">
        <v>179</v>
      </c>
      <c r="C13" s="85">
        <v>8539</v>
      </c>
      <c r="D13" s="73"/>
      <c r="E13" s="49"/>
      <c r="F13" s="49"/>
      <c r="G13" s="49"/>
    </row>
    <row r="14" spans="2:7" x14ac:dyDescent="0.25">
      <c r="B14" s="38" t="s">
        <v>180</v>
      </c>
      <c r="C14" s="85">
        <v>46863</v>
      </c>
      <c r="D14" s="73"/>
      <c r="E14" s="49"/>
      <c r="F14" s="49"/>
      <c r="G14" s="49"/>
    </row>
    <row r="15" spans="2:7" x14ac:dyDescent="0.25">
      <c r="B15" s="38" t="s">
        <v>181</v>
      </c>
      <c r="C15" s="85">
        <v>42092</v>
      </c>
      <c r="D15" s="73"/>
      <c r="E15" s="49"/>
      <c r="F15" s="49"/>
      <c r="G15" s="49"/>
    </row>
    <row r="16" spans="2:7" x14ac:dyDescent="0.25">
      <c r="B16" s="38" t="s">
        <v>75</v>
      </c>
      <c r="C16" s="85">
        <v>137841</v>
      </c>
      <c r="D16" s="73"/>
      <c r="E16" s="49"/>
      <c r="F16" s="49"/>
      <c r="G16" s="49"/>
    </row>
    <row r="17" spans="2:7" x14ac:dyDescent="0.25">
      <c r="B17" s="38" t="s">
        <v>182</v>
      </c>
      <c r="C17" s="85">
        <v>59870</v>
      </c>
      <c r="D17" s="73"/>
      <c r="E17" s="49"/>
      <c r="F17" s="49"/>
      <c r="G17" s="49"/>
    </row>
    <row r="18" spans="2:7" x14ac:dyDescent="0.25">
      <c r="B18" s="38" t="s">
        <v>183</v>
      </c>
      <c r="C18" s="85">
        <v>102233</v>
      </c>
      <c r="D18" s="73"/>
      <c r="E18" s="49"/>
      <c r="F18" s="49"/>
      <c r="G18" s="49"/>
    </row>
    <row r="19" spans="2:7" x14ac:dyDescent="0.25">
      <c r="B19" s="38" t="s">
        <v>184</v>
      </c>
      <c r="C19" s="85">
        <v>27448</v>
      </c>
      <c r="D19" s="73"/>
      <c r="E19" s="49"/>
      <c r="F19" s="49"/>
      <c r="G19" s="49"/>
    </row>
    <row r="20" spans="2:7" x14ac:dyDescent="0.25">
      <c r="B20" s="38" t="s">
        <v>185</v>
      </c>
      <c r="C20" s="87">
        <v>26684</v>
      </c>
      <c r="D20" s="73"/>
      <c r="E20" s="49"/>
      <c r="F20" s="49"/>
      <c r="G20" s="49"/>
    </row>
    <row r="21" spans="2:7" x14ac:dyDescent="0.25">
      <c r="B21" s="38" t="s">
        <v>76</v>
      </c>
      <c r="C21" s="85">
        <v>536298.57999999996</v>
      </c>
      <c r="D21" s="73"/>
      <c r="E21" s="49"/>
      <c r="F21" s="49"/>
      <c r="G21" s="49"/>
    </row>
    <row r="22" spans="2:7" x14ac:dyDescent="0.25">
      <c r="B22" s="38" t="s">
        <v>186</v>
      </c>
      <c r="C22" s="85">
        <v>59541</v>
      </c>
      <c r="D22" s="73"/>
      <c r="E22" s="49"/>
      <c r="F22" s="49"/>
      <c r="G22" s="49"/>
    </row>
    <row r="23" spans="2:7" x14ac:dyDescent="0.25">
      <c r="B23" s="38" t="s">
        <v>187</v>
      </c>
      <c r="C23" s="48">
        <v>182669</v>
      </c>
      <c r="D23" s="73"/>
      <c r="E23" s="49"/>
      <c r="F23" s="49"/>
      <c r="G23" s="49"/>
    </row>
    <row r="24" spans="2:7" x14ac:dyDescent="0.25">
      <c r="B24" s="38" t="s">
        <v>188</v>
      </c>
      <c r="C24" s="85">
        <v>144000</v>
      </c>
      <c r="D24" s="73"/>
      <c r="E24" s="49"/>
      <c r="F24" s="49"/>
      <c r="G24" s="49"/>
    </row>
    <row r="25" spans="2:7" x14ac:dyDescent="0.25">
      <c r="B25" s="38" t="s">
        <v>189</v>
      </c>
      <c r="C25" s="87">
        <v>564000</v>
      </c>
      <c r="D25" s="73"/>
      <c r="E25" s="49"/>
      <c r="F25" s="49"/>
      <c r="G25" s="49"/>
    </row>
    <row r="26" spans="2:7" x14ac:dyDescent="0.25">
      <c r="B26" s="38" t="s">
        <v>190</v>
      </c>
      <c r="C26" s="87">
        <v>59927</v>
      </c>
      <c r="D26" s="73"/>
      <c r="E26" s="49"/>
      <c r="F26" s="49"/>
      <c r="G26" s="49"/>
    </row>
    <row r="27" spans="2:7" x14ac:dyDescent="0.25">
      <c r="B27" s="38" t="s">
        <v>191</v>
      </c>
      <c r="C27" s="86">
        <v>6960</v>
      </c>
      <c r="D27" s="73"/>
      <c r="E27" s="49"/>
      <c r="F27" s="49"/>
      <c r="G27" s="49"/>
    </row>
    <row r="28" spans="2:7" x14ac:dyDescent="0.25">
      <c r="B28" s="76" t="s">
        <v>192</v>
      </c>
      <c r="C28" s="74"/>
      <c r="D28" s="77">
        <v>412150.61</v>
      </c>
      <c r="E28" s="49"/>
      <c r="F28" s="49"/>
      <c r="G28" s="49"/>
    </row>
    <row r="29" spans="2:7" x14ac:dyDescent="0.25">
      <c r="B29" s="81" t="s">
        <v>151</v>
      </c>
      <c r="C29" s="82"/>
      <c r="D29" s="83">
        <v>2427616.19</v>
      </c>
      <c r="E29" s="84" t="s">
        <v>151</v>
      </c>
      <c r="F29" s="82"/>
      <c r="G29" s="78">
        <v>2427616.19</v>
      </c>
    </row>
    <row r="34" spans="2:3" x14ac:dyDescent="0.25">
      <c r="B34" s="38" t="s">
        <v>187</v>
      </c>
      <c r="C34" s="48">
        <v>182669</v>
      </c>
    </row>
    <row r="35" spans="2:3" x14ac:dyDescent="0.25">
      <c r="B35" s="20" t="s">
        <v>86</v>
      </c>
      <c r="C35" s="88">
        <f>+C34-C36-C37-C38</f>
        <v>112939</v>
      </c>
    </row>
    <row r="36" spans="2:3" x14ac:dyDescent="0.25">
      <c r="B36" s="20" t="s">
        <v>89</v>
      </c>
      <c r="C36">
        <v>16250</v>
      </c>
    </row>
    <row r="37" spans="2:3" x14ac:dyDescent="0.25">
      <c r="B37" s="20" t="s">
        <v>90</v>
      </c>
      <c r="C37">
        <v>7860</v>
      </c>
    </row>
    <row r="38" spans="2:3" x14ac:dyDescent="0.25">
      <c r="B38" s="20" t="s">
        <v>92</v>
      </c>
      <c r="C38">
        <v>45620</v>
      </c>
    </row>
  </sheetData>
  <mergeCells count="4">
    <mergeCell ref="C2:D2"/>
    <mergeCell ref="F2:G2"/>
    <mergeCell ref="C3:D3"/>
    <mergeCell ref="F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16" sqref="D16"/>
    </sheetView>
  </sheetViews>
  <sheetFormatPr defaultRowHeight="15" x14ac:dyDescent="0.25"/>
  <cols>
    <col min="1" max="1" width="20" bestFit="1" customWidth="1"/>
    <col min="2" max="2" width="11" bestFit="1" customWidth="1"/>
    <col min="3" max="3" width="10.5703125" bestFit="1" customWidth="1"/>
    <col min="4" max="4" width="23.42578125" bestFit="1" customWidth="1"/>
    <col min="5" max="5" width="11" bestFit="1" customWidth="1"/>
    <col min="6" max="6" width="10.5703125" bestFit="1" customWidth="1"/>
    <col min="257" max="257" width="20" bestFit="1" customWidth="1"/>
    <col min="258" max="258" width="11" bestFit="1" customWidth="1"/>
    <col min="259" max="259" width="10.5703125" bestFit="1" customWidth="1"/>
    <col min="260" max="260" width="23.42578125" bestFit="1" customWidth="1"/>
    <col min="261" max="261" width="11" bestFit="1" customWidth="1"/>
    <col min="262" max="262" width="10.5703125" bestFit="1" customWidth="1"/>
    <col min="513" max="513" width="20" bestFit="1" customWidth="1"/>
    <col min="514" max="514" width="11" bestFit="1" customWidth="1"/>
    <col min="515" max="515" width="10.5703125" bestFit="1" customWidth="1"/>
    <col min="516" max="516" width="23.42578125" bestFit="1" customWidth="1"/>
    <col min="517" max="517" width="11" bestFit="1" customWidth="1"/>
    <col min="518" max="518" width="10.5703125" bestFit="1" customWidth="1"/>
    <col min="769" max="769" width="20" bestFit="1" customWidth="1"/>
    <col min="770" max="770" width="11" bestFit="1" customWidth="1"/>
    <col min="771" max="771" width="10.5703125" bestFit="1" customWidth="1"/>
    <col min="772" max="772" width="23.42578125" bestFit="1" customWidth="1"/>
    <col min="773" max="773" width="11" bestFit="1" customWidth="1"/>
    <col min="774" max="774" width="10.5703125" bestFit="1" customWidth="1"/>
    <col min="1025" max="1025" width="20" bestFit="1" customWidth="1"/>
    <col min="1026" max="1026" width="11" bestFit="1" customWidth="1"/>
    <col min="1027" max="1027" width="10.5703125" bestFit="1" customWidth="1"/>
    <col min="1028" max="1028" width="23.42578125" bestFit="1" customWidth="1"/>
    <col min="1029" max="1029" width="11" bestFit="1" customWidth="1"/>
    <col min="1030" max="1030" width="10.5703125" bestFit="1" customWidth="1"/>
    <col min="1281" max="1281" width="20" bestFit="1" customWidth="1"/>
    <col min="1282" max="1282" width="11" bestFit="1" customWidth="1"/>
    <col min="1283" max="1283" width="10.5703125" bestFit="1" customWidth="1"/>
    <col min="1284" max="1284" width="23.42578125" bestFit="1" customWidth="1"/>
    <col min="1285" max="1285" width="11" bestFit="1" customWidth="1"/>
    <col min="1286" max="1286" width="10.5703125" bestFit="1" customWidth="1"/>
    <col min="1537" max="1537" width="20" bestFit="1" customWidth="1"/>
    <col min="1538" max="1538" width="11" bestFit="1" customWidth="1"/>
    <col min="1539" max="1539" width="10.5703125" bestFit="1" customWidth="1"/>
    <col min="1540" max="1540" width="23.42578125" bestFit="1" customWidth="1"/>
    <col min="1541" max="1541" width="11" bestFit="1" customWidth="1"/>
    <col min="1542" max="1542" width="10.5703125" bestFit="1" customWidth="1"/>
    <col min="1793" max="1793" width="20" bestFit="1" customWidth="1"/>
    <col min="1794" max="1794" width="11" bestFit="1" customWidth="1"/>
    <col min="1795" max="1795" width="10.5703125" bestFit="1" customWidth="1"/>
    <col min="1796" max="1796" width="23.42578125" bestFit="1" customWidth="1"/>
    <col min="1797" max="1797" width="11" bestFit="1" customWidth="1"/>
    <col min="1798" max="1798" width="10.5703125" bestFit="1" customWidth="1"/>
    <col min="2049" max="2049" width="20" bestFit="1" customWidth="1"/>
    <col min="2050" max="2050" width="11" bestFit="1" customWidth="1"/>
    <col min="2051" max="2051" width="10.5703125" bestFit="1" customWidth="1"/>
    <col min="2052" max="2052" width="23.42578125" bestFit="1" customWidth="1"/>
    <col min="2053" max="2053" width="11" bestFit="1" customWidth="1"/>
    <col min="2054" max="2054" width="10.5703125" bestFit="1" customWidth="1"/>
    <col min="2305" max="2305" width="20" bestFit="1" customWidth="1"/>
    <col min="2306" max="2306" width="11" bestFit="1" customWidth="1"/>
    <col min="2307" max="2307" width="10.5703125" bestFit="1" customWidth="1"/>
    <col min="2308" max="2308" width="23.42578125" bestFit="1" customWidth="1"/>
    <col min="2309" max="2309" width="11" bestFit="1" customWidth="1"/>
    <col min="2310" max="2310" width="10.5703125" bestFit="1" customWidth="1"/>
    <col min="2561" max="2561" width="20" bestFit="1" customWidth="1"/>
    <col min="2562" max="2562" width="11" bestFit="1" customWidth="1"/>
    <col min="2563" max="2563" width="10.5703125" bestFit="1" customWidth="1"/>
    <col min="2564" max="2564" width="23.42578125" bestFit="1" customWidth="1"/>
    <col min="2565" max="2565" width="11" bestFit="1" customWidth="1"/>
    <col min="2566" max="2566" width="10.5703125" bestFit="1" customWidth="1"/>
    <col min="2817" max="2817" width="20" bestFit="1" customWidth="1"/>
    <col min="2818" max="2818" width="11" bestFit="1" customWidth="1"/>
    <col min="2819" max="2819" width="10.5703125" bestFit="1" customWidth="1"/>
    <col min="2820" max="2820" width="23.42578125" bestFit="1" customWidth="1"/>
    <col min="2821" max="2821" width="11" bestFit="1" customWidth="1"/>
    <col min="2822" max="2822" width="10.5703125" bestFit="1" customWidth="1"/>
    <col min="3073" max="3073" width="20" bestFit="1" customWidth="1"/>
    <col min="3074" max="3074" width="11" bestFit="1" customWidth="1"/>
    <col min="3075" max="3075" width="10.5703125" bestFit="1" customWidth="1"/>
    <col min="3076" max="3076" width="23.42578125" bestFit="1" customWidth="1"/>
    <col min="3077" max="3077" width="11" bestFit="1" customWidth="1"/>
    <col min="3078" max="3078" width="10.5703125" bestFit="1" customWidth="1"/>
    <col min="3329" max="3329" width="20" bestFit="1" customWidth="1"/>
    <col min="3330" max="3330" width="11" bestFit="1" customWidth="1"/>
    <col min="3331" max="3331" width="10.5703125" bestFit="1" customWidth="1"/>
    <col min="3332" max="3332" width="23.42578125" bestFit="1" customWidth="1"/>
    <col min="3333" max="3333" width="11" bestFit="1" customWidth="1"/>
    <col min="3334" max="3334" width="10.5703125" bestFit="1" customWidth="1"/>
    <col min="3585" max="3585" width="20" bestFit="1" customWidth="1"/>
    <col min="3586" max="3586" width="11" bestFit="1" customWidth="1"/>
    <col min="3587" max="3587" width="10.5703125" bestFit="1" customWidth="1"/>
    <col min="3588" max="3588" width="23.42578125" bestFit="1" customWidth="1"/>
    <col min="3589" max="3589" width="11" bestFit="1" customWidth="1"/>
    <col min="3590" max="3590" width="10.5703125" bestFit="1" customWidth="1"/>
    <col min="3841" max="3841" width="20" bestFit="1" customWidth="1"/>
    <col min="3842" max="3842" width="11" bestFit="1" customWidth="1"/>
    <col min="3843" max="3843" width="10.5703125" bestFit="1" customWidth="1"/>
    <col min="3844" max="3844" width="23.42578125" bestFit="1" customWidth="1"/>
    <col min="3845" max="3845" width="11" bestFit="1" customWidth="1"/>
    <col min="3846" max="3846" width="10.5703125" bestFit="1" customWidth="1"/>
    <col min="4097" max="4097" width="20" bestFit="1" customWidth="1"/>
    <col min="4098" max="4098" width="11" bestFit="1" customWidth="1"/>
    <col min="4099" max="4099" width="10.5703125" bestFit="1" customWidth="1"/>
    <col min="4100" max="4100" width="23.42578125" bestFit="1" customWidth="1"/>
    <col min="4101" max="4101" width="11" bestFit="1" customWidth="1"/>
    <col min="4102" max="4102" width="10.5703125" bestFit="1" customWidth="1"/>
    <col min="4353" max="4353" width="20" bestFit="1" customWidth="1"/>
    <col min="4354" max="4354" width="11" bestFit="1" customWidth="1"/>
    <col min="4355" max="4355" width="10.5703125" bestFit="1" customWidth="1"/>
    <col min="4356" max="4356" width="23.42578125" bestFit="1" customWidth="1"/>
    <col min="4357" max="4357" width="11" bestFit="1" customWidth="1"/>
    <col min="4358" max="4358" width="10.5703125" bestFit="1" customWidth="1"/>
    <col min="4609" max="4609" width="20" bestFit="1" customWidth="1"/>
    <col min="4610" max="4610" width="11" bestFit="1" customWidth="1"/>
    <col min="4611" max="4611" width="10.5703125" bestFit="1" customWidth="1"/>
    <col min="4612" max="4612" width="23.42578125" bestFit="1" customWidth="1"/>
    <col min="4613" max="4613" width="11" bestFit="1" customWidth="1"/>
    <col min="4614" max="4614" width="10.5703125" bestFit="1" customWidth="1"/>
    <col min="4865" max="4865" width="20" bestFit="1" customWidth="1"/>
    <col min="4866" max="4866" width="11" bestFit="1" customWidth="1"/>
    <col min="4867" max="4867" width="10.5703125" bestFit="1" customWidth="1"/>
    <col min="4868" max="4868" width="23.42578125" bestFit="1" customWidth="1"/>
    <col min="4869" max="4869" width="11" bestFit="1" customWidth="1"/>
    <col min="4870" max="4870" width="10.5703125" bestFit="1" customWidth="1"/>
    <col min="5121" max="5121" width="20" bestFit="1" customWidth="1"/>
    <col min="5122" max="5122" width="11" bestFit="1" customWidth="1"/>
    <col min="5123" max="5123" width="10.5703125" bestFit="1" customWidth="1"/>
    <col min="5124" max="5124" width="23.42578125" bestFit="1" customWidth="1"/>
    <col min="5125" max="5125" width="11" bestFit="1" customWidth="1"/>
    <col min="5126" max="5126" width="10.5703125" bestFit="1" customWidth="1"/>
    <col min="5377" max="5377" width="20" bestFit="1" customWidth="1"/>
    <col min="5378" max="5378" width="11" bestFit="1" customWidth="1"/>
    <col min="5379" max="5379" width="10.5703125" bestFit="1" customWidth="1"/>
    <col min="5380" max="5380" width="23.42578125" bestFit="1" customWidth="1"/>
    <col min="5381" max="5381" width="11" bestFit="1" customWidth="1"/>
    <col min="5382" max="5382" width="10.5703125" bestFit="1" customWidth="1"/>
    <col min="5633" max="5633" width="20" bestFit="1" customWidth="1"/>
    <col min="5634" max="5634" width="11" bestFit="1" customWidth="1"/>
    <col min="5635" max="5635" width="10.5703125" bestFit="1" customWidth="1"/>
    <col min="5636" max="5636" width="23.42578125" bestFit="1" customWidth="1"/>
    <col min="5637" max="5637" width="11" bestFit="1" customWidth="1"/>
    <col min="5638" max="5638" width="10.5703125" bestFit="1" customWidth="1"/>
    <col min="5889" max="5889" width="20" bestFit="1" customWidth="1"/>
    <col min="5890" max="5890" width="11" bestFit="1" customWidth="1"/>
    <col min="5891" max="5891" width="10.5703125" bestFit="1" customWidth="1"/>
    <col min="5892" max="5892" width="23.42578125" bestFit="1" customWidth="1"/>
    <col min="5893" max="5893" width="11" bestFit="1" customWidth="1"/>
    <col min="5894" max="5894" width="10.5703125" bestFit="1" customWidth="1"/>
    <col min="6145" max="6145" width="20" bestFit="1" customWidth="1"/>
    <col min="6146" max="6146" width="11" bestFit="1" customWidth="1"/>
    <col min="6147" max="6147" width="10.5703125" bestFit="1" customWidth="1"/>
    <col min="6148" max="6148" width="23.42578125" bestFit="1" customWidth="1"/>
    <col min="6149" max="6149" width="11" bestFit="1" customWidth="1"/>
    <col min="6150" max="6150" width="10.5703125" bestFit="1" customWidth="1"/>
    <col min="6401" max="6401" width="20" bestFit="1" customWidth="1"/>
    <col min="6402" max="6402" width="11" bestFit="1" customWidth="1"/>
    <col min="6403" max="6403" width="10.5703125" bestFit="1" customWidth="1"/>
    <col min="6404" max="6404" width="23.42578125" bestFit="1" customWidth="1"/>
    <col min="6405" max="6405" width="11" bestFit="1" customWidth="1"/>
    <col min="6406" max="6406" width="10.5703125" bestFit="1" customWidth="1"/>
    <col min="6657" max="6657" width="20" bestFit="1" customWidth="1"/>
    <col min="6658" max="6658" width="11" bestFit="1" customWidth="1"/>
    <col min="6659" max="6659" width="10.5703125" bestFit="1" customWidth="1"/>
    <col min="6660" max="6660" width="23.42578125" bestFit="1" customWidth="1"/>
    <col min="6661" max="6661" width="11" bestFit="1" customWidth="1"/>
    <col min="6662" max="6662" width="10.5703125" bestFit="1" customWidth="1"/>
    <col min="6913" max="6913" width="20" bestFit="1" customWidth="1"/>
    <col min="6914" max="6914" width="11" bestFit="1" customWidth="1"/>
    <col min="6915" max="6915" width="10.5703125" bestFit="1" customWidth="1"/>
    <col min="6916" max="6916" width="23.42578125" bestFit="1" customWidth="1"/>
    <col min="6917" max="6917" width="11" bestFit="1" customWidth="1"/>
    <col min="6918" max="6918" width="10.5703125" bestFit="1" customWidth="1"/>
    <col min="7169" max="7169" width="20" bestFit="1" customWidth="1"/>
    <col min="7170" max="7170" width="11" bestFit="1" customWidth="1"/>
    <col min="7171" max="7171" width="10.5703125" bestFit="1" customWidth="1"/>
    <col min="7172" max="7172" width="23.42578125" bestFit="1" customWidth="1"/>
    <col min="7173" max="7173" width="11" bestFit="1" customWidth="1"/>
    <col min="7174" max="7174" width="10.5703125" bestFit="1" customWidth="1"/>
    <col min="7425" max="7425" width="20" bestFit="1" customWidth="1"/>
    <col min="7426" max="7426" width="11" bestFit="1" customWidth="1"/>
    <col min="7427" max="7427" width="10.5703125" bestFit="1" customWidth="1"/>
    <col min="7428" max="7428" width="23.42578125" bestFit="1" customWidth="1"/>
    <col min="7429" max="7429" width="11" bestFit="1" customWidth="1"/>
    <col min="7430" max="7430" width="10.5703125" bestFit="1" customWidth="1"/>
    <col min="7681" max="7681" width="20" bestFit="1" customWidth="1"/>
    <col min="7682" max="7682" width="11" bestFit="1" customWidth="1"/>
    <col min="7683" max="7683" width="10.5703125" bestFit="1" customWidth="1"/>
    <col min="7684" max="7684" width="23.42578125" bestFit="1" customWidth="1"/>
    <col min="7685" max="7685" width="11" bestFit="1" customWidth="1"/>
    <col min="7686" max="7686" width="10.5703125" bestFit="1" customWidth="1"/>
    <col min="7937" max="7937" width="20" bestFit="1" customWidth="1"/>
    <col min="7938" max="7938" width="11" bestFit="1" customWidth="1"/>
    <col min="7939" max="7939" width="10.5703125" bestFit="1" customWidth="1"/>
    <col min="7940" max="7940" width="23.42578125" bestFit="1" customWidth="1"/>
    <col min="7941" max="7941" width="11" bestFit="1" customWidth="1"/>
    <col min="7942" max="7942" width="10.5703125" bestFit="1" customWidth="1"/>
    <col min="8193" max="8193" width="20" bestFit="1" customWidth="1"/>
    <col min="8194" max="8194" width="11" bestFit="1" customWidth="1"/>
    <col min="8195" max="8195" width="10.5703125" bestFit="1" customWidth="1"/>
    <col min="8196" max="8196" width="23.42578125" bestFit="1" customWidth="1"/>
    <col min="8197" max="8197" width="11" bestFit="1" customWidth="1"/>
    <col min="8198" max="8198" width="10.5703125" bestFit="1" customWidth="1"/>
    <col min="8449" max="8449" width="20" bestFit="1" customWidth="1"/>
    <col min="8450" max="8450" width="11" bestFit="1" customWidth="1"/>
    <col min="8451" max="8451" width="10.5703125" bestFit="1" customWidth="1"/>
    <col min="8452" max="8452" width="23.42578125" bestFit="1" customWidth="1"/>
    <col min="8453" max="8453" width="11" bestFit="1" customWidth="1"/>
    <col min="8454" max="8454" width="10.5703125" bestFit="1" customWidth="1"/>
    <col min="8705" max="8705" width="20" bestFit="1" customWidth="1"/>
    <col min="8706" max="8706" width="11" bestFit="1" customWidth="1"/>
    <col min="8707" max="8707" width="10.5703125" bestFit="1" customWidth="1"/>
    <col min="8708" max="8708" width="23.42578125" bestFit="1" customWidth="1"/>
    <col min="8709" max="8709" width="11" bestFit="1" customWidth="1"/>
    <col min="8710" max="8710" width="10.5703125" bestFit="1" customWidth="1"/>
    <col min="8961" max="8961" width="20" bestFit="1" customWidth="1"/>
    <col min="8962" max="8962" width="11" bestFit="1" customWidth="1"/>
    <col min="8963" max="8963" width="10.5703125" bestFit="1" customWidth="1"/>
    <col min="8964" max="8964" width="23.42578125" bestFit="1" customWidth="1"/>
    <col min="8965" max="8965" width="11" bestFit="1" customWidth="1"/>
    <col min="8966" max="8966" width="10.5703125" bestFit="1" customWidth="1"/>
    <col min="9217" max="9217" width="20" bestFit="1" customWidth="1"/>
    <col min="9218" max="9218" width="11" bestFit="1" customWidth="1"/>
    <col min="9219" max="9219" width="10.5703125" bestFit="1" customWidth="1"/>
    <col min="9220" max="9220" width="23.42578125" bestFit="1" customWidth="1"/>
    <col min="9221" max="9221" width="11" bestFit="1" customWidth="1"/>
    <col min="9222" max="9222" width="10.5703125" bestFit="1" customWidth="1"/>
    <col min="9473" max="9473" width="20" bestFit="1" customWidth="1"/>
    <col min="9474" max="9474" width="11" bestFit="1" customWidth="1"/>
    <col min="9475" max="9475" width="10.5703125" bestFit="1" customWidth="1"/>
    <col min="9476" max="9476" width="23.42578125" bestFit="1" customWidth="1"/>
    <col min="9477" max="9477" width="11" bestFit="1" customWidth="1"/>
    <col min="9478" max="9478" width="10.5703125" bestFit="1" customWidth="1"/>
    <col min="9729" max="9729" width="20" bestFit="1" customWidth="1"/>
    <col min="9730" max="9730" width="11" bestFit="1" customWidth="1"/>
    <col min="9731" max="9731" width="10.5703125" bestFit="1" customWidth="1"/>
    <col min="9732" max="9732" width="23.42578125" bestFit="1" customWidth="1"/>
    <col min="9733" max="9733" width="11" bestFit="1" customWidth="1"/>
    <col min="9734" max="9734" width="10.5703125" bestFit="1" customWidth="1"/>
    <col min="9985" max="9985" width="20" bestFit="1" customWidth="1"/>
    <col min="9986" max="9986" width="11" bestFit="1" customWidth="1"/>
    <col min="9987" max="9987" width="10.5703125" bestFit="1" customWidth="1"/>
    <col min="9988" max="9988" width="23.42578125" bestFit="1" customWidth="1"/>
    <col min="9989" max="9989" width="11" bestFit="1" customWidth="1"/>
    <col min="9990" max="9990" width="10.5703125" bestFit="1" customWidth="1"/>
    <col min="10241" max="10241" width="20" bestFit="1" customWidth="1"/>
    <col min="10242" max="10242" width="11" bestFit="1" customWidth="1"/>
    <col min="10243" max="10243" width="10.5703125" bestFit="1" customWidth="1"/>
    <col min="10244" max="10244" width="23.42578125" bestFit="1" customWidth="1"/>
    <col min="10245" max="10245" width="11" bestFit="1" customWidth="1"/>
    <col min="10246" max="10246" width="10.5703125" bestFit="1" customWidth="1"/>
    <col min="10497" max="10497" width="20" bestFit="1" customWidth="1"/>
    <col min="10498" max="10498" width="11" bestFit="1" customWidth="1"/>
    <col min="10499" max="10499" width="10.5703125" bestFit="1" customWidth="1"/>
    <col min="10500" max="10500" width="23.42578125" bestFit="1" customWidth="1"/>
    <col min="10501" max="10501" width="11" bestFit="1" customWidth="1"/>
    <col min="10502" max="10502" width="10.5703125" bestFit="1" customWidth="1"/>
    <col min="10753" max="10753" width="20" bestFit="1" customWidth="1"/>
    <col min="10754" max="10754" width="11" bestFit="1" customWidth="1"/>
    <col min="10755" max="10755" width="10.5703125" bestFit="1" customWidth="1"/>
    <col min="10756" max="10756" width="23.42578125" bestFit="1" customWidth="1"/>
    <col min="10757" max="10757" width="11" bestFit="1" customWidth="1"/>
    <col min="10758" max="10758" width="10.5703125" bestFit="1" customWidth="1"/>
    <col min="11009" max="11009" width="20" bestFit="1" customWidth="1"/>
    <col min="11010" max="11010" width="11" bestFit="1" customWidth="1"/>
    <col min="11011" max="11011" width="10.5703125" bestFit="1" customWidth="1"/>
    <col min="11012" max="11012" width="23.42578125" bestFit="1" customWidth="1"/>
    <col min="11013" max="11013" width="11" bestFit="1" customWidth="1"/>
    <col min="11014" max="11014" width="10.5703125" bestFit="1" customWidth="1"/>
    <col min="11265" max="11265" width="20" bestFit="1" customWidth="1"/>
    <col min="11266" max="11266" width="11" bestFit="1" customWidth="1"/>
    <col min="11267" max="11267" width="10.5703125" bestFit="1" customWidth="1"/>
    <col min="11268" max="11268" width="23.42578125" bestFit="1" customWidth="1"/>
    <col min="11269" max="11269" width="11" bestFit="1" customWidth="1"/>
    <col min="11270" max="11270" width="10.5703125" bestFit="1" customWidth="1"/>
    <col min="11521" max="11521" width="20" bestFit="1" customWidth="1"/>
    <col min="11522" max="11522" width="11" bestFit="1" customWidth="1"/>
    <col min="11523" max="11523" width="10.5703125" bestFit="1" customWidth="1"/>
    <col min="11524" max="11524" width="23.42578125" bestFit="1" customWidth="1"/>
    <col min="11525" max="11525" width="11" bestFit="1" customWidth="1"/>
    <col min="11526" max="11526" width="10.5703125" bestFit="1" customWidth="1"/>
    <col min="11777" max="11777" width="20" bestFit="1" customWidth="1"/>
    <col min="11778" max="11778" width="11" bestFit="1" customWidth="1"/>
    <col min="11779" max="11779" width="10.5703125" bestFit="1" customWidth="1"/>
    <col min="11780" max="11780" width="23.42578125" bestFit="1" customWidth="1"/>
    <col min="11781" max="11781" width="11" bestFit="1" customWidth="1"/>
    <col min="11782" max="11782" width="10.5703125" bestFit="1" customWidth="1"/>
    <col min="12033" max="12033" width="20" bestFit="1" customWidth="1"/>
    <col min="12034" max="12034" width="11" bestFit="1" customWidth="1"/>
    <col min="12035" max="12035" width="10.5703125" bestFit="1" customWidth="1"/>
    <col min="12036" max="12036" width="23.42578125" bestFit="1" customWidth="1"/>
    <col min="12037" max="12037" width="11" bestFit="1" customWidth="1"/>
    <col min="12038" max="12038" width="10.5703125" bestFit="1" customWidth="1"/>
    <col min="12289" max="12289" width="20" bestFit="1" customWidth="1"/>
    <col min="12290" max="12290" width="11" bestFit="1" customWidth="1"/>
    <col min="12291" max="12291" width="10.5703125" bestFit="1" customWidth="1"/>
    <col min="12292" max="12292" width="23.42578125" bestFit="1" customWidth="1"/>
    <col min="12293" max="12293" width="11" bestFit="1" customWidth="1"/>
    <col min="12294" max="12294" width="10.5703125" bestFit="1" customWidth="1"/>
    <col min="12545" max="12545" width="20" bestFit="1" customWidth="1"/>
    <col min="12546" max="12546" width="11" bestFit="1" customWidth="1"/>
    <col min="12547" max="12547" width="10.5703125" bestFit="1" customWidth="1"/>
    <col min="12548" max="12548" width="23.42578125" bestFit="1" customWidth="1"/>
    <col min="12549" max="12549" width="11" bestFit="1" customWidth="1"/>
    <col min="12550" max="12550" width="10.5703125" bestFit="1" customWidth="1"/>
    <col min="12801" max="12801" width="20" bestFit="1" customWidth="1"/>
    <col min="12802" max="12802" width="11" bestFit="1" customWidth="1"/>
    <col min="12803" max="12803" width="10.5703125" bestFit="1" customWidth="1"/>
    <col min="12804" max="12804" width="23.42578125" bestFit="1" customWidth="1"/>
    <col min="12805" max="12805" width="11" bestFit="1" customWidth="1"/>
    <col min="12806" max="12806" width="10.5703125" bestFit="1" customWidth="1"/>
    <col min="13057" max="13057" width="20" bestFit="1" customWidth="1"/>
    <col min="13058" max="13058" width="11" bestFit="1" customWidth="1"/>
    <col min="13059" max="13059" width="10.5703125" bestFit="1" customWidth="1"/>
    <col min="13060" max="13060" width="23.42578125" bestFit="1" customWidth="1"/>
    <col min="13061" max="13061" width="11" bestFit="1" customWidth="1"/>
    <col min="13062" max="13062" width="10.5703125" bestFit="1" customWidth="1"/>
    <col min="13313" max="13313" width="20" bestFit="1" customWidth="1"/>
    <col min="13314" max="13314" width="11" bestFit="1" customWidth="1"/>
    <col min="13315" max="13315" width="10.5703125" bestFit="1" customWidth="1"/>
    <col min="13316" max="13316" width="23.42578125" bestFit="1" customWidth="1"/>
    <col min="13317" max="13317" width="11" bestFit="1" customWidth="1"/>
    <col min="13318" max="13318" width="10.5703125" bestFit="1" customWidth="1"/>
    <col min="13569" max="13569" width="20" bestFit="1" customWidth="1"/>
    <col min="13570" max="13570" width="11" bestFit="1" customWidth="1"/>
    <col min="13571" max="13571" width="10.5703125" bestFit="1" customWidth="1"/>
    <col min="13572" max="13572" width="23.42578125" bestFit="1" customWidth="1"/>
    <col min="13573" max="13573" width="11" bestFit="1" customWidth="1"/>
    <col min="13574" max="13574" width="10.5703125" bestFit="1" customWidth="1"/>
    <col min="13825" max="13825" width="20" bestFit="1" customWidth="1"/>
    <col min="13826" max="13826" width="11" bestFit="1" customWidth="1"/>
    <col min="13827" max="13827" width="10.5703125" bestFit="1" customWidth="1"/>
    <col min="13828" max="13828" width="23.42578125" bestFit="1" customWidth="1"/>
    <col min="13829" max="13829" width="11" bestFit="1" customWidth="1"/>
    <col min="13830" max="13830" width="10.5703125" bestFit="1" customWidth="1"/>
    <col min="14081" max="14081" width="20" bestFit="1" customWidth="1"/>
    <col min="14082" max="14082" width="11" bestFit="1" customWidth="1"/>
    <col min="14083" max="14083" width="10.5703125" bestFit="1" customWidth="1"/>
    <col min="14084" max="14084" width="23.42578125" bestFit="1" customWidth="1"/>
    <col min="14085" max="14085" width="11" bestFit="1" customWidth="1"/>
    <col min="14086" max="14086" width="10.5703125" bestFit="1" customWidth="1"/>
    <col min="14337" max="14337" width="20" bestFit="1" customWidth="1"/>
    <col min="14338" max="14338" width="11" bestFit="1" customWidth="1"/>
    <col min="14339" max="14339" width="10.5703125" bestFit="1" customWidth="1"/>
    <col min="14340" max="14340" width="23.42578125" bestFit="1" customWidth="1"/>
    <col min="14341" max="14341" width="11" bestFit="1" customWidth="1"/>
    <col min="14342" max="14342" width="10.5703125" bestFit="1" customWidth="1"/>
    <col min="14593" max="14593" width="20" bestFit="1" customWidth="1"/>
    <col min="14594" max="14594" width="11" bestFit="1" customWidth="1"/>
    <col min="14595" max="14595" width="10.5703125" bestFit="1" customWidth="1"/>
    <col min="14596" max="14596" width="23.42578125" bestFit="1" customWidth="1"/>
    <col min="14597" max="14597" width="11" bestFit="1" customWidth="1"/>
    <col min="14598" max="14598" width="10.5703125" bestFit="1" customWidth="1"/>
    <col min="14849" max="14849" width="20" bestFit="1" customWidth="1"/>
    <col min="14850" max="14850" width="11" bestFit="1" customWidth="1"/>
    <col min="14851" max="14851" width="10.5703125" bestFit="1" customWidth="1"/>
    <col min="14852" max="14852" width="23.42578125" bestFit="1" customWidth="1"/>
    <col min="14853" max="14853" width="11" bestFit="1" customWidth="1"/>
    <col min="14854" max="14854" width="10.5703125" bestFit="1" customWidth="1"/>
    <col min="15105" max="15105" width="20" bestFit="1" customWidth="1"/>
    <col min="15106" max="15106" width="11" bestFit="1" customWidth="1"/>
    <col min="15107" max="15107" width="10.5703125" bestFit="1" customWidth="1"/>
    <col min="15108" max="15108" width="23.42578125" bestFit="1" customWidth="1"/>
    <col min="15109" max="15109" width="11" bestFit="1" customWidth="1"/>
    <col min="15110" max="15110" width="10.5703125" bestFit="1" customWidth="1"/>
    <col min="15361" max="15361" width="20" bestFit="1" customWidth="1"/>
    <col min="15362" max="15362" width="11" bestFit="1" customWidth="1"/>
    <col min="15363" max="15363" width="10.5703125" bestFit="1" customWidth="1"/>
    <col min="15364" max="15364" width="23.42578125" bestFit="1" customWidth="1"/>
    <col min="15365" max="15365" width="11" bestFit="1" customWidth="1"/>
    <col min="15366" max="15366" width="10.5703125" bestFit="1" customWidth="1"/>
    <col min="15617" max="15617" width="20" bestFit="1" customWidth="1"/>
    <col min="15618" max="15618" width="11" bestFit="1" customWidth="1"/>
    <col min="15619" max="15619" width="10.5703125" bestFit="1" customWidth="1"/>
    <col min="15620" max="15620" width="23.42578125" bestFit="1" customWidth="1"/>
    <col min="15621" max="15621" width="11" bestFit="1" customWidth="1"/>
    <col min="15622" max="15622" width="10.5703125" bestFit="1" customWidth="1"/>
    <col min="15873" max="15873" width="20" bestFit="1" customWidth="1"/>
    <col min="15874" max="15874" width="11" bestFit="1" customWidth="1"/>
    <col min="15875" max="15875" width="10.5703125" bestFit="1" customWidth="1"/>
    <col min="15876" max="15876" width="23.42578125" bestFit="1" customWidth="1"/>
    <col min="15877" max="15877" width="11" bestFit="1" customWidth="1"/>
    <col min="15878" max="15878" width="10.5703125" bestFit="1" customWidth="1"/>
    <col min="16129" max="16129" width="20" bestFit="1" customWidth="1"/>
    <col min="16130" max="16130" width="11" bestFit="1" customWidth="1"/>
    <col min="16131" max="16131" width="10.5703125" bestFit="1" customWidth="1"/>
    <col min="16132" max="16132" width="23.42578125" bestFit="1" customWidth="1"/>
    <col min="16133" max="16133" width="11" bestFit="1" customWidth="1"/>
    <col min="16134" max="16134" width="10.5703125" bestFit="1" customWidth="1"/>
  </cols>
  <sheetData>
    <row r="1" spans="1:6" x14ac:dyDescent="0.25">
      <c r="A1" s="32"/>
      <c r="B1" s="107" t="s">
        <v>104</v>
      </c>
      <c r="C1" s="107"/>
      <c r="D1" s="32"/>
      <c r="E1" s="107" t="s">
        <v>104</v>
      </c>
      <c r="F1" s="107"/>
    </row>
    <row r="2" spans="1:6" x14ac:dyDescent="0.25">
      <c r="A2" s="33" t="s">
        <v>105</v>
      </c>
      <c r="B2" s="108" t="s">
        <v>106</v>
      </c>
      <c r="C2" s="108"/>
      <c r="D2" s="33" t="s">
        <v>107</v>
      </c>
      <c r="E2" s="108" t="s">
        <v>106</v>
      </c>
      <c r="F2" s="108"/>
    </row>
    <row r="3" spans="1:6" x14ac:dyDescent="0.25">
      <c r="A3" s="34" t="s">
        <v>108</v>
      </c>
      <c r="B3" s="35"/>
      <c r="C3" s="36">
        <v>1037724.42</v>
      </c>
      <c r="D3" s="37" t="s">
        <v>109</v>
      </c>
      <c r="E3" s="35"/>
      <c r="F3" s="36">
        <v>2174502</v>
      </c>
    </row>
    <row r="4" spans="1:6" x14ac:dyDescent="0.25">
      <c r="A4" s="38" t="s">
        <v>110</v>
      </c>
      <c r="B4" s="39">
        <v>1221349.42</v>
      </c>
      <c r="C4" s="40"/>
      <c r="D4" s="41" t="s">
        <v>111</v>
      </c>
      <c r="E4" s="39">
        <v>-118253</v>
      </c>
      <c r="F4" s="40"/>
    </row>
    <row r="5" spans="1:6" x14ac:dyDescent="0.25">
      <c r="A5" s="38" t="s">
        <v>112</v>
      </c>
      <c r="B5" s="39">
        <v>-85135</v>
      </c>
      <c r="C5" s="40"/>
      <c r="D5" s="41" t="s">
        <v>113</v>
      </c>
      <c r="E5" s="39">
        <v>7722</v>
      </c>
      <c r="F5" s="40"/>
    </row>
    <row r="6" spans="1:6" x14ac:dyDescent="0.25">
      <c r="A6" s="38" t="s">
        <v>114</v>
      </c>
      <c r="B6" s="39">
        <v>-114960</v>
      </c>
      <c r="C6" s="40"/>
      <c r="D6" s="41" t="s">
        <v>115</v>
      </c>
      <c r="E6" s="39">
        <v>1164</v>
      </c>
      <c r="F6" s="40"/>
    </row>
    <row r="7" spans="1:6" x14ac:dyDescent="0.25">
      <c r="A7" s="38" t="s">
        <v>116</v>
      </c>
      <c r="B7" s="42">
        <v>16470</v>
      </c>
      <c r="C7" s="40"/>
      <c r="D7" s="41" t="s">
        <v>117</v>
      </c>
      <c r="E7" s="39">
        <v>7</v>
      </c>
      <c r="F7" s="40"/>
    </row>
    <row r="8" spans="1:6" x14ac:dyDescent="0.25">
      <c r="A8" s="34" t="s">
        <v>118</v>
      </c>
      <c r="B8" s="35"/>
      <c r="C8" s="36">
        <v>1099680.47</v>
      </c>
      <c r="D8" s="41" t="s">
        <v>119</v>
      </c>
      <c r="E8" s="39">
        <v>34207</v>
      </c>
      <c r="F8" s="40"/>
    </row>
    <row r="9" spans="1:6" x14ac:dyDescent="0.25">
      <c r="A9" s="43" t="s">
        <v>120</v>
      </c>
      <c r="B9" s="39">
        <v>348339.47</v>
      </c>
      <c r="C9" s="40"/>
      <c r="D9" s="41" t="s">
        <v>121</v>
      </c>
      <c r="E9" s="39">
        <v>550440</v>
      </c>
      <c r="F9" s="40"/>
    </row>
    <row r="10" spans="1:6" x14ac:dyDescent="0.25">
      <c r="A10" s="43" t="s">
        <v>122</v>
      </c>
      <c r="B10" s="39">
        <v>465461</v>
      </c>
      <c r="C10" s="40"/>
      <c r="D10" s="41" t="s">
        <v>123</v>
      </c>
      <c r="E10" s="39">
        <v>10984</v>
      </c>
      <c r="F10" s="40"/>
    </row>
    <row r="11" spans="1:6" x14ac:dyDescent="0.25">
      <c r="A11" s="43" t="s">
        <v>124</v>
      </c>
      <c r="B11" s="42">
        <v>285880</v>
      </c>
      <c r="C11" s="40"/>
      <c r="D11" s="41" t="s">
        <v>125</v>
      </c>
      <c r="E11" s="39">
        <v>218776</v>
      </c>
      <c r="F11" s="40"/>
    </row>
    <row r="12" spans="1:6" x14ac:dyDescent="0.25">
      <c r="A12" s="34" t="s">
        <v>126</v>
      </c>
      <c r="B12" s="35"/>
      <c r="C12" s="36">
        <v>378397.11</v>
      </c>
      <c r="D12" s="41" t="s">
        <v>127</v>
      </c>
      <c r="E12" s="39">
        <v>1389920</v>
      </c>
      <c r="F12" s="40"/>
    </row>
    <row r="13" spans="1:6" x14ac:dyDescent="0.25">
      <c r="A13" s="43" t="s">
        <v>128</v>
      </c>
      <c r="B13" s="39">
        <v>6224</v>
      </c>
      <c r="C13" s="40"/>
      <c r="D13" s="41" t="s">
        <v>129</v>
      </c>
      <c r="E13" s="39">
        <v>21051</v>
      </c>
      <c r="F13" s="40"/>
    </row>
    <row r="14" spans="1:6" x14ac:dyDescent="0.25">
      <c r="A14" s="43" t="s">
        <v>130</v>
      </c>
      <c r="B14" s="39">
        <v>10500</v>
      </c>
      <c r="C14" s="40"/>
      <c r="D14" s="41" t="s">
        <v>131</v>
      </c>
      <c r="E14" s="39">
        <v>45932</v>
      </c>
      <c r="F14" s="40"/>
    </row>
    <row r="15" spans="1:6" x14ac:dyDescent="0.25">
      <c r="A15" s="43" t="s">
        <v>132</v>
      </c>
      <c r="B15" s="42">
        <v>361673.11</v>
      </c>
      <c r="C15" s="40"/>
      <c r="D15" s="41" t="s">
        <v>133</v>
      </c>
      <c r="E15" s="42">
        <v>12552</v>
      </c>
      <c r="F15" s="40"/>
    </row>
    <row r="16" spans="1:6" x14ac:dyDescent="0.25">
      <c r="A16" s="34" t="s">
        <v>134</v>
      </c>
      <c r="B16" s="35"/>
      <c r="C16" s="40"/>
      <c r="D16" s="44" t="s">
        <v>135</v>
      </c>
      <c r="E16" s="35"/>
      <c r="F16" s="36">
        <v>703173.76</v>
      </c>
    </row>
    <row r="17" spans="1:6" x14ac:dyDescent="0.25">
      <c r="A17" s="38" t="s">
        <v>136</v>
      </c>
      <c r="B17" s="35"/>
      <c r="C17" s="40"/>
      <c r="D17" s="41" t="s">
        <v>137</v>
      </c>
      <c r="E17" s="39">
        <v>103082.08</v>
      </c>
      <c r="F17" s="40"/>
    </row>
    <row r="18" spans="1:6" x14ac:dyDescent="0.25">
      <c r="A18" s="38" t="s">
        <v>138</v>
      </c>
      <c r="B18" s="35"/>
      <c r="C18" s="40"/>
      <c r="D18" s="45" t="s">
        <v>139</v>
      </c>
      <c r="E18" s="39">
        <v>533593.53</v>
      </c>
      <c r="F18" s="40"/>
    </row>
    <row r="19" spans="1:6" x14ac:dyDescent="0.25">
      <c r="A19" s="38" t="s">
        <v>140</v>
      </c>
      <c r="B19" s="35"/>
      <c r="C19" s="40"/>
      <c r="D19" s="45" t="s">
        <v>141</v>
      </c>
      <c r="E19" s="39">
        <v>27753.72</v>
      </c>
      <c r="F19" s="40"/>
    </row>
    <row r="20" spans="1:6" x14ac:dyDescent="0.25">
      <c r="A20" s="38" t="s">
        <v>142</v>
      </c>
      <c r="B20" s="35"/>
      <c r="C20" s="40"/>
      <c r="D20" s="45" t="s">
        <v>143</v>
      </c>
      <c r="E20" s="39">
        <v>16744.43</v>
      </c>
      <c r="F20" s="40"/>
    </row>
    <row r="21" spans="1:6" x14ac:dyDescent="0.25">
      <c r="A21" s="38" t="s">
        <v>144</v>
      </c>
      <c r="B21" s="46"/>
      <c r="C21" s="40"/>
      <c r="D21" s="41" t="s">
        <v>145</v>
      </c>
      <c r="E21" s="39">
        <v>20000</v>
      </c>
      <c r="F21" s="40"/>
    </row>
    <row r="22" spans="1:6" x14ac:dyDescent="0.25">
      <c r="A22" s="34" t="s">
        <v>146</v>
      </c>
      <c r="B22" s="35"/>
      <c r="C22" s="36">
        <v>361874.34</v>
      </c>
      <c r="D22" s="41" t="s">
        <v>147</v>
      </c>
      <c r="E22" s="42">
        <v>2000</v>
      </c>
      <c r="F22" s="40"/>
    </row>
    <row r="23" spans="1:6" x14ac:dyDescent="0.25">
      <c r="A23" s="38" t="s">
        <v>148</v>
      </c>
      <c r="B23" s="35"/>
      <c r="C23" s="40"/>
      <c r="D23" s="47" t="s">
        <v>149</v>
      </c>
      <c r="E23" s="35"/>
      <c r="F23" s="36">
        <v>0.57999999999999996</v>
      </c>
    </row>
    <row r="24" spans="1:6" x14ac:dyDescent="0.25">
      <c r="A24" s="38" t="s">
        <v>150</v>
      </c>
      <c r="B24" s="48">
        <v>361874.34</v>
      </c>
      <c r="C24" s="40"/>
      <c r="D24" s="49"/>
      <c r="E24" s="49"/>
      <c r="F24" s="49"/>
    </row>
    <row r="25" spans="1:6" x14ac:dyDescent="0.25">
      <c r="A25" s="50" t="s">
        <v>151</v>
      </c>
      <c r="B25" s="51"/>
      <c r="C25" s="52">
        <v>2877676.34</v>
      </c>
      <c r="D25" s="53" t="s">
        <v>151</v>
      </c>
      <c r="E25" s="54"/>
      <c r="F25" s="55">
        <v>2877676.34</v>
      </c>
    </row>
  </sheetData>
  <mergeCells count="4">
    <mergeCell ref="B1:C1"/>
    <mergeCell ref="E1:F1"/>
    <mergeCell ref="B2:C2"/>
    <mergeCell ref="E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7"/>
  <sheetViews>
    <sheetView topLeftCell="A221" workbookViewId="0">
      <selection activeCell="A40" sqref="A40:H242"/>
    </sheetView>
  </sheetViews>
  <sheetFormatPr defaultRowHeight="15" x14ac:dyDescent="0.25"/>
  <cols>
    <col min="2" max="2" width="25.28515625" bestFit="1" customWidth="1"/>
    <col min="3" max="3" width="12.7109375" customWidth="1"/>
    <col min="4" max="4" width="11.28515625" customWidth="1"/>
    <col min="5" max="5" width="13.85546875" customWidth="1"/>
    <col min="6" max="6" width="10.28515625" customWidth="1"/>
    <col min="7" max="7" width="16.42578125" customWidth="1"/>
    <col min="8" max="8" width="12.7109375" customWidth="1"/>
    <col min="10" max="10" width="11.7109375" bestFit="1" customWidth="1"/>
    <col min="11" max="11" width="17.42578125" bestFit="1" customWidth="1"/>
  </cols>
  <sheetData>
    <row r="2" spans="2:8" ht="18.75" x14ac:dyDescent="0.3">
      <c r="B2" s="110" t="s">
        <v>215</v>
      </c>
      <c r="C2" s="110"/>
      <c r="D2" s="110"/>
      <c r="E2" s="110"/>
      <c r="F2" s="110"/>
      <c r="G2" s="110"/>
      <c r="H2" s="110"/>
    </row>
    <row r="3" spans="2:8" x14ac:dyDescent="0.25">
      <c r="B3" s="113" t="s">
        <v>200</v>
      </c>
      <c r="C3" s="113"/>
      <c r="D3" s="113"/>
      <c r="E3" s="113"/>
      <c r="F3" s="113"/>
      <c r="G3" s="113"/>
      <c r="H3" s="113"/>
    </row>
    <row r="5" spans="2:8" ht="39" x14ac:dyDescent="0.25">
      <c r="B5" s="66" t="s">
        <v>159</v>
      </c>
      <c r="C5" s="66" t="s">
        <v>229</v>
      </c>
      <c r="D5" s="66" t="s">
        <v>160</v>
      </c>
      <c r="E5" s="66" t="s">
        <v>158</v>
      </c>
      <c r="F5" s="66" t="s">
        <v>161</v>
      </c>
      <c r="G5" s="66" t="s">
        <v>162</v>
      </c>
      <c r="H5" s="66" t="s">
        <v>230</v>
      </c>
    </row>
    <row r="6" spans="2:8" x14ac:dyDescent="0.25">
      <c r="B6" s="60" t="s">
        <v>164</v>
      </c>
      <c r="C6" s="61">
        <v>4031</v>
      </c>
      <c r="D6" s="62"/>
      <c r="E6" s="62">
        <f>+C6+D6</f>
        <v>4031</v>
      </c>
      <c r="F6" s="62">
        <v>15</v>
      </c>
      <c r="G6" s="63">
        <f>+E6*F6/100</f>
        <v>604.65</v>
      </c>
      <c r="H6" s="63">
        <f>+E6-G6</f>
        <v>3426.35</v>
      </c>
    </row>
    <row r="7" spans="2:8" x14ac:dyDescent="0.25">
      <c r="B7" s="60" t="s">
        <v>115</v>
      </c>
      <c r="C7" s="61">
        <v>608</v>
      </c>
      <c r="D7" s="62"/>
      <c r="E7" s="62">
        <f t="shared" ref="E7:E17" si="0">+C7+D7</f>
        <v>608</v>
      </c>
      <c r="F7" s="62">
        <v>15</v>
      </c>
      <c r="G7" s="63">
        <f t="shared" ref="G7:G17" si="1">+E7*F7/100</f>
        <v>91.2</v>
      </c>
      <c r="H7" s="63">
        <f t="shared" ref="H7:H17" si="2">+E7-G7</f>
        <v>516.79999999999995</v>
      </c>
    </row>
    <row r="8" spans="2:8" x14ac:dyDescent="0.25">
      <c r="B8" s="60" t="s">
        <v>117</v>
      </c>
      <c r="C8" s="61">
        <v>0</v>
      </c>
      <c r="D8" s="62"/>
      <c r="E8" s="62">
        <f t="shared" si="0"/>
        <v>0</v>
      </c>
      <c r="F8" s="62">
        <v>60</v>
      </c>
      <c r="G8" s="63">
        <f t="shared" si="1"/>
        <v>0</v>
      </c>
      <c r="H8" s="63">
        <f t="shared" si="2"/>
        <v>0</v>
      </c>
    </row>
    <row r="9" spans="2:8" x14ac:dyDescent="0.25">
      <c r="B9" s="60" t="s">
        <v>119</v>
      </c>
      <c r="C9" s="61">
        <v>22442</v>
      </c>
      <c r="D9" s="62"/>
      <c r="E9" s="62">
        <f t="shared" si="0"/>
        <v>22442</v>
      </c>
      <c r="F9" s="62">
        <v>10</v>
      </c>
      <c r="G9" s="63">
        <f t="shared" si="1"/>
        <v>2244.1999999999998</v>
      </c>
      <c r="H9" s="63">
        <f t="shared" si="2"/>
        <v>20197.8</v>
      </c>
    </row>
    <row r="10" spans="2:8" x14ac:dyDescent="0.25">
      <c r="B10" s="60" t="s">
        <v>121</v>
      </c>
      <c r="C10" s="61">
        <v>287333</v>
      </c>
      <c r="D10" s="62"/>
      <c r="E10" s="62">
        <f t="shared" si="0"/>
        <v>287333</v>
      </c>
      <c r="F10" s="62">
        <v>15</v>
      </c>
      <c r="G10" s="63">
        <f t="shared" si="1"/>
        <v>43099.95</v>
      </c>
      <c r="H10" s="63">
        <f t="shared" si="2"/>
        <v>244233.05</v>
      </c>
    </row>
    <row r="11" spans="2:8" x14ac:dyDescent="0.25">
      <c r="B11" s="60" t="s">
        <v>123</v>
      </c>
      <c r="C11" s="61">
        <v>7206</v>
      </c>
      <c r="D11" s="62"/>
      <c r="E11" s="62">
        <f t="shared" si="0"/>
        <v>7206</v>
      </c>
      <c r="F11" s="62">
        <v>10</v>
      </c>
      <c r="G11" s="63">
        <f t="shared" si="1"/>
        <v>720.6</v>
      </c>
      <c r="H11" s="63">
        <f t="shared" si="2"/>
        <v>6485.4</v>
      </c>
    </row>
    <row r="12" spans="2:8" x14ac:dyDescent="0.25">
      <c r="B12" s="60" t="s">
        <v>125</v>
      </c>
      <c r="C12" s="61">
        <v>143538</v>
      </c>
      <c r="D12" s="62"/>
      <c r="E12" s="62">
        <f t="shared" si="0"/>
        <v>143538</v>
      </c>
      <c r="F12" s="62">
        <v>10</v>
      </c>
      <c r="G12" s="63">
        <f t="shared" si="1"/>
        <v>14353.8</v>
      </c>
      <c r="H12" s="63">
        <f t="shared" si="2"/>
        <v>129184.2</v>
      </c>
    </row>
    <row r="13" spans="2:8" x14ac:dyDescent="0.25">
      <c r="B13" s="60" t="s">
        <v>127</v>
      </c>
      <c r="C13" s="61">
        <v>1389920</v>
      </c>
      <c r="D13" s="62"/>
      <c r="E13" s="62">
        <f t="shared" si="0"/>
        <v>1389920</v>
      </c>
      <c r="F13" s="62"/>
      <c r="G13" s="63">
        <f t="shared" si="1"/>
        <v>0</v>
      </c>
      <c r="H13" s="63">
        <f t="shared" si="2"/>
        <v>1389920</v>
      </c>
    </row>
    <row r="14" spans="2:8" x14ac:dyDescent="0.25">
      <c r="B14" s="60" t="s">
        <v>202</v>
      </c>
      <c r="C14" s="61">
        <v>292019</v>
      </c>
      <c r="D14" s="62"/>
      <c r="E14" s="62">
        <f t="shared" si="0"/>
        <v>292019</v>
      </c>
      <c r="F14" s="62"/>
      <c r="G14" s="63">
        <f t="shared" si="1"/>
        <v>0</v>
      </c>
      <c r="H14" s="63">
        <f t="shared" si="2"/>
        <v>292019</v>
      </c>
    </row>
    <row r="15" spans="2:8" x14ac:dyDescent="0.25">
      <c r="B15" s="60" t="s">
        <v>129</v>
      </c>
      <c r="C15" s="61">
        <v>13811</v>
      </c>
      <c r="D15" s="62"/>
      <c r="E15" s="62">
        <f t="shared" si="0"/>
        <v>13811</v>
      </c>
      <c r="F15" s="62">
        <v>10</v>
      </c>
      <c r="G15" s="63">
        <f t="shared" si="1"/>
        <v>1381.1</v>
      </c>
      <c r="H15" s="63">
        <f t="shared" si="2"/>
        <v>12429.9</v>
      </c>
    </row>
    <row r="16" spans="2:8" x14ac:dyDescent="0.25">
      <c r="B16" s="60" t="s">
        <v>131</v>
      </c>
      <c r="C16" s="61">
        <v>30136</v>
      </c>
      <c r="D16" s="62"/>
      <c r="E16" s="62">
        <f t="shared" si="0"/>
        <v>30136</v>
      </c>
      <c r="F16" s="62">
        <v>10</v>
      </c>
      <c r="G16" s="63">
        <f t="shared" si="1"/>
        <v>3013.6</v>
      </c>
      <c r="H16" s="63">
        <f t="shared" si="2"/>
        <v>27122.400000000001</v>
      </c>
    </row>
    <row r="17" spans="2:8" x14ac:dyDescent="0.25">
      <c r="B17" s="60" t="s">
        <v>133</v>
      </c>
      <c r="C17" s="61">
        <v>8235</v>
      </c>
      <c r="D17" s="62"/>
      <c r="E17" s="62">
        <f t="shared" si="0"/>
        <v>8235</v>
      </c>
      <c r="F17" s="62">
        <v>10</v>
      </c>
      <c r="G17" s="63">
        <f t="shared" si="1"/>
        <v>823.5</v>
      </c>
      <c r="H17" s="63">
        <f t="shared" si="2"/>
        <v>7411.5</v>
      </c>
    </row>
    <row r="18" spans="2:8" x14ac:dyDescent="0.25">
      <c r="B18" s="64" t="s">
        <v>158</v>
      </c>
      <c r="C18" s="65">
        <f t="shared" ref="C18:H18" si="3">SUM(C6:C17)</f>
        <v>2199279</v>
      </c>
      <c r="D18" s="65"/>
      <c r="E18" s="65">
        <f t="shared" si="3"/>
        <v>2199279</v>
      </c>
      <c r="F18" s="65"/>
      <c r="G18" s="65">
        <f t="shared" si="3"/>
        <v>66332.599999999991</v>
      </c>
      <c r="H18" s="65">
        <f t="shared" si="3"/>
        <v>2132946.4</v>
      </c>
    </row>
    <row r="22" spans="2:8" ht="18.75" x14ac:dyDescent="0.3">
      <c r="B22" s="110" t="s">
        <v>216</v>
      </c>
      <c r="C22" s="110"/>
      <c r="D22" s="110"/>
      <c r="E22" s="110"/>
      <c r="F22" s="110"/>
      <c r="G22" s="110"/>
      <c r="H22" s="110"/>
    </row>
    <row r="23" spans="2:8" x14ac:dyDescent="0.25">
      <c r="B23" s="113" t="s">
        <v>200</v>
      </c>
      <c r="C23" s="113"/>
      <c r="D23" s="113"/>
      <c r="E23" s="113"/>
      <c r="F23" s="113"/>
      <c r="G23" s="113"/>
      <c r="H23" s="113"/>
    </row>
    <row r="25" spans="2:8" ht="39" x14ac:dyDescent="0.25">
      <c r="B25" s="66" t="s">
        <v>159</v>
      </c>
      <c r="C25" s="66" t="s">
        <v>232</v>
      </c>
      <c r="D25" s="66" t="s">
        <v>160</v>
      </c>
      <c r="E25" s="66" t="s">
        <v>158</v>
      </c>
      <c r="F25" s="66" t="s">
        <v>161</v>
      </c>
      <c r="G25" s="66" t="s">
        <v>162</v>
      </c>
      <c r="H25" s="66" t="s">
        <v>231</v>
      </c>
    </row>
    <row r="26" spans="2:8" x14ac:dyDescent="0.25">
      <c r="B26" s="60" t="s">
        <v>164</v>
      </c>
      <c r="C26" s="61">
        <v>3426.35</v>
      </c>
      <c r="D26" s="62"/>
      <c r="E26" s="62">
        <f>+C26+D26</f>
        <v>3426.35</v>
      </c>
      <c r="F26" s="62">
        <v>15</v>
      </c>
      <c r="G26" s="63">
        <f>+E26*F26/100</f>
        <v>513.95249999999999</v>
      </c>
      <c r="H26" s="63">
        <f>+E26-G26</f>
        <v>2912.3975</v>
      </c>
    </row>
    <row r="27" spans="2:8" x14ac:dyDescent="0.25">
      <c r="B27" s="60" t="s">
        <v>115</v>
      </c>
      <c r="C27" s="61">
        <v>516.79999999999995</v>
      </c>
      <c r="D27" s="62"/>
      <c r="E27" s="62">
        <f t="shared" ref="E27:E37" si="4">+C27+D27</f>
        <v>516.79999999999995</v>
      </c>
      <c r="F27" s="62">
        <v>15</v>
      </c>
      <c r="G27" s="63">
        <f t="shared" ref="G27:G37" si="5">+E27*F27/100</f>
        <v>77.52</v>
      </c>
      <c r="H27" s="63">
        <f t="shared" ref="H27:H37" si="6">+E27-G27</f>
        <v>439.28</v>
      </c>
    </row>
    <row r="28" spans="2:8" x14ac:dyDescent="0.25">
      <c r="B28" s="60" t="s">
        <v>117</v>
      </c>
      <c r="C28" s="61">
        <v>0</v>
      </c>
      <c r="D28" s="62"/>
      <c r="E28" s="62">
        <f t="shared" si="4"/>
        <v>0</v>
      </c>
      <c r="F28" s="62">
        <v>60</v>
      </c>
      <c r="G28" s="63">
        <f t="shared" si="5"/>
        <v>0</v>
      </c>
      <c r="H28" s="63">
        <f t="shared" si="6"/>
        <v>0</v>
      </c>
    </row>
    <row r="29" spans="2:8" x14ac:dyDescent="0.25">
      <c r="B29" s="60" t="s">
        <v>119</v>
      </c>
      <c r="C29" s="61">
        <v>20197.8</v>
      </c>
      <c r="D29" s="62"/>
      <c r="E29" s="62">
        <f t="shared" si="4"/>
        <v>20197.8</v>
      </c>
      <c r="F29" s="62">
        <v>10</v>
      </c>
      <c r="G29" s="63">
        <f t="shared" si="5"/>
        <v>2019.78</v>
      </c>
      <c r="H29" s="63">
        <f t="shared" si="6"/>
        <v>18178.02</v>
      </c>
    </row>
    <row r="30" spans="2:8" x14ac:dyDescent="0.25">
      <c r="B30" s="60" t="s">
        <v>121</v>
      </c>
      <c r="C30" s="61">
        <v>244233.05</v>
      </c>
      <c r="D30" s="62"/>
      <c r="E30" s="62">
        <f t="shared" si="4"/>
        <v>244233.05</v>
      </c>
      <c r="F30" s="62">
        <v>15</v>
      </c>
      <c r="G30" s="63">
        <f t="shared" si="5"/>
        <v>36634.957499999997</v>
      </c>
      <c r="H30" s="63">
        <f t="shared" si="6"/>
        <v>207598.0925</v>
      </c>
    </row>
    <row r="31" spans="2:8" x14ac:dyDescent="0.25">
      <c r="B31" s="60" t="s">
        <v>123</v>
      </c>
      <c r="C31" s="61">
        <v>6485.4</v>
      </c>
      <c r="D31" s="62"/>
      <c r="E31" s="62">
        <f t="shared" si="4"/>
        <v>6485.4</v>
      </c>
      <c r="F31" s="62">
        <v>10</v>
      </c>
      <c r="G31" s="63">
        <f t="shared" si="5"/>
        <v>648.54</v>
      </c>
      <c r="H31" s="63">
        <f t="shared" si="6"/>
        <v>5836.86</v>
      </c>
    </row>
    <row r="32" spans="2:8" x14ac:dyDescent="0.25">
      <c r="B32" s="60" t="s">
        <v>125</v>
      </c>
      <c r="C32" s="61">
        <v>129184.2</v>
      </c>
      <c r="D32" s="62"/>
      <c r="E32" s="62">
        <f t="shared" si="4"/>
        <v>129184.2</v>
      </c>
      <c r="F32" s="62">
        <v>10</v>
      </c>
      <c r="G32" s="63">
        <f t="shared" si="5"/>
        <v>12918.42</v>
      </c>
      <c r="H32" s="63">
        <f t="shared" si="6"/>
        <v>116265.78</v>
      </c>
    </row>
    <row r="33" spans="2:8" x14ac:dyDescent="0.25">
      <c r="B33" s="60" t="s">
        <v>127</v>
      </c>
      <c r="C33" s="61">
        <v>1389920</v>
      </c>
      <c r="D33" s="62"/>
      <c r="E33" s="62">
        <f t="shared" si="4"/>
        <v>1389920</v>
      </c>
      <c r="F33" s="62"/>
      <c r="G33" s="63">
        <f t="shared" si="5"/>
        <v>0</v>
      </c>
      <c r="H33" s="63">
        <f t="shared" si="6"/>
        <v>1389920</v>
      </c>
    </row>
    <row r="34" spans="2:8" x14ac:dyDescent="0.25">
      <c r="B34" s="60" t="s">
        <v>202</v>
      </c>
      <c r="C34" s="61">
        <v>292019</v>
      </c>
      <c r="D34" s="62"/>
      <c r="E34" s="62">
        <f t="shared" si="4"/>
        <v>292019</v>
      </c>
      <c r="F34" s="62"/>
      <c r="G34" s="63">
        <f t="shared" si="5"/>
        <v>0</v>
      </c>
      <c r="H34" s="63">
        <f t="shared" si="6"/>
        <v>292019</v>
      </c>
    </row>
    <row r="35" spans="2:8" x14ac:dyDescent="0.25">
      <c r="B35" s="60" t="s">
        <v>129</v>
      </c>
      <c r="C35" s="61">
        <v>12429.9</v>
      </c>
      <c r="D35" s="62"/>
      <c r="E35" s="62">
        <f t="shared" si="4"/>
        <v>12429.9</v>
      </c>
      <c r="F35" s="62">
        <v>10</v>
      </c>
      <c r="G35" s="63">
        <f t="shared" si="5"/>
        <v>1242.99</v>
      </c>
      <c r="H35" s="63">
        <f t="shared" si="6"/>
        <v>11186.91</v>
      </c>
    </row>
    <row r="36" spans="2:8" x14ac:dyDescent="0.25">
      <c r="B36" s="60" t="s">
        <v>131</v>
      </c>
      <c r="C36" s="61">
        <v>27122.400000000001</v>
      </c>
      <c r="D36" s="62"/>
      <c r="E36" s="62">
        <f t="shared" si="4"/>
        <v>27122.400000000001</v>
      </c>
      <c r="F36" s="62">
        <v>10</v>
      </c>
      <c r="G36" s="63">
        <f t="shared" si="5"/>
        <v>2712.24</v>
      </c>
      <c r="H36" s="63">
        <f t="shared" si="6"/>
        <v>24410.160000000003</v>
      </c>
    </row>
    <row r="37" spans="2:8" x14ac:dyDescent="0.25">
      <c r="B37" s="60" t="s">
        <v>133</v>
      </c>
      <c r="C37" s="61">
        <v>7411.5</v>
      </c>
      <c r="D37" s="62"/>
      <c r="E37" s="62">
        <f t="shared" si="4"/>
        <v>7411.5</v>
      </c>
      <c r="F37" s="62">
        <v>10</v>
      </c>
      <c r="G37" s="63">
        <f t="shared" si="5"/>
        <v>741.15</v>
      </c>
      <c r="H37" s="63">
        <f t="shared" si="6"/>
        <v>6670.35</v>
      </c>
    </row>
    <row r="38" spans="2:8" x14ac:dyDescent="0.25">
      <c r="B38" s="64" t="s">
        <v>158</v>
      </c>
      <c r="C38" s="65">
        <f>SUM(C26:C37)</f>
        <v>2132946.4</v>
      </c>
      <c r="D38" s="65"/>
      <c r="E38" s="65">
        <f>SUM(E26:E37)</f>
        <v>2132946.4</v>
      </c>
      <c r="F38" s="65"/>
      <c r="G38" s="65">
        <f>SUM(G26:G37)</f>
        <v>57509.549999999996</v>
      </c>
      <c r="H38" s="65">
        <f>SUM(H26:H37)</f>
        <v>2075436.8499999999</v>
      </c>
    </row>
    <row r="39" spans="2:8" x14ac:dyDescent="0.25">
      <c r="B39" s="105"/>
      <c r="C39" s="106"/>
      <c r="D39" s="106"/>
      <c r="E39" s="106"/>
      <c r="F39" s="106"/>
      <c r="G39" s="106"/>
      <c r="H39" s="106"/>
    </row>
    <row r="40" spans="2:8" x14ac:dyDescent="0.25">
      <c r="B40" s="105"/>
      <c r="C40" s="106"/>
      <c r="D40" s="106"/>
      <c r="E40" s="106"/>
      <c r="F40" s="106"/>
      <c r="G40" s="106"/>
      <c r="H40" s="106"/>
    </row>
    <row r="42" spans="2:8" ht="18.75" x14ac:dyDescent="0.3">
      <c r="B42" s="110" t="s">
        <v>244</v>
      </c>
      <c r="C42" s="110"/>
      <c r="D42" s="110"/>
      <c r="E42" s="110"/>
      <c r="F42" s="110"/>
      <c r="G42" s="110"/>
      <c r="H42" s="110"/>
    </row>
    <row r="43" spans="2:8" x14ac:dyDescent="0.25">
      <c r="B43" s="113" t="s">
        <v>200</v>
      </c>
      <c r="C43" s="113"/>
      <c r="D43" s="113"/>
      <c r="E43" s="113"/>
      <c r="F43" s="113"/>
      <c r="G43" s="113"/>
      <c r="H43" s="113"/>
    </row>
    <row r="45" spans="2:8" ht="39" x14ac:dyDescent="0.25">
      <c r="B45" s="66" t="s">
        <v>159</v>
      </c>
      <c r="C45" s="66" t="s">
        <v>235</v>
      </c>
      <c r="D45" s="66" t="s">
        <v>160</v>
      </c>
      <c r="E45" s="66" t="s">
        <v>158</v>
      </c>
      <c r="F45" s="66" t="s">
        <v>161</v>
      </c>
      <c r="G45" s="66" t="s">
        <v>162</v>
      </c>
      <c r="H45" s="66" t="s">
        <v>234</v>
      </c>
    </row>
    <row r="46" spans="2:8" x14ac:dyDescent="0.25">
      <c r="B46" s="60" t="s">
        <v>164</v>
      </c>
      <c r="C46" s="61">
        <v>2912.3975</v>
      </c>
      <c r="D46" s="62"/>
      <c r="E46" s="62">
        <f>+C46+D46</f>
        <v>2912.3975</v>
      </c>
      <c r="F46" s="62">
        <v>15</v>
      </c>
      <c r="G46" s="63">
        <f>+E46*F46/100</f>
        <v>436.85962499999999</v>
      </c>
      <c r="H46" s="63">
        <f>+E46-G46</f>
        <v>2475.537875</v>
      </c>
    </row>
    <row r="47" spans="2:8" x14ac:dyDescent="0.25">
      <c r="B47" s="60" t="s">
        <v>115</v>
      </c>
      <c r="C47" s="61">
        <v>439.28</v>
      </c>
      <c r="D47" s="62"/>
      <c r="E47" s="62">
        <f t="shared" ref="E47:E56" si="7">+C47+D47</f>
        <v>439.28</v>
      </c>
      <c r="F47" s="62">
        <v>15</v>
      </c>
      <c r="G47" s="63">
        <f t="shared" ref="G47:G56" si="8">+E47*F47/100</f>
        <v>65.891999999999996</v>
      </c>
      <c r="H47" s="63">
        <f t="shared" ref="H47:H56" si="9">+E47-G47</f>
        <v>373.38799999999998</v>
      </c>
    </row>
    <row r="48" spans="2:8" x14ac:dyDescent="0.25">
      <c r="B48" s="60" t="s">
        <v>119</v>
      </c>
      <c r="C48" s="61">
        <v>18178.02</v>
      </c>
      <c r="D48" s="62"/>
      <c r="E48" s="62">
        <f t="shared" si="7"/>
        <v>18178.02</v>
      </c>
      <c r="F48" s="62">
        <v>15</v>
      </c>
      <c r="G48" s="63">
        <f t="shared" si="8"/>
        <v>2726.703</v>
      </c>
      <c r="H48" s="63">
        <f t="shared" si="9"/>
        <v>15451.317000000001</v>
      </c>
    </row>
    <row r="49" spans="2:11" x14ac:dyDescent="0.25">
      <c r="B49" s="60" t="s">
        <v>121</v>
      </c>
      <c r="C49" s="61">
        <v>207598.0925</v>
      </c>
      <c r="D49" s="62"/>
      <c r="E49" s="62">
        <f t="shared" si="7"/>
        <v>207598.0925</v>
      </c>
      <c r="F49" s="62">
        <v>15</v>
      </c>
      <c r="G49" s="63">
        <f t="shared" si="8"/>
        <v>31139.713875000001</v>
      </c>
      <c r="H49" s="63">
        <f t="shared" si="9"/>
        <v>176458.37862500001</v>
      </c>
    </row>
    <row r="50" spans="2:11" x14ac:dyDescent="0.25">
      <c r="B50" s="60" t="s">
        <v>123</v>
      </c>
      <c r="C50" s="61">
        <v>5836.86</v>
      </c>
      <c r="D50" s="62"/>
      <c r="E50" s="62">
        <f t="shared" si="7"/>
        <v>5836.86</v>
      </c>
      <c r="F50" s="62">
        <v>15</v>
      </c>
      <c r="G50" s="63">
        <f t="shared" si="8"/>
        <v>875.529</v>
      </c>
      <c r="H50" s="63">
        <f t="shared" si="9"/>
        <v>4961.3310000000001</v>
      </c>
    </row>
    <row r="51" spans="2:11" x14ac:dyDescent="0.25">
      <c r="B51" s="60" t="s">
        <v>125</v>
      </c>
      <c r="C51" s="61">
        <v>116265.78</v>
      </c>
      <c r="D51" s="62"/>
      <c r="E51" s="62">
        <f t="shared" si="7"/>
        <v>116265.78</v>
      </c>
      <c r="F51" s="62">
        <v>15</v>
      </c>
      <c r="G51" s="63">
        <f t="shared" si="8"/>
        <v>17439.866999999998</v>
      </c>
      <c r="H51" s="63">
        <f t="shared" si="9"/>
        <v>98825.913</v>
      </c>
    </row>
    <row r="52" spans="2:11" x14ac:dyDescent="0.25">
      <c r="B52" s="60" t="s">
        <v>127</v>
      </c>
      <c r="C52" s="61">
        <v>1389920</v>
      </c>
      <c r="D52" s="62"/>
      <c r="E52" s="62">
        <f t="shared" si="7"/>
        <v>1389920</v>
      </c>
      <c r="F52" s="62">
        <v>15</v>
      </c>
      <c r="G52" s="63">
        <f t="shared" si="8"/>
        <v>208488</v>
      </c>
      <c r="H52" s="63">
        <f t="shared" si="9"/>
        <v>1181432</v>
      </c>
    </row>
    <row r="53" spans="2:11" x14ac:dyDescent="0.25">
      <c r="B53" s="60" t="s">
        <v>202</v>
      </c>
      <c r="C53" s="61">
        <v>292019</v>
      </c>
      <c r="D53" s="62">
        <f>'2021 WORKINGS'!C4+'2021 WORKINGS'!C5</f>
        <v>815000</v>
      </c>
      <c r="E53" s="62">
        <f t="shared" si="7"/>
        <v>1107019</v>
      </c>
      <c r="F53" s="62">
        <v>15</v>
      </c>
      <c r="G53" s="63">
        <f t="shared" si="8"/>
        <v>166052.85</v>
      </c>
      <c r="H53" s="63">
        <f t="shared" si="9"/>
        <v>940966.15</v>
      </c>
    </row>
    <row r="54" spans="2:11" x14ac:dyDescent="0.25">
      <c r="B54" s="60" t="s">
        <v>129</v>
      </c>
      <c r="C54" s="61">
        <v>11186.91</v>
      </c>
      <c r="D54" s="62"/>
      <c r="E54" s="62">
        <f t="shared" si="7"/>
        <v>11186.91</v>
      </c>
      <c r="F54" s="62">
        <v>15</v>
      </c>
      <c r="G54" s="63">
        <f t="shared" si="8"/>
        <v>1678.0364999999999</v>
      </c>
      <c r="H54" s="63">
        <f t="shared" si="9"/>
        <v>9508.8734999999997</v>
      </c>
    </row>
    <row r="55" spans="2:11" x14ac:dyDescent="0.25">
      <c r="B55" s="60" t="s">
        <v>131</v>
      </c>
      <c r="C55" s="61">
        <v>24410.160000000003</v>
      </c>
      <c r="D55" s="62"/>
      <c r="E55" s="62">
        <f t="shared" si="7"/>
        <v>24410.160000000003</v>
      </c>
      <c r="F55" s="62">
        <v>15</v>
      </c>
      <c r="G55" s="63">
        <f t="shared" si="8"/>
        <v>3661.5240000000003</v>
      </c>
      <c r="H55" s="63">
        <f t="shared" si="9"/>
        <v>20748.636000000002</v>
      </c>
    </row>
    <row r="56" spans="2:11" x14ac:dyDescent="0.25">
      <c r="B56" s="60" t="s">
        <v>133</v>
      </c>
      <c r="C56" s="61">
        <v>6670.35</v>
      </c>
      <c r="D56" s="62"/>
      <c r="E56" s="62">
        <f t="shared" si="7"/>
        <v>6670.35</v>
      </c>
      <c r="F56" s="62">
        <v>15</v>
      </c>
      <c r="G56" s="63">
        <f t="shared" si="8"/>
        <v>1000.5525</v>
      </c>
      <c r="H56" s="63">
        <f t="shared" si="9"/>
        <v>5669.7975000000006</v>
      </c>
    </row>
    <row r="57" spans="2:11" x14ac:dyDescent="0.25">
      <c r="B57" s="64" t="s">
        <v>158</v>
      </c>
      <c r="C57" s="65">
        <f>SUM(C46:C56)</f>
        <v>2075436.8499999999</v>
      </c>
      <c r="D57" s="65"/>
      <c r="E57" s="65">
        <f>SUM(E46:E56)</f>
        <v>2890436.85</v>
      </c>
      <c r="F57" s="65"/>
      <c r="G57" s="65">
        <f>SUM(G46:G56)</f>
        <v>433565.52749999997</v>
      </c>
      <c r="H57" s="65">
        <f>SUM(H46:H56)</f>
        <v>2456871.3225000002</v>
      </c>
      <c r="J57" s="5"/>
      <c r="K57" s="5"/>
    </row>
  </sheetData>
  <mergeCells count="6">
    <mergeCell ref="B43:H43"/>
    <mergeCell ref="B2:H2"/>
    <mergeCell ref="B3:H3"/>
    <mergeCell ref="B22:H22"/>
    <mergeCell ref="B23:H23"/>
    <mergeCell ref="B42:H4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L42"/>
  <sheetViews>
    <sheetView topLeftCell="A27" workbookViewId="0">
      <selection activeCell="D2" sqref="D2:H43"/>
    </sheetView>
  </sheetViews>
  <sheetFormatPr defaultRowHeight="15" x14ac:dyDescent="0.25"/>
  <cols>
    <col min="4" max="4" width="37.140625" bestFit="1" customWidth="1"/>
    <col min="5" max="5" width="19.85546875" customWidth="1"/>
    <col min="6" max="6" width="8.85546875" bestFit="1" customWidth="1"/>
  </cols>
  <sheetData>
    <row r="3" spans="4:6" x14ac:dyDescent="0.25">
      <c r="D3" s="11" t="s">
        <v>29</v>
      </c>
      <c r="E3" s="11" t="s">
        <v>28</v>
      </c>
      <c r="F3" s="59"/>
    </row>
    <row r="4" spans="4:6" x14ac:dyDescent="0.25">
      <c r="D4" s="11" t="s">
        <v>27</v>
      </c>
      <c r="E4" s="11" t="s">
        <v>26</v>
      </c>
      <c r="F4" s="59"/>
    </row>
    <row r="5" spans="4:6" x14ac:dyDescent="0.25">
      <c r="D5" s="11" t="s">
        <v>25</v>
      </c>
      <c r="E5" s="11" t="s">
        <v>24</v>
      </c>
      <c r="F5" s="59"/>
    </row>
    <row r="6" spans="4:6" x14ac:dyDescent="0.25">
      <c r="D6" s="11" t="s">
        <v>23</v>
      </c>
      <c r="E6" s="11" t="s">
        <v>71</v>
      </c>
      <c r="F6" s="59"/>
    </row>
    <row r="7" spans="4:6" x14ac:dyDescent="0.25">
      <c r="D7" s="11"/>
      <c r="E7" s="11" t="s">
        <v>72</v>
      </c>
      <c r="F7" s="59"/>
    </row>
    <row r="8" spans="4:6" x14ac:dyDescent="0.25">
      <c r="D8" s="11"/>
      <c r="E8" s="11"/>
      <c r="F8" s="59"/>
    </row>
    <row r="9" spans="4:6" x14ac:dyDescent="0.25">
      <c r="D9" s="11" t="s">
        <v>21</v>
      </c>
      <c r="E9" s="11" t="s">
        <v>20</v>
      </c>
      <c r="F9" s="59"/>
    </row>
    <row r="10" spans="4:6" x14ac:dyDescent="0.25">
      <c r="D10" s="11" t="s">
        <v>203</v>
      </c>
      <c r="E10" s="11" t="s">
        <v>241</v>
      </c>
      <c r="F10" s="59"/>
    </row>
    <row r="11" spans="4:6" x14ac:dyDescent="0.25">
      <c r="D11" s="11"/>
      <c r="E11" s="11"/>
      <c r="F11" s="59"/>
    </row>
    <row r="12" spans="4:6" x14ac:dyDescent="0.25">
      <c r="D12" s="11"/>
      <c r="E12" s="11"/>
      <c r="F12" s="59"/>
    </row>
    <row r="13" spans="4:6" x14ac:dyDescent="0.25">
      <c r="D13" s="11" t="s">
        <v>201</v>
      </c>
      <c r="E13" s="11"/>
      <c r="F13" s="59"/>
    </row>
    <row r="14" spans="4:6" x14ac:dyDescent="0.25">
      <c r="D14" s="11"/>
      <c r="E14" s="11"/>
      <c r="F14" s="59"/>
    </row>
    <row r="15" spans="4:6" x14ac:dyDescent="0.25">
      <c r="D15" t="s">
        <v>17</v>
      </c>
      <c r="E15" s="7">
        <f>+'pL '!G103</f>
        <v>9867663</v>
      </c>
      <c r="F15" s="7"/>
    </row>
    <row r="16" spans="4:6" x14ac:dyDescent="0.25">
      <c r="E16" s="7"/>
      <c r="F16" s="7"/>
    </row>
    <row r="17" spans="4:12" x14ac:dyDescent="0.25">
      <c r="D17" t="s">
        <v>205</v>
      </c>
      <c r="E17" s="7">
        <f>+E15*0.08335722</f>
        <v>822540.95557686</v>
      </c>
      <c r="F17" s="7"/>
    </row>
    <row r="18" spans="4:12" x14ac:dyDescent="0.25">
      <c r="E18" s="7"/>
      <c r="F18" s="7"/>
    </row>
    <row r="19" spans="4:12" x14ac:dyDescent="0.25">
      <c r="D19" t="s">
        <v>11</v>
      </c>
      <c r="E19" s="8">
        <f>+'pL '!E124</f>
        <v>822541</v>
      </c>
      <c r="F19" s="7"/>
    </row>
    <row r="20" spans="4:12" x14ac:dyDescent="0.25">
      <c r="D20" t="s">
        <v>9</v>
      </c>
      <c r="E20" s="7"/>
      <c r="F20" s="7">
        <f>+MAX(E19:E19)</f>
        <v>822541</v>
      </c>
    </row>
    <row r="21" spans="4:12" x14ac:dyDescent="0.25">
      <c r="E21" s="7"/>
      <c r="F21" s="7"/>
    </row>
    <row r="22" spans="4:12" x14ac:dyDescent="0.25">
      <c r="D22" s="11" t="s">
        <v>225</v>
      </c>
      <c r="E22" s="7"/>
      <c r="F22" s="7">
        <v>-200000</v>
      </c>
    </row>
    <row r="23" spans="4:12" x14ac:dyDescent="0.25">
      <c r="D23" s="11"/>
      <c r="E23" s="7"/>
      <c r="F23" s="7"/>
    </row>
    <row r="24" spans="4:12" x14ac:dyDescent="0.25">
      <c r="D24" t="s">
        <v>223</v>
      </c>
      <c r="E24" s="7"/>
      <c r="F24" s="7">
        <v>1196</v>
      </c>
    </row>
    <row r="25" spans="4:12" x14ac:dyDescent="0.25">
      <c r="E25" s="7"/>
      <c r="F25" s="7"/>
    </row>
    <row r="26" spans="4:12" x14ac:dyDescent="0.25">
      <c r="E26" s="7"/>
      <c r="F26" s="8"/>
    </row>
    <row r="27" spans="4:12" x14ac:dyDescent="0.25">
      <c r="D27" t="s">
        <v>6</v>
      </c>
      <c r="E27" s="7"/>
      <c r="F27" s="7">
        <f>SUM(F15:F25)</f>
        <v>623737</v>
      </c>
    </row>
    <row r="28" spans="4:12" x14ac:dyDescent="0.25">
      <c r="D28" t="s">
        <v>5</v>
      </c>
      <c r="E28" s="7"/>
      <c r="F28" s="7"/>
    </row>
    <row r="29" spans="4:12" x14ac:dyDescent="0.25">
      <c r="D29" t="s">
        <v>4</v>
      </c>
      <c r="E29" s="7"/>
      <c r="F29" s="7">
        <v>150000</v>
      </c>
    </row>
    <row r="30" spans="4:12" x14ac:dyDescent="0.25">
      <c r="E30" s="7"/>
      <c r="F30" s="7"/>
    </row>
    <row r="31" spans="4:12" x14ac:dyDescent="0.25">
      <c r="E31" s="7"/>
      <c r="F31" s="7"/>
    </row>
    <row r="32" spans="4:12" ht="15.75" thickBot="1" x14ac:dyDescent="0.3">
      <c r="D32" t="s">
        <v>3</v>
      </c>
      <c r="E32" s="7"/>
      <c r="F32" s="9">
        <f>+F27-F29-F30</f>
        <v>473737</v>
      </c>
      <c r="K32">
        <v>250000</v>
      </c>
      <c r="L32" s="7">
        <f>F32-K32</f>
        <v>223737</v>
      </c>
    </row>
    <row r="33" spans="4:12" ht="15.75" thickTop="1" x14ac:dyDescent="0.25">
      <c r="E33" s="7"/>
      <c r="F33" s="7"/>
      <c r="L33">
        <f>+L32*0.05</f>
        <v>11186.85</v>
      </c>
    </row>
    <row r="34" spans="4:12" x14ac:dyDescent="0.25">
      <c r="D34" t="s">
        <v>2</v>
      </c>
      <c r="E34" s="7"/>
      <c r="F34" s="7">
        <f>+L33</f>
        <v>11186.85</v>
      </c>
    </row>
    <row r="35" spans="4:12" x14ac:dyDescent="0.25">
      <c r="E35" s="7"/>
      <c r="F35" s="7"/>
    </row>
    <row r="36" spans="4:12" x14ac:dyDescent="0.25">
      <c r="D36" t="s">
        <v>1</v>
      </c>
      <c r="E36" s="7"/>
      <c r="F36" s="8">
        <f>F34</f>
        <v>11186.85</v>
      </c>
    </row>
    <row r="37" spans="4:12" x14ac:dyDescent="0.25">
      <c r="E37" s="7"/>
      <c r="F37" s="7">
        <f>+F34-F36</f>
        <v>0</v>
      </c>
    </row>
    <row r="38" spans="4:12" x14ac:dyDescent="0.25">
      <c r="D38" t="s">
        <v>69</v>
      </c>
      <c r="E38" s="7"/>
      <c r="F38" s="8">
        <f>+F37*0.04</f>
        <v>0</v>
      </c>
    </row>
    <row r="39" spans="4:12" x14ac:dyDescent="0.25">
      <c r="E39" s="7"/>
      <c r="F39" s="7">
        <f>+F37+F38</f>
        <v>0</v>
      </c>
    </row>
    <row r="40" spans="4:12" x14ac:dyDescent="0.25">
      <c r="D40" t="s">
        <v>67</v>
      </c>
      <c r="E40" s="7"/>
      <c r="F40" s="8">
        <v>4071</v>
      </c>
    </row>
    <row r="41" spans="4:12" ht="15.75" thickBot="1" x14ac:dyDescent="0.3">
      <c r="D41" t="s">
        <v>240</v>
      </c>
      <c r="E41" s="7"/>
      <c r="F41" s="9">
        <f>MROUND(F40,5)</f>
        <v>4070</v>
      </c>
    </row>
    <row r="42" spans="4:12" ht="15.75" thickTop="1" x14ac:dyDescent="0.25"/>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I37"/>
  <sheetViews>
    <sheetView workbookViewId="0">
      <selection activeCell="G1" sqref="G1"/>
    </sheetView>
  </sheetViews>
  <sheetFormatPr defaultRowHeight="15" x14ac:dyDescent="0.25"/>
  <cols>
    <col min="6" max="6" width="15.85546875" customWidth="1"/>
    <col min="7" max="7" width="10.7109375" bestFit="1" customWidth="1"/>
  </cols>
  <sheetData>
    <row r="5" spans="4:8" x14ac:dyDescent="0.25">
      <c r="D5" t="s">
        <v>66</v>
      </c>
      <c r="E5" t="s">
        <v>26</v>
      </c>
      <c r="F5" t="s">
        <v>65</v>
      </c>
      <c r="G5" t="s">
        <v>64</v>
      </c>
      <c r="H5" t="s">
        <v>63</v>
      </c>
    </row>
    <row r="6" spans="4:8" x14ac:dyDescent="0.25">
      <c r="D6" t="s">
        <v>62</v>
      </c>
    </row>
    <row r="7" spans="4:8" x14ac:dyDescent="0.25">
      <c r="D7" t="s">
        <v>61</v>
      </c>
    </row>
    <row r="8" spans="4:8" x14ac:dyDescent="0.25">
      <c r="D8" t="s">
        <v>60</v>
      </c>
    </row>
    <row r="9" spans="4:8" x14ac:dyDescent="0.25">
      <c r="D9" t="s">
        <v>59</v>
      </c>
    </row>
    <row r="10" spans="4:8" x14ac:dyDescent="0.25">
      <c r="D10" t="s">
        <v>58</v>
      </c>
    </row>
    <row r="11" spans="4:8" x14ac:dyDescent="0.25">
      <c r="D11" t="s">
        <v>57</v>
      </c>
    </row>
    <row r="12" spans="4:8" x14ac:dyDescent="0.25">
      <c r="D12" t="s">
        <v>56</v>
      </c>
    </row>
    <row r="13" spans="4:8" x14ac:dyDescent="0.25">
      <c r="D13" t="s">
        <v>55</v>
      </c>
    </row>
    <row r="14" spans="4:8" x14ac:dyDescent="0.25">
      <c r="D14" t="s">
        <v>54</v>
      </c>
    </row>
    <row r="15" spans="4:8" x14ac:dyDescent="0.25">
      <c r="D15" t="s">
        <v>53</v>
      </c>
    </row>
    <row r="16" spans="4:8" x14ac:dyDescent="0.25">
      <c r="D16" s="6" t="s">
        <v>52</v>
      </c>
    </row>
    <row r="17" spans="4:9" x14ac:dyDescent="0.25">
      <c r="D17" t="s">
        <v>51</v>
      </c>
    </row>
    <row r="18" spans="4:9" x14ac:dyDescent="0.25">
      <c r="D18" t="s">
        <v>43</v>
      </c>
    </row>
    <row r="19" spans="4:9" x14ac:dyDescent="0.25">
      <c r="D19" t="s">
        <v>50</v>
      </c>
      <c r="E19" t="s">
        <v>43</v>
      </c>
    </row>
    <row r="20" spans="4:9" x14ac:dyDescent="0.25">
      <c r="D20" t="s">
        <v>49</v>
      </c>
      <c r="E20" t="s">
        <v>43</v>
      </c>
    </row>
    <row r="21" spans="4:9" x14ac:dyDescent="0.25">
      <c r="D21" t="s">
        <v>48</v>
      </c>
      <c r="E21" t="s">
        <v>43</v>
      </c>
    </row>
    <row r="22" spans="4:9" x14ac:dyDescent="0.25">
      <c r="D22" t="s">
        <v>47</v>
      </c>
    </row>
    <row r="23" spans="4:9" x14ac:dyDescent="0.25">
      <c r="D23" t="s">
        <v>46</v>
      </c>
    </row>
    <row r="24" spans="4:9" x14ac:dyDescent="0.25">
      <c r="D24" t="s">
        <v>45</v>
      </c>
    </row>
    <row r="25" spans="4:9" x14ac:dyDescent="0.25">
      <c r="D25" t="s">
        <v>43</v>
      </c>
    </row>
    <row r="26" spans="4:9" x14ac:dyDescent="0.25">
      <c r="D26" t="s">
        <v>44</v>
      </c>
    </row>
    <row r="27" spans="4:9" x14ac:dyDescent="0.25">
      <c r="D27" t="s">
        <v>43</v>
      </c>
    </row>
    <row r="28" spans="4:9" x14ac:dyDescent="0.25">
      <c r="D28" t="s">
        <v>42</v>
      </c>
    </row>
    <row r="29" spans="4:9" x14ac:dyDescent="0.25">
      <c r="D29" t="s">
        <v>41</v>
      </c>
    </row>
    <row r="30" spans="4:9" x14ac:dyDescent="0.25">
      <c r="D30">
        <v>1</v>
      </c>
      <c r="E30" t="s">
        <v>40</v>
      </c>
      <c r="F30" t="s">
        <v>39</v>
      </c>
      <c r="G30" s="5">
        <v>186010</v>
      </c>
      <c r="H30" s="5">
        <v>1864</v>
      </c>
      <c r="I30" s="5">
        <v>1864</v>
      </c>
    </row>
    <row r="31" spans="4:9" x14ac:dyDescent="0.25">
      <c r="D31">
        <v>2</v>
      </c>
      <c r="E31" t="s">
        <v>38</v>
      </c>
      <c r="F31" t="s">
        <v>37</v>
      </c>
      <c r="G31" s="5">
        <v>237150</v>
      </c>
      <c r="H31" s="5">
        <v>2375</v>
      </c>
      <c r="I31" s="5">
        <v>2375</v>
      </c>
    </row>
    <row r="32" spans="4:9" x14ac:dyDescent="0.25">
      <c r="D32">
        <v>3</v>
      </c>
      <c r="E32" t="s">
        <v>36</v>
      </c>
      <c r="F32" t="s">
        <v>35</v>
      </c>
      <c r="G32" s="5">
        <v>139260</v>
      </c>
      <c r="H32" s="5">
        <v>1393</v>
      </c>
      <c r="I32" s="5">
        <v>1393</v>
      </c>
    </row>
    <row r="33" spans="4:9" x14ac:dyDescent="0.25">
      <c r="D33">
        <v>4</v>
      </c>
      <c r="E33" t="s">
        <v>34</v>
      </c>
      <c r="F33" t="s">
        <v>33</v>
      </c>
      <c r="G33" s="5">
        <v>23552</v>
      </c>
      <c r="H33">
        <v>236</v>
      </c>
      <c r="I33">
        <v>236</v>
      </c>
    </row>
    <row r="34" spans="4:9" x14ac:dyDescent="0.25">
      <c r="D34" t="s">
        <v>32</v>
      </c>
    </row>
    <row r="35" spans="4:9" x14ac:dyDescent="0.25">
      <c r="D35">
        <v>1</v>
      </c>
      <c r="I35" s="5">
        <f>SUM(I30:I34)</f>
        <v>5868</v>
      </c>
    </row>
    <row r="36" spans="4:9" x14ac:dyDescent="0.25">
      <c r="D36" t="s">
        <v>31</v>
      </c>
    </row>
    <row r="37" spans="4:9" x14ac:dyDescent="0.25">
      <c r="D37"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M47"/>
  <sheetViews>
    <sheetView topLeftCell="A13" workbookViewId="0">
      <selection activeCell="F18" sqref="F18"/>
    </sheetView>
  </sheetViews>
  <sheetFormatPr defaultRowHeight="15" x14ac:dyDescent="0.25"/>
  <cols>
    <col min="5" max="5" width="36" customWidth="1"/>
    <col min="6" max="6" width="12.140625" customWidth="1"/>
    <col min="7" max="7" width="9.140625" style="7"/>
  </cols>
  <sheetData>
    <row r="3" spans="5:13" x14ac:dyDescent="0.25">
      <c r="E3" s="11" t="s">
        <v>29</v>
      </c>
      <c r="F3" s="11" t="s">
        <v>28</v>
      </c>
      <c r="G3" s="59"/>
      <c r="H3" s="11"/>
      <c r="I3" s="11"/>
      <c r="J3" s="11"/>
    </row>
    <row r="4" spans="5:13" x14ac:dyDescent="0.25">
      <c r="E4" s="11" t="s">
        <v>27</v>
      </c>
      <c r="F4" s="11" t="s">
        <v>26</v>
      </c>
      <c r="G4" s="59"/>
      <c r="H4" s="11"/>
      <c r="I4" s="11"/>
      <c r="J4" s="11"/>
      <c r="M4" t="s">
        <v>22</v>
      </c>
    </row>
    <row r="5" spans="5:13" x14ac:dyDescent="0.25">
      <c r="E5" s="11" t="s">
        <v>25</v>
      </c>
      <c r="F5" s="11" t="s">
        <v>24</v>
      </c>
      <c r="G5" s="59"/>
      <c r="H5" s="11"/>
      <c r="I5" s="11"/>
      <c r="J5" s="11"/>
    </row>
    <row r="6" spans="5:13" x14ac:dyDescent="0.25">
      <c r="E6" s="11" t="s">
        <v>23</v>
      </c>
      <c r="F6" s="11" t="s">
        <v>71</v>
      </c>
      <c r="G6" s="59"/>
      <c r="H6" s="11"/>
      <c r="I6" s="11"/>
      <c r="J6" s="11"/>
    </row>
    <row r="7" spans="5:13" x14ac:dyDescent="0.25">
      <c r="E7" s="11"/>
      <c r="F7" s="11" t="s">
        <v>72</v>
      </c>
      <c r="G7" s="59"/>
      <c r="H7" s="11"/>
      <c r="I7" s="11"/>
      <c r="J7" s="11"/>
    </row>
    <row r="8" spans="5:13" x14ac:dyDescent="0.25">
      <c r="E8" s="11"/>
      <c r="F8" s="11"/>
      <c r="G8" s="59"/>
      <c r="H8" s="11"/>
      <c r="I8" s="11"/>
      <c r="J8" s="11"/>
    </row>
    <row r="9" spans="5:13" x14ac:dyDescent="0.25">
      <c r="E9" s="11" t="s">
        <v>21</v>
      </c>
      <c r="F9" s="11" t="s">
        <v>20</v>
      </c>
      <c r="G9" s="59"/>
      <c r="H9" s="11"/>
      <c r="I9" s="11"/>
      <c r="J9" s="11"/>
    </row>
    <row r="10" spans="5:13" x14ac:dyDescent="0.25">
      <c r="E10" s="11" t="s">
        <v>19</v>
      </c>
      <c r="F10" s="11"/>
      <c r="G10" s="59"/>
      <c r="H10" s="11"/>
      <c r="I10" s="11"/>
      <c r="J10" s="11"/>
    </row>
    <row r="11" spans="5:13" x14ac:dyDescent="0.25">
      <c r="E11" s="11"/>
      <c r="F11" s="11"/>
      <c r="G11" s="59"/>
      <c r="H11" s="11"/>
      <c r="I11" s="11"/>
      <c r="J11" s="11"/>
    </row>
    <row r="12" spans="5:13" x14ac:dyDescent="0.25">
      <c r="E12" s="11" t="s">
        <v>18</v>
      </c>
      <c r="F12" s="11"/>
      <c r="G12" s="59"/>
      <c r="H12" s="11"/>
      <c r="I12" s="11"/>
      <c r="J12" s="11"/>
    </row>
    <row r="13" spans="5:13" x14ac:dyDescent="0.25">
      <c r="E13" s="11"/>
      <c r="F13" s="11"/>
      <c r="G13" s="59"/>
      <c r="H13" s="11"/>
      <c r="I13" s="11"/>
      <c r="J13" s="11"/>
    </row>
    <row r="14" spans="5:13" x14ac:dyDescent="0.25">
      <c r="E14" t="s">
        <v>17</v>
      </c>
    </row>
    <row r="15" spans="5:13" x14ac:dyDescent="0.25">
      <c r="F15" s="7"/>
      <c r="H15" s="7"/>
    </row>
    <row r="16" spans="5:13" x14ac:dyDescent="0.25">
      <c r="E16" t="s">
        <v>16</v>
      </c>
      <c r="F16" s="7"/>
      <c r="H16" s="7"/>
    </row>
    <row r="17" spans="5:12" x14ac:dyDescent="0.25">
      <c r="F17" s="7"/>
      <c r="H17" s="7"/>
    </row>
    <row r="18" spans="5:12" x14ac:dyDescent="0.25">
      <c r="E18" t="s">
        <v>15</v>
      </c>
      <c r="F18" s="8">
        <v>1718701</v>
      </c>
      <c r="H18" s="7"/>
    </row>
    <row r="19" spans="5:12" x14ac:dyDescent="0.25">
      <c r="F19" s="67"/>
      <c r="H19" s="7"/>
    </row>
    <row r="20" spans="5:12" x14ac:dyDescent="0.25">
      <c r="E20" t="s">
        <v>9</v>
      </c>
      <c r="F20" s="7">
        <f>+F18</f>
        <v>1718701</v>
      </c>
      <c r="H20" s="7"/>
    </row>
    <row r="21" spans="5:12" x14ac:dyDescent="0.25">
      <c r="E21" t="s">
        <v>68</v>
      </c>
      <c r="F21" s="8">
        <v>847111</v>
      </c>
      <c r="H21" s="7"/>
    </row>
    <row r="22" spans="5:12" x14ac:dyDescent="0.25">
      <c r="F22" s="7"/>
      <c r="H22" s="7"/>
    </row>
    <row r="23" spans="5:12" x14ac:dyDescent="0.25">
      <c r="E23" t="s">
        <v>13</v>
      </c>
      <c r="F23" s="7">
        <f>+F20+F21</f>
        <v>2565812</v>
      </c>
      <c r="H23" s="7"/>
    </row>
    <row r="24" spans="5:12" x14ac:dyDescent="0.25">
      <c r="F24" s="7"/>
      <c r="H24" s="7"/>
    </row>
    <row r="25" spans="5:12" x14ac:dyDescent="0.25">
      <c r="E25" t="s">
        <v>12</v>
      </c>
      <c r="F25" s="7">
        <f>+F23*0.08</f>
        <v>205264.96</v>
      </c>
      <c r="H25" s="7"/>
    </row>
    <row r="26" spans="5:12" x14ac:dyDescent="0.25">
      <c r="E26" t="s">
        <v>11</v>
      </c>
      <c r="F26" s="8">
        <v>412150</v>
      </c>
      <c r="H26" s="7"/>
      <c r="L26" t="s">
        <v>10</v>
      </c>
    </row>
    <row r="27" spans="5:12" x14ac:dyDescent="0.25">
      <c r="E27" t="s">
        <v>9</v>
      </c>
      <c r="F27" s="7"/>
      <c r="G27" s="7">
        <f>+F26</f>
        <v>412150</v>
      </c>
      <c r="H27" s="7"/>
      <c r="L27">
        <v>22978</v>
      </c>
    </row>
    <row r="28" spans="5:12" x14ac:dyDescent="0.25">
      <c r="F28" s="7"/>
      <c r="H28" s="7"/>
      <c r="L28">
        <v>4598</v>
      </c>
    </row>
    <row r="29" spans="5:12" x14ac:dyDescent="0.25">
      <c r="E29" t="s">
        <v>8</v>
      </c>
      <c r="F29" s="7"/>
      <c r="H29" s="7"/>
      <c r="L29">
        <v>27576</v>
      </c>
    </row>
    <row r="30" spans="5:12" x14ac:dyDescent="0.25">
      <c r="E30" t="s">
        <v>7</v>
      </c>
      <c r="F30" s="7"/>
      <c r="H30" s="7"/>
    </row>
    <row r="31" spans="5:12" x14ac:dyDescent="0.25">
      <c r="F31" s="7"/>
      <c r="H31" s="7"/>
    </row>
    <row r="32" spans="5:12" x14ac:dyDescent="0.25">
      <c r="F32" s="7"/>
      <c r="G32" s="8"/>
      <c r="H32" s="7"/>
    </row>
    <row r="33" spans="5:8" x14ac:dyDescent="0.25">
      <c r="E33" t="s">
        <v>6</v>
      </c>
      <c r="F33" s="7"/>
      <c r="G33" s="7">
        <f>+G27</f>
        <v>412150</v>
      </c>
      <c r="H33" s="7"/>
    </row>
    <row r="34" spans="5:8" x14ac:dyDescent="0.25">
      <c r="E34" t="s">
        <v>5</v>
      </c>
      <c r="F34" s="7"/>
      <c r="H34" s="7"/>
    </row>
    <row r="35" spans="5:8" x14ac:dyDescent="0.25">
      <c r="E35" t="s">
        <v>4</v>
      </c>
      <c r="F35" s="7"/>
      <c r="G35" s="7">
        <f>13400+11400+11400+1560+9352+17332</f>
        <v>64444</v>
      </c>
      <c r="H35" s="7"/>
    </row>
    <row r="36" spans="5:8" x14ac:dyDescent="0.25">
      <c r="F36" s="7"/>
      <c r="H36" s="7"/>
    </row>
    <row r="37" spans="5:8" ht="15.75" thickBot="1" x14ac:dyDescent="0.3">
      <c r="E37" t="s">
        <v>3</v>
      </c>
      <c r="F37" s="7"/>
      <c r="G37" s="9">
        <f>+G33-G35</f>
        <v>347706</v>
      </c>
      <c r="H37" s="7"/>
    </row>
    <row r="38" spans="5:8" ht="15.75" thickTop="1" x14ac:dyDescent="0.25">
      <c r="F38" s="7"/>
      <c r="H38" s="7"/>
    </row>
    <row r="39" spans="5:8" x14ac:dyDescent="0.25">
      <c r="E39" t="s">
        <v>2</v>
      </c>
      <c r="F39" s="7"/>
      <c r="G39" s="7">
        <f>+(G37-250000)*0.1</f>
        <v>9770.6</v>
      </c>
      <c r="H39" s="7"/>
    </row>
    <row r="40" spans="5:8" x14ac:dyDescent="0.25">
      <c r="F40" s="7"/>
      <c r="H40" s="7"/>
    </row>
    <row r="41" spans="5:8" x14ac:dyDescent="0.25">
      <c r="E41" t="s">
        <v>1</v>
      </c>
      <c r="F41" s="7"/>
      <c r="G41" s="8">
        <v>2000</v>
      </c>
      <c r="H41" s="7"/>
    </row>
    <row r="42" spans="5:8" x14ac:dyDescent="0.25">
      <c r="F42" s="7"/>
      <c r="G42" s="7">
        <f>+G39-G41</f>
        <v>7770.6</v>
      </c>
      <c r="H42" s="7"/>
    </row>
    <row r="43" spans="5:8" x14ac:dyDescent="0.25">
      <c r="E43" t="s">
        <v>69</v>
      </c>
      <c r="F43" s="7"/>
      <c r="G43" s="8">
        <f>+G42*0.03</f>
        <v>233.11799999999999</v>
      </c>
      <c r="H43" s="7"/>
    </row>
    <row r="44" spans="5:8" x14ac:dyDescent="0.25">
      <c r="F44" s="7"/>
      <c r="G44" s="7">
        <f>+G42+G43</f>
        <v>8003.7180000000008</v>
      </c>
      <c r="H44" s="7"/>
    </row>
    <row r="45" spans="5:8" x14ac:dyDescent="0.25">
      <c r="E45" t="s">
        <v>67</v>
      </c>
      <c r="F45" s="7"/>
      <c r="G45" s="8">
        <f>3015+1105+1266</f>
        <v>5386</v>
      </c>
      <c r="H45" s="7"/>
    </row>
    <row r="46" spans="5:8" ht="15.75" thickBot="1" x14ac:dyDescent="0.3">
      <c r="E46" t="s">
        <v>0</v>
      </c>
      <c r="F46" s="7"/>
      <c r="G46" s="9">
        <f>+G44-G45</f>
        <v>2617.7180000000008</v>
      </c>
      <c r="H46" s="7"/>
    </row>
    <row r="47" spans="5:8" ht="15.75" thickTop="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E3:M38"/>
  <sheetViews>
    <sheetView topLeftCell="A28" workbookViewId="0">
      <selection activeCell="E22" sqref="E22"/>
    </sheetView>
  </sheetViews>
  <sheetFormatPr defaultRowHeight="15" x14ac:dyDescent="0.25"/>
  <cols>
    <col min="5" max="5" width="36" customWidth="1"/>
    <col min="6" max="6" width="16.140625" customWidth="1"/>
    <col min="7" max="7" width="9.140625" style="7"/>
  </cols>
  <sheetData>
    <row r="3" spans="5:13" x14ac:dyDescent="0.25">
      <c r="E3" s="11" t="s">
        <v>29</v>
      </c>
      <c r="F3" s="11" t="s">
        <v>28</v>
      </c>
      <c r="G3" s="59"/>
      <c r="H3" s="11"/>
      <c r="I3" s="11"/>
      <c r="J3" s="11"/>
    </row>
    <row r="4" spans="5:13" x14ac:dyDescent="0.25">
      <c r="E4" s="11" t="s">
        <v>27</v>
      </c>
      <c r="F4" s="11" t="s">
        <v>26</v>
      </c>
      <c r="G4" s="59"/>
      <c r="H4" s="11"/>
      <c r="I4" s="11"/>
      <c r="J4" s="11"/>
      <c r="M4" t="s">
        <v>22</v>
      </c>
    </row>
    <row r="5" spans="5:13" x14ac:dyDescent="0.25">
      <c r="E5" s="11" t="s">
        <v>25</v>
      </c>
      <c r="F5" s="11" t="s">
        <v>24</v>
      </c>
      <c r="G5" s="59"/>
      <c r="H5" s="11"/>
      <c r="I5" s="11"/>
      <c r="J5" s="11"/>
    </row>
    <row r="6" spans="5:13" x14ac:dyDescent="0.25">
      <c r="E6" s="11" t="s">
        <v>23</v>
      </c>
      <c r="F6" s="11" t="s">
        <v>71</v>
      </c>
      <c r="G6" s="59"/>
      <c r="H6" s="11"/>
      <c r="I6" s="11"/>
      <c r="J6" s="11"/>
    </row>
    <row r="7" spans="5:13" x14ac:dyDescent="0.25">
      <c r="E7" s="11"/>
      <c r="F7" s="11" t="s">
        <v>72</v>
      </c>
      <c r="G7" s="59"/>
      <c r="H7" s="11"/>
      <c r="I7" s="11"/>
      <c r="J7" s="11"/>
    </row>
    <row r="8" spans="5:13" x14ac:dyDescent="0.25">
      <c r="E8" s="11"/>
      <c r="F8" s="11"/>
      <c r="G8" s="59"/>
      <c r="H8" s="11"/>
      <c r="I8" s="11"/>
      <c r="J8" s="11"/>
    </row>
    <row r="9" spans="5:13" x14ac:dyDescent="0.25">
      <c r="E9" s="11" t="s">
        <v>21</v>
      </c>
      <c r="F9" s="11" t="s">
        <v>20</v>
      </c>
      <c r="G9" s="59"/>
      <c r="H9" s="11"/>
      <c r="I9" s="11"/>
      <c r="J9" s="11"/>
    </row>
    <row r="10" spans="5:13" x14ac:dyDescent="0.25">
      <c r="E10" s="11" t="s">
        <v>203</v>
      </c>
      <c r="F10" s="11" t="s">
        <v>222</v>
      </c>
      <c r="G10" s="59"/>
      <c r="H10" s="11"/>
      <c r="I10" s="11"/>
      <c r="J10" s="11"/>
    </row>
    <row r="11" spans="5:13" x14ac:dyDescent="0.25">
      <c r="E11" s="11"/>
      <c r="F11" s="11"/>
      <c r="G11" s="59"/>
      <c r="H11" s="11"/>
      <c r="I11" s="11"/>
      <c r="J11" s="11"/>
    </row>
    <row r="12" spans="5:13" x14ac:dyDescent="0.25">
      <c r="E12" s="11"/>
      <c r="F12" s="11"/>
      <c r="G12" s="59"/>
      <c r="H12" s="11"/>
      <c r="I12" s="11"/>
      <c r="J12" s="11"/>
    </row>
    <row r="13" spans="5:13" x14ac:dyDescent="0.25">
      <c r="E13" s="11" t="s">
        <v>201</v>
      </c>
      <c r="F13" s="11"/>
      <c r="G13" s="59"/>
      <c r="H13" s="11"/>
      <c r="I13" s="11"/>
      <c r="J13" s="11"/>
    </row>
    <row r="14" spans="5:13" x14ac:dyDescent="0.25">
      <c r="E14" s="11"/>
      <c r="F14" s="11"/>
      <c r="G14" s="59"/>
      <c r="H14" s="11"/>
      <c r="I14" s="11"/>
      <c r="J14" s="11"/>
    </row>
    <row r="15" spans="5:13" x14ac:dyDescent="0.25">
      <c r="E15" t="s">
        <v>17</v>
      </c>
      <c r="F15" s="7">
        <f>+'pL '!G9</f>
        <v>4557974</v>
      </c>
    </row>
    <row r="16" spans="5:13" x14ac:dyDescent="0.25">
      <c r="F16" s="7"/>
      <c r="H16" s="7"/>
    </row>
    <row r="17" spans="5:8" x14ac:dyDescent="0.25">
      <c r="E17" t="s">
        <v>205</v>
      </c>
      <c r="F17" s="7">
        <f>+F15*0.08</f>
        <v>364637.92</v>
      </c>
      <c r="H17" s="7"/>
    </row>
    <row r="18" spans="5:8" x14ac:dyDescent="0.25">
      <c r="F18" s="7"/>
      <c r="H18" s="7"/>
    </row>
    <row r="19" spans="5:8" x14ac:dyDescent="0.25">
      <c r="E19" t="s">
        <v>11</v>
      </c>
      <c r="F19" s="8">
        <f>+'pL '!E29</f>
        <v>475890.39999999991</v>
      </c>
      <c r="H19" s="7"/>
    </row>
    <row r="20" spans="5:8" x14ac:dyDescent="0.25">
      <c r="E20" t="s">
        <v>9</v>
      </c>
      <c r="F20" s="7"/>
      <c r="G20" s="7">
        <f>+MAX(F19:F19)</f>
        <v>475890.39999999991</v>
      </c>
      <c r="H20" s="7"/>
    </row>
    <row r="21" spans="5:8" x14ac:dyDescent="0.25">
      <c r="F21" s="7"/>
      <c r="H21" s="7"/>
    </row>
    <row r="22" spans="5:8" x14ac:dyDescent="0.25">
      <c r="E22" t="s">
        <v>223</v>
      </c>
      <c r="F22" s="7"/>
      <c r="G22" s="7">
        <v>231</v>
      </c>
      <c r="H22" s="7"/>
    </row>
    <row r="23" spans="5:8" x14ac:dyDescent="0.25">
      <c r="F23" s="7"/>
      <c r="G23" s="8"/>
      <c r="H23" s="7"/>
    </row>
    <row r="24" spans="5:8" x14ac:dyDescent="0.25">
      <c r="E24" t="s">
        <v>6</v>
      </c>
      <c r="F24" s="7"/>
      <c r="G24" s="7">
        <f>+G20+G22</f>
        <v>476121.39999999991</v>
      </c>
      <c r="H24" s="7"/>
    </row>
    <row r="25" spans="5:8" x14ac:dyDescent="0.25">
      <c r="E25" t="s">
        <v>5</v>
      </c>
      <c r="F25" s="7"/>
      <c r="H25" s="7"/>
    </row>
    <row r="26" spans="5:8" x14ac:dyDescent="0.25">
      <c r="E26" t="s">
        <v>4</v>
      </c>
      <c r="F26" s="7"/>
      <c r="G26" s="7">
        <v>105745</v>
      </c>
      <c r="H26" s="7"/>
    </row>
    <row r="27" spans="5:8" x14ac:dyDescent="0.25">
      <c r="F27" s="7"/>
      <c r="H27" s="7"/>
    </row>
    <row r="28" spans="5:8" ht="15.75" thickBot="1" x14ac:dyDescent="0.3">
      <c r="E28" t="s">
        <v>3</v>
      </c>
      <c r="F28" s="7"/>
      <c r="G28" s="9">
        <f>+G24-G26</f>
        <v>370376.39999999991</v>
      </c>
      <c r="H28" s="7"/>
    </row>
    <row r="29" spans="5:8" ht="15.75" thickTop="1" x14ac:dyDescent="0.25">
      <c r="F29" s="7"/>
      <c r="H29" s="7"/>
    </row>
    <row r="30" spans="5:8" x14ac:dyDescent="0.25">
      <c r="E30" t="s">
        <v>2</v>
      </c>
      <c r="F30" s="7"/>
      <c r="G30" s="7">
        <f>(+G28-250000)*0.05</f>
        <v>6018.8199999999961</v>
      </c>
      <c r="H30" s="7"/>
    </row>
    <row r="31" spans="5:8" x14ac:dyDescent="0.25">
      <c r="F31" s="7"/>
      <c r="H31" s="7"/>
    </row>
    <row r="32" spans="5:8" x14ac:dyDescent="0.25">
      <c r="E32" t="s">
        <v>1</v>
      </c>
      <c r="F32" s="7"/>
      <c r="G32" s="8">
        <v>0</v>
      </c>
      <c r="H32" s="7"/>
    </row>
    <row r="33" spans="5:8" x14ac:dyDescent="0.25">
      <c r="F33" s="7"/>
      <c r="G33" s="7">
        <f>+G30-G32</f>
        <v>6018.8199999999961</v>
      </c>
      <c r="H33" s="7"/>
    </row>
    <row r="34" spans="5:8" x14ac:dyDescent="0.25">
      <c r="E34" t="s">
        <v>69</v>
      </c>
      <c r="F34" s="7"/>
      <c r="G34" s="8">
        <f>+G33*0.03</f>
        <v>180.56459999999987</v>
      </c>
      <c r="H34" s="7"/>
    </row>
    <row r="35" spans="5:8" x14ac:dyDescent="0.25">
      <c r="F35" s="7"/>
      <c r="G35" s="7">
        <f>+G33+G34</f>
        <v>6199.3845999999958</v>
      </c>
      <c r="H35" s="7"/>
    </row>
    <row r="36" spans="5:8" x14ac:dyDescent="0.25">
      <c r="E36" t="s">
        <v>67</v>
      </c>
      <c r="F36" s="7"/>
      <c r="G36" s="8">
        <v>24669</v>
      </c>
      <c r="H36" s="7"/>
    </row>
    <row r="37" spans="5:8" ht="15.75" thickBot="1" x14ac:dyDescent="0.3">
      <c r="E37" t="s">
        <v>70</v>
      </c>
      <c r="F37" s="7"/>
      <c r="G37" s="9">
        <f>+G36-G35</f>
        <v>18469.615400000002</v>
      </c>
      <c r="H37" s="7"/>
    </row>
    <row r="38" spans="5:8" ht="15.75" thickTop="1" x14ac:dyDescent="0.25"/>
  </sheetData>
  <pageMargins left="0.7" right="0.7" top="0.75" bottom="0.75" header="0.3" footer="0.3"/>
  <pageSetup paperSize="9" scale="5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L40"/>
  <sheetViews>
    <sheetView topLeftCell="A4" workbookViewId="0">
      <selection activeCell="E10" sqref="E10:E11"/>
    </sheetView>
  </sheetViews>
  <sheetFormatPr defaultRowHeight="15" x14ac:dyDescent="0.25"/>
  <cols>
    <col min="5" max="5" width="33.140625" bestFit="1" customWidth="1"/>
  </cols>
  <sheetData>
    <row r="3" spans="5:10" x14ac:dyDescent="0.25">
      <c r="E3" t="s">
        <v>29</v>
      </c>
      <c r="F3" t="s">
        <v>28</v>
      </c>
    </row>
    <row r="4" spans="5:10" x14ac:dyDescent="0.25">
      <c r="E4" t="s">
        <v>27</v>
      </c>
      <c r="F4" t="s">
        <v>26</v>
      </c>
      <c r="J4" t="s">
        <v>22</v>
      </c>
    </row>
    <row r="5" spans="5:10" x14ac:dyDescent="0.25">
      <c r="E5" t="s">
        <v>25</v>
      </c>
      <c r="F5" t="s">
        <v>24</v>
      </c>
    </row>
    <row r="6" spans="5:10" x14ac:dyDescent="0.25">
      <c r="E6" t="s">
        <v>23</v>
      </c>
      <c r="F6" t="s">
        <v>22</v>
      </c>
    </row>
    <row r="7" spans="5:10" x14ac:dyDescent="0.25">
      <c r="E7" t="s">
        <v>21</v>
      </c>
      <c r="F7" t="s">
        <v>20</v>
      </c>
    </row>
    <row r="8" spans="5:10" x14ac:dyDescent="0.25">
      <c r="E8" t="s">
        <v>19</v>
      </c>
    </row>
    <row r="10" spans="5:10" x14ac:dyDescent="0.25">
      <c r="E10" t="s">
        <v>18</v>
      </c>
    </row>
    <row r="12" spans="5:10" x14ac:dyDescent="0.25">
      <c r="E12" t="s">
        <v>17</v>
      </c>
    </row>
    <row r="14" spans="5:10" x14ac:dyDescent="0.25">
      <c r="E14" t="s">
        <v>16</v>
      </c>
      <c r="F14">
        <f>+[1]vat!C15+[1]vat!K15</f>
        <v>1394869</v>
      </c>
    </row>
    <row r="16" spans="5:10" x14ac:dyDescent="0.25">
      <c r="E16" t="s">
        <v>15</v>
      </c>
      <c r="F16" s="2">
        <v>1420644</v>
      </c>
    </row>
    <row r="17" spans="5:12" x14ac:dyDescent="0.25">
      <c r="F17" s="4"/>
    </row>
    <row r="18" spans="5:12" x14ac:dyDescent="0.25">
      <c r="E18" t="s">
        <v>9</v>
      </c>
      <c r="F18">
        <f>+MAX(F14:F16)</f>
        <v>1420644</v>
      </c>
    </row>
    <row r="19" spans="5:12" x14ac:dyDescent="0.25">
      <c r="E19" t="s">
        <v>14</v>
      </c>
      <c r="F19" s="2">
        <v>912166</v>
      </c>
    </row>
    <row r="21" spans="5:12" x14ac:dyDescent="0.25">
      <c r="E21" t="s">
        <v>13</v>
      </c>
      <c r="F21">
        <f>+F18+F19</f>
        <v>2332810</v>
      </c>
    </row>
    <row r="23" spans="5:12" x14ac:dyDescent="0.25">
      <c r="E23" t="s">
        <v>12</v>
      </c>
      <c r="F23" s="3">
        <f>+F21*0.08</f>
        <v>186624.80000000002</v>
      </c>
    </row>
    <row r="24" spans="5:12" x14ac:dyDescent="0.25">
      <c r="E24" t="s">
        <v>11</v>
      </c>
      <c r="F24" s="2">
        <v>295874</v>
      </c>
      <c r="L24" t="s">
        <v>10</v>
      </c>
    </row>
    <row r="25" spans="5:12" x14ac:dyDescent="0.25">
      <c r="E25" t="s">
        <v>9</v>
      </c>
      <c r="G25" s="3">
        <f>+MAX(F23:F24)</f>
        <v>295874</v>
      </c>
      <c r="L25">
        <v>22978</v>
      </c>
    </row>
    <row r="26" spans="5:12" x14ac:dyDescent="0.25">
      <c r="L26">
        <v>4598</v>
      </c>
    </row>
    <row r="27" spans="5:12" x14ac:dyDescent="0.25">
      <c r="E27" t="s">
        <v>8</v>
      </c>
      <c r="L27">
        <f>SUM(L25:L26)</f>
        <v>27576</v>
      </c>
    </row>
    <row r="28" spans="5:12" x14ac:dyDescent="0.25">
      <c r="E28" t="s">
        <v>7</v>
      </c>
      <c r="G28">
        <v>1000</v>
      </c>
    </row>
    <row r="30" spans="5:12" x14ac:dyDescent="0.25">
      <c r="G30" s="2"/>
    </row>
    <row r="31" spans="5:12" x14ac:dyDescent="0.25">
      <c r="E31" t="s">
        <v>6</v>
      </c>
      <c r="G31">
        <f>SUM(G12:G29)</f>
        <v>296874</v>
      </c>
    </row>
    <row r="32" spans="5:12" x14ac:dyDescent="0.25">
      <c r="E32" t="s">
        <v>5</v>
      </c>
    </row>
    <row r="33" spans="5:7" x14ac:dyDescent="0.25">
      <c r="E33" t="s">
        <v>4</v>
      </c>
      <c r="G33">
        <v>27576</v>
      </c>
    </row>
    <row r="35" spans="5:7" ht="15.75" thickBot="1" x14ac:dyDescent="0.3">
      <c r="E35" t="s">
        <v>3</v>
      </c>
      <c r="G35" s="1">
        <f>+G31-G33</f>
        <v>269298</v>
      </c>
    </row>
    <row r="36" spans="5:7" ht="15.75" thickTop="1" x14ac:dyDescent="0.25"/>
    <row r="37" spans="5:7" x14ac:dyDescent="0.25">
      <c r="E37" t="s">
        <v>2</v>
      </c>
      <c r="G37">
        <f>(+G35-250000)*0.1</f>
        <v>1929.8000000000002</v>
      </c>
    </row>
    <row r="39" spans="5:7" x14ac:dyDescent="0.25">
      <c r="E39" t="s">
        <v>1</v>
      </c>
      <c r="G39">
        <v>2000</v>
      </c>
    </row>
    <row r="40" spans="5:7" x14ac:dyDescent="0.25">
      <c r="E40" t="s">
        <v>0</v>
      </c>
      <c r="G40">
        <f>+G37-G39</f>
        <v>-70.199999999999818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4"/>
  <sheetViews>
    <sheetView workbookViewId="0">
      <selection activeCell="C4" sqref="C4"/>
    </sheetView>
  </sheetViews>
  <sheetFormatPr defaultRowHeight="15" x14ac:dyDescent="0.25"/>
  <cols>
    <col min="2" max="2" width="34.28515625" bestFit="1" customWidth="1"/>
    <col min="3" max="3" width="12.140625" bestFit="1" customWidth="1"/>
    <col min="5" max="5" width="23.42578125" bestFit="1" customWidth="1"/>
    <col min="6" max="6" width="11" bestFit="1" customWidth="1"/>
  </cols>
  <sheetData>
    <row r="1" spans="2:7" x14ac:dyDescent="0.25">
      <c r="B1" s="32"/>
      <c r="C1" s="107" t="s">
        <v>165</v>
      </c>
      <c r="D1" s="107"/>
      <c r="E1" s="32"/>
      <c r="F1" s="107" t="s">
        <v>165</v>
      </c>
      <c r="G1" s="107"/>
    </row>
    <row r="2" spans="2:7" x14ac:dyDescent="0.25">
      <c r="B2" s="33" t="s">
        <v>105</v>
      </c>
      <c r="C2" s="108" t="s">
        <v>194</v>
      </c>
      <c r="D2" s="108"/>
      <c r="E2" s="33" t="s">
        <v>107</v>
      </c>
      <c r="F2" s="108" t="s">
        <v>194</v>
      </c>
      <c r="G2" s="108"/>
    </row>
    <row r="3" spans="2:7" x14ac:dyDescent="0.25">
      <c r="B3" s="34" t="s">
        <v>108</v>
      </c>
      <c r="C3" s="35"/>
      <c r="D3" s="36">
        <v>2076776.84</v>
      </c>
      <c r="E3" s="37" t="s">
        <v>109</v>
      </c>
      <c r="F3" s="35"/>
      <c r="G3" s="36">
        <v>2072269</v>
      </c>
    </row>
    <row r="4" spans="2:7" x14ac:dyDescent="0.25">
      <c r="B4" s="38" t="s">
        <v>110</v>
      </c>
      <c r="C4" s="39">
        <v>2076776.84</v>
      </c>
      <c r="D4" s="40"/>
      <c r="E4" s="41" t="s">
        <v>111</v>
      </c>
      <c r="F4" s="39">
        <v>-220486</v>
      </c>
      <c r="G4" s="40"/>
    </row>
    <row r="5" spans="2:7" x14ac:dyDescent="0.25">
      <c r="B5" s="38" t="s">
        <v>114</v>
      </c>
      <c r="C5" s="35"/>
      <c r="D5" s="40"/>
      <c r="E5" s="41" t="s">
        <v>113</v>
      </c>
      <c r="F5" s="39">
        <v>7722</v>
      </c>
      <c r="G5" s="40"/>
    </row>
    <row r="6" spans="2:7" x14ac:dyDescent="0.25">
      <c r="B6" s="38" t="s">
        <v>195</v>
      </c>
      <c r="C6" s="46"/>
      <c r="D6" s="40"/>
      <c r="E6" s="41" t="s">
        <v>115</v>
      </c>
      <c r="F6" s="39">
        <v>1164</v>
      </c>
      <c r="G6" s="40"/>
    </row>
    <row r="7" spans="2:7" x14ac:dyDescent="0.25">
      <c r="B7" s="34" t="s">
        <v>118</v>
      </c>
      <c r="C7" s="35"/>
      <c r="D7" s="36">
        <v>625642.55000000005</v>
      </c>
      <c r="E7" s="41" t="s">
        <v>117</v>
      </c>
      <c r="F7" s="39">
        <v>7</v>
      </c>
      <c r="G7" s="40"/>
    </row>
    <row r="8" spans="2:7" x14ac:dyDescent="0.25">
      <c r="B8" s="43" t="s">
        <v>120</v>
      </c>
      <c r="C8" s="39">
        <v>261489.55</v>
      </c>
      <c r="D8" s="40"/>
      <c r="E8" s="41" t="s">
        <v>119</v>
      </c>
      <c r="F8" s="39">
        <v>34207</v>
      </c>
      <c r="G8" s="40"/>
    </row>
    <row r="9" spans="2:7" x14ac:dyDescent="0.25">
      <c r="B9" s="43" t="s">
        <v>124</v>
      </c>
      <c r="C9" s="35"/>
      <c r="D9" s="40"/>
      <c r="E9" s="41" t="s">
        <v>121</v>
      </c>
      <c r="F9" s="39">
        <v>550440</v>
      </c>
      <c r="G9" s="40"/>
    </row>
    <row r="10" spans="2:7" x14ac:dyDescent="0.25">
      <c r="B10" s="38" t="s">
        <v>196</v>
      </c>
      <c r="C10" s="42">
        <v>364153</v>
      </c>
      <c r="D10" s="40"/>
      <c r="E10" s="41" t="s">
        <v>123</v>
      </c>
      <c r="F10" s="39">
        <v>10984</v>
      </c>
      <c r="G10" s="40"/>
    </row>
    <row r="11" spans="2:7" x14ac:dyDescent="0.25">
      <c r="B11" s="34" t="s">
        <v>126</v>
      </c>
      <c r="C11" s="35"/>
      <c r="D11" s="36">
        <v>224895.87</v>
      </c>
      <c r="E11" s="41" t="s">
        <v>125</v>
      </c>
      <c r="F11" s="39">
        <v>218776</v>
      </c>
      <c r="G11" s="40"/>
    </row>
    <row r="12" spans="2:7" x14ac:dyDescent="0.25">
      <c r="B12" s="43" t="s">
        <v>128</v>
      </c>
      <c r="C12" s="39">
        <v>13222.87</v>
      </c>
      <c r="D12" s="40"/>
      <c r="E12" s="41" t="s">
        <v>127</v>
      </c>
      <c r="F12" s="39">
        <v>1389920</v>
      </c>
      <c r="G12" s="40"/>
    </row>
    <row r="13" spans="2:7" x14ac:dyDescent="0.25">
      <c r="B13" s="43" t="s">
        <v>130</v>
      </c>
      <c r="C13" s="39">
        <v>21000</v>
      </c>
      <c r="D13" s="40"/>
      <c r="E13" s="41" t="s">
        <v>129</v>
      </c>
      <c r="F13" s="39">
        <v>21051</v>
      </c>
      <c r="G13" s="40"/>
    </row>
    <row r="14" spans="2:7" x14ac:dyDescent="0.25">
      <c r="B14" s="43" t="s">
        <v>132</v>
      </c>
      <c r="C14" s="39">
        <v>182669</v>
      </c>
      <c r="D14" s="40"/>
      <c r="E14" s="41" t="s">
        <v>131</v>
      </c>
      <c r="F14" s="39">
        <v>45932</v>
      </c>
      <c r="G14" s="40"/>
    </row>
    <row r="15" spans="2:7" x14ac:dyDescent="0.25">
      <c r="B15" s="38" t="s">
        <v>197</v>
      </c>
      <c r="C15" s="42">
        <v>8004</v>
      </c>
      <c r="D15" s="40"/>
      <c r="E15" s="41" t="s">
        <v>133</v>
      </c>
      <c r="F15" s="42">
        <v>12552</v>
      </c>
      <c r="G15" s="40"/>
    </row>
    <row r="16" spans="2:7" x14ac:dyDescent="0.25">
      <c r="B16" s="34" t="s">
        <v>134</v>
      </c>
      <c r="C16" s="35"/>
      <c r="D16" s="40"/>
      <c r="E16" s="44" t="s">
        <v>135</v>
      </c>
      <c r="F16" s="35"/>
      <c r="G16" s="36">
        <v>855046.26</v>
      </c>
    </row>
    <row r="17" spans="2:7" x14ac:dyDescent="0.25">
      <c r="B17" s="34" t="s">
        <v>146</v>
      </c>
      <c r="C17" s="35"/>
      <c r="D17" s="40"/>
      <c r="E17" s="41" t="s">
        <v>137</v>
      </c>
      <c r="F17" s="39">
        <v>300742</v>
      </c>
      <c r="G17" s="40"/>
    </row>
    <row r="18" spans="2:7" x14ac:dyDescent="0.25">
      <c r="B18" s="38" t="s">
        <v>148</v>
      </c>
      <c r="C18" s="39">
        <v>-744.95</v>
      </c>
      <c r="D18" s="40"/>
      <c r="E18" s="45" t="s">
        <v>139</v>
      </c>
      <c r="F18" s="39">
        <v>517971.82</v>
      </c>
      <c r="G18" s="40"/>
    </row>
    <row r="19" spans="2:7" x14ac:dyDescent="0.25">
      <c r="B19" s="38" t="s">
        <v>150</v>
      </c>
      <c r="C19" s="39">
        <v>412150.61</v>
      </c>
      <c r="D19" s="40"/>
      <c r="E19" s="45" t="s">
        <v>141</v>
      </c>
      <c r="F19" s="39">
        <v>1462.31</v>
      </c>
      <c r="G19" s="40"/>
    </row>
    <row r="20" spans="2:7" x14ac:dyDescent="0.25">
      <c r="B20" s="38" t="s">
        <v>198</v>
      </c>
      <c r="C20" s="42">
        <v>411405.66</v>
      </c>
      <c r="D20" s="40"/>
      <c r="E20" s="45" t="s">
        <v>143</v>
      </c>
      <c r="F20" s="39">
        <v>27484.13</v>
      </c>
      <c r="G20" s="40"/>
    </row>
    <row r="21" spans="2:7" x14ac:dyDescent="0.25">
      <c r="B21" s="49"/>
      <c r="C21" s="49"/>
      <c r="D21" s="49"/>
      <c r="E21" s="41" t="s">
        <v>145</v>
      </c>
      <c r="F21" s="35"/>
      <c r="G21" s="40"/>
    </row>
    <row r="22" spans="2:7" x14ac:dyDescent="0.25">
      <c r="B22" s="49"/>
      <c r="C22" s="49"/>
      <c r="D22" s="49"/>
      <c r="E22" s="41" t="s">
        <v>199</v>
      </c>
      <c r="F22" s="39">
        <v>5386</v>
      </c>
      <c r="G22" s="40"/>
    </row>
    <row r="23" spans="2:7" x14ac:dyDescent="0.25">
      <c r="B23" s="49"/>
      <c r="C23" s="49"/>
      <c r="D23" s="49"/>
      <c r="E23" s="41" t="s">
        <v>147</v>
      </c>
      <c r="F23" s="48">
        <v>2000</v>
      </c>
      <c r="G23" s="40"/>
    </row>
    <row r="24" spans="2:7" x14ac:dyDescent="0.25">
      <c r="B24" s="89" t="s">
        <v>151</v>
      </c>
      <c r="C24" s="54"/>
      <c r="D24" s="55">
        <v>2927315.26</v>
      </c>
      <c r="E24" s="90" t="s">
        <v>151</v>
      </c>
      <c r="F24" s="51"/>
      <c r="G24" s="52">
        <v>2927315.26</v>
      </c>
    </row>
  </sheetData>
  <mergeCells count="4">
    <mergeCell ref="C1:D1"/>
    <mergeCell ref="F1:G1"/>
    <mergeCell ref="C2:D2"/>
    <mergeCell ref="F2:G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3:J105"/>
  <sheetViews>
    <sheetView topLeftCell="A81" workbookViewId="0">
      <selection activeCell="D74" sqref="D74:G105"/>
    </sheetView>
  </sheetViews>
  <sheetFormatPr defaultRowHeight="15" x14ac:dyDescent="0.25"/>
  <cols>
    <col min="4" max="4" width="37.42578125" bestFit="1" customWidth="1"/>
    <col min="5" max="5" width="11.7109375" bestFit="1" customWidth="1"/>
    <col min="6" max="6" width="28.28515625" bestFit="1" customWidth="1"/>
    <col min="7" max="7" width="11.7109375" bestFit="1" customWidth="1"/>
    <col min="10" max="10" width="16" customWidth="1"/>
  </cols>
  <sheetData>
    <row r="3" spans="4:7" ht="18.75" x14ac:dyDescent="0.3">
      <c r="D3" s="110" t="s">
        <v>78</v>
      </c>
      <c r="E3" s="110"/>
      <c r="F3" s="110"/>
      <c r="G3" s="110"/>
    </row>
    <row r="4" spans="4:7" x14ac:dyDescent="0.25">
      <c r="D4" s="109" t="s">
        <v>79</v>
      </c>
      <c r="E4" s="109"/>
      <c r="F4" s="109"/>
      <c r="G4" s="109"/>
    </row>
    <row r="5" spans="4:7" x14ac:dyDescent="0.25">
      <c r="D5" s="109" t="s">
        <v>206</v>
      </c>
      <c r="E5" s="109"/>
      <c r="F5" s="109"/>
      <c r="G5" s="109"/>
    </row>
    <row r="6" spans="4:7" x14ac:dyDescent="0.25">
      <c r="D6" s="14"/>
      <c r="E6" s="14"/>
      <c r="F6" s="14"/>
    </row>
    <row r="7" spans="4:7" x14ac:dyDescent="0.25">
      <c r="D7" s="12"/>
      <c r="E7" s="12"/>
      <c r="F7" s="12"/>
      <c r="G7" s="10" t="s">
        <v>97</v>
      </c>
    </row>
    <row r="8" spans="4:7" x14ac:dyDescent="0.25">
      <c r="D8" s="18" t="s">
        <v>73</v>
      </c>
      <c r="E8" s="18" t="s">
        <v>96</v>
      </c>
      <c r="F8" s="18" t="s">
        <v>73</v>
      </c>
      <c r="G8" s="18" t="s">
        <v>96</v>
      </c>
    </row>
    <row r="9" spans="4:7" x14ac:dyDescent="0.25">
      <c r="D9" s="19"/>
      <c r="E9" s="25"/>
      <c r="F9" s="19"/>
      <c r="G9" s="25"/>
    </row>
    <row r="10" spans="4:7" x14ac:dyDescent="0.25">
      <c r="D10" s="20" t="s">
        <v>102</v>
      </c>
      <c r="E10" s="26">
        <v>3546396</v>
      </c>
      <c r="F10" s="21" t="s">
        <v>109</v>
      </c>
      <c r="G10" s="26">
        <f>+dep!H18</f>
        <v>2132946.4</v>
      </c>
    </row>
    <row r="11" spans="4:7" x14ac:dyDescent="0.25">
      <c r="D11" s="21" t="s">
        <v>103</v>
      </c>
      <c r="E11" s="57">
        <f>+'pL '!E29</f>
        <v>475890.39999999991</v>
      </c>
      <c r="F11" s="20" t="s">
        <v>157</v>
      </c>
      <c r="G11" s="26"/>
    </row>
    <row r="12" spans="4:7" x14ac:dyDescent="0.25">
      <c r="D12" s="20"/>
      <c r="E12" s="56">
        <f>SUM(E10:E11)</f>
        <v>4022286.4</v>
      </c>
      <c r="F12" s="20"/>
      <c r="G12" s="26"/>
    </row>
    <row r="13" spans="4:7" x14ac:dyDescent="0.25">
      <c r="D13" s="20"/>
      <c r="E13" s="26"/>
      <c r="F13" s="20"/>
      <c r="G13" s="26"/>
    </row>
    <row r="14" spans="4:7" x14ac:dyDescent="0.25">
      <c r="D14" s="22"/>
      <c r="E14" s="26"/>
      <c r="F14" s="21" t="s">
        <v>135</v>
      </c>
      <c r="G14" s="26"/>
    </row>
    <row r="15" spans="4:7" x14ac:dyDescent="0.25">
      <c r="D15" s="58" t="s">
        <v>152</v>
      </c>
      <c r="E15" s="26"/>
      <c r="F15" s="20"/>
      <c r="G15" s="26"/>
    </row>
    <row r="16" spans="4:7" x14ac:dyDescent="0.25">
      <c r="D16" s="23" t="s">
        <v>153</v>
      </c>
      <c r="E16" s="26">
        <v>125541</v>
      </c>
      <c r="F16" s="20" t="s">
        <v>155</v>
      </c>
      <c r="G16" s="26">
        <v>23560</v>
      </c>
    </row>
    <row r="17" spans="4:10" x14ac:dyDescent="0.25">
      <c r="D17" s="21"/>
      <c r="E17" s="26"/>
      <c r="F17" s="22" t="s">
        <v>139</v>
      </c>
      <c r="G17" s="26">
        <f>+'pL '!G9/12*3.56</f>
        <v>1352198.9533333334</v>
      </c>
    </row>
    <row r="18" spans="4:10" x14ac:dyDescent="0.25">
      <c r="D18" s="20"/>
      <c r="E18" s="26"/>
      <c r="F18" s="20" t="s">
        <v>156</v>
      </c>
      <c r="G18" s="26">
        <v>255366</v>
      </c>
    </row>
    <row r="19" spans="4:10" x14ac:dyDescent="0.25">
      <c r="D19" s="21"/>
      <c r="E19" s="26"/>
      <c r="F19" s="20" t="s">
        <v>204</v>
      </c>
      <c r="G19" s="26">
        <f>+'pL '!G10</f>
        <v>458740</v>
      </c>
    </row>
    <row r="20" spans="4:10" x14ac:dyDescent="0.25">
      <c r="D20" s="20" t="s">
        <v>154</v>
      </c>
      <c r="E20" s="26">
        <f>+'pL '!E64</f>
        <v>18000</v>
      </c>
      <c r="F20" s="20"/>
      <c r="G20" s="26"/>
    </row>
    <row r="21" spans="4:10" x14ac:dyDescent="0.25">
      <c r="D21" s="20" t="s">
        <v>132</v>
      </c>
      <c r="E21" s="26">
        <v>56984</v>
      </c>
      <c r="F21" s="20"/>
      <c r="G21" s="20"/>
    </row>
    <row r="22" spans="4:10" x14ac:dyDescent="0.25">
      <c r="D22" s="20"/>
      <c r="E22" s="29"/>
      <c r="F22" s="20"/>
      <c r="G22" s="20"/>
    </row>
    <row r="23" spans="4:10" ht="15.75" thickBot="1" x14ac:dyDescent="0.3">
      <c r="D23" s="24"/>
      <c r="E23" s="31">
        <f>SUM(E12:E21)</f>
        <v>4222811.4000000004</v>
      </c>
      <c r="F23" s="24"/>
      <c r="G23" s="31">
        <f>SUM(G10:G22)</f>
        <v>4222811.3533333335</v>
      </c>
      <c r="I23" s="7"/>
      <c r="J23" s="7">
        <f>+E23-G23</f>
        <v>4.6666666865348816E-2</v>
      </c>
    </row>
    <row r="24" spans="4:10" ht="15.75" thickTop="1" x14ac:dyDescent="0.25">
      <c r="D24" s="15"/>
      <c r="E24" s="15"/>
      <c r="F24" s="15"/>
      <c r="G24" s="15"/>
    </row>
    <row r="26" spans="4:10" x14ac:dyDescent="0.25">
      <c r="D26" s="92" t="s">
        <v>98</v>
      </c>
      <c r="E26" s="12"/>
      <c r="G26" s="10" t="s">
        <v>209</v>
      </c>
    </row>
    <row r="27" spans="4:10" x14ac:dyDescent="0.25">
      <c r="D27" s="92"/>
      <c r="E27" s="12"/>
      <c r="G27" s="10" t="s">
        <v>210</v>
      </c>
    </row>
    <row r="28" spans="4:10" x14ac:dyDescent="0.25">
      <c r="D28" s="93"/>
      <c r="G28" s="10"/>
    </row>
    <row r="29" spans="4:10" x14ac:dyDescent="0.25">
      <c r="D29" s="93"/>
      <c r="G29" s="10"/>
    </row>
    <row r="30" spans="4:10" x14ac:dyDescent="0.25">
      <c r="D30" s="93" t="s">
        <v>99</v>
      </c>
      <c r="G30" s="10" t="s">
        <v>211</v>
      </c>
    </row>
    <row r="31" spans="4:10" x14ac:dyDescent="0.25">
      <c r="D31" s="93" t="s">
        <v>100</v>
      </c>
      <c r="G31" s="10" t="s">
        <v>212</v>
      </c>
    </row>
    <row r="32" spans="4:10" x14ac:dyDescent="0.25">
      <c r="D32" s="93" t="s">
        <v>26</v>
      </c>
      <c r="G32" s="10" t="s">
        <v>213</v>
      </c>
    </row>
    <row r="35" spans="4:7" x14ac:dyDescent="0.25">
      <c r="D35" t="s">
        <v>208</v>
      </c>
    </row>
    <row r="36" spans="4:7" x14ac:dyDescent="0.25">
      <c r="D36" t="s">
        <v>101</v>
      </c>
    </row>
    <row r="40" spans="4:7" ht="18.75" x14ac:dyDescent="0.3">
      <c r="D40" s="110" t="s">
        <v>78</v>
      </c>
      <c r="E40" s="110"/>
      <c r="F40" s="110"/>
      <c r="G40" s="110"/>
    </row>
    <row r="41" spans="4:7" x14ac:dyDescent="0.25">
      <c r="D41" s="109" t="s">
        <v>79</v>
      </c>
      <c r="E41" s="109"/>
      <c r="F41" s="109"/>
      <c r="G41" s="109"/>
    </row>
    <row r="42" spans="4:7" x14ac:dyDescent="0.25">
      <c r="D42" s="109" t="s">
        <v>220</v>
      </c>
      <c r="E42" s="109"/>
      <c r="F42" s="109"/>
      <c r="G42" s="109"/>
    </row>
    <row r="43" spans="4:7" x14ac:dyDescent="0.25">
      <c r="D43" s="91"/>
      <c r="E43" s="91"/>
      <c r="F43" s="91"/>
    </row>
    <row r="44" spans="4:7" x14ac:dyDescent="0.25">
      <c r="D44" s="12"/>
      <c r="E44" s="12"/>
      <c r="F44" s="12"/>
      <c r="G44" s="10" t="s">
        <v>97</v>
      </c>
    </row>
    <row r="45" spans="4:7" x14ac:dyDescent="0.25">
      <c r="D45" s="18" t="s">
        <v>73</v>
      </c>
      <c r="E45" s="18" t="s">
        <v>96</v>
      </c>
      <c r="F45" s="18" t="s">
        <v>73</v>
      </c>
      <c r="G45" s="18" t="s">
        <v>96</v>
      </c>
    </row>
    <row r="46" spans="4:7" x14ac:dyDescent="0.25">
      <c r="D46" s="19"/>
      <c r="E46" s="25"/>
      <c r="F46" s="19"/>
      <c r="G46" s="25"/>
    </row>
    <row r="47" spans="4:7" x14ac:dyDescent="0.25">
      <c r="D47" s="20" t="s">
        <v>102</v>
      </c>
      <c r="E47" s="26">
        <v>3093996</v>
      </c>
      <c r="F47" s="21" t="s">
        <v>109</v>
      </c>
      <c r="G47" s="26">
        <f>+dep!H38</f>
        <v>2075436.8499999999</v>
      </c>
    </row>
    <row r="48" spans="4:7" x14ac:dyDescent="0.25">
      <c r="D48" s="21" t="s">
        <v>103</v>
      </c>
      <c r="E48" s="57">
        <f>+'pL '!E72</f>
        <v>675691</v>
      </c>
      <c r="F48" s="20" t="s">
        <v>157</v>
      </c>
      <c r="G48" s="26"/>
    </row>
    <row r="49" spans="4:10" x14ac:dyDescent="0.25">
      <c r="D49" s="20"/>
      <c r="E49" s="56">
        <f>SUM(E47:E48)</f>
        <v>3769687</v>
      </c>
      <c r="F49" s="20"/>
      <c r="G49" s="26"/>
    </row>
    <row r="50" spans="4:10" x14ac:dyDescent="0.25">
      <c r="D50" s="22"/>
      <c r="E50" s="26"/>
      <c r="F50" s="21" t="s">
        <v>135</v>
      </c>
      <c r="G50" s="26"/>
    </row>
    <row r="51" spans="4:10" x14ac:dyDescent="0.25">
      <c r="D51" s="20" t="s">
        <v>154</v>
      </c>
      <c r="E51" s="26">
        <v>63220</v>
      </c>
      <c r="F51" s="20" t="s">
        <v>155</v>
      </c>
      <c r="G51" s="26">
        <v>45120</v>
      </c>
    </row>
    <row r="52" spans="4:10" x14ac:dyDescent="0.25">
      <c r="D52" s="20" t="s">
        <v>132</v>
      </c>
      <c r="E52" s="26">
        <v>125474</v>
      </c>
      <c r="F52" s="22" t="s">
        <v>139</v>
      </c>
      <c r="G52" s="26">
        <f>+'pL '!G55/12*2.9</f>
        <v>912317.52500000002</v>
      </c>
    </row>
    <row r="53" spans="4:10" x14ac:dyDescent="0.25">
      <c r="D53" s="20"/>
      <c r="E53" s="26"/>
      <c r="F53" s="20" t="s">
        <v>156</v>
      </c>
      <c r="G53" s="26">
        <f>224330+71992</f>
        <v>296322</v>
      </c>
    </row>
    <row r="54" spans="4:10" x14ac:dyDescent="0.25">
      <c r="D54" s="21"/>
      <c r="E54" s="26"/>
      <c r="F54" s="20" t="s">
        <v>204</v>
      </c>
      <c r="G54" s="26">
        <f>+'pL '!G56</f>
        <v>629184.5</v>
      </c>
    </row>
    <row r="55" spans="4:10" x14ac:dyDescent="0.25">
      <c r="D55" s="21"/>
      <c r="E55" s="26"/>
      <c r="F55" s="20"/>
      <c r="G55" s="26"/>
    </row>
    <row r="56" spans="4:10" x14ac:dyDescent="0.25">
      <c r="D56" s="20"/>
      <c r="E56" s="26"/>
      <c r="F56" s="20"/>
      <c r="G56" s="20"/>
    </row>
    <row r="57" spans="4:10" ht="15.75" thickBot="1" x14ac:dyDescent="0.3">
      <c r="D57" s="24"/>
      <c r="E57" s="31">
        <f>SUM(E49:E56)</f>
        <v>3958381</v>
      </c>
      <c r="F57" s="24"/>
      <c r="G57" s="31">
        <f>SUM(G47:G56)</f>
        <v>3958380.8749999995</v>
      </c>
      <c r="J57" s="7">
        <f>+G57-E57</f>
        <v>-0.12500000046566129</v>
      </c>
    </row>
    <row r="58" spans="4:10" ht="15.75" thickTop="1" x14ac:dyDescent="0.25">
      <c r="D58" s="15"/>
      <c r="E58" s="15"/>
      <c r="F58" s="15"/>
      <c r="G58" s="15"/>
    </row>
    <row r="60" spans="4:10" x14ac:dyDescent="0.25">
      <c r="D60" s="92" t="s">
        <v>98</v>
      </c>
      <c r="E60" s="12"/>
      <c r="G60" s="10" t="s">
        <v>209</v>
      </c>
    </row>
    <row r="61" spans="4:10" x14ac:dyDescent="0.25">
      <c r="D61" s="92"/>
      <c r="E61" s="12"/>
      <c r="G61" s="10" t="s">
        <v>210</v>
      </c>
    </row>
    <row r="62" spans="4:10" x14ac:dyDescent="0.25">
      <c r="D62" s="93"/>
      <c r="G62" s="10"/>
    </row>
    <row r="63" spans="4:10" x14ac:dyDescent="0.25">
      <c r="D63" s="93"/>
      <c r="G63" s="10"/>
    </row>
    <row r="64" spans="4:10" x14ac:dyDescent="0.25">
      <c r="D64" s="93" t="s">
        <v>99</v>
      </c>
      <c r="G64" s="10" t="s">
        <v>211</v>
      </c>
    </row>
    <row r="65" spans="4:7" x14ac:dyDescent="0.25">
      <c r="D65" s="93" t="s">
        <v>100</v>
      </c>
      <c r="G65" s="10" t="s">
        <v>212</v>
      </c>
    </row>
    <row r="66" spans="4:7" x14ac:dyDescent="0.25">
      <c r="D66" s="93" t="s">
        <v>26</v>
      </c>
      <c r="G66" s="10" t="s">
        <v>213</v>
      </c>
    </row>
    <row r="69" spans="4:7" x14ac:dyDescent="0.25">
      <c r="D69" t="s">
        <v>221</v>
      </c>
    </row>
    <row r="70" spans="4:7" x14ac:dyDescent="0.25">
      <c r="D70" t="s">
        <v>101</v>
      </c>
    </row>
    <row r="75" spans="4:7" x14ac:dyDescent="0.25">
      <c r="E75" s="104" t="s">
        <v>78</v>
      </c>
    </row>
    <row r="76" spans="4:7" x14ac:dyDescent="0.25">
      <c r="E76" s="104" t="s">
        <v>79</v>
      </c>
    </row>
    <row r="77" spans="4:7" x14ac:dyDescent="0.25">
      <c r="E77" s="104" t="s">
        <v>233</v>
      </c>
    </row>
    <row r="79" spans="4:7" x14ac:dyDescent="0.25">
      <c r="G79" t="s">
        <v>97</v>
      </c>
    </row>
    <row r="80" spans="4:7" x14ac:dyDescent="0.25">
      <c r="D80" s="18" t="s">
        <v>73</v>
      </c>
      <c r="E80" s="18" t="s">
        <v>96</v>
      </c>
      <c r="F80" s="18" t="s">
        <v>73</v>
      </c>
      <c r="G80" s="18" t="s">
        <v>96</v>
      </c>
    </row>
    <row r="81" spans="4:7" x14ac:dyDescent="0.25">
      <c r="D81" s="19"/>
      <c r="E81" s="25"/>
      <c r="F81" s="19"/>
      <c r="G81" s="25"/>
    </row>
    <row r="82" spans="4:7" x14ac:dyDescent="0.25">
      <c r="D82" s="20" t="s">
        <v>102</v>
      </c>
      <c r="E82" s="26">
        <f>E84-E83</f>
        <v>2687970</v>
      </c>
      <c r="F82" s="21" t="s">
        <v>109</v>
      </c>
      <c r="G82" s="26">
        <v>2456871</v>
      </c>
    </row>
    <row r="83" spans="4:7" x14ac:dyDescent="0.25">
      <c r="D83" s="21" t="s">
        <v>103</v>
      </c>
      <c r="E83" s="57">
        <f>'pL '!E124</f>
        <v>822541</v>
      </c>
      <c r="F83" s="20" t="s">
        <v>157</v>
      </c>
      <c r="G83" s="26"/>
    </row>
    <row r="84" spans="4:7" x14ac:dyDescent="0.25">
      <c r="D84" s="20"/>
      <c r="E84" s="56">
        <v>3510511</v>
      </c>
      <c r="F84" s="20"/>
      <c r="G84" s="26"/>
    </row>
    <row r="85" spans="4:7" x14ac:dyDescent="0.25">
      <c r="D85" s="22"/>
      <c r="E85" s="26"/>
      <c r="F85" s="21" t="s">
        <v>135</v>
      </c>
      <c r="G85" s="26"/>
    </row>
    <row r="86" spans="4:7" x14ac:dyDescent="0.25">
      <c r="D86" s="20" t="s">
        <v>154</v>
      </c>
      <c r="E86" s="26">
        <v>42587</v>
      </c>
      <c r="F86" s="20" t="s">
        <v>155</v>
      </c>
      <c r="G86" s="26">
        <v>102541</v>
      </c>
    </row>
    <row r="87" spans="4:7" x14ac:dyDescent="0.25">
      <c r="D87" s="20" t="s">
        <v>132</v>
      </c>
      <c r="E87" s="26">
        <v>224514</v>
      </c>
      <c r="F87" s="22" t="s">
        <v>139</v>
      </c>
      <c r="G87" s="26">
        <v>847181</v>
      </c>
    </row>
    <row r="88" spans="4:7" x14ac:dyDescent="0.25">
      <c r="D88" s="20" t="s">
        <v>238</v>
      </c>
      <c r="E88" s="26">
        <v>501322</v>
      </c>
      <c r="F88" s="20" t="s">
        <v>156</v>
      </c>
      <c r="G88" s="26">
        <v>130799</v>
      </c>
    </row>
    <row r="89" spans="4:7" x14ac:dyDescent="0.25">
      <c r="D89" s="21"/>
      <c r="E89" s="26"/>
      <c r="F89" s="20" t="s">
        <v>245</v>
      </c>
      <c r="G89" s="26">
        <v>741542</v>
      </c>
    </row>
    <row r="90" spans="4:7" x14ac:dyDescent="0.25">
      <c r="D90" s="21"/>
      <c r="E90" s="26"/>
      <c r="F90" s="20"/>
      <c r="G90" s="26"/>
    </row>
    <row r="91" spans="4:7" x14ac:dyDescent="0.25">
      <c r="D91" s="20"/>
      <c r="E91" s="26"/>
      <c r="F91" s="20"/>
      <c r="G91" s="20"/>
    </row>
    <row r="92" spans="4:7" ht="15.75" thickBot="1" x14ac:dyDescent="0.3">
      <c r="D92" s="24"/>
      <c r="E92" s="31">
        <f>SUM(E84:E88)</f>
        <v>4278934</v>
      </c>
      <c r="F92" s="24"/>
      <c r="G92" s="31">
        <f>SUM(G82:G91)</f>
        <v>4278934</v>
      </c>
    </row>
    <row r="93" spans="4:7" ht="15.75" thickTop="1" x14ac:dyDescent="0.25"/>
    <row r="95" spans="4:7" x14ac:dyDescent="0.25">
      <c r="D95" t="s">
        <v>98</v>
      </c>
      <c r="F95" s="93"/>
      <c r="G95" s="10" t="s">
        <v>209</v>
      </c>
    </row>
    <row r="96" spans="4:7" x14ac:dyDescent="0.25">
      <c r="F96" s="93"/>
      <c r="G96" s="10" t="s">
        <v>210</v>
      </c>
    </row>
    <row r="97" spans="4:7" x14ac:dyDescent="0.25">
      <c r="F97" s="93"/>
      <c r="G97" s="10"/>
    </row>
    <row r="98" spans="4:7" x14ac:dyDescent="0.25">
      <c r="F98" s="93"/>
      <c r="G98" s="10"/>
    </row>
    <row r="99" spans="4:7" x14ac:dyDescent="0.25">
      <c r="D99" t="s">
        <v>99</v>
      </c>
      <c r="F99" s="93"/>
      <c r="G99" s="10" t="s">
        <v>211</v>
      </c>
    </row>
    <row r="100" spans="4:7" x14ac:dyDescent="0.25">
      <c r="D100" t="s">
        <v>100</v>
      </c>
      <c r="F100" s="93"/>
      <c r="G100" s="10" t="s">
        <v>212</v>
      </c>
    </row>
    <row r="101" spans="4:7" x14ac:dyDescent="0.25">
      <c r="D101" t="s">
        <v>26</v>
      </c>
      <c r="F101" s="93"/>
      <c r="G101" s="10" t="s">
        <v>213</v>
      </c>
    </row>
    <row r="102" spans="4:7" x14ac:dyDescent="0.25">
      <c r="G102" s="10"/>
    </row>
    <row r="103" spans="4:7" x14ac:dyDescent="0.25">
      <c r="G103" s="10"/>
    </row>
    <row r="104" spans="4:7" x14ac:dyDescent="0.25">
      <c r="D104" t="s">
        <v>239</v>
      </c>
    </row>
    <row r="105" spans="4:7" x14ac:dyDescent="0.25">
      <c r="D105" t="s">
        <v>101</v>
      </c>
    </row>
  </sheetData>
  <mergeCells count="6">
    <mergeCell ref="D42:G42"/>
    <mergeCell ref="D3:G3"/>
    <mergeCell ref="D4:G4"/>
    <mergeCell ref="D5:G5"/>
    <mergeCell ref="D40:G40"/>
    <mergeCell ref="D41:G41"/>
  </mergeCells>
  <pageMargins left="0.7" right="0.7" top="0.75" bottom="0.75" header="0.3" footer="0.3"/>
  <pageSetup paperSize="9" scale="4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2:J138"/>
  <sheetViews>
    <sheetView tabSelected="1" topLeftCell="A97" zoomScaleNormal="100" workbookViewId="0">
      <selection activeCell="I106" sqref="I106"/>
    </sheetView>
  </sheetViews>
  <sheetFormatPr defaultRowHeight="15" x14ac:dyDescent="0.25"/>
  <cols>
    <col min="4" max="4" width="32.5703125" customWidth="1"/>
    <col min="5" max="5" width="15.42578125" bestFit="1" customWidth="1"/>
    <col min="6" max="6" width="31.85546875" customWidth="1"/>
    <col min="7" max="7" width="13.42578125" bestFit="1" customWidth="1"/>
    <col min="9" max="9" width="12.85546875" customWidth="1"/>
  </cols>
  <sheetData>
    <row r="2" spans="4:8" ht="18.75" x14ac:dyDescent="0.3">
      <c r="D2" s="110" t="s">
        <v>78</v>
      </c>
      <c r="E2" s="110"/>
      <c r="F2" s="110"/>
      <c r="G2" s="110"/>
    </row>
    <row r="3" spans="4:8" x14ac:dyDescent="0.25">
      <c r="D3" s="109" t="s">
        <v>79</v>
      </c>
      <c r="E3" s="109"/>
      <c r="F3" s="109"/>
      <c r="G3" s="109"/>
    </row>
    <row r="4" spans="4:8" x14ac:dyDescent="0.25">
      <c r="D4" s="109" t="s">
        <v>207</v>
      </c>
      <c r="E4" s="109"/>
      <c r="F4" s="109"/>
      <c r="G4" s="109"/>
    </row>
    <row r="5" spans="4:8" x14ac:dyDescent="0.25">
      <c r="D5" s="13"/>
      <c r="E5" s="13"/>
      <c r="F5" s="13"/>
    </row>
    <row r="6" spans="4:8" x14ac:dyDescent="0.25">
      <c r="D6" s="12"/>
      <c r="E6" s="12"/>
      <c r="F6" s="12"/>
      <c r="G6" s="10" t="s">
        <v>97</v>
      </c>
      <c r="H6" s="12"/>
    </row>
    <row r="7" spans="4:8" x14ac:dyDescent="0.25">
      <c r="D7" s="18" t="s">
        <v>73</v>
      </c>
      <c r="E7" s="18" t="s">
        <v>96</v>
      </c>
      <c r="F7" s="18" t="s">
        <v>73</v>
      </c>
      <c r="G7" s="18" t="s">
        <v>96</v>
      </c>
      <c r="H7" s="11"/>
    </row>
    <row r="8" spans="4:8" x14ac:dyDescent="0.25">
      <c r="D8" s="19"/>
      <c r="E8" s="25"/>
      <c r="F8" s="19"/>
      <c r="G8" s="25"/>
      <c r="H8" s="16"/>
    </row>
    <row r="9" spans="4:8" x14ac:dyDescent="0.25">
      <c r="D9" s="20" t="s">
        <v>80</v>
      </c>
      <c r="E9" s="26">
        <v>1889273</v>
      </c>
      <c r="F9" s="20" t="s">
        <v>193</v>
      </c>
      <c r="G9" s="26">
        <v>4557974</v>
      </c>
      <c r="H9" s="16"/>
    </row>
    <row r="10" spans="4:8" x14ac:dyDescent="0.25">
      <c r="D10" s="21" t="s">
        <v>74</v>
      </c>
      <c r="E10" s="26"/>
      <c r="F10" s="20" t="s">
        <v>217</v>
      </c>
      <c r="G10" s="26">
        <v>458740</v>
      </c>
      <c r="H10" s="16"/>
    </row>
    <row r="11" spans="4:8" x14ac:dyDescent="0.25">
      <c r="D11" s="20" t="s">
        <v>76</v>
      </c>
      <c r="E11" s="26">
        <v>354740</v>
      </c>
      <c r="F11" s="20"/>
      <c r="G11" s="26"/>
      <c r="H11" s="16"/>
    </row>
    <row r="12" spans="4:8" x14ac:dyDescent="0.25">
      <c r="D12" s="22" t="s">
        <v>81</v>
      </c>
      <c r="E12" s="27">
        <f>+G14-SUM(E8:E11)</f>
        <v>2772701</v>
      </c>
      <c r="F12" s="20"/>
      <c r="G12" s="26"/>
      <c r="H12" s="16"/>
    </row>
    <row r="13" spans="4:8" x14ac:dyDescent="0.25">
      <c r="D13" s="23"/>
      <c r="E13" s="23"/>
      <c r="F13" s="20"/>
      <c r="G13" s="26"/>
      <c r="H13" s="16"/>
    </row>
    <row r="14" spans="4:8" ht="15.75" thickBot="1" x14ac:dyDescent="0.3">
      <c r="D14" s="23"/>
      <c r="E14" s="30">
        <f>SUM(E8:E12)</f>
        <v>5016714</v>
      </c>
      <c r="F14" s="20"/>
      <c r="G14" s="31">
        <f>SUM(G8:G12)</f>
        <v>5016714</v>
      </c>
      <c r="H14" s="16"/>
    </row>
    <row r="15" spans="4:8" ht="15.75" thickTop="1" x14ac:dyDescent="0.25">
      <c r="D15" s="20"/>
      <c r="E15" s="26"/>
      <c r="F15" s="20"/>
      <c r="G15" s="20"/>
      <c r="H15" s="16"/>
    </row>
    <row r="16" spans="4:8" x14ac:dyDescent="0.25">
      <c r="D16" s="21" t="s">
        <v>77</v>
      </c>
      <c r="E16" s="26"/>
      <c r="F16" s="22" t="s">
        <v>82</v>
      </c>
      <c r="G16" s="26">
        <f>+E12</f>
        <v>2772701</v>
      </c>
      <c r="H16" s="16"/>
    </row>
    <row r="17" spans="4:10" x14ac:dyDescent="0.25">
      <c r="D17" s="20" t="s">
        <v>84</v>
      </c>
      <c r="E17" s="26">
        <v>18000</v>
      </c>
      <c r="F17" s="20"/>
      <c r="G17" s="20"/>
      <c r="H17" s="16"/>
    </row>
    <row r="18" spans="4:10" x14ac:dyDescent="0.25">
      <c r="D18" s="20" t="s">
        <v>85</v>
      </c>
      <c r="E18" s="26">
        <v>45741</v>
      </c>
      <c r="F18" s="20"/>
      <c r="G18" s="20"/>
      <c r="H18" s="16"/>
    </row>
    <row r="19" spans="4:10" x14ac:dyDescent="0.25">
      <c r="D19" s="20" t="s">
        <v>163</v>
      </c>
      <c r="E19" s="26">
        <f>+dep!G18</f>
        <v>66332.599999999991</v>
      </c>
      <c r="F19" s="20"/>
      <c r="G19" s="20"/>
      <c r="H19" s="16"/>
    </row>
    <row r="20" spans="4:10" x14ac:dyDescent="0.25">
      <c r="D20" s="20" t="s">
        <v>87</v>
      </c>
      <c r="E20" s="26">
        <v>30254</v>
      </c>
      <c r="F20" s="20"/>
      <c r="G20" s="20"/>
      <c r="H20" s="17"/>
    </row>
    <row r="21" spans="4:10" x14ac:dyDescent="0.25">
      <c r="D21" s="20" t="s">
        <v>88</v>
      </c>
      <c r="E21" s="26">
        <v>12541</v>
      </c>
      <c r="F21" s="20"/>
      <c r="G21" s="20"/>
      <c r="H21" s="17"/>
    </row>
    <row r="22" spans="4:10" x14ac:dyDescent="0.25">
      <c r="D22" s="20" t="s">
        <v>90</v>
      </c>
      <c r="E22" s="26">
        <v>4586</v>
      </c>
      <c r="F22" s="20"/>
      <c r="G22" s="20"/>
      <c r="H22" s="17"/>
    </row>
    <row r="23" spans="4:10" x14ac:dyDescent="0.25">
      <c r="D23" s="20" t="s">
        <v>91</v>
      </c>
      <c r="E23" s="26">
        <f>30000*12</f>
        <v>360000</v>
      </c>
      <c r="F23" s="20"/>
      <c r="G23" s="20"/>
      <c r="H23" s="17"/>
    </row>
    <row r="24" spans="4:10" x14ac:dyDescent="0.25">
      <c r="D24" s="20" t="s">
        <v>92</v>
      </c>
      <c r="E24" s="26">
        <v>144144</v>
      </c>
      <c r="F24" s="20"/>
      <c r="G24" s="20"/>
      <c r="H24" s="17"/>
    </row>
    <row r="25" spans="4:10" x14ac:dyDescent="0.25">
      <c r="D25" s="20" t="s">
        <v>93</v>
      </c>
      <c r="E25" s="26">
        <v>1587410</v>
      </c>
      <c r="F25" s="20"/>
      <c r="G25" s="20"/>
      <c r="H25" s="17"/>
    </row>
    <row r="26" spans="4:10" x14ac:dyDescent="0.25">
      <c r="D26" s="20" t="s">
        <v>94</v>
      </c>
      <c r="E26" s="26">
        <v>25414</v>
      </c>
      <c r="F26" s="20"/>
      <c r="G26" s="20"/>
      <c r="H26" s="17"/>
      <c r="I26" s="7">
        <f>+I29-E29</f>
        <v>-0.39999999990686774</v>
      </c>
    </row>
    <row r="27" spans="4:10" x14ac:dyDescent="0.25">
      <c r="D27" s="20" t="s">
        <v>95</v>
      </c>
      <c r="E27" s="26">
        <f>199*12</f>
        <v>2388</v>
      </c>
      <c r="F27" s="20"/>
      <c r="G27" s="20"/>
      <c r="H27" s="17"/>
    </row>
    <row r="28" spans="4:10" x14ac:dyDescent="0.25">
      <c r="D28" s="20"/>
      <c r="E28" s="26"/>
      <c r="F28" s="20"/>
      <c r="G28" s="20"/>
      <c r="H28" s="17"/>
    </row>
    <row r="29" spans="4:10" x14ac:dyDescent="0.25">
      <c r="D29" s="22" t="s">
        <v>83</v>
      </c>
      <c r="E29" s="28">
        <f>+G31-SUM(E17:E27)</f>
        <v>475890.39999999991</v>
      </c>
      <c r="F29" s="20"/>
      <c r="G29" s="20"/>
      <c r="H29" s="17"/>
      <c r="I29">
        <v>475890</v>
      </c>
      <c r="J29" s="7"/>
    </row>
    <row r="30" spans="4:10" x14ac:dyDescent="0.25">
      <c r="D30" s="20"/>
      <c r="E30" s="29"/>
      <c r="F30" s="20"/>
      <c r="G30" s="20"/>
      <c r="H30" s="17"/>
    </row>
    <row r="31" spans="4:10" ht="15.75" thickBot="1" x14ac:dyDescent="0.3">
      <c r="D31" s="24"/>
      <c r="E31" s="31">
        <f>SUM(E16:E30)</f>
        <v>2772701</v>
      </c>
      <c r="F31" s="24"/>
      <c r="G31" s="31">
        <f>SUM(G16:G30)</f>
        <v>2772701</v>
      </c>
      <c r="H31" s="17"/>
    </row>
    <row r="32" spans="4:10" ht="15.75" thickTop="1" x14ac:dyDescent="0.25">
      <c r="D32" s="15"/>
      <c r="E32" s="15"/>
      <c r="F32" s="15"/>
      <c r="G32" s="15"/>
      <c r="H32" s="12"/>
    </row>
    <row r="33" spans="4:8" x14ac:dyDescent="0.25">
      <c r="D33" s="12"/>
      <c r="E33" s="12"/>
      <c r="F33" s="12"/>
      <c r="G33" s="12"/>
      <c r="H33" s="12"/>
    </row>
    <row r="34" spans="4:8" x14ac:dyDescent="0.25">
      <c r="D34" s="92" t="s">
        <v>98</v>
      </c>
      <c r="E34" s="12"/>
      <c r="G34" s="10" t="s">
        <v>209</v>
      </c>
      <c r="H34" s="12"/>
    </row>
    <row r="35" spans="4:8" x14ac:dyDescent="0.25">
      <c r="D35" s="92"/>
      <c r="E35" s="12"/>
      <c r="G35" s="10" t="s">
        <v>210</v>
      </c>
      <c r="H35" s="12"/>
    </row>
    <row r="36" spans="4:8" x14ac:dyDescent="0.25">
      <c r="D36" s="93"/>
      <c r="G36" s="10"/>
    </row>
    <row r="37" spans="4:8" x14ac:dyDescent="0.25">
      <c r="D37" s="93"/>
      <c r="G37" s="10"/>
    </row>
    <row r="38" spans="4:8" x14ac:dyDescent="0.25">
      <c r="D38" s="93" t="s">
        <v>99</v>
      </c>
      <c r="G38" s="10" t="s">
        <v>211</v>
      </c>
    </row>
    <row r="39" spans="4:8" x14ac:dyDescent="0.25">
      <c r="D39" s="93" t="s">
        <v>100</v>
      </c>
      <c r="G39" s="10" t="s">
        <v>212</v>
      </c>
    </row>
    <row r="40" spans="4:8" x14ac:dyDescent="0.25">
      <c r="D40" s="93" t="s">
        <v>26</v>
      </c>
      <c r="G40" s="10" t="s">
        <v>213</v>
      </c>
    </row>
    <row r="42" spans="4:8" x14ac:dyDescent="0.25">
      <c r="D42" t="s">
        <v>208</v>
      </c>
    </row>
    <row r="43" spans="4:8" x14ac:dyDescent="0.25">
      <c r="D43" t="s">
        <v>101</v>
      </c>
    </row>
    <row r="48" spans="4:8" ht="18.75" x14ac:dyDescent="0.3">
      <c r="D48" s="110" t="s">
        <v>78</v>
      </c>
      <c r="E48" s="110"/>
      <c r="F48" s="110"/>
      <c r="G48" s="110"/>
    </row>
    <row r="49" spans="4:9" x14ac:dyDescent="0.25">
      <c r="D49" s="109" t="s">
        <v>79</v>
      </c>
      <c r="E49" s="109"/>
      <c r="F49" s="109"/>
      <c r="G49" s="109"/>
    </row>
    <row r="50" spans="4:9" x14ac:dyDescent="0.25">
      <c r="D50" s="109" t="s">
        <v>214</v>
      </c>
      <c r="E50" s="109"/>
      <c r="F50" s="109"/>
      <c r="G50" s="109"/>
    </row>
    <row r="51" spans="4:9" x14ac:dyDescent="0.25">
      <c r="D51" s="91"/>
      <c r="E51" s="91"/>
      <c r="F51" s="91"/>
    </row>
    <row r="52" spans="4:9" x14ac:dyDescent="0.25">
      <c r="D52" s="12"/>
      <c r="E52" s="12"/>
      <c r="F52" s="12"/>
      <c r="G52" s="10" t="s">
        <v>97</v>
      </c>
    </row>
    <row r="53" spans="4:9" x14ac:dyDescent="0.25">
      <c r="D53" s="18" t="s">
        <v>73</v>
      </c>
      <c r="E53" s="18" t="s">
        <v>96</v>
      </c>
      <c r="F53" s="18" t="s">
        <v>73</v>
      </c>
      <c r="G53" s="18" t="s">
        <v>96</v>
      </c>
    </row>
    <row r="54" spans="4:9" x14ac:dyDescent="0.25">
      <c r="D54" s="19"/>
      <c r="E54" s="25"/>
      <c r="F54" s="19"/>
      <c r="G54" s="25"/>
    </row>
    <row r="55" spans="4:9" x14ac:dyDescent="0.25">
      <c r="D55" s="20" t="s">
        <v>218</v>
      </c>
      <c r="E55" s="26">
        <f>+G10</f>
        <v>458740</v>
      </c>
      <c r="F55" s="20" t="s">
        <v>193</v>
      </c>
      <c r="G55" s="26">
        <v>3775107</v>
      </c>
    </row>
    <row r="56" spans="4:9" x14ac:dyDescent="0.25">
      <c r="D56" s="20" t="s">
        <v>80</v>
      </c>
      <c r="E56" s="26">
        <v>1254147</v>
      </c>
      <c r="F56" s="20" t="s">
        <v>219</v>
      </c>
      <c r="G56" s="26">
        <v>629184.5</v>
      </c>
    </row>
    <row r="57" spans="4:9" x14ac:dyDescent="0.25">
      <c r="D57" s="21" t="s">
        <v>74</v>
      </c>
      <c r="E57" s="26"/>
      <c r="F57" s="20"/>
      <c r="G57" s="26"/>
      <c r="I57" s="5"/>
    </row>
    <row r="58" spans="4:9" x14ac:dyDescent="0.25">
      <c r="D58" s="20" t="s">
        <v>76</v>
      </c>
      <c r="E58" s="26">
        <v>416186</v>
      </c>
      <c r="F58" s="20"/>
      <c r="G58" s="26"/>
    </row>
    <row r="59" spans="4:9" x14ac:dyDescent="0.25">
      <c r="D59" s="22" t="s">
        <v>81</v>
      </c>
      <c r="E59" s="27">
        <f>+G61-SUM(E54:E58)</f>
        <v>2275218.5</v>
      </c>
      <c r="F59" s="20"/>
      <c r="G59" s="26"/>
    </row>
    <row r="60" spans="4:9" x14ac:dyDescent="0.25">
      <c r="D60" s="23"/>
      <c r="E60" s="23"/>
      <c r="F60" s="20"/>
      <c r="G60" s="26"/>
    </row>
    <row r="61" spans="4:9" ht="15.75" thickBot="1" x14ac:dyDescent="0.3">
      <c r="D61" s="23"/>
      <c r="E61" s="30">
        <f>SUM(E54:E59)</f>
        <v>4404291.5</v>
      </c>
      <c r="F61" s="20"/>
      <c r="G61" s="31">
        <f>SUM(G54:G59)</f>
        <v>4404291.5</v>
      </c>
    </row>
    <row r="62" spans="4:9" ht="15.75" thickTop="1" x14ac:dyDescent="0.25">
      <c r="D62" s="20"/>
      <c r="E62" s="26"/>
      <c r="F62" s="20"/>
      <c r="G62" s="20"/>
    </row>
    <row r="63" spans="4:9" x14ac:dyDescent="0.25">
      <c r="D63" s="21" t="s">
        <v>77</v>
      </c>
      <c r="E63" s="26"/>
      <c r="F63" s="22" t="s">
        <v>82</v>
      </c>
      <c r="G63" s="26">
        <f>+E59</f>
        <v>2275218.5</v>
      </c>
    </row>
    <row r="64" spans="4:9" x14ac:dyDescent="0.25">
      <c r="D64" s="20" t="s">
        <v>84</v>
      </c>
      <c r="E64" s="26">
        <v>18000</v>
      </c>
      <c r="F64" s="20"/>
      <c r="G64" s="20"/>
    </row>
    <row r="65" spans="4:9" x14ac:dyDescent="0.25">
      <c r="D65" s="20" t="s">
        <v>85</v>
      </c>
      <c r="E65" s="26">
        <v>42451</v>
      </c>
      <c r="F65" s="20"/>
      <c r="G65" s="20"/>
    </row>
    <row r="66" spans="4:9" x14ac:dyDescent="0.25">
      <c r="D66" s="20" t="s">
        <v>163</v>
      </c>
      <c r="E66" s="26">
        <f>+dep!G38</f>
        <v>57509.549999999996</v>
      </c>
      <c r="F66" s="20"/>
      <c r="G66" s="20"/>
    </row>
    <row r="67" spans="4:9" x14ac:dyDescent="0.25">
      <c r="D67" s="20" t="s">
        <v>87</v>
      </c>
      <c r="E67" s="26">
        <v>22561</v>
      </c>
      <c r="F67" s="20"/>
      <c r="G67" s="20"/>
    </row>
    <row r="68" spans="4:9" x14ac:dyDescent="0.25">
      <c r="D68" s="20" t="s">
        <v>88</v>
      </c>
      <c r="E68" s="26">
        <v>2540</v>
      </c>
      <c r="F68" s="20"/>
      <c r="G68" s="20"/>
    </row>
    <row r="69" spans="4:9" x14ac:dyDescent="0.25">
      <c r="D69" s="20" t="s">
        <v>90</v>
      </c>
      <c r="E69" s="26">
        <v>1520</v>
      </c>
      <c r="F69" s="20"/>
      <c r="G69" s="20"/>
    </row>
    <row r="70" spans="4:9" x14ac:dyDescent="0.25">
      <c r="D70" s="20" t="s">
        <v>91</v>
      </c>
      <c r="E70" s="26">
        <f>30000*12</f>
        <v>360000</v>
      </c>
      <c r="F70" s="20"/>
      <c r="G70" s="20"/>
    </row>
    <row r="71" spans="4:9" x14ac:dyDescent="0.25">
      <c r="D71" s="20" t="s">
        <v>92</v>
      </c>
      <c r="E71" s="26">
        <v>124741</v>
      </c>
      <c r="F71" s="20"/>
      <c r="G71" s="20"/>
      <c r="I71" s="7">
        <f>+E76-I74</f>
        <v>-5.0000000046566129E-2</v>
      </c>
    </row>
    <row r="72" spans="4:9" x14ac:dyDescent="0.25">
      <c r="D72" s="20" t="s">
        <v>93</v>
      </c>
      <c r="E72" s="26">
        <v>675691</v>
      </c>
      <c r="F72" s="20"/>
      <c r="G72" s="20"/>
    </row>
    <row r="73" spans="4:9" x14ac:dyDescent="0.25">
      <c r="D73" s="20" t="s">
        <v>94</v>
      </c>
      <c r="E73" s="26">
        <v>2360</v>
      </c>
      <c r="F73" s="20"/>
      <c r="G73" s="20"/>
    </row>
    <row r="74" spans="4:9" x14ac:dyDescent="0.25">
      <c r="D74" s="20" t="s">
        <v>95</v>
      </c>
      <c r="E74" s="26">
        <f>199*12</f>
        <v>2388</v>
      </c>
      <c r="F74" s="20"/>
      <c r="G74" s="20"/>
      <c r="I74">
        <v>965457</v>
      </c>
    </row>
    <row r="75" spans="4:9" x14ac:dyDescent="0.25">
      <c r="D75" s="20"/>
      <c r="E75" s="26"/>
      <c r="F75" s="20"/>
      <c r="G75" s="20"/>
    </row>
    <row r="76" spans="4:9" x14ac:dyDescent="0.25">
      <c r="D76" s="22" t="s">
        <v>83</v>
      </c>
      <c r="E76" s="28">
        <f>+G78-SUM(E64:E74)</f>
        <v>965456.95</v>
      </c>
      <c r="F76" s="20"/>
      <c r="G76" s="20"/>
    </row>
    <row r="77" spans="4:9" x14ac:dyDescent="0.25">
      <c r="D77" s="20"/>
      <c r="E77" s="29"/>
      <c r="F77" s="20"/>
      <c r="G77" s="20"/>
    </row>
    <row r="78" spans="4:9" ht="15.75" thickBot="1" x14ac:dyDescent="0.3">
      <c r="D78" s="24"/>
      <c r="E78" s="31">
        <f>SUM(E63:E77)</f>
        <v>2275218.5</v>
      </c>
      <c r="F78" s="24"/>
      <c r="G78" s="31">
        <f>SUM(G63:G77)</f>
        <v>2275218.5</v>
      </c>
    </row>
    <row r="79" spans="4:9" ht="15.75" thickTop="1" x14ac:dyDescent="0.25">
      <c r="D79" s="15"/>
      <c r="E79" s="15"/>
      <c r="F79" s="15"/>
      <c r="G79" s="15"/>
    </row>
    <row r="80" spans="4:9" x14ac:dyDescent="0.25">
      <c r="D80" s="12"/>
      <c r="E80" s="12"/>
      <c r="F80" s="12"/>
      <c r="G80" s="12"/>
    </row>
    <row r="81" spans="4:7" x14ac:dyDescent="0.25">
      <c r="D81" s="92" t="s">
        <v>98</v>
      </c>
      <c r="E81" s="12"/>
      <c r="G81" s="10" t="s">
        <v>209</v>
      </c>
    </row>
    <row r="82" spans="4:7" x14ac:dyDescent="0.25">
      <c r="D82" s="92"/>
      <c r="E82" s="12"/>
      <c r="G82" s="10" t="s">
        <v>210</v>
      </c>
    </row>
    <row r="83" spans="4:7" x14ac:dyDescent="0.25">
      <c r="D83" s="93"/>
      <c r="G83" s="10"/>
    </row>
    <row r="84" spans="4:7" x14ac:dyDescent="0.25">
      <c r="D84" s="93"/>
      <c r="G84" s="10"/>
    </row>
    <row r="85" spans="4:7" x14ac:dyDescent="0.25">
      <c r="D85" s="93" t="s">
        <v>99</v>
      </c>
      <c r="G85" s="10" t="s">
        <v>211</v>
      </c>
    </row>
    <row r="86" spans="4:7" x14ac:dyDescent="0.25">
      <c r="D86" s="93" t="s">
        <v>100</v>
      </c>
      <c r="G86" s="10" t="s">
        <v>212</v>
      </c>
    </row>
    <row r="87" spans="4:7" x14ac:dyDescent="0.25">
      <c r="D87" s="93" t="s">
        <v>26</v>
      </c>
      <c r="G87" s="10" t="s">
        <v>213</v>
      </c>
    </row>
    <row r="89" spans="4:7" x14ac:dyDescent="0.25">
      <c r="D89" t="s">
        <v>221</v>
      </c>
    </row>
    <row r="90" spans="4:7" x14ac:dyDescent="0.25">
      <c r="D90" t="s">
        <v>101</v>
      </c>
    </row>
    <row r="96" spans="4:7" x14ac:dyDescent="0.25">
      <c r="D96" s="109" t="s">
        <v>78</v>
      </c>
      <c r="E96" s="109"/>
      <c r="F96" s="109"/>
      <c r="G96" s="109"/>
    </row>
    <row r="97" spans="4:9" x14ac:dyDescent="0.25">
      <c r="D97" s="109" t="s">
        <v>79</v>
      </c>
      <c r="E97" s="109"/>
      <c r="F97" s="109"/>
      <c r="G97" s="109"/>
    </row>
    <row r="98" spans="4:9" x14ac:dyDescent="0.25">
      <c r="D98" s="109" t="s">
        <v>236</v>
      </c>
      <c r="E98" s="109"/>
      <c r="F98" s="109"/>
      <c r="G98" s="109"/>
    </row>
    <row r="100" spans="4:9" x14ac:dyDescent="0.25">
      <c r="G100" t="s">
        <v>97</v>
      </c>
    </row>
    <row r="101" spans="4:9" x14ac:dyDescent="0.25">
      <c r="D101" s="100" t="s">
        <v>73</v>
      </c>
      <c r="E101" s="101" t="s">
        <v>96</v>
      </c>
      <c r="F101" s="102" t="s">
        <v>73</v>
      </c>
      <c r="G101" s="101" t="s">
        <v>96</v>
      </c>
    </row>
    <row r="102" spans="4:9" x14ac:dyDescent="0.25">
      <c r="D102" s="94"/>
      <c r="E102" s="96"/>
      <c r="F102" s="4"/>
      <c r="G102" s="96"/>
    </row>
    <row r="103" spans="4:9" x14ac:dyDescent="0.25">
      <c r="D103" s="94" t="s">
        <v>243</v>
      </c>
      <c r="E103" s="97">
        <f>G56</f>
        <v>629184.5</v>
      </c>
      <c r="F103" s="4" t="s">
        <v>193</v>
      </c>
      <c r="G103" s="28">
        <v>9867663</v>
      </c>
    </row>
    <row r="104" spans="4:9" x14ac:dyDescent="0.25">
      <c r="D104" s="94" t="s">
        <v>80</v>
      </c>
      <c r="E104" s="26">
        <v>7069601.9725000001</v>
      </c>
      <c r="F104" s="4" t="s">
        <v>242</v>
      </c>
      <c r="G104" s="26">
        <v>741542</v>
      </c>
    </row>
    <row r="105" spans="4:9" x14ac:dyDescent="0.25">
      <c r="D105" s="94" t="s">
        <v>74</v>
      </c>
      <c r="E105" s="26"/>
      <c r="F105" s="4"/>
      <c r="G105" s="97"/>
    </row>
    <row r="106" spans="4:9" x14ac:dyDescent="0.25">
      <c r="D106" s="94" t="s">
        <v>76</v>
      </c>
      <c r="E106" s="26">
        <v>503456</v>
      </c>
      <c r="F106" s="4"/>
      <c r="G106" s="97"/>
    </row>
    <row r="107" spans="4:9" x14ac:dyDescent="0.25">
      <c r="D107" s="94" t="s">
        <v>81</v>
      </c>
      <c r="E107" s="27">
        <f>+G109-SUM(E102:E106)</f>
        <v>2406962.5274999999</v>
      </c>
      <c r="F107" s="4"/>
      <c r="G107" s="97"/>
    </row>
    <row r="108" spans="4:9" x14ac:dyDescent="0.25">
      <c r="D108" s="94"/>
      <c r="E108" s="97"/>
      <c r="F108" s="4"/>
      <c r="G108" s="97"/>
      <c r="I108" s="98"/>
    </row>
    <row r="109" spans="4:9" x14ac:dyDescent="0.25">
      <c r="D109" s="94"/>
      <c r="E109" s="99">
        <f>SUM(E103:E107)</f>
        <v>10609205</v>
      </c>
      <c r="F109" s="4"/>
      <c r="G109" s="99">
        <f>SUM(G103:G108)</f>
        <v>10609205</v>
      </c>
      <c r="I109" s="5"/>
    </row>
    <row r="110" spans="4:9" x14ac:dyDescent="0.25">
      <c r="D110" s="94"/>
      <c r="E110" s="97"/>
      <c r="F110" s="4"/>
      <c r="G110" s="97"/>
    </row>
    <row r="111" spans="4:9" x14ac:dyDescent="0.25">
      <c r="D111" s="94" t="s">
        <v>77</v>
      </c>
      <c r="E111" s="97"/>
      <c r="F111" s="4" t="s">
        <v>82</v>
      </c>
      <c r="G111" s="28">
        <f>E107</f>
        <v>2406962.5274999999</v>
      </c>
      <c r="I111" s="7"/>
    </row>
    <row r="112" spans="4:9" x14ac:dyDescent="0.25">
      <c r="D112" s="94" t="s">
        <v>84</v>
      </c>
      <c r="E112" s="28">
        <v>18000</v>
      </c>
      <c r="F112" s="4"/>
      <c r="G112" s="97"/>
    </row>
    <row r="113" spans="4:10" x14ac:dyDescent="0.25">
      <c r="D113" s="94" t="s">
        <v>85</v>
      </c>
      <c r="E113" s="28">
        <v>38564</v>
      </c>
      <c r="F113" s="4"/>
      <c r="G113" s="97"/>
    </row>
    <row r="114" spans="4:10" x14ac:dyDescent="0.25">
      <c r="D114" s="94" t="s">
        <v>163</v>
      </c>
      <c r="E114" s="28">
        <v>433565.52749999985</v>
      </c>
      <c r="F114" s="4"/>
      <c r="G114" s="97"/>
      <c r="H114" s="97"/>
    </row>
    <row r="115" spans="4:10" x14ac:dyDescent="0.25">
      <c r="D115" s="94" t="s">
        <v>87</v>
      </c>
      <c r="E115" s="28">
        <v>22561</v>
      </c>
      <c r="F115" s="4"/>
      <c r="G115" s="97"/>
    </row>
    <row r="116" spans="4:10" x14ac:dyDescent="0.25">
      <c r="D116" s="94" t="s">
        <v>88</v>
      </c>
      <c r="E116" s="28">
        <v>2540</v>
      </c>
      <c r="F116" s="4"/>
      <c r="G116" s="97"/>
    </row>
    <row r="117" spans="4:10" x14ac:dyDescent="0.25">
      <c r="D117" s="94" t="s">
        <v>90</v>
      </c>
      <c r="E117" s="28">
        <v>1520</v>
      </c>
      <c r="F117" s="4"/>
      <c r="G117" s="97"/>
    </row>
    <row r="118" spans="4:10" x14ac:dyDescent="0.25">
      <c r="D118" s="94" t="s">
        <v>91</v>
      </c>
      <c r="E118" s="28">
        <v>360000</v>
      </c>
      <c r="F118" s="4"/>
      <c r="G118" s="97"/>
    </row>
    <row r="119" spans="4:10" x14ac:dyDescent="0.25">
      <c r="D119" s="94" t="s">
        <v>92</v>
      </c>
      <c r="E119" s="28">
        <v>102142</v>
      </c>
      <c r="F119" s="4"/>
      <c r="G119" s="97"/>
    </row>
    <row r="120" spans="4:10" x14ac:dyDescent="0.25">
      <c r="D120" s="94" t="s">
        <v>93</v>
      </c>
      <c r="E120" s="28">
        <v>600781</v>
      </c>
      <c r="F120" s="4"/>
      <c r="G120" s="97"/>
    </row>
    <row r="121" spans="4:10" x14ac:dyDescent="0.25">
      <c r="D121" s="94" t="s">
        <v>94</v>
      </c>
      <c r="E121" s="28">
        <v>2360</v>
      </c>
      <c r="F121" s="4"/>
      <c r="G121" s="97"/>
    </row>
    <row r="122" spans="4:10" x14ac:dyDescent="0.25">
      <c r="D122" s="94" t="s">
        <v>95</v>
      </c>
      <c r="E122" s="28">
        <v>2388</v>
      </c>
      <c r="F122" s="4"/>
      <c r="G122" s="97"/>
    </row>
    <row r="123" spans="4:10" x14ac:dyDescent="0.25">
      <c r="D123" s="94"/>
      <c r="E123" s="28"/>
      <c r="F123" s="4"/>
      <c r="G123" s="97"/>
    </row>
    <row r="124" spans="4:10" x14ac:dyDescent="0.25">
      <c r="D124" s="94" t="s">
        <v>83</v>
      </c>
      <c r="E124" s="28">
        <v>822541</v>
      </c>
      <c r="F124" s="4"/>
      <c r="G124" s="97"/>
    </row>
    <row r="125" spans="4:10" x14ac:dyDescent="0.25">
      <c r="D125" s="94"/>
      <c r="E125" s="97"/>
      <c r="F125" s="4"/>
      <c r="G125" s="97"/>
      <c r="J125" s="7"/>
    </row>
    <row r="126" spans="4:10" ht="15.75" thickBot="1" x14ac:dyDescent="0.3">
      <c r="D126" s="95"/>
      <c r="E126" s="103">
        <f>SUM(E111:E124)</f>
        <v>2406962.5274999999</v>
      </c>
      <c r="F126" s="2"/>
      <c r="G126" s="103">
        <f>SUM(G111:G124)</f>
        <v>2406962.5274999999</v>
      </c>
      <c r="I126" s="7"/>
    </row>
    <row r="127" spans="4:10" ht="15.75" thickTop="1" x14ac:dyDescent="0.25"/>
    <row r="129" spans="4:7" x14ac:dyDescent="0.25">
      <c r="D129" t="s">
        <v>98</v>
      </c>
      <c r="G129" s="10" t="s">
        <v>209</v>
      </c>
    </row>
    <row r="130" spans="4:7" x14ac:dyDescent="0.25">
      <c r="G130" s="10" t="s">
        <v>210</v>
      </c>
    </row>
    <row r="131" spans="4:7" x14ac:dyDescent="0.25">
      <c r="G131" s="10"/>
    </row>
    <row r="132" spans="4:7" x14ac:dyDescent="0.25">
      <c r="G132" s="10"/>
    </row>
    <row r="133" spans="4:7" x14ac:dyDescent="0.25">
      <c r="D133" t="s">
        <v>99</v>
      </c>
      <c r="G133" s="10" t="s">
        <v>211</v>
      </c>
    </row>
    <row r="134" spans="4:7" x14ac:dyDescent="0.25">
      <c r="D134" t="s">
        <v>100</v>
      </c>
      <c r="G134" s="10" t="s">
        <v>212</v>
      </c>
    </row>
    <row r="135" spans="4:7" x14ac:dyDescent="0.25">
      <c r="D135" t="s">
        <v>26</v>
      </c>
      <c r="G135" s="10" t="s">
        <v>213</v>
      </c>
    </row>
    <row r="137" spans="4:7" x14ac:dyDescent="0.25">
      <c r="D137" t="s">
        <v>239</v>
      </c>
    </row>
    <row r="138" spans="4:7" x14ac:dyDescent="0.25">
      <c r="D138" t="s">
        <v>101</v>
      </c>
    </row>
  </sheetData>
  <mergeCells count="9">
    <mergeCell ref="D97:G97"/>
    <mergeCell ref="D98:G98"/>
    <mergeCell ref="D50:G50"/>
    <mergeCell ref="D3:G3"/>
    <mergeCell ref="D2:G2"/>
    <mergeCell ref="D4:G4"/>
    <mergeCell ref="D48:G48"/>
    <mergeCell ref="D49:G49"/>
    <mergeCell ref="D96:G96"/>
  </mergeCells>
  <pageMargins left="0.7" right="0.7" top="0.75" bottom="0.75" header="0.3" footer="0.3"/>
  <pageSetup scale="3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MEMO (2)</vt:lpstr>
      <vt:lpstr>MEMO(3)</vt:lpstr>
      <vt:lpstr>26as</vt:lpstr>
      <vt:lpstr>Sheet2</vt:lpstr>
      <vt:lpstr>MEMO</vt:lpstr>
      <vt:lpstr>Sheet6 (2)</vt:lpstr>
      <vt:lpstr>tallybs2015-16</vt:lpstr>
      <vt:lpstr>BS</vt:lpstr>
      <vt:lpstr>pL </vt:lpstr>
      <vt:lpstr>2021 WORKINGS</vt:lpstr>
      <vt:lpstr>tally pl 2015-16</vt:lpstr>
      <vt:lpstr>Sheet1</vt:lpstr>
      <vt:lpstr>dep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dc:creator>
  <cp:lastModifiedBy>AKASH</cp:lastModifiedBy>
  <cp:lastPrinted>2022-02-17T09:06:52Z</cp:lastPrinted>
  <dcterms:created xsi:type="dcterms:W3CDTF">2016-06-06T08:31:15Z</dcterms:created>
  <dcterms:modified xsi:type="dcterms:W3CDTF">2022-02-17T09:07:12Z</dcterms:modified>
</cp:coreProperties>
</file>