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ST\GLOCARE LABS PRIVATE LIMITED\2021-22\10 JAN 2021\"/>
    </mc:Choice>
  </mc:AlternateContent>
  <xr:revisionPtr revIDLastSave="0" documentId="13_ncr:1_{626CAD46-75C3-45CA-93D3-38B855B0AE8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URCHASE JAN 2022 GST EXCEL" sheetId="1" r:id="rId1"/>
    <sheet name="JOURNAL JAN 2022 GST EXCEL" sheetId="3" r:id="rId2"/>
    <sheet name="OVERALL TALLIED - JAN 2022" sheetId="5" r:id="rId3"/>
    <sheet name="SALES" sheetId="6" r:id="rId4"/>
    <sheet name="Nov-21" sheetId="7" r:id="rId5"/>
  </sheets>
  <definedNames>
    <definedName name="_xlnm._FilterDatabase" localSheetId="1" hidden="1">'JOURNAL JAN 2022 GST EXCEL'!$A$1:$V$17</definedName>
    <definedName name="_xlnm._FilterDatabase" localSheetId="0" hidden="1">'PURCHASE JAN 2022 GST EXCEL'!$A$2:$X$9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M11" i="1"/>
  <c r="C12" i="1"/>
  <c r="B12" i="1"/>
  <c r="A12" i="1"/>
  <c r="F12" i="5"/>
  <c r="P19" i="1"/>
  <c r="O7" i="1"/>
  <c r="S7" i="1" s="1"/>
  <c r="T7" i="1" s="1"/>
  <c r="R7" i="1"/>
  <c r="O6" i="1"/>
  <c r="S6" i="1" s="1"/>
  <c r="T6" i="1" s="1"/>
  <c r="R6" i="1"/>
  <c r="R5" i="1"/>
  <c r="O5" i="1"/>
  <c r="S5" i="1" s="1"/>
  <c r="T5" i="1" s="1"/>
  <c r="O4" i="1"/>
  <c r="P4" i="1" s="1"/>
  <c r="Q4" i="1" s="1"/>
  <c r="R4" i="1"/>
  <c r="P7" i="1" l="1"/>
  <c r="Q7" i="1" s="1"/>
  <c r="P6" i="1"/>
  <c r="Q6" i="1" s="1"/>
  <c r="S4" i="1"/>
  <c r="T4" i="1" s="1"/>
  <c r="P5" i="1"/>
  <c r="Q5" i="1" l="1"/>
  <c r="O8" i="1"/>
  <c r="R8" i="1"/>
  <c r="O3" i="1"/>
  <c r="R3" i="1"/>
  <c r="O9" i="1"/>
  <c r="P9" i="1" s="1"/>
  <c r="Q9" i="1" s="1"/>
  <c r="R9" i="1"/>
  <c r="S9" i="1" l="1"/>
  <c r="T9" i="1" s="1"/>
  <c r="R11" i="1"/>
  <c r="P8" i="1"/>
  <c r="O11" i="1"/>
  <c r="P3" i="1"/>
  <c r="O18" i="1"/>
  <c r="S8" i="1"/>
  <c r="T8" i="1" s="1"/>
  <c r="R18" i="1"/>
  <c r="R21" i="1" s="1"/>
  <c r="S3" i="1"/>
  <c r="Q8" i="1" l="1"/>
  <c r="Q11" i="1" s="1"/>
  <c r="P11" i="1"/>
  <c r="T3" i="1"/>
  <c r="S18" i="1"/>
  <c r="Q3" i="1"/>
  <c r="P18" i="1"/>
  <c r="P21" i="1" s="1"/>
  <c r="I18" i="7"/>
  <c r="I20" i="7" s="1"/>
  <c r="H18" i="7"/>
  <c r="O3" i="3"/>
  <c r="R3" i="3"/>
  <c r="O4" i="3"/>
  <c r="S4" i="3" s="1"/>
  <c r="T4" i="3" s="1"/>
  <c r="O5" i="3"/>
  <c r="S5" i="3" s="1"/>
  <c r="T5" i="3" s="1"/>
  <c r="R5" i="3"/>
  <c r="Q19" i="1"/>
  <c r="L17" i="7"/>
  <c r="K17" i="7"/>
  <c r="K20" i="7" s="1"/>
  <c r="R3" i="6"/>
  <c r="R7" i="6" s="1"/>
  <c r="O3" i="6"/>
  <c r="O7" i="6" s="1"/>
  <c r="O8" i="6" s="1"/>
  <c r="O7" i="3" l="1"/>
  <c r="P4" i="3"/>
  <c r="Q4" i="3" s="1"/>
  <c r="P3" i="3"/>
  <c r="P5" i="3"/>
  <c r="Q5" i="3" s="1"/>
  <c r="S3" i="3"/>
  <c r="S7" i="3" s="1"/>
  <c r="G12" i="5"/>
  <c r="J18" i="7"/>
  <c r="J20" i="7" s="1"/>
  <c r="K22" i="7" s="1"/>
  <c r="H20" i="7"/>
  <c r="J9" i="7"/>
  <c r="L9" i="7" s="1"/>
  <c r="R8" i="6"/>
  <c r="R10" i="6" s="1"/>
  <c r="R4" i="3"/>
  <c r="P3" i="6"/>
  <c r="Q3" i="6" s="1"/>
  <c r="Q7" i="6" s="1"/>
  <c r="S3" i="6"/>
  <c r="T3" i="6" s="1"/>
  <c r="P7" i="3" l="1"/>
  <c r="Q3" i="3"/>
  <c r="Q7" i="3" s="1"/>
  <c r="Q10" i="3" s="1"/>
  <c r="T3" i="3"/>
  <c r="R7" i="3"/>
  <c r="J6" i="7" s="1"/>
  <c r="Q18" i="1"/>
  <c r="I5" i="7" s="1"/>
  <c r="J5" i="7"/>
  <c r="L18" i="7"/>
  <c r="L20" i="7" s="1"/>
  <c r="I9" i="7"/>
  <c r="P7" i="6"/>
  <c r="H9" i="7" s="1"/>
  <c r="T18" i="1"/>
  <c r="G6" i="5" l="1"/>
  <c r="Q21" i="1"/>
  <c r="H7" i="5"/>
  <c r="R10" i="3"/>
  <c r="J7" i="7"/>
  <c r="J11" i="7" s="1"/>
  <c r="H6" i="5"/>
  <c r="G7" i="5"/>
  <c r="H6" i="7"/>
  <c r="F7" i="5"/>
  <c r="F6" i="5"/>
  <c r="H5" i="7"/>
  <c r="P8" i="6"/>
  <c r="Q8" i="6" s="1"/>
  <c r="Q10" i="6" s="1"/>
  <c r="P10" i="3"/>
  <c r="G9" i="5" l="1"/>
  <c r="G14" i="5" s="1"/>
  <c r="G15" i="5" s="1"/>
  <c r="H9" i="5"/>
  <c r="H14" i="5" s="1"/>
  <c r="H15" i="5" s="1"/>
  <c r="H7" i="7"/>
  <c r="H11" i="7" s="1"/>
  <c r="F9" i="5"/>
  <c r="F14" i="5" s="1"/>
  <c r="F15" i="5" s="1"/>
  <c r="I6" i="7"/>
  <c r="I7" i="7" s="1"/>
  <c r="I11" i="7" s="1"/>
  <c r="P10" i="6"/>
  <c r="J13" i="7" l="1"/>
</calcChain>
</file>

<file path=xl/sharedStrings.xml><?xml version="1.0" encoding="utf-8"?>
<sst xmlns="http://schemas.openxmlformats.org/spreadsheetml/2006/main" count="168" uniqueCount="70">
  <si>
    <t>NET GST</t>
  </si>
  <si>
    <t>SGST</t>
  </si>
  <si>
    <t>CGST</t>
  </si>
  <si>
    <t>IGST</t>
  </si>
  <si>
    <t>TOTAL</t>
  </si>
  <si>
    <t>INV month</t>
  </si>
  <si>
    <t>GST MONTH</t>
  </si>
  <si>
    <t>Year</t>
  </si>
  <si>
    <t>VCH NO</t>
  </si>
  <si>
    <t>BILL NO</t>
  </si>
  <si>
    <t>DATE</t>
  </si>
  <si>
    <t xml:space="preserve">GST </t>
  </si>
  <si>
    <t>PARTY NAME_Bill</t>
  </si>
  <si>
    <t>INVOICE VALUE</t>
  </si>
  <si>
    <t>TAXABLE AMT</t>
  </si>
  <si>
    <t>AMT. DIFFER</t>
  </si>
  <si>
    <t>DOUBT</t>
  </si>
  <si>
    <t>TRANSPORTATION</t>
  </si>
  <si>
    <t>DIFFERENCE</t>
  </si>
  <si>
    <t>EXCEL - PURCHASE</t>
  </si>
  <si>
    <t>EXCEL - JOURNAL</t>
  </si>
  <si>
    <t>EXCEL - TOTAL</t>
  </si>
  <si>
    <t>TALLY - TOTAL</t>
  </si>
  <si>
    <t>OVERALL EXCEL - TOTAL</t>
  </si>
  <si>
    <t>Difference</t>
  </si>
  <si>
    <t>EXCEL</t>
  </si>
  <si>
    <t>TALLY</t>
  </si>
  <si>
    <t>Purchase</t>
  </si>
  <si>
    <t>Journal</t>
  </si>
  <si>
    <t>Sales</t>
  </si>
  <si>
    <t xml:space="preserve">GST Paid </t>
  </si>
  <si>
    <t>Total</t>
  </si>
  <si>
    <t>Taxable amount</t>
  </si>
  <si>
    <t>Total Invoice Vaue</t>
  </si>
  <si>
    <t>Out Put Tax</t>
  </si>
  <si>
    <t>Input Tax</t>
  </si>
  <si>
    <t>GST Payable</t>
  </si>
  <si>
    <t>Cloud Scientific Solutions</t>
  </si>
  <si>
    <t>33AAKFC9265D1ZG</t>
  </si>
  <si>
    <t>NIL</t>
  </si>
  <si>
    <t>33AFYPK2323R1ZT</t>
  </si>
  <si>
    <t>Vinayaga Gas Agencies</t>
  </si>
  <si>
    <t>33AAMFA8600L1ZE</t>
  </si>
  <si>
    <t>A TO Z LABS</t>
  </si>
  <si>
    <t>33AAFCM4255K1ZE</t>
  </si>
  <si>
    <t>MEDILINK ENTERPRISES</t>
  </si>
  <si>
    <t>33AAKFB7203J1ZM</t>
  </si>
  <si>
    <t>GK/051/21-22</t>
  </si>
  <si>
    <t>GK Analytics</t>
  </si>
  <si>
    <t>6090/21-22</t>
  </si>
  <si>
    <t>Prism &amp; Associates</t>
  </si>
  <si>
    <t>36ELJPK5953E1ZU</t>
  </si>
  <si>
    <t>33AAQFR8186E2ZQ</t>
  </si>
  <si>
    <t>Biomic Inc</t>
  </si>
  <si>
    <t>0542</t>
  </si>
  <si>
    <t>BM/1319/21-22</t>
  </si>
  <si>
    <t>CH/2122/2022</t>
  </si>
  <si>
    <t>CH/2122/2083</t>
  </si>
  <si>
    <t>A2Z/2122/GI1676</t>
  </si>
  <si>
    <t>CSS/21-22/584</t>
  </si>
  <si>
    <t>CSS/21-22/646</t>
  </si>
  <si>
    <t>FILED IN 15-02-2022</t>
  </si>
  <si>
    <t>FILED IN 09-02-2022 BUT INVOICES NOT REFLECTED IN GSTR3B</t>
  </si>
  <si>
    <t>FILED IN 05-02-2022 BUT INVOICES NOT REFLECTED IN GSTR3B</t>
  </si>
  <si>
    <t>STATUS IN 2B</t>
  </si>
  <si>
    <t>N</t>
  </si>
  <si>
    <t>GST NOT FILED</t>
  </si>
  <si>
    <t>Y</t>
  </si>
  <si>
    <t>CLIENT GST STATUS</t>
  </si>
  <si>
    <t>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</si>
</sst>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/>
    <xf numFmtId="0" fontId="0" fillId="0" borderId="0" xfId="0" applyNumberFormat="1"/>
    <xf numFmtId="0" fontId="2" fillId="0" borderId="0" xfId="0" applyFont="1"/>
    <xf numFmtId="1" fontId="1" fillId="0" borderId="1" xfId="0" applyNumberFormat="1" applyFont="1" applyBorder="1" applyAlignment="1">
      <alignment horizontal="right" vertical="top"/>
    </xf>
    <xf numFmtId="0" fontId="0" fillId="0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1" fontId="0" fillId="0" borderId="1" xfId="0" applyNumberFormat="1" applyFont="1" applyBorder="1"/>
    <xf numFmtId="0" fontId="0" fillId="0" borderId="0" xfId="0" applyFont="1" applyFill="1"/>
    <xf numFmtId="49" fontId="0" fillId="0" borderId="0" xfId="0" applyNumberFormat="1" applyFont="1"/>
    <xf numFmtId="0" fontId="2" fillId="0" borderId="1" xfId="0" applyFont="1" applyFill="1" applyBorder="1"/>
    <xf numFmtId="49" fontId="2" fillId="0" borderId="1" xfId="0" applyNumberFormat="1" applyFont="1" applyBorder="1"/>
    <xf numFmtId="49" fontId="2" fillId="0" borderId="1" xfId="0" applyNumberFormat="1" applyFont="1" applyFill="1" applyBorder="1"/>
    <xf numFmtId="0" fontId="4" fillId="0" borderId="1" xfId="0" applyNumberFormat="1" applyFont="1" applyBorder="1"/>
    <xf numFmtId="1" fontId="5" fillId="0" borderId="1" xfId="0" applyNumberFormat="1" applyFont="1" applyBorder="1" applyAlignment="1">
      <alignment horizontal="right" vertical="top"/>
    </xf>
    <xf numFmtId="49" fontId="5" fillId="0" borderId="1" xfId="0" applyNumberFormat="1" applyFont="1" applyBorder="1" applyAlignment="1">
      <alignment vertical="top"/>
    </xf>
    <xf numFmtId="0" fontId="5" fillId="0" borderId="1" xfId="0" applyNumberFormat="1" applyFont="1" applyBorder="1" applyAlignment="1">
      <alignment horizontal="right" vertical="top"/>
    </xf>
    <xf numFmtId="0" fontId="5" fillId="0" borderId="1" xfId="0" applyNumberFormat="1" applyFont="1" applyBorder="1" applyAlignment="1">
      <alignment horizontal="right"/>
    </xf>
    <xf numFmtId="0" fontId="5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vertical="top"/>
    </xf>
    <xf numFmtId="0" fontId="6" fillId="0" borderId="1" xfId="0" applyNumberFormat="1" applyFont="1" applyBorder="1" applyAlignment="1">
      <alignment horizontal="right" vertical="top"/>
    </xf>
    <xf numFmtId="164" fontId="4" fillId="0" borderId="1" xfId="0" applyNumberFormat="1" applyFont="1" applyBorder="1"/>
    <xf numFmtId="0" fontId="7" fillId="0" borderId="1" xfId="0" applyFont="1" applyBorder="1"/>
    <xf numFmtId="49" fontId="7" fillId="0" borderId="1" xfId="0" applyNumberFormat="1" applyFont="1" applyBorder="1"/>
    <xf numFmtId="0" fontId="0" fillId="0" borderId="0" xfId="0"/>
    <xf numFmtId="49" fontId="1" fillId="0" borderId="1" xfId="0" applyNumberFormat="1" applyFont="1" applyBorder="1" applyAlignment="1">
      <alignment horizontal="right" vertical="top"/>
    </xf>
    <xf numFmtId="0" fontId="0" fillId="0" borderId="0" xfId="0"/>
    <xf numFmtId="0" fontId="0" fillId="0" borderId="1" xfId="0" applyBorder="1"/>
    <xf numFmtId="3" fontId="0" fillId="0" borderId="0" xfId="0" applyNumberFormat="1"/>
    <xf numFmtId="0" fontId="8" fillId="0" borderId="1" xfId="0" applyFont="1" applyBorder="1"/>
    <xf numFmtId="1" fontId="8" fillId="0" borderId="1" xfId="0" applyNumberFormat="1" applyFont="1" applyBorder="1"/>
    <xf numFmtId="49" fontId="0" fillId="0" borderId="1" xfId="0" applyNumberFormat="1" applyBorder="1"/>
    <xf numFmtId="0" fontId="9" fillId="2" borderId="1" xfId="0" applyFont="1" applyFill="1" applyBorder="1"/>
    <xf numFmtId="0" fontId="10" fillId="2" borderId="0" xfId="0" applyFont="1" applyFill="1"/>
    <xf numFmtId="0" fontId="0" fillId="2" borderId="0" xfId="0" applyFill="1"/>
    <xf numFmtId="3" fontId="10" fillId="2" borderId="0" xfId="0" applyNumberFormat="1" applyFont="1" applyFill="1"/>
    <xf numFmtId="3" fontId="0" fillId="2" borderId="0" xfId="0" applyNumberFormat="1" applyFill="1"/>
    <xf numFmtId="0" fontId="0" fillId="0" borderId="1" xfId="0" quotePrefix="1" applyBorder="1"/>
    <xf numFmtId="0" fontId="0" fillId="0" borderId="0" xfId="0" applyBorder="1"/>
    <xf numFmtId="0" fontId="3" fillId="0" borderId="0" xfId="0" applyFont="1" applyBorder="1"/>
    <xf numFmtId="49" fontId="5" fillId="0" borderId="1" xfId="0" applyNumberFormat="1" applyFont="1" applyFill="1" applyBorder="1" applyAlignment="1">
      <alignment vertical="top"/>
    </xf>
    <xf numFmtId="4" fontId="0" fillId="0" borderId="1" xfId="0" applyNumberFormat="1" applyFont="1" applyBorder="1"/>
    <xf numFmtId="0" fontId="0" fillId="0" borderId="0" xfId="0" applyAlignment="1">
      <alignment wrapText="1"/>
    </xf>
    <xf numFmtId="4" fontId="0" fillId="0" borderId="1" xfId="0" applyNumberFormat="1" applyBorder="1"/>
    <xf numFmtId="4" fontId="0" fillId="0" borderId="0" xfId="0" applyNumberFormat="1"/>
    <xf numFmtId="4" fontId="3" fillId="0" borderId="1" xfId="0" applyNumberFormat="1" applyFont="1" applyBorder="1"/>
    <xf numFmtId="4" fontId="5" fillId="0" borderId="1" xfId="0" applyNumberFormat="1" applyFont="1" applyFill="1" applyBorder="1" applyAlignment="1">
      <alignment horizontal="right" vertical="top"/>
    </xf>
    <xf numFmtId="4" fontId="4" fillId="0" borderId="1" xfId="0" applyNumberFormat="1" applyFont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" fontId="2" fillId="3" borderId="1" xfId="0" applyNumberFormat="1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23"/>
  <sheetViews>
    <sheetView tabSelected="1" topLeftCell="M1" workbookViewId="0">
      <selection activeCell="U13" sqref="U13"/>
    </sheetView>
  </sheetViews>
  <sheetFormatPr defaultRowHeight="15" x14ac:dyDescent="0.25"/>
  <cols>
    <col min="1" max="1" width="7.28515625" style="13" customWidth="1"/>
    <col min="2" max="2" width="10.42578125" style="13" customWidth="1"/>
    <col min="3" max="3" width="6.42578125" style="13" customWidth="1"/>
    <col min="4" max="4" width="8" style="15" bestFit="1" customWidth="1"/>
    <col min="5" max="5" width="28.7109375" style="16" bestFit="1" customWidth="1"/>
    <col min="6" max="6" width="5.5703125" style="13" bestFit="1" customWidth="1"/>
    <col min="7" max="7" width="20.28515625" style="13" bestFit="1" customWidth="1"/>
    <col min="8" max="8" width="36.42578125" style="13" customWidth="1"/>
    <col min="9" max="9" width="15.140625" style="13" bestFit="1" customWidth="1"/>
    <col min="10" max="10" width="13.42578125" style="13" bestFit="1" customWidth="1"/>
    <col min="11" max="12" width="13.28515625" style="13" bestFit="1" customWidth="1"/>
    <col min="13" max="13" width="13.42578125" style="13" bestFit="1" customWidth="1"/>
    <col min="14" max="14" width="9.7109375" style="13" bestFit="1" customWidth="1"/>
    <col min="15" max="15" width="12.28515625" style="13" bestFit="1" customWidth="1"/>
    <col min="16" max="17" width="17.140625" style="13" bestFit="1" customWidth="1"/>
    <col min="18" max="18" width="12" style="13" bestFit="1" customWidth="1"/>
    <col min="19" max="19" width="10.7109375" style="13" bestFit="1" customWidth="1"/>
    <col min="20" max="20" width="11.5703125" style="13" bestFit="1" customWidth="1"/>
    <col min="21" max="21" width="26" style="13" bestFit="1" customWidth="1"/>
    <col min="22" max="22" width="17.5703125" style="13" bestFit="1" customWidth="1"/>
    <col min="23" max="23" width="12.7109375" style="13" bestFit="1" customWidth="1"/>
    <col min="24" max="24" width="18.28515625" style="13" bestFit="1" customWidth="1"/>
    <col min="25" max="16384" width="9.140625" style="13"/>
  </cols>
  <sheetData>
    <row r="1" spans="1:24" s="9" customFormat="1" x14ac:dyDescent="0.25">
      <c r="A1" s="4"/>
      <c r="B1" s="4"/>
      <c r="C1" s="4"/>
      <c r="D1" s="17"/>
      <c r="E1" s="18"/>
      <c r="F1" s="4"/>
      <c r="G1" s="4"/>
      <c r="H1" s="4"/>
      <c r="I1" s="4"/>
      <c r="J1" s="4">
        <v>0</v>
      </c>
      <c r="K1" s="4">
        <v>5</v>
      </c>
      <c r="L1" s="4">
        <v>12</v>
      </c>
      <c r="M1" s="4">
        <v>18</v>
      </c>
      <c r="N1" s="4">
        <v>28</v>
      </c>
      <c r="O1" s="4" t="s">
        <v>0</v>
      </c>
      <c r="P1" s="4" t="s">
        <v>1</v>
      </c>
      <c r="Q1" s="4" t="s">
        <v>2</v>
      </c>
      <c r="R1" s="4" t="s">
        <v>3</v>
      </c>
      <c r="S1" s="4" t="s">
        <v>4</v>
      </c>
      <c r="T1" s="4"/>
      <c r="U1" s="4"/>
      <c r="V1" s="4"/>
    </row>
    <row r="2" spans="1:24" s="9" customFormat="1" x14ac:dyDescent="0.25">
      <c r="A2" s="4" t="s">
        <v>5</v>
      </c>
      <c r="B2" s="4" t="s">
        <v>6</v>
      </c>
      <c r="C2" s="4" t="s">
        <v>7</v>
      </c>
      <c r="D2" s="17" t="s">
        <v>8</v>
      </c>
      <c r="E2" s="19" t="s">
        <v>9</v>
      </c>
      <c r="F2" s="17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0</v>
      </c>
      <c r="P2" s="4" t="s">
        <v>1</v>
      </c>
      <c r="Q2" s="4" t="s">
        <v>2</v>
      </c>
      <c r="R2" s="4" t="s">
        <v>3</v>
      </c>
      <c r="S2" s="4" t="s">
        <v>4</v>
      </c>
      <c r="T2" s="4" t="s">
        <v>15</v>
      </c>
      <c r="U2" s="4" t="s">
        <v>16</v>
      </c>
      <c r="V2" s="4" t="s">
        <v>17</v>
      </c>
      <c r="W2" s="9" t="s">
        <v>64</v>
      </c>
      <c r="X2" s="9" t="s">
        <v>68</v>
      </c>
    </row>
    <row r="3" spans="1:24" hidden="1" x14ac:dyDescent="0.25">
      <c r="A3" s="2">
        <v>6</v>
      </c>
      <c r="B3" s="2">
        <v>1</v>
      </c>
      <c r="C3" s="2">
        <v>2021</v>
      </c>
      <c r="D3" s="11">
        <v>117</v>
      </c>
      <c r="E3" s="38" t="s">
        <v>54</v>
      </c>
      <c r="F3" s="2">
        <v>24</v>
      </c>
      <c r="G3" s="34" t="s">
        <v>46</v>
      </c>
      <c r="H3" s="34" t="s">
        <v>53</v>
      </c>
      <c r="I3" s="48">
        <v>17154</v>
      </c>
      <c r="J3" s="48"/>
      <c r="K3" s="48">
        <v>8400</v>
      </c>
      <c r="L3" s="48">
        <v>7441</v>
      </c>
      <c r="M3" s="48"/>
      <c r="N3" s="48"/>
      <c r="O3" s="48">
        <f t="shared" ref="O3:O9" si="0">+(K3*$K$1/100)+(L3*$L$1/100)+(M3*$M$1/100)+(N3*$N$1/100)</f>
        <v>1312.92</v>
      </c>
      <c r="P3" s="48">
        <f t="shared" ref="P3:P9" si="1">+IF(VALUE(LEFT(G3,2))=33,O3/2,0)</f>
        <v>656.46</v>
      </c>
      <c r="Q3" s="48">
        <f t="shared" ref="Q3:Q9" si="2">+P3</f>
        <v>656.46</v>
      </c>
      <c r="R3" s="48">
        <f t="shared" ref="R3:R9" si="3">+IF(VALUE(LEFT(G3,2))=33,0,O3)</f>
        <v>0</v>
      </c>
      <c r="S3" s="48">
        <f t="shared" ref="S3:S9" si="4">K3+L3+M3+N3+O3+J3</f>
        <v>17153.919999999998</v>
      </c>
      <c r="T3" s="2">
        <f t="shared" ref="T3:T9" si="5">S3-I3</f>
        <v>-8.000000000174623E-2</v>
      </c>
      <c r="U3" s="2"/>
      <c r="V3" s="2"/>
      <c r="W3" s="13" t="s">
        <v>65</v>
      </c>
      <c r="X3" s="13" t="s">
        <v>66</v>
      </c>
    </row>
    <row r="4" spans="1:24" hidden="1" x14ac:dyDescent="0.25">
      <c r="A4" s="2">
        <v>11</v>
      </c>
      <c r="B4" s="2">
        <v>1</v>
      </c>
      <c r="C4" s="2">
        <v>2021</v>
      </c>
      <c r="D4" s="11">
        <v>118</v>
      </c>
      <c r="E4" s="38" t="s">
        <v>55</v>
      </c>
      <c r="F4" s="2">
        <v>23</v>
      </c>
      <c r="G4" s="34" t="s">
        <v>46</v>
      </c>
      <c r="H4" s="34" t="s">
        <v>53</v>
      </c>
      <c r="I4" s="48">
        <v>5040</v>
      </c>
      <c r="J4" s="48"/>
      <c r="K4" s="48"/>
      <c r="L4" s="48">
        <v>4500</v>
      </c>
      <c r="M4" s="48"/>
      <c r="N4" s="48"/>
      <c r="O4" s="48">
        <f t="shared" ref="O4:O5" si="6">+(K4*$K$1/100)+(L4*$L$1/100)+(M4*$M$1/100)+(N4*$N$1/100)</f>
        <v>540</v>
      </c>
      <c r="P4" s="48">
        <f t="shared" ref="P4:P5" si="7">+IF(VALUE(LEFT(G4,2))=33,O4/2,0)</f>
        <v>270</v>
      </c>
      <c r="Q4" s="48">
        <f t="shared" ref="Q4:Q5" si="8">+P4</f>
        <v>270</v>
      </c>
      <c r="R4" s="48">
        <f t="shared" ref="R4:R5" si="9">+IF(VALUE(LEFT(G4,2))=33,0,O4)</f>
        <v>0</v>
      </c>
      <c r="S4" s="48">
        <f t="shared" ref="S4:S5" si="10">K4+L4+M4+N4+O4+J4</f>
        <v>5040</v>
      </c>
      <c r="T4" s="2">
        <f t="shared" ref="T4:T6" si="11">S4-I4</f>
        <v>0</v>
      </c>
      <c r="U4" s="2"/>
      <c r="V4" s="2"/>
      <c r="W4" s="13" t="s">
        <v>65</v>
      </c>
      <c r="X4" s="13" t="s">
        <v>66</v>
      </c>
    </row>
    <row r="5" spans="1:24" x14ac:dyDescent="0.25">
      <c r="A5" s="2">
        <v>1</v>
      </c>
      <c r="B5" s="2">
        <v>1</v>
      </c>
      <c r="C5" s="2">
        <v>2022</v>
      </c>
      <c r="D5" s="11">
        <v>119</v>
      </c>
      <c r="E5" s="38" t="s">
        <v>56</v>
      </c>
      <c r="F5" s="2">
        <v>5</v>
      </c>
      <c r="G5" s="34" t="s">
        <v>40</v>
      </c>
      <c r="H5" s="34" t="s">
        <v>41</v>
      </c>
      <c r="I5" s="48">
        <v>3941</v>
      </c>
      <c r="J5" s="48"/>
      <c r="K5" s="48"/>
      <c r="L5" s="48"/>
      <c r="M5" s="48">
        <v>3340</v>
      </c>
      <c r="N5" s="48"/>
      <c r="O5" s="48">
        <f t="shared" si="6"/>
        <v>601.20000000000005</v>
      </c>
      <c r="P5" s="48">
        <f t="shared" si="7"/>
        <v>300.60000000000002</v>
      </c>
      <c r="Q5" s="48">
        <f t="shared" si="8"/>
        <v>300.60000000000002</v>
      </c>
      <c r="R5" s="48">
        <f t="shared" si="9"/>
        <v>0</v>
      </c>
      <c r="S5" s="48">
        <f t="shared" si="10"/>
        <v>3941.2</v>
      </c>
      <c r="T5" s="2">
        <f t="shared" si="11"/>
        <v>0.1999999999998181</v>
      </c>
      <c r="U5" s="2"/>
      <c r="V5" s="2"/>
      <c r="W5" s="13" t="s">
        <v>67</v>
      </c>
      <c r="X5" s="13" t="s">
        <v>69</v>
      </c>
    </row>
    <row r="6" spans="1:24" x14ac:dyDescent="0.25">
      <c r="A6" s="2">
        <v>1</v>
      </c>
      <c r="B6" s="2">
        <v>1</v>
      </c>
      <c r="C6" s="2">
        <v>2022</v>
      </c>
      <c r="D6" s="11">
        <v>120</v>
      </c>
      <c r="E6" s="38" t="s">
        <v>57</v>
      </c>
      <c r="F6" s="2">
        <v>12</v>
      </c>
      <c r="G6" s="34" t="s">
        <v>40</v>
      </c>
      <c r="H6" s="34" t="s">
        <v>41</v>
      </c>
      <c r="I6" s="48">
        <v>3941</v>
      </c>
      <c r="J6" s="48"/>
      <c r="K6" s="48"/>
      <c r="L6" s="48"/>
      <c r="M6" s="48">
        <v>3340</v>
      </c>
      <c r="N6" s="48"/>
      <c r="O6" s="48">
        <f t="shared" ref="O6" si="12">+(K6*$K$1/100)+(L6*$L$1/100)+(M6*$M$1/100)+(N6*$N$1/100)</f>
        <v>601.20000000000005</v>
      </c>
      <c r="P6" s="48">
        <f t="shared" ref="P6" si="13">+IF(VALUE(LEFT(G6,2))=33,O6/2,0)</f>
        <v>300.60000000000002</v>
      </c>
      <c r="Q6" s="48">
        <f t="shared" ref="Q6" si="14">+P6</f>
        <v>300.60000000000002</v>
      </c>
      <c r="R6" s="48">
        <f t="shared" ref="R6" si="15">+IF(VALUE(LEFT(G6,2))=33,0,O6)</f>
        <v>0</v>
      </c>
      <c r="S6" s="48">
        <f t="shared" ref="S6" si="16">K6+L6+M6+N6+O6+J6</f>
        <v>3941.2</v>
      </c>
      <c r="T6" s="2">
        <f t="shared" si="11"/>
        <v>0.1999999999998181</v>
      </c>
      <c r="U6" s="2"/>
      <c r="V6" s="2"/>
      <c r="W6" s="13" t="s">
        <v>67</v>
      </c>
      <c r="X6" s="13" t="s">
        <v>69</v>
      </c>
    </row>
    <row r="7" spans="1:24" x14ac:dyDescent="0.25">
      <c r="A7" s="2">
        <v>1</v>
      </c>
      <c r="B7" s="2">
        <v>1</v>
      </c>
      <c r="C7" s="2">
        <v>2022</v>
      </c>
      <c r="D7" s="11">
        <v>121</v>
      </c>
      <c r="E7" s="38" t="s">
        <v>58</v>
      </c>
      <c r="F7" s="2">
        <v>1</v>
      </c>
      <c r="G7" s="2" t="s">
        <v>42</v>
      </c>
      <c r="H7" s="2" t="s">
        <v>43</v>
      </c>
      <c r="I7" s="48">
        <v>33986</v>
      </c>
      <c r="J7" s="48"/>
      <c r="K7" s="48"/>
      <c r="L7" s="48"/>
      <c r="M7" s="48">
        <v>28802</v>
      </c>
      <c r="N7" s="48"/>
      <c r="O7" s="48">
        <f t="shared" ref="O7" si="17">+(K7*$K$1/100)+(L7*$L$1/100)+(M7*$M$1/100)+(N7*$N$1/100)</f>
        <v>5184.3599999999997</v>
      </c>
      <c r="P7" s="48">
        <f t="shared" ref="P7" si="18">+IF(VALUE(LEFT(G7,2))=33,O7/2,0)</f>
        <v>2592.1799999999998</v>
      </c>
      <c r="Q7" s="48">
        <f t="shared" ref="Q7" si="19">+P7</f>
        <v>2592.1799999999998</v>
      </c>
      <c r="R7" s="48">
        <f t="shared" ref="R7" si="20">+IF(VALUE(LEFT(G7,2))=33,0,O7)</f>
        <v>0</v>
      </c>
      <c r="S7" s="48">
        <f t="shared" ref="S7" si="21">K7+L7+M7+N7+O7+J7</f>
        <v>33986.36</v>
      </c>
      <c r="T7" s="2">
        <f t="shared" ref="T7" si="22">S7-I7</f>
        <v>0.36000000000058208</v>
      </c>
      <c r="U7" s="2"/>
      <c r="V7" s="2"/>
      <c r="W7" s="13" t="s">
        <v>67</v>
      </c>
      <c r="X7" s="13" t="s">
        <v>69</v>
      </c>
    </row>
    <row r="8" spans="1:24" x14ac:dyDescent="0.25">
      <c r="A8" s="2">
        <v>1</v>
      </c>
      <c r="B8" s="2">
        <v>1</v>
      </c>
      <c r="C8" s="2">
        <v>2022</v>
      </c>
      <c r="D8" s="11">
        <v>122</v>
      </c>
      <c r="E8" s="38" t="s">
        <v>59</v>
      </c>
      <c r="F8" s="2">
        <v>11</v>
      </c>
      <c r="G8" s="34" t="s">
        <v>38</v>
      </c>
      <c r="H8" s="34" t="s">
        <v>37</v>
      </c>
      <c r="I8" s="48">
        <v>12213</v>
      </c>
      <c r="J8" s="48"/>
      <c r="K8" s="48"/>
      <c r="L8" s="48"/>
      <c r="M8" s="48">
        <v>10350</v>
      </c>
      <c r="N8" s="48"/>
      <c r="O8" s="48">
        <f t="shared" ref="O8" si="23">+(K8*$K$1/100)+(L8*$L$1/100)+(M8*$M$1/100)+(N8*$N$1/100)</f>
        <v>1863</v>
      </c>
      <c r="P8" s="48">
        <f t="shared" ref="P8" si="24">+IF(VALUE(LEFT(G8,2))=33,O8/2,0)</f>
        <v>931.5</v>
      </c>
      <c r="Q8" s="48">
        <f t="shared" ref="Q8" si="25">+P8</f>
        <v>931.5</v>
      </c>
      <c r="R8" s="48">
        <f t="shared" ref="R8" si="26">+IF(VALUE(LEFT(G8,2))=33,0,O8)</f>
        <v>0</v>
      </c>
      <c r="S8" s="48">
        <f t="shared" ref="S8" si="27">K8+L8+M8+N8+O8+J8</f>
        <v>12213</v>
      </c>
      <c r="T8" s="2">
        <f t="shared" ref="T8" si="28">S8-I8</f>
        <v>0</v>
      </c>
      <c r="U8" s="2"/>
      <c r="V8" s="2"/>
      <c r="W8" s="13" t="s">
        <v>67</v>
      </c>
      <c r="X8" s="13" t="s">
        <v>69</v>
      </c>
    </row>
    <row r="9" spans="1:24" x14ac:dyDescent="0.25">
      <c r="A9" s="2">
        <v>1</v>
      </c>
      <c r="B9" s="2">
        <v>1</v>
      </c>
      <c r="C9" s="2">
        <v>2022</v>
      </c>
      <c r="D9" s="11">
        <v>123</v>
      </c>
      <c r="E9" s="38" t="s">
        <v>60</v>
      </c>
      <c r="F9" s="2">
        <v>29</v>
      </c>
      <c r="G9" s="34" t="s">
        <v>38</v>
      </c>
      <c r="H9" s="34" t="s">
        <v>37</v>
      </c>
      <c r="I9" s="48">
        <v>24426</v>
      </c>
      <c r="J9" s="48"/>
      <c r="K9" s="48"/>
      <c r="L9" s="48"/>
      <c r="M9" s="48">
        <v>20700</v>
      </c>
      <c r="N9" s="48"/>
      <c r="O9" s="48">
        <f t="shared" si="0"/>
        <v>3726</v>
      </c>
      <c r="P9" s="48">
        <f t="shared" si="1"/>
        <v>1863</v>
      </c>
      <c r="Q9" s="48">
        <f t="shared" si="2"/>
        <v>1863</v>
      </c>
      <c r="R9" s="48">
        <f t="shared" si="3"/>
        <v>0</v>
      </c>
      <c r="S9" s="48">
        <f t="shared" si="4"/>
        <v>24426</v>
      </c>
      <c r="T9" s="2">
        <f t="shared" si="5"/>
        <v>0</v>
      </c>
      <c r="U9" s="2"/>
      <c r="V9" s="2"/>
      <c r="W9" s="13" t="s">
        <v>67</v>
      </c>
      <c r="X9" s="13" t="s">
        <v>69</v>
      </c>
    </row>
    <row r="10" spans="1:24" x14ac:dyDescent="0.25">
      <c r="A10" s="2"/>
      <c r="B10" s="2"/>
      <c r="C10" s="10"/>
      <c r="D10" s="32"/>
      <c r="E10" s="38"/>
      <c r="F10" s="2"/>
      <c r="G10" s="34"/>
      <c r="H10" s="3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 s="58" customFormat="1" x14ac:dyDescent="0.25">
      <c r="A11" s="55"/>
      <c r="B11" s="55"/>
      <c r="C11" s="55"/>
      <c r="D11" s="55"/>
      <c r="E11" s="56"/>
      <c r="F11" s="55"/>
      <c r="G11" s="55"/>
      <c r="H11" s="55"/>
      <c r="I11" s="57">
        <f>SUBTOTAL(9,I3:I10)</f>
        <v>78507</v>
      </c>
      <c r="J11" s="57"/>
      <c r="K11" s="57"/>
      <c r="L11" s="57"/>
      <c r="M11" s="57">
        <f>SUBTOTAL(9,M3:M10)</f>
        <v>66532</v>
      </c>
      <c r="N11" s="57"/>
      <c r="O11" s="57">
        <f>SUBTOTAL(9,O3:O10)</f>
        <v>11975.76</v>
      </c>
      <c r="P11" s="57">
        <f t="shared" ref="P11:R11" si="29">SUBTOTAL(9,P3:P10)</f>
        <v>5987.88</v>
      </c>
      <c r="Q11" s="57">
        <f t="shared" si="29"/>
        <v>5987.88</v>
      </c>
      <c r="R11" s="57">
        <f t="shared" si="29"/>
        <v>0</v>
      </c>
      <c r="S11" s="55"/>
      <c r="T11" s="55"/>
      <c r="U11" s="55"/>
      <c r="V11" s="55"/>
    </row>
    <row r="12" spans="1:24" x14ac:dyDescent="0.25">
      <c r="A12" s="2">
        <f t="shared" ref="A12" si="30">SUBTOTAL(9,A4:A11)</f>
        <v>5</v>
      </c>
      <c r="B12" s="2">
        <f t="shared" ref="B12" si="31">SUBTOTAL(9,B4:B11)</f>
        <v>5</v>
      </c>
      <c r="C12" s="2">
        <f t="shared" ref="C12" si="32">SUBTOTAL(9,C4:C11)</f>
        <v>10110</v>
      </c>
      <c r="D12" s="11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 x14ac:dyDescent="0.25">
      <c r="A13" s="2"/>
      <c r="B13" s="2"/>
      <c r="C13" s="2"/>
      <c r="D13" s="11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2"/>
      <c r="B14" s="2"/>
      <c r="C14" s="2"/>
      <c r="D14" s="11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2"/>
      <c r="B15" s="2"/>
      <c r="C15" s="2"/>
      <c r="D15" s="11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 x14ac:dyDescent="0.25">
      <c r="A16" s="2"/>
      <c r="B16" s="2"/>
      <c r="C16" s="2"/>
      <c r="D16" s="11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11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x14ac:dyDescent="0.25">
      <c r="A18" s="2"/>
      <c r="B18" s="2"/>
      <c r="C18" s="2"/>
      <c r="D18" s="11"/>
      <c r="E18" s="12"/>
      <c r="F18" s="2"/>
      <c r="G18" s="2"/>
      <c r="H18" s="2"/>
      <c r="I18" s="2"/>
      <c r="J18" s="2"/>
      <c r="K18" s="2"/>
      <c r="L18" s="2"/>
      <c r="M18" s="34" t="s">
        <v>25</v>
      </c>
      <c r="N18" s="2"/>
      <c r="O18" s="36">
        <f t="shared" ref="O18:T18" si="33">+SUM(O3:O10)</f>
        <v>13828.68</v>
      </c>
      <c r="P18" s="36">
        <f t="shared" si="33"/>
        <v>6914.34</v>
      </c>
      <c r="Q18" s="36">
        <f t="shared" si="33"/>
        <v>6914.34</v>
      </c>
      <c r="R18" s="36">
        <f t="shared" si="33"/>
        <v>0</v>
      </c>
      <c r="S18" s="36">
        <f t="shared" si="33"/>
        <v>100701.68</v>
      </c>
      <c r="T18" s="36">
        <f t="shared" si="33"/>
        <v>0.67999999999847205</v>
      </c>
      <c r="U18" s="2"/>
      <c r="V18" s="2"/>
    </row>
    <row r="19" spans="1:22" ht="15.75" x14ac:dyDescent="0.25">
      <c r="A19" s="2"/>
      <c r="B19" s="2"/>
      <c r="C19" s="2"/>
      <c r="D19" s="11"/>
      <c r="E19" s="12"/>
      <c r="F19" s="2"/>
      <c r="G19" s="2"/>
      <c r="H19" s="2"/>
      <c r="I19" s="2"/>
      <c r="J19" s="2"/>
      <c r="K19" s="2"/>
      <c r="L19" s="2"/>
      <c r="M19" s="34" t="s">
        <v>26</v>
      </c>
      <c r="N19" s="2"/>
      <c r="O19" s="36"/>
      <c r="P19" s="36">
        <f>716.5+5987.88+210</f>
        <v>6914.38</v>
      </c>
      <c r="Q19" s="36">
        <f>+P19</f>
        <v>6914.38</v>
      </c>
      <c r="R19" s="37">
        <v>0</v>
      </c>
      <c r="S19" s="36"/>
      <c r="T19" s="36"/>
      <c r="U19" s="2"/>
      <c r="V19" s="2"/>
    </row>
    <row r="20" spans="1:22" ht="15.75" x14ac:dyDescent="0.25">
      <c r="A20" s="2"/>
      <c r="B20" s="2"/>
      <c r="C20" s="2"/>
      <c r="D20" s="11"/>
      <c r="E20" s="12"/>
      <c r="F20" s="2"/>
      <c r="G20" s="2"/>
      <c r="H20" s="2"/>
      <c r="I20" s="2"/>
      <c r="J20" s="2"/>
      <c r="K20" s="2"/>
      <c r="L20" s="2"/>
      <c r="M20" s="34"/>
      <c r="N20" s="2"/>
      <c r="O20" s="36"/>
      <c r="P20" s="36"/>
      <c r="Q20" s="36"/>
      <c r="R20" s="36"/>
      <c r="S20" s="36"/>
      <c r="T20" s="36"/>
      <c r="U20" s="2"/>
      <c r="V20" s="2"/>
    </row>
    <row r="21" spans="1:22" x14ac:dyDescent="0.25">
      <c r="A21" s="2"/>
      <c r="B21" s="2"/>
      <c r="C21" s="2"/>
      <c r="D21" s="11"/>
      <c r="E21" s="12"/>
      <c r="F21" s="2"/>
      <c r="G21" s="2"/>
      <c r="H21" s="2"/>
      <c r="I21" s="2"/>
      <c r="J21" s="2"/>
      <c r="K21" s="2"/>
      <c r="L21" s="2"/>
      <c r="M21" s="34" t="s">
        <v>24</v>
      </c>
      <c r="N21" s="2"/>
      <c r="O21" s="2"/>
      <c r="P21" s="39">
        <f>+P18-P19</f>
        <v>-3.999999999996362E-2</v>
      </c>
      <c r="Q21" s="39">
        <f>+Q18-Q19</f>
        <v>-3.999999999996362E-2</v>
      </c>
      <c r="R21" s="14">
        <f>+R18-R19</f>
        <v>0</v>
      </c>
      <c r="S21" s="2"/>
      <c r="T21" s="2"/>
      <c r="U21" s="2"/>
      <c r="V21" s="2"/>
    </row>
    <row r="23" spans="1:22" x14ac:dyDescent="0.25">
      <c r="P23" s="33"/>
      <c r="Q23" s="33"/>
    </row>
  </sheetData>
  <autoFilter ref="A2:X9" xr:uid="{00000000-0001-0000-0000-000000000000}">
    <filterColumn colId="22">
      <filters>
        <filter val="Y"/>
      </filters>
    </filterColumn>
  </autoFilter>
  <sortState xmlns:xlrd2="http://schemas.microsoft.com/office/spreadsheetml/2017/richdata2" ref="A3:V189">
    <sortCondition ref="D3:D18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"/>
  <sheetViews>
    <sheetView topLeftCell="N1" zoomScale="110" zoomScaleNormal="110" workbookViewId="0">
      <pane ySplit="1" topLeftCell="A2" activePane="bottomLeft" state="frozen"/>
      <selection activeCell="I1" sqref="I1"/>
      <selection pane="bottomLeft" activeCell="W4" sqref="W4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7.85546875" bestFit="1" customWidth="1"/>
    <col min="4" max="4" width="22.140625" bestFit="1" customWidth="1"/>
    <col min="5" max="5" width="27.140625" style="8" bestFit="1" customWidth="1"/>
    <col min="7" max="7" width="17.7109375" bestFit="1" customWidth="1"/>
    <col min="8" max="8" width="36.85546875" bestFit="1" customWidth="1"/>
    <col min="9" max="9" width="14.7109375" bestFit="1" customWidth="1"/>
    <col min="10" max="14" width="13.28515625" bestFit="1" customWidth="1"/>
    <col min="15" max="15" width="12.28515625" bestFit="1" customWidth="1"/>
    <col min="16" max="17" width="17.42578125" bestFit="1" customWidth="1"/>
    <col min="18" max="18" width="13.140625" bestFit="1" customWidth="1"/>
    <col min="19" max="19" width="12.7109375" bestFit="1" customWidth="1"/>
    <col min="20" max="20" width="9.85546875" bestFit="1" customWidth="1"/>
    <col min="21" max="21" width="16.85546875" customWidth="1"/>
    <col min="22" max="22" width="17.5703125" bestFit="1" customWidth="1"/>
    <col min="23" max="23" width="26.5703125" bestFit="1" customWidth="1"/>
  </cols>
  <sheetData>
    <row r="1" spans="1:23" x14ac:dyDescent="0.25">
      <c r="A1" s="6"/>
      <c r="B1" s="6"/>
      <c r="C1" s="6"/>
      <c r="D1" s="6"/>
      <c r="E1" s="20"/>
      <c r="F1" s="6"/>
      <c r="G1" s="6"/>
      <c r="H1" s="6"/>
      <c r="I1" s="6"/>
      <c r="J1" s="6">
        <v>0</v>
      </c>
      <c r="K1" s="6">
        <v>5</v>
      </c>
      <c r="L1" s="6">
        <v>12</v>
      </c>
      <c r="M1" s="6">
        <v>18</v>
      </c>
      <c r="N1" s="6">
        <v>28</v>
      </c>
      <c r="O1" s="6" t="s">
        <v>0</v>
      </c>
      <c r="P1" s="6" t="s">
        <v>1</v>
      </c>
      <c r="Q1" s="6" t="s">
        <v>2</v>
      </c>
      <c r="R1" s="6" t="s">
        <v>3</v>
      </c>
      <c r="S1" s="6" t="s">
        <v>4</v>
      </c>
      <c r="T1" s="6"/>
      <c r="U1" s="6"/>
      <c r="V1" s="6"/>
    </row>
    <row r="2" spans="1:23" s="9" customFormat="1" x14ac:dyDescent="0.25">
      <c r="A2" s="29" t="s">
        <v>5</v>
      </c>
      <c r="B2" s="29" t="s">
        <v>6</v>
      </c>
      <c r="C2" s="29" t="s">
        <v>7</v>
      </c>
      <c r="D2" s="29" t="s">
        <v>8</v>
      </c>
      <c r="E2" s="30" t="s">
        <v>9</v>
      </c>
      <c r="F2" s="29" t="s">
        <v>10</v>
      </c>
      <c r="G2" s="29" t="s">
        <v>11</v>
      </c>
      <c r="H2" s="29" t="s">
        <v>12</v>
      </c>
      <c r="I2" s="29" t="s">
        <v>13</v>
      </c>
      <c r="J2" s="29" t="s">
        <v>14</v>
      </c>
      <c r="K2" s="29" t="s">
        <v>14</v>
      </c>
      <c r="L2" s="29" t="s">
        <v>14</v>
      </c>
      <c r="M2" s="29" t="s">
        <v>14</v>
      </c>
      <c r="N2" s="29" t="s">
        <v>14</v>
      </c>
      <c r="O2" s="29" t="s">
        <v>0</v>
      </c>
      <c r="P2" s="29" t="s">
        <v>1</v>
      </c>
      <c r="Q2" s="29" t="s">
        <v>2</v>
      </c>
      <c r="R2" s="29" t="s">
        <v>3</v>
      </c>
      <c r="S2" s="29" t="s">
        <v>4</v>
      </c>
      <c r="T2" s="29" t="s">
        <v>15</v>
      </c>
      <c r="U2" s="29" t="s">
        <v>16</v>
      </c>
      <c r="V2" s="29" t="s">
        <v>17</v>
      </c>
    </row>
    <row r="3" spans="1:23" s="33" customFormat="1" x14ac:dyDescent="0.25">
      <c r="A3" s="24">
        <v>1</v>
      </c>
      <c r="B3" s="21">
        <v>1</v>
      </c>
      <c r="C3" s="21">
        <v>2022</v>
      </c>
      <c r="D3" s="34">
        <v>492</v>
      </c>
      <c r="E3" s="25" t="s">
        <v>47</v>
      </c>
      <c r="F3" s="6">
        <v>14</v>
      </c>
      <c r="G3" s="47" t="s">
        <v>51</v>
      </c>
      <c r="H3" s="47" t="s">
        <v>48</v>
      </c>
      <c r="I3" s="53">
        <v>59000</v>
      </c>
      <c r="J3" s="6"/>
      <c r="K3" s="28"/>
      <c r="L3" s="6"/>
      <c r="M3" s="54">
        <v>50000</v>
      </c>
      <c r="N3" s="6"/>
      <c r="O3" s="54">
        <f t="shared" ref="O3:O5" si="0">+(K3*$K$1/100)+(L3*$L$1/100)+(M3*$M$1/100)+(N3*$N$1/100)</f>
        <v>9000</v>
      </c>
      <c r="P3" s="54">
        <f t="shared" ref="P3:P5" si="1">+IF(VALUE(LEFT(G3,2))=33,O3/2,0)</f>
        <v>0</v>
      </c>
      <c r="Q3" s="54">
        <f t="shared" ref="Q3:Q5" si="2">+P3</f>
        <v>0</v>
      </c>
      <c r="R3" s="54">
        <f t="shared" ref="R3:R5" si="3">+IF(VALUE(LEFT(G3,2))=33,0,O3)</f>
        <v>9000</v>
      </c>
      <c r="S3" s="54">
        <f t="shared" ref="S3:S5" si="4">K3+L3+M3+N3+O3+J3</f>
        <v>59000</v>
      </c>
      <c r="T3" s="54">
        <f t="shared" ref="T3:T5" si="5">S3-I3</f>
        <v>0</v>
      </c>
      <c r="U3" s="6"/>
      <c r="V3" s="6"/>
      <c r="W3" s="33" t="s">
        <v>61</v>
      </c>
    </row>
    <row r="4" spans="1:23" s="33" customFormat="1" ht="45" x14ac:dyDescent="0.25">
      <c r="A4" s="24">
        <v>1</v>
      </c>
      <c r="B4" s="21">
        <v>1</v>
      </c>
      <c r="C4" s="21">
        <v>2022</v>
      </c>
      <c r="D4" s="34">
        <v>496</v>
      </c>
      <c r="E4" s="25" t="s">
        <v>49</v>
      </c>
      <c r="F4" s="6">
        <v>21</v>
      </c>
      <c r="G4" s="47" t="s">
        <v>44</v>
      </c>
      <c r="H4" s="47" t="s">
        <v>45</v>
      </c>
      <c r="I4" s="53">
        <v>1062</v>
      </c>
      <c r="J4" s="6"/>
      <c r="K4" s="28"/>
      <c r="L4" s="6"/>
      <c r="M4" s="54">
        <v>900</v>
      </c>
      <c r="N4" s="6"/>
      <c r="O4" s="54">
        <f t="shared" si="0"/>
        <v>162</v>
      </c>
      <c r="P4" s="54">
        <f t="shared" si="1"/>
        <v>81</v>
      </c>
      <c r="Q4" s="54">
        <f t="shared" si="2"/>
        <v>81</v>
      </c>
      <c r="R4" s="54">
        <f t="shared" si="3"/>
        <v>0</v>
      </c>
      <c r="S4" s="54">
        <f t="shared" si="4"/>
        <v>1062</v>
      </c>
      <c r="T4" s="54">
        <f t="shared" si="5"/>
        <v>0</v>
      </c>
      <c r="U4" s="6"/>
      <c r="V4" s="6"/>
      <c r="W4" s="49" t="s">
        <v>62</v>
      </c>
    </row>
    <row r="5" spans="1:23" s="33" customFormat="1" ht="45" x14ac:dyDescent="0.25">
      <c r="A5" s="24">
        <v>1</v>
      </c>
      <c r="B5" s="21">
        <v>1</v>
      </c>
      <c r="C5" s="21">
        <v>2021</v>
      </c>
      <c r="D5" s="34">
        <v>498</v>
      </c>
      <c r="E5" s="25">
        <v>43</v>
      </c>
      <c r="F5" s="6">
        <v>30</v>
      </c>
      <c r="G5" s="47" t="s">
        <v>52</v>
      </c>
      <c r="H5" s="47" t="s">
        <v>50</v>
      </c>
      <c r="I5" s="53">
        <v>35400</v>
      </c>
      <c r="J5" s="6"/>
      <c r="K5" s="28"/>
      <c r="L5" s="6"/>
      <c r="M5" s="54">
        <v>30000</v>
      </c>
      <c r="N5" s="6"/>
      <c r="O5" s="54">
        <f t="shared" si="0"/>
        <v>5400</v>
      </c>
      <c r="P5" s="54">
        <f t="shared" si="1"/>
        <v>2700</v>
      </c>
      <c r="Q5" s="54">
        <f t="shared" si="2"/>
        <v>2700</v>
      </c>
      <c r="R5" s="54">
        <f t="shared" si="3"/>
        <v>0</v>
      </c>
      <c r="S5" s="54">
        <f t="shared" si="4"/>
        <v>35400</v>
      </c>
      <c r="T5" s="54">
        <f t="shared" si="5"/>
        <v>0</v>
      </c>
      <c r="U5" s="6"/>
      <c r="V5" s="6"/>
      <c r="W5" s="49" t="s">
        <v>63</v>
      </c>
    </row>
    <row r="6" spans="1:23" s="33" customFormat="1" x14ac:dyDescent="0.25">
      <c r="A6" s="24"/>
      <c r="B6" s="21"/>
      <c r="C6" s="21"/>
      <c r="D6" s="34"/>
      <c r="E6" s="25"/>
      <c r="F6" s="6"/>
      <c r="G6" s="22"/>
      <c r="H6" s="22"/>
      <c r="I6" s="23"/>
      <c r="J6" s="6"/>
      <c r="K6" s="28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3" s="31" customFormat="1" x14ac:dyDescent="0.25">
      <c r="A7" s="24"/>
      <c r="B7" s="21"/>
      <c r="C7" s="21"/>
      <c r="D7" s="34"/>
      <c r="E7" s="25"/>
      <c r="F7" s="6"/>
      <c r="G7" s="22"/>
      <c r="H7" s="22"/>
      <c r="I7" s="23"/>
      <c r="J7" s="6"/>
      <c r="K7" s="28"/>
      <c r="L7" s="6"/>
      <c r="M7" s="6" t="s">
        <v>25</v>
      </c>
      <c r="N7" s="6"/>
      <c r="O7" s="6">
        <f>+SUM(O3:O6)</f>
        <v>14562</v>
      </c>
      <c r="P7" s="6">
        <f>+SUM(P3:P6)</f>
        <v>2781</v>
      </c>
      <c r="Q7" s="6">
        <f>+SUM(Q3:Q6)</f>
        <v>2781</v>
      </c>
      <c r="R7" s="6">
        <f>+SUM(R3:R6)</f>
        <v>9000</v>
      </c>
      <c r="S7" s="6">
        <f>+SUM(S3:S6)</f>
        <v>95462</v>
      </c>
      <c r="T7" s="6"/>
      <c r="U7" s="6"/>
      <c r="V7" s="6"/>
    </row>
    <row r="8" spans="1:23" s="31" customFormat="1" x14ac:dyDescent="0.25">
      <c r="A8" s="24"/>
      <c r="B8" s="21"/>
      <c r="C8" s="20"/>
      <c r="D8" s="32"/>
      <c r="E8" s="25"/>
      <c r="F8" s="6"/>
      <c r="G8" s="22"/>
      <c r="H8" s="26"/>
      <c r="I8" s="27"/>
      <c r="J8" s="6"/>
      <c r="K8" s="28"/>
      <c r="L8" s="6"/>
      <c r="M8" s="6" t="s">
        <v>26</v>
      </c>
      <c r="N8" s="6"/>
      <c r="O8" s="6"/>
      <c r="P8" s="6">
        <v>2781</v>
      </c>
      <c r="Q8" s="6">
        <v>2781</v>
      </c>
      <c r="R8" s="6">
        <v>9000</v>
      </c>
      <c r="S8" s="6"/>
      <c r="T8" s="6"/>
      <c r="U8" s="6"/>
      <c r="V8" s="6"/>
    </row>
    <row r="9" spans="1:23" s="33" customFormat="1" x14ac:dyDescent="0.25">
      <c r="A9" s="24"/>
      <c r="B9" s="21"/>
      <c r="C9" s="20"/>
      <c r="D9" s="32"/>
      <c r="E9" s="25"/>
      <c r="F9" s="6"/>
      <c r="G9" s="22"/>
      <c r="H9" s="26"/>
      <c r="I9" s="27"/>
      <c r="J9" s="6"/>
      <c r="K9" s="28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3" s="33" customFormat="1" x14ac:dyDescent="0.25">
      <c r="A10" s="24"/>
      <c r="B10" s="21"/>
      <c r="C10" s="20"/>
      <c r="D10" s="32"/>
      <c r="E10" s="25"/>
      <c r="F10" s="6"/>
      <c r="G10" s="22"/>
      <c r="H10" s="26"/>
      <c r="I10" s="27"/>
      <c r="J10" s="6"/>
      <c r="K10" s="28"/>
      <c r="L10" s="6"/>
      <c r="M10" s="6" t="s">
        <v>24</v>
      </c>
      <c r="N10" s="6"/>
      <c r="O10" s="6"/>
      <c r="P10" s="6">
        <f>+P7-P8</f>
        <v>0</v>
      </c>
      <c r="Q10" s="6">
        <f>+Q7-Q8</f>
        <v>0</v>
      </c>
      <c r="R10" s="6">
        <f>+R7-R8</f>
        <v>0</v>
      </c>
      <c r="S10" s="6"/>
      <c r="T10" s="6"/>
      <c r="U10" s="6"/>
      <c r="V10" s="6"/>
    </row>
    <row r="11" spans="1:23" s="31" customFormat="1" x14ac:dyDescent="0.25">
      <c r="A11" s="24"/>
      <c r="B11" s="21"/>
      <c r="C11" s="20"/>
      <c r="D11" s="32"/>
      <c r="E11" s="25"/>
      <c r="F11" s="6"/>
      <c r="G11" s="22"/>
      <c r="H11" s="26"/>
      <c r="I11" s="27"/>
      <c r="J11" s="6"/>
      <c r="K11" s="28"/>
      <c r="L11" s="6"/>
      <c r="M11" s="6"/>
      <c r="N11" s="6"/>
      <c r="O11" s="6"/>
      <c r="P11" s="34"/>
      <c r="Q11" s="34"/>
      <c r="R11" s="6"/>
      <c r="S11" s="6"/>
      <c r="T11" s="6"/>
      <c r="U11" s="6"/>
      <c r="V11" s="6"/>
    </row>
    <row r="12" spans="1:23" s="31" customFormat="1" x14ac:dyDescent="0.25">
      <c r="A12" s="24"/>
      <c r="B12" s="21"/>
      <c r="C12" s="20"/>
      <c r="D12" s="32"/>
      <c r="E12" s="25"/>
      <c r="F12" s="6"/>
      <c r="G12" s="22"/>
      <c r="H12" s="26"/>
      <c r="I12" s="27"/>
      <c r="J12" s="6"/>
      <c r="K12" s="2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3" x14ac:dyDescent="0.25">
      <c r="P13" s="7"/>
    </row>
    <row r="14" spans="1:23" x14ac:dyDescent="0.25">
      <c r="P14" s="40"/>
      <c r="Q14" s="40"/>
      <c r="R14" s="41"/>
    </row>
    <row r="15" spans="1:23" x14ac:dyDescent="0.25">
      <c r="P15" s="42"/>
      <c r="Q15" s="42"/>
      <c r="R15" s="43"/>
    </row>
    <row r="17" spans="16:18" x14ac:dyDescent="0.25">
      <c r="P17" s="35"/>
      <c r="Q17" s="35"/>
      <c r="R17" s="35"/>
    </row>
  </sheetData>
  <sortState xmlns:xlrd2="http://schemas.microsoft.com/office/spreadsheetml/2017/richdata2" ref="A3:V88">
    <sortCondition ref="D3:D88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J17"/>
  <sheetViews>
    <sheetView workbookViewId="0">
      <selection activeCell="H12" sqref="H12"/>
    </sheetView>
  </sheetViews>
  <sheetFormatPr defaultRowHeight="15" x14ac:dyDescent="0.25"/>
  <cols>
    <col min="4" max="4" width="38.7109375" bestFit="1" customWidth="1"/>
    <col min="6" max="8" width="18.140625" bestFit="1" customWidth="1"/>
    <col min="10" max="10" width="11.5703125" bestFit="1" customWidth="1"/>
  </cols>
  <sheetData>
    <row r="5" spans="4:10" ht="18.75" x14ac:dyDescent="0.3">
      <c r="D5" s="1"/>
      <c r="E5" s="1"/>
      <c r="F5" s="5" t="s">
        <v>2</v>
      </c>
      <c r="G5" s="5" t="s">
        <v>1</v>
      </c>
      <c r="H5" s="5" t="s">
        <v>3</v>
      </c>
      <c r="I5" s="1"/>
      <c r="J5" s="1"/>
    </row>
    <row r="6" spans="4:10" x14ac:dyDescent="0.25">
      <c r="D6" s="1" t="s">
        <v>19</v>
      </c>
      <c r="E6" s="1"/>
      <c r="F6" s="50">
        <f>+'PURCHASE JAN 2022 GST EXCEL'!P18</f>
        <v>6914.34</v>
      </c>
      <c r="G6" s="50">
        <f>+'PURCHASE JAN 2022 GST EXCEL'!Q18</f>
        <v>6914.34</v>
      </c>
      <c r="H6" s="50">
        <f>+'PURCHASE JAN 2022 GST EXCEL'!R18</f>
        <v>0</v>
      </c>
      <c r="I6" s="1"/>
      <c r="J6" s="1"/>
    </row>
    <row r="7" spans="4:10" x14ac:dyDescent="0.25">
      <c r="D7" s="1" t="s">
        <v>20</v>
      </c>
      <c r="E7" s="1"/>
      <c r="F7" s="50">
        <f>+'JOURNAL JAN 2022 GST EXCEL'!P7</f>
        <v>2781</v>
      </c>
      <c r="G7" s="50">
        <f>+'JOURNAL JAN 2022 GST EXCEL'!Q7</f>
        <v>2781</v>
      </c>
      <c r="H7" s="50">
        <f>+'JOURNAL JAN 2022 GST EXCEL'!R7</f>
        <v>9000</v>
      </c>
      <c r="I7" s="1"/>
      <c r="J7" s="1"/>
    </row>
    <row r="8" spans="4:10" x14ac:dyDescent="0.25">
      <c r="D8" s="1"/>
      <c r="E8" s="1"/>
      <c r="F8" s="50"/>
      <c r="G8" s="50"/>
      <c r="H8" s="50"/>
      <c r="I8" s="1"/>
      <c r="J8" s="1"/>
    </row>
    <row r="9" spans="4:10" x14ac:dyDescent="0.25">
      <c r="D9" s="1" t="s">
        <v>21</v>
      </c>
      <c r="E9" s="1"/>
      <c r="F9" s="50">
        <f>+F6+F7</f>
        <v>9695.34</v>
      </c>
      <c r="G9" s="50">
        <f>+G6+G7</f>
        <v>9695.34</v>
      </c>
      <c r="H9" s="50">
        <f>+H6+H7</f>
        <v>9000</v>
      </c>
      <c r="I9" s="1"/>
      <c r="J9" s="1"/>
    </row>
    <row r="10" spans="4:10" x14ac:dyDescent="0.25">
      <c r="D10" s="1"/>
      <c r="E10" s="1"/>
      <c r="F10" s="50"/>
      <c r="G10" s="50"/>
      <c r="H10" s="50"/>
      <c r="I10" s="1"/>
      <c r="J10" s="1"/>
    </row>
    <row r="11" spans="4:10" x14ac:dyDescent="0.25">
      <c r="D11" s="1"/>
      <c r="E11" s="1"/>
      <c r="F11" s="50"/>
      <c r="G11" s="50"/>
      <c r="H11" s="50"/>
      <c r="I11" s="1"/>
      <c r="J11" s="1"/>
    </row>
    <row r="12" spans="4:10" x14ac:dyDescent="0.25">
      <c r="D12" s="1" t="s">
        <v>22</v>
      </c>
      <c r="E12" s="1"/>
      <c r="F12" s="50">
        <f>716.5+8768.88+210</f>
        <v>9695.3799999999992</v>
      </c>
      <c r="G12" s="50">
        <f>+F12</f>
        <v>9695.3799999999992</v>
      </c>
      <c r="H12" s="50">
        <v>9000</v>
      </c>
      <c r="I12" s="1"/>
      <c r="J12" s="1"/>
    </row>
    <row r="13" spans="4:10" s="3" customFormat="1" x14ac:dyDescent="0.25">
      <c r="D13" s="1"/>
      <c r="E13" s="1"/>
      <c r="F13" s="50"/>
      <c r="G13" s="50"/>
      <c r="H13" s="50"/>
      <c r="I13" s="1"/>
      <c r="J13" s="1"/>
    </row>
    <row r="14" spans="4:10" s="3" customFormat="1" x14ac:dyDescent="0.25">
      <c r="D14" s="1" t="s">
        <v>23</v>
      </c>
      <c r="E14" s="1"/>
      <c r="F14" s="50">
        <f>+F9</f>
        <v>9695.34</v>
      </c>
      <c r="G14" s="50">
        <f>+G9</f>
        <v>9695.34</v>
      </c>
      <c r="H14" s="51">
        <f>+H9</f>
        <v>9000</v>
      </c>
      <c r="I14" s="1"/>
      <c r="J14" s="1"/>
    </row>
    <row r="15" spans="4:10" ht="18.75" x14ac:dyDescent="0.3">
      <c r="D15" s="5" t="s">
        <v>18</v>
      </c>
      <c r="E15" s="5"/>
      <c r="F15" s="52">
        <f>+F12-F14</f>
        <v>3.9999999999054126E-2</v>
      </c>
      <c r="G15" s="52">
        <f>+G12-G14</f>
        <v>3.9999999999054126E-2</v>
      </c>
      <c r="H15" s="52">
        <f>+H14-H12</f>
        <v>0</v>
      </c>
      <c r="I15" s="1"/>
      <c r="J15" s="1"/>
    </row>
    <row r="16" spans="4:10" s="3" customFormat="1" x14ac:dyDescent="0.25">
      <c r="D16" s="1"/>
      <c r="E16" s="1"/>
      <c r="F16" s="1"/>
      <c r="G16" s="1"/>
      <c r="H16" s="1"/>
      <c r="I16" s="1"/>
      <c r="J16" s="1"/>
    </row>
    <row r="17" spans="4:10" x14ac:dyDescent="0.25"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7"/>
  <sheetViews>
    <sheetView workbookViewId="0">
      <selection activeCell="A3" sqref="A3"/>
    </sheetView>
  </sheetViews>
  <sheetFormatPr defaultRowHeight="15" x14ac:dyDescent="0.25"/>
  <cols>
    <col min="1" max="1" width="10.5703125" style="33" bestFit="1" customWidth="1"/>
    <col min="2" max="2" width="11.5703125" style="33" bestFit="1" customWidth="1"/>
    <col min="3" max="3" width="7.85546875" style="33" bestFit="1" customWidth="1"/>
    <col min="4" max="4" width="22.140625" style="33" bestFit="1" customWidth="1"/>
    <col min="5" max="5" width="27.140625" style="8" bestFit="1" customWidth="1"/>
    <col min="6" max="6" width="9.140625" style="33"/>
    <col min="7" max="7" width="17.7109375" style="33" bestFit="1" customWidth="1"/>
    <col min="8" max="8" width="36.85546875" style="33" bestFit="1" customWidth="1"/>
    <col min="9" max="9" width="14.7109375" style="33" bestFit="1" customWidth="1"/>
    <col min="10" max="14" width="13.28515625" style="33" bestFit="1" customWidth="1"/>
    <col min="15" max="15" width="12.28515625" style="33" bestFit="1" customWidth="1"/>
    <col min="16" max="17" width="17.42578125" style="33" bestFit="1" customWidth="1"/>
    <col min="18" max="18" width="13.140625" style="33" bestFit="1" customWidth="1"/>
    <col min="19" max="19" width="12.7109375" style="33" bestFit="1" customWidth="1"/>
    <col min="20" max="20" width="9.85546875" style="33" bestFit="1" customWidth="1"/>
    <col min="21" max="21" width="16.85546875" style="33" customWidth="1"/>
    <col min="22" max="22" width="17.5703125" style="33" bestFit="1" customWidth="1"/>
    <col min="23" max="16384" width="9.140625" style="33"/>
  </cols>
  <sheetData>
    <row r="1" spans="1:22" x14ac:dyDescent="0.25">
      <c r="A1" s="6"/>
      <c r="B1" s="6"/>
      <c r="C1" s="6"/>
      <c r="D1" s="6"/>
      <c r="E1" s="20"/>
      <c r="F1" s="6"/>
      <c r="G1" s="6"/>
      <c r="H1" s="6"/>
      <c r="I1" s="6"/>
      <c r="J1" s="6">
        <v>0</v>
      </c>
      <c r="K1" s="6">
        <v>5</v>
      </c>
      <c r="L1" s="6">
        <v>12</v>
      </c>
      <c r="M1" s="6">
        <v>18</v>
      </c>
      <c r="N1" s="6">
        <v>28</v>
      </c>
      <c r="O1" s="6" t="s">
        <v>0</v>
      </c>
      <c r="P1" s="6" t="s">
        <v>1</v>
      </c>
      <c r="Q1" s="6" t="s">
        <v>2</v>
      </c>
      <c r="R1" s="6" t="s">
        <v>3</v>
      </c>
      <c r="S1" s="6" t="s">
        <v>4</v>
      </c>
      <c r="T1" s="6"/>
      <c r="U1" s="6"/>
      <c r="V1" s="6"/>
    </row>
    <row r="2" spans="1:22" s="9" customFormat="1" x14ac:dyDescent="0.25">
      <c r="A2" s="29" t="s">
        <v>5</v>
      </c>
      <c r="B2" s="29" t="s">
        <v>6</v>
      </c>
      <c r="C2" s="29" t="s">
        <v>7</v>
      </c>
      <c r="D2" s="29" t="s">
        <v>8</v>
      </c>
      <c r="E2" s="30" t="s">
        <v>9</v>
      </c>
      <c r="F2" s="29" t="s">
        <v>10</v>
      </c>
      <c r="G2" s="29" t="s">
        <v>11</v>
      </c>
      <c r="H2" s="29" t="s">
        <v>12</v>
      </c>
      <c r="I2" s="29" t="s">
        <v>13</v>
      </c>
      <c r="J2" s="29" t="s">
        <v>14</v>
      </c>
      <c r="K2" s="29" t="s">
        <v>14</v>
      </c>
      <c r="L2" s="29" t="s">
        <v>14</v>
      </c>
      <c r="M2" s="29" t="s">
        <v>14</v>
      </c>
      <c r="N2" s="29" t="s">
        <v>14</v>
      </c>
      <c r="O2" s="29" t="s">
        <v>0</v>
      </c>
      <c r="P2" s="29" t="s">
        <v>1</v>
      </c>
      <c r="Q2" s="29" t="s">
        <v>2</v>
      </c>
      <c r="R2" s="29" t="s">
        <v>3</v>
      </c>
      <c r="S2" s="29" t="s">
        <v>4</v>
      </c>
      <c r="T2" s="29" t="s">
        <v>15</v>
      </c>
      <c r="U2" s="29" t="s">
        <v>16</v>
      </c>
      <c r="V2" s="29" t="s">
        <v>17</v>
      </c>
    </row>
    <row r="3" spans="1:22" x14ac:dyDescent="0.25">
      <c r="A3" s="24" t="s">
        <v>39</v>
      </c>
      <c r="B3" s="21"/>
      <c r="C3" s="21"/>
      <c r="D3" s="44"/>
      <c r="E3" s="25"/>
      <c r="F3" s="6"/>
      <c r="G3" s="22" t="s">
        <v>39</v>
      </c>
      <c r="H3" s="22" t="s">
        <v>39</v>
      </c>
      <c r="I3" s="23"/>
      <c r="J3" s="6"/>
      <c r="K3" s="28"/>
      <c r="L3" s="6"/>
      <c r="M3" s="6"/>
      <c r="N3" s="6"/>
      <c r="O3" s="6">
        <f t="shared" ref="O3" si="0">+(K3*$K$1/100)+(L3*$L$1/100)+(M3*$M$1/100)+(N3*$N$1/100)</f>
        <v>0</v>
      </c>
      <c r="P3" s="6" t="e">
        <f t="shared" ref="P3" si="1">+IF(VALUE(LEFT(G3,2))=33,O3/2,0)</f>
        <v>#VALUE!</v>
      </c>
      <c r="Q3" s="6" t="e">
        <f t="shared" ref="Q3" si="2">+P3</f>
        <v>#VALUE!</v>
      </c>
      <c r="R3" s="6" t="e">
        <f t="shared" ref="R3" si="3">+IF(VALUE(LEFT(G3,2))=33,0,O3)</f>
        <v>#VALUE!</v>
      </c>
      <c r="S3" s="6">
        <f t="shared" ref="S3" si="4">K3+L3+M3+N3+O3+J3</f>
        <v>0</v>
      </c>
      <c r="T3" s="6">
        <f t="shared" ref="T3" si="5">S3-I3</f>
        <v>0</v>
      </c>
      <c r="U3" s="6"/>
      <c r="V3" s="6"/>
    </row>
    <row r="4" spans="1:22" x14ac:dyDescent="0.25">
      <c r="A4" s="24"/>
      <c r="B4" s="21"/>
      <c r="C4" s="21"/>
      <c r="D4" s="34"/>
      <c r="E4" s="25"/>
      <c r="F4" s="6"/>
      <c r="G4" s="22"/>
      <c r="H4" s="22"/>
      <c r="I4" s="23"/>
      <c r="J4" s="6"/>
      <c r="K4" s="28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24"/>
      <c r="B5" s="21"/>
      <c r="C5" s="21"/>
      <c r="D5" s="34"/>
      <c r="E5" s="25"/>
      <c r="F5" s="6"/>
      <c r="G5" s="22"/>
      <c r="H5" s="22"/>
      <c r="I5" s="23"/>
      <c r="J5" s="6"/>
      <c r="K5" s="28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24"/>
      <c r="B6" s="21"/>
      <c r="C6" s="21"/>
      <c r="D6" s="34"/>
      <c r="E6" s="25"/>
      <c r="F6" s="6"/>
      <c r="G6" s="22"/>
      <c r="H6" s="22"/>
      <c r="I6" s="23"/>
      <c r="J6" s="6"/>
      <c r="K6" s="28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24"/>
      <c r="B7" s="21"/>
      <c r="C7" s="21"/>
      <c r="D7" s="34"/>
      <c r="E7" s="25"/>
      <c r="F7" s="6"/>
      <c r="G7" s="22"/>
      <c r="H7" s="22"/>
      <c r="I7" s="23"/>
      <c r="J7" s="6"/>
      <c r="K7" s="28"/>
      <c r="L7" s="6"/>
      <c r="M7" s="6" t="s">
        <v>25</v>
      </c>
      <c r="N7" s="6"/>
      <c r="O7" s="6">
        <f>+SUM(O3:O4)</f>
        <v>0</v>
      </c>
      <c r="P7" s="6" t="e">
        <f>+SUM(P3:P4)</f>
        <v>#VALUE!</v>
      </c>
      <c r="Q7" s="6" t="e">
        <f>+SUM(Q3:Q4)</f>
        <v>#VALUE!</v>
      </c>
      <c r="R7" s="6" t="e">
        <f>+SUM(R3:R4)</f>
        <v>#VALUE!</v>
      </c>
      <c r="S7" s="6"/>
      <c r="T7" s="6"/>
      <c r="U7" s="6"/>
      <c r="V7" s="6"/>
    </row>
    <row r="8" spans="1:22" x14ac:dyDescent="0.25">
      <c r="A8" s="24"/>
      <c r="B8" s="21"/>
      <c r="C8" s="20"/>
      <c r="D8" s="32"/>
      <c r="E8" s="25"/>
      <c r="F8" s="6"/>
      <c r="G8" s="22"/>
      <c r="H8" s="26"/>
      <c r="I8" s="27"/>
      <c r="J8" s="6"/>
      <c r="K8" s="28"/>
      <c r="L8" s="6"/>
      <c r="M8" s="6" t="s">
        <v>26</v>
      </c>
      <c r="N8" s="6"/>
      <c r="O8" s="6">
        <f>+O7</f>
        <v>0</v>
      </c>
      <c r="P8" s="6" t="e">
        <f>+P7</f>
        <v>#VALUE!</v>
      </c>
      <c r="Q8" s="6" t="e">
        <f>+P8</f>
        <v>#VALUE!</v>
      </c>
      <c r="R8" s="6" t="e">
        <f>+R7</f>
        <v>#VALUE!</v>
      </c>
      <c r="S8" s="6"/>
      <c r="T8" s="6"/>
      <c r="U8" s="6"/>
      <c r="V8" s="6"/>
    </row>
    <row r="9" spans="1:22" x14ac:dyDescent="0.25">
      <c r="A9" s="24"/>
      <c r="B9" s="21"/>
      <c r="C9" s="20"/>
      <c r="D9" s="32"/>
      <c r="E9" s="25"/>
      <c r="F9" s="6"/>
      <c r="G9" s="22"/>
      <c r="H9" s="26"/>
      <c r="I9" s="27"/>
      <c r="J9" s="6"/>
      <c r="K9" s="28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24"/>
      <c r="B10" s="21"/>
      <c r="C10" s="20"/>
      <c r="D10" s="32"/>
      <c r="E10" s="25"/>
      <c r="F10" s="6"/>
      <c r="G10" s="22"/>
      <c r="H10" s="26"/>
      <c r="I10" s="27"/>
      <c r="J10" s="6"/>
      <c r="K10" s="28"/>
      <c r="L10" s="6"/>
      <c r="M10" s="6" t="s">
        <v>24</v>
      </c>
      <c r="N10" s="6"/>
      <c r="O10" s="6"/>
      <c r="P10" s="6" t="e">
        <f>+P7-P8</f>
        <v>#VALUE!</v>
      </c>
      <c r="Q10" s="6" t="e">
        <f>+Q7-Q8</f>
        <v>#VALUE!</v>
      </c>
      <c r="R10" s="6" t="e">
        <f>+R7-R8</f>
        <v>#VALUE!</v>
      </c>
      <c r="S10" s="6"/>
      <c r="T10" s="6"/>
      <c r="U10" s="6"/>
      <c r="V10" s="6"/>
    </row>
    <row r="11" spans="1:22" x14ac:dyDescent="0.25">
      <c r="A11" s="24"/>
      <c r="B11" s="21"/>
      <c r="C11" s="20"/>
      <c r="D11" s="32"/>
      <c r="E11" s="25"/>
      <c r="F11" s="6"/>
      <c r="G11" s="22"/>
      <c r="H11" s="26"/>
      <c r="I11" s="27"/>
      <c r="J11" s="6"/>
      <c r="K11" s="28"/>
      <c r="L11" s="6"/>
      <c r="M11" s="6"/>
      <c r="N11" s="6"/>
      <c r="O11" s="6"/>
      <c r="Q11" s="6"/>
      <c r="R11" s="6"/>
      <c r="S11" s="6"/>
      <c r="T11" s="6"/>
      <c r="U11" s="6"/>
      <c r="V11" s="6"/>
    </row>
    <row r="12" spans="1:22" x14ac:dyDescent="0.25">
      <c r="A12" s="24"/>
      <c r="B12" s="21"/>
      <c r="C12" s="20"/>
      <c r="D12" s="32"/>
      <c r="E12" s="25"/>
      <c r="F12" s="6"/>
      <c r="G12" s="22"/>
      <c r="H12" s="26"/>
      <c r="I12" s="27"/>
      <c r="J12" s="6"/>
      <c r="K12" s="2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4" spans="1:22" x14ac:dyDescent="0.25">
      <c r="P14" s="40"/>
      <c r="Q14" s="40"/>
      <c r="R14" s="41"/>
    </row>
    <row r="15" spans="1:22" x14ac:dyDescent="0.25">
      <c r="P15" s="42"/>
      <c r="Q15" s="42"/>
      <c r="R15" s="43"/>
    </row>
    <row r="17" spans="16:18" x14ac:dyDescent="0.25">
      <c r="P17" s="35"/>
      <c r="Q17" s="35"/>
      <c r="R17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4:L23"/>
  <sheetViews>
    <sheetView workbookViewId="0">
      <selection activeCell="L26" sqref="L26"/>
    </sheetView>
  </sheetViews>
  <sheetFormatPr defaultRowHeight="15" x14ac:dyDescent="0.25"/>
  <cols>
    <col min="6" max="6" width="11.140625" bestFit="1" customWidth="1"/>
    <col min="7" max="7" width="12.140625" customWidth="1"/>
    <col min="8" max="8" width="15.28515625" bestFit="1" customWidth="1"/>
    <col min="9" max="9" width="11" customWidth="1"/>
    <col min="10" max="10" width="11.5703125" customWidth="1"/>
    <col min="11" max="11" width="9.85546875" customWidth="1"/>
    <col min="12" max="12" width="17.5703125" bestFit="1" customWidth="1"/>
  </cols>
  <sheetData>
    <row r="4" spans="6:12" x14ac:dyDescent="0.25">
      <c r="G4" s="34"/>
      <c r="H4" s="34" t="s">
        <v>2</v>
      </c>
      <c r="I4" s="34" t="s">
        <v>1</v>
      </c>
      <c r="J4" s="34" t="s">
        <v>3</v>
      </c>
    </row>
    <row r="5" spans="6:12" x14ac:dyDescent="0.25">
      <c r="G5" s="34" t="s">
        <v>27</v>
      </c>
      <c r="H5" s="34">
        <f>+'PURCHASE JAN 2022 GST EXCEL'!P18</f>
        <v>6914.34</v>
      </c>
      <c r="I5" s="34">
        <f>+'PURCHASE JAN 2022 GST EXCEL'!Q18</f>
        <v>6914.34</v>
      </c>
      <c r="J5" s="34">
        <f>+'PURCHASE JAN 2022 GST EXCEL'!R18</f>
        <v>0</v>
      </c>
    </row>
    <row r="6" spans="6:12" x14ac:dyDescent="0.25">
      <c r="G6" s="34" t="s">
        <v>28</v>
      </c>
      <c r="H6" s="34">
        <f>+'JOURNAL JAN 2022 GST EXCEL'!P7</f>
        <v>2781</v>
      </c>
      <c r="I6" s="34">
        <f>+'JOURNAL JAN 2022 GST EXCEL'!Q7</f>
        <v>2781</v>
      </c>
      <c r="J6" s="34">
        <f>+'JOURNAL JAN 2022 GST EXCEL'!R7</f>
        <v>9000</v>
      </c>
    </row>
    <row r="7" spans="6:12" s="33" customFormat="1" x14ac:dyDescent="0.25">
      <c r="G7" s="34"/>
      <c r="H7" s="34">
        <f>+H5+H6</f>
        <v>9695.34</v>
      </c>
      <c r="I7" s="34">
        <f t="shared" ref="I7:J7" si="0">+I5+I6</f>
        <v>9695.34</v>
      </c>
      <c r="J7" s="34">
        <f t="shared" si="0"/>
        <v>9000</v>
      </c>
    </row>
    <row r="8" spans="6:12" x14ac:dyDescent="0.25">
      <c r="G8" s="34"/>
      <c r="H8" s="34"/>
      <c r="I8" s="34"/>
      <c r="J8" s="34"/>
    </row>
    <row r="9" spans="6:12" x14ac:dyDescent="0.25">
      <c r="G9" s="34" t="s">
        <v>29</v>
      </c>
      <c r="H9" s="34" t="e">
        <f>+SALES!P7</f>
        <v>#VALUE!</v>
      </c>
      <c r="I9" s="34" t="e">
        <f>+SALES!Q7</f>
        <v>#VALUE!</v>
      </c>
      <c r="J9" s="34" t="e">
        <f>+SALES!R7</f>
        <v>#VALUE!</v>
      </c>
      <c r="L9" t="e">
        <f>28490-J9</f>
        <v>#VALUE!</v>
      </c>
    </row>
    <row r="10" spans="6:12" x14ac:dyDescent="0.25">
      <c r="G10" s="34"/>
      <c r="H10" s="34"/>
      <c r="I10" s="34"/>
      <c r="J10" s="34"/>
    </row>
    <row r="11" spans="6:12" ht="15.75" x14ac:dyDescent="0.25">
      <c r="G11" s="36" t="s">
        <v>31</v>
      </c>
      <c r="H11" s="36" t="e">
        <f>+H9-H7</f>
        <v>#VALUE!</v>
      </c>
      <c r="I11" s="36" t="e">
        <f t="shared" ref="I11:J11" si="1">+I9-I7</f>
        <v>#VALUE!</v>
      </c>
      <c r="J11" s="36" t="e">
        <f t="shared" si="1"/>
        <v>#VALUE!</v>
      </c>
    </row>
    <row r="12" spans="6:12" x14ac:dyDescent="0.25">
      <c r="G12" s="34"/>
      <c r="H12" s="34"/>
      <c r="I12" s="34"/>
      <c r="J12" s="34"/>
    </row>
    <row r="13" spans="6:12" x14ac:dyDescent="0.25">
      <c r="G13" s="34"/>
      <c r="H13" s="34"/>
      <c r="I13" s="34" t="s">
        <v>30</v>
      </c>
      <c r="J13" s="34" t="e">
        <f>+J11+I11+H11</f>
        <v>#VALUE!</v>
      </c>
    </row>
    <row r="16" spans="6:12" x14ac:dyDescent="0.25">
      <c r="F16" s="34"/>
      <c r="G16" s="34"/>
      <c r="H16" s="34" t="s">
        <v>32</v>
      </c>
      <c r="I16" s="34" t="s">
        <v>2</v>
      </c>
      <c r="J16" s="34" t="s">
        <v>1</v>
      </c>
      <c r="K16" s="34" t="s">
        <v>3</v>
      </c>
      <c r="L16" s="34" t="s">
        <v>33</v>
      </c>
    </row>
    <row r="17" spans="6:12" x14ac:dyDescent="0.25">
      <c r="F17" s="34" t="s">
        <v>34</v>
      </c>
      <c r="G17" s="34" t="s">
        <v>29</v>
      </c>
      <c r="H17" s="34"/>
      <c r="I17" s="34">
        <v>0</v>
      </c>
      <c r="J17" s="34">
        <v>0</v>
      </c>
      <c r="K17" s="34">
        <f>+H17*0.18</f>
        <v>0</v>
      </c>
      <c r="L17" s="34">
        <f>+H17+I17+J17+K17</f>
        <v>0</v>
      </c>
    </row>
    <row r="18" spans="6:12" x14ac:dyDescent="0.25">
      <c r="F18" s="34" t="s">
        <v>35</v>
      </c>
      <c r="G18" s="34" t="s">
        <v>27</v>
      </c>
      <c r="H18" s="34">
        <f>82268+108072</f>
        <v>190340</v>
      </c>
      <c r="I18" s="34">
        <f>4793+3840</f>
        <v>8633</v>
      </c>
      <c r="J18" s="34">
        <f>+I18</f>
        <v>8633</v>
      </c>
      <c r="K18" s="34">
        <v>0</v>
      </c>
      <c r="L18" s="34">
        <f>+H18+I18+J18+K18</f>
        <v>207606</v>
      </c>
    </row>
    <row r="19" spans="6:12" x14ac:dyDescent="0.25">
      <c r="F19" s="34"/>
      <c r="G19" s="34"/>
      <c r="H19" s="34"/>
      <c r="I19" s="34"/>
      <c r="J19" s="34"/>
      <c r="K19" s="34"/>
      <c r="L19" s="34"/>
    </row>
    <row r="20" spans="6:12" x14ac:dyDescent="0.25">
      <c r="F20" s="34"/>
      <c r="G20" s="34"/>
      <c r="H20" s="34">
        <f>+H17-H18</f>
        <v>-190340</v>
      </c>
      <c r="I20" s="34">
        <f t="shared" ref="I20:L20" si="2">+I17-I18</f>
        <v>-8633</v>
      </c>
      <c r="J20" s="34">
        <f t="shared" si="2"/>
        <v>-8633</v>
      </c>
      <c r="K20" s="34">
        <f t="shared" si="2"/>
        <v>0</v>
      </c>
      <c r="L20" s="34">
        <f t="shared" si="2"/>
        <v>-207606</v>
      </c>
    </row>
    <row r="21" spans="6:12" x14ac:dyDescent="0.25">
      <c r="F21" s="34"/>
      <c r="G21" s="34"/>
      <c r="H21" s="34"/>
      <c r="I21" s="34"/>
      <c r="J21" s="34"/>
      <c r="K21" s="34"/>
      <c r="L21" s="34"/>
    </row>
    <row r="22" spans="6:12" ht="18.75" x14ac:dyDescent="0.3">
      <c r="F22" s="34"/>
      <c r="G22" s="34"/>
      <c r="H22" s="34"/>
      <c r="I22" s="34"/>
      <c r="J22" s="5" t="s">
        <v>36</v>
      </c>
      <c r="K22" s="5">
        <f>+K20+J20+I20</f>
        <v>-17266</v>
      </c>
      <c r="L22" s="34"/>
    </row>
    <row r="23" spans="6:12" s="33" customFormat="1" ht="18.75" x14ac:dyDescent="0.3">
      <c r="F23" s="45"/>
      <c r="G23" s="45"/>
      <c r="H23" s="45"/>
      <c r="I23" s="45"/>
      <c r="J23" s="46"/>
      <c r="K23" s="46"/>
      <c r="L23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PURCHASE JAN 2022 GST EXCEL</vt:lpstr>
      <vt:lpstr>JOURNAL JAN 2022 GST EXCEL</vt:lpstr>
      <vt:lpstr>OVERALL TALLIED - JAN 2022</vt:lpstr>
      <vt:lpstr>SALES</vt:lpstr>
      <vt:lpstr>Nov-21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ARUL</cp:lastModifiedBy>
  <dcterms:created xsi:type="dcterms:W3CDTF">2020-02-28T09:49:47Z</dcterms:created>
  <dcterms:modified xsi:type="dcterms:W3CDTF">2022-02-22T13:53:26Z</dcterms:modified>
</cp:coreProperties>
</file>