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drawings/drawing18.xml" ContentType="application/vnd.openxmlformats-officedocument.drawing+xml"/>
  <Override PartName="/xl/tables/table19.xml" ContentType="application/vnd.openxmlformats-officedocument.spreadsheetml.table+xml"/>
  <Override PartName="/xl/drawings/drawing19.xml" ContentType="application/vnd.openxmlformats-officedocument.drawing+xml"/>
  <Override PartName="/xl/tables/table20.xml" ContentType="application/vnd.openxmlformats-officedocument.spreadsheetml.table+xml"/>
  <Override PartName="/xl/drawings/drawing20.xml" ContentType="application/vnd.openxmlformats-officedocument.drawing+xml"/>
  <Override PartName="/xl/tables/table21.xml" ContentType="application/vnd.openxmlformats-officedocument.spreadsheetml.table+xml"/>
  <Override PartName="/xl/drawings/drawing21.xml" ContentType="application/vnd.openxmlformats-officedocument.drawing+xml"/>
  <Override PartName="/xl/tables/table22.xml" ContentType="application/vnd.openxmlformats-officedocument.spreadsheetml.table+xml"/>
  <Override PartName="/xl/drawings/drawing22.xml" ContentType="application/vnd.openxmlformats-officedocument.drawing+xml"/>
  <Override PartName="/xl/tables/table23.xml" ContentType="application/vnd.openxmlformats-officedocument.spreadsheetml.table+xml"/>
  <Override PartName="/xl/drawings/drawing23.xml" ContentType="application/vnd.openxmlformats-officedocument.drawing+xml"/>
  <Override PartName="/xl/tables/table24.xml" ContentType="application/vnd.openxmlformats-officedocument.spreadsheetml.table+xml"/>
  <Override PartName="/xl/drawings/drawing24.xml" ContentType="application/vnd.openxmlformats-officedocument.drawing+xml"/>
  <Override PartName="/xl/tables/table25.xml" ContentType="application/vnd.openxmlformats-officedocument.spreadsheetml.table+xml"/>
  <Override PartName="/xl/drawings/drawing25.xml" ContentType="application/vnd.openxmlformats-officedocument.drawing+xml"/>
  <Override PartName="/xl/tables/table26.xml" ContentType="application/vnd.openxmlformats-officedocument.spreadsheetml.table+xml"/>
  <Override PartName="/xl/drawings/drawing26.xml" ContentType="application/vnd.openxmlformats-officedocument.drawing+xml"/>
  <Override PartName="/xl/tables/table27.xml" ContentType="application/vnd.openxmlformats-officedocument.spreadsheetml.table+xml"/>
  <Override PartName="/xl/drawings/drawing27.xml" ContentType="application/vnd.openxmlformats-officedocument.drawing+xml"/>
  <Override PartName="/xl/tables/table28.xml" ContentType="application/vnd.openxmlformats-officedocument.spreadsheetml.table+xml"/>
  <Override PartName="/xl/drawings/drawing28.xml" ContentType="application/vnd.openxmlformats-officedocument.drawing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1A5A2127-54BA-4203-8E95-3B27A534CB61}" xr6:coauthVersionLast="47" xr6:coauthVersionMax="47" xr10:uidLastSave="{00000000-0000-0000-0000-000000000000}"/>
  <bookViews>
    <workbookView xWindow="-108" yWindow="-108" windowWidth="23256" windowHeight="12456" firstSheet="25" activeTab="28" xr2:uid="{41ED8345-F960-40C1-8219-9CD79B27FC63}"/>
  </bookViews>
  <sheets>
    <sheet name="Sheet1 " sheetId="3" r:id="rId1"/>
    <sheet name="Sales" sheetId="6" r:id="rId2"/>
    <sheet name="Total Sales" sheetId="1" r:id="rId3"/>
    <sheet name="Average Sales " sheetId="5" r:id="rId4"/>
    <sheet name="Highest Sales Value" sheetId="7" r:id="rId5"/>
    <sheet name="Lowest Sales Value" sheetId="8" r:id="rId6"/>
    <sheet name="Total Orders" sheetId="9" r:id="rId7"/>
    <sheet name="Orders from India" sheetId="10" r:id="rId8"/>
    <sheet name="Quantity &gt; 5" sheetId="11" r:id="rId9"/>
    <sheet name="Missing Order Date" sheetId="12" r:id="rId10"/>
    <sheet name="Avg Sales(India)" sheetId="13" r:id="rId11"/>
    <sheet name="Performance Classification" sheetId="14" r:id="rId12"/>
    <sheet name="Sales &gt; 500 AND Delivered" sheetId="15" r:id="rId13"/>
    <sheet name="Quantity =0 OR Sales&lt;100" sheetId="16" r:id="rId14"/>
    <sheet name="Valid or Check" sheetId="17" r:id="rId15"/>
    <sheet name="Extract Customer Name" sheetId="18" r:id="rId16"/>
    <sheet name="Extract Customer Number" sheetId="19" r:id="rId17"/>
    <sheet name="Remove Extra Spaces" sheetId="20" r:id="rId18"/>
    <sheet name="Standardize Region" sheetId="21" r:id="rId19"/>
    <sheet name="Remove &quot;pcs&quot;" sheetId="22" r:id="rId20"/>
    <sheet name="Extract Year" sheetId="23" r:id="rId21"/>
    <sheet name="Extract Month" sheetId="24" r:id="rId22"/>
    <sheet name="Days Since Order" sheetId="25" r:id="rId23"/>
    <sheet name="Old or Recent" sheetId="26" r:id="rId24"/>
    <sheet name="Show Sales&gt;500" sheetId="27" r:id="rId25"/>
    <sheet name="Show Only India" sheetId="29" r:id="rId26"/>
    <sheet name="Unique Products" sheetId="30" r:id="rId27"/>
    <sheet name="Sort by Sales(High to Low)" sheetId="31" r:id="rId28"/>
    <sheet name="Highlight(ConditionalFormatting" sheetId="32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1" i="32" l="1"/>
  <c r="S21" i="32"/>
  <c r="R21" i="32"/>
  <c r="Q21" i="32"/>
  <c r="P21" i="32"/>
  <c r="O21" i="32"/>
  <c r="L21" i="32"/>
  <c r="M21" i="32" s="1"/>
  <c r="X20" i="32"/>
  <c r="W20" i="32"/>
  <c r="V20" i="32"/>
  <c r="U20" i="32"/>
  <c r="T20" i="32"/>
  <c r="S20" i="32"/>
  <c r="R20" i="32"/>
  <c r="Q20" i="32"/>
  <c r="P20" i="32"/>
  <c r="O20" i="32"/>
  <c r="L20" i="32"/>
  <c r="M20" i="32" s="1"/>
  <c r="X19" i="32"/>
  <c r="W19" i="32"/>
  <c r="V19" i="32"/>
  <c r="U19" i="32"/>
  <c r="T19" i="32"/>
  <c r="S19" i="32"/>
  <c r="R19" i="32"/>
  <c r="Q19" i="32"/>
  <c r="P19" i="32"/>
  <c r="O19" i="32"/>
  <c r="L19" i="32"/>
  <c r="M19" i="32" s="1"/>
  <c r="X18" i="32"/>
  <c r="W18" i="32"/>
  <c r="V18" i="32"/>
  <c r="U18" i="32"/>
  <c r="T18" i="32"/>
  <c r="S18" i="32"/>
  <c r="R18" i="32"/>
  <c r="Q18" i="32"/>
  <c r="P18" i="32"/>
  <c r="O18" i="32"/>
  <c r="L18" i="32"/>
  <c r="M18" i="32" s="1"/>
  <c r="X17" i="32"/>
  <c r="W17" i="32"/>
  <c r="V17" i="32"/>
  <c r="U17" i="32"/>
  <c r="T17" i="32"/>
  <c r="S17" i="32"/>
  <c r="R17" i="32"/>
  <c r="Q17" i="32"/>
  <c r="P17" i="32"/>
  <c r="O17" i="32"/>
  <c r="L17" i="32"/>
  <c r="M17" i="32" s="1"/>
  <c r="X16" i="32"/>
  <c r="W16" i="32"/>
  <c r="V16" i="32"/>
  <c r="U16" i="32"/>
  <c r="T16" i="32"/>
  <c r="S16" i="32"/>
  <c r="R16" i="32"/>
  <c r="Q16" i="32"/>
  <c r="P16" i="32"/>
  <c r="O16" i="32"/>
  <c r="L16" i="32"/>
  <c r="M16" i="32" s="1"/>
  <c r="X15" i="32"/>
  <c r="W15" i="32"/>
  <c r="V15" i="32"/>
  <c r="U15" i="32"/>
  <c r="T15" i="32"/>
  <c r="S15" i="32"/>
  <c r="R15" i="32"/>
  <c r="Q15" i="32"/>
  <c r="P15" i="32"/>
  <c r="O15" i="32"/>
  <c r="L15" i="32"/>
  <c r="M15" i="32" s="1"/>
  <c r="X14" i="32"/>
  <c r="W14" i="32"/>
  <c r="V14" i="32"/>
  <c r="U14" i="32"/>
  <c r="T14" i="32"/>
  <c r="S14" i="32"/>
  <c r="R14" i="32"/>
  <c r="Q14" i="32"/>
  <c r="P14" i="32"/>
  <c r="O14" i="32"/>
  <c r="L14" i="32"/>
  <c r="M14" i="32" s="1"/>
  <c r="X13" i="32"/>
  <c r="W13" i="32"/>
  <c r="V13" i="32"/>
  <c r="U13" i="32"/>
  <c r="T13" i="32"/>
  <c r="S13" i="32"/>
  <c r="R13" i="32"/>
  <c r="Q13" i="32"/>
  <c r="P13" i="32"/>
  <c r="O13" i="32"/>
  <c r="L13" i="32"/>
  <c r="M13" i="32" s="1"/>
  <c r="X12" i="32"/>
  <c r="W12" i="32"/>
  <c r="V12" i="32"/>
  <c r="U12" i="32"/>
  <c r="T12" i="32"/>
  <c r="S12" i="32"/>
  <c r="R12" i="32"/>
  <c r="Q12" i="32"/>
  <c r="P12" i="32"/>
  <c r="O12" i="32"/>
  <c r="L12" i="32"/>
  <c r="M12" i="32" s="1"/>
  <c r="X11" i="32"/>
  <c r="W11" i="32"/>
  <c r="V11" i="32"/>
  <c r="U11" i="32"/>
  <c r="T11" i="32"/>
  <c r="S11" i="32"/>
  <c r="R11" i="32"/>
  <c r="Q11" i="32"/>
  <c r="P11" i="32"/>
  <c r="O11" i="32"/>
  <c r="L11" i="32"/>
  <c r="M11" i="32" s="1"/>
  <c r="X10" i="32"/>
  <c r="W10" i="32"/>
  <c r="V10" i="32"/>
  <c r="U10" i="32"/>
  <c r="T10" i="32"/>
  <c r="S10" i="32"/>
  <c r="R10" i="32"/>
  <c r="Q10" i="32"/>
  <c r="P10" i="32"/>
  <c r="O10" i="32"/>
  <c r="L10" i="32"/>
  <c r="M10" i="32" s="1"/>
  <c r="X9" i="32"/>
  <c r="W9" i="32"/>
  <c r="V9" i="32"/>
  <c r="U9" i="32"/>
  <c r="T9" i="32"/>
  <c r="S9" i="32"/>
  <c r="R9" i="32"/>
  <c r="Q9" i="32"/>
  <c r="P9" i="32"/>
  <c r="O9" i="32"/>
  <c r="L9" i="32"/>
  <c r="M9" i="32" s="1"/>
  <c r="W8" i="32"/>
  <c r="S8" i="32"/>
  <c r="R8" i="32"/>
  <c r="Q8" i="32"/>
  <c r="P8" i="32"/>
  <c r="O8" i="32"/>
  <c r="L8" i="32"/>
  <c r="M8" i="32" s="1"/>
  <c r="X7" i="32"/>
  <c r="W7" i="32"/>
  <c r="V7" i="32"/>
  <c r="U7" i="32"/>
  <c r="T7" i="32"/>
  <c r="S7" i="32"/>
  <c r="R7" i="32"/>
  <c r="Q7" i="32"/>
  <c r="P7" i="32"/>
  <c r="O7" i="32"/>
  <c r="L7" i="32"/>
  <c r="M7" i="32" s="1"/>
  <c r="X6" i="32"/>
  <c r="W6" i="32"/>
  <c r="V6" i="32"/>
  <c r="U6" i="32"/>
  <c r="T6" i="32"/>
  <c r="S6" i="32"/>
  <c r="R6" i="32"/>
  <c r="Q6" i="32"/>
  <c r="P6" i="32"/>
  <c r="O6" i="32"/>
  <c r="L6" i="32"/>
  <c r="X5" i="32"/>
  <c r="W5" i="32"/>
  <c r="V5" i="32"/>
  <c r="U5" i="32"/>
  <c r="T5" i="32"/>
  <c r="S5" i="32"/>
  <c r="R5" i="32"/>
  <c r="Q5" i="32"/>
  <c r="P5" i="32"/>
  <c r="O5" i="32"/>
  <c r="L5" i="32"/>
  <c r="M5" i="32" s="1"/>
  <c r="X4" i="32"/>
  <c r="W4" i="32"/>
  <c r="V4" i="32"/>
  <c r="U4" i="32"/>
  <c r="T4" i="32"/>
  <c r="S4" i="32"/>
  <c r="R4" i="32"/>
  <c r="Q4" i="32"/>
  <c r="P4" i="32"/>
  <c r="O4" i="32"/>
  <c r="L4" i="32"/>
  <c r="M4" i="32" s="1"/>
  <c r="W3" i="32"/>
  <c r="S3" i="32"/>
  <c r="R3" i="32"/>
  <c r="Q3" i="32"/>
  <c r="P3" i="32"/>
  <c r="O3" i="32"/>
  <c r="L3" i="32"/>
  <c r="X2" i="32"/>
  <c r="W2" i="32"/>
  <c r="V2" i="32"/>
  <c r="U2" i="32"/>
  <c r="T2" i="32"/>
  <c r="S2" i="32"/>
  <c r="R2" i="32"/>
  <c r="Q2" i="32"/>
  <c r="P2" i="32"/>
  <c r="O2" i="32"/>
  <c r="L2" i="32"/>
  <c r="W18" i="31"/>
  <c r="S18" i="31"/>
  <c r="R18" i="31"/>
  <c r="Q18" i="31"/>
  <c r="P18" i="31"/>
  <c r="O18" i="31"/>
  <c r="L18" i="31"/>
  <c r="M18" i="31" s="1"/>
  <c r="X2" i="31"/>
  <c r="W2" i="31"/>
  <c r="V2" i="31"/>
  <c r="U2" i="31"/>
  <c r="T2" i="31"/>
  <c r="S2" i="31"/>
  <c r="R2" i="31"/>
  <c r="Q2" i="31"/>
  <c r="P2" i="31"/>
  <c r="O2" i="31"/>
  <c r="L2" i="31"/>
  <c r="M2" i="31" s="1"/>
  <c r="X11" i="31"/>
  <c r="W11" i="31"/>
  <c r="V11" i="31"/>
  <c r="U11" i="31"/>
  <c r="T11" i="31"/>
  <c r="S11" i="31"/>
  <c r="R11" i="31"/>
  <c r="Q11" i="31"/>
  <c r="P11" i="31"/>
  <c r="O11" i="31"/>
  <c r="L11" i="31"/>
  <c r="M11" i="31" s="1"/>
  <c r="X17" i="31"/>
  <c r="W17" i="31"/>
  <c r="V17" i="31"/>
  <c r="U17" i="31"/>
  <c r="T17" i="31"/>
  <c r="S17" i="31"/>
  <c r="R17" i="31"/>
  <c r="Q17" i="31"/>
  <c r="P17" i="31"/>
  <c r="O17" i="31"/>
  <c r="L17" i="31"/>
  <c r="M17" i="31" s="1"/>
  <c r="X9" i="31"/>
  <c r="W9" i="31"/>
  <c r="V9" i="31"/>
  <c r="U9" i="31"/>
  <c r="T9" i="31"/>
  <c r="S9" i="31"/>
  <c r="R9" i="31"/>
  <c r="Q9" i="31"/>
  <c r="P9" i="31"/>
  <c r="O9" i="31"/>
  <c r="L9" i="31"/>
  <c r="M9" i="31" s="1"/>
  <c r="X6" i="31"/>
  <c r="W6" i="31"/>
  <c r="V6" i="31"/>
  <c r="U6" i="31"/>
  <c r="T6" i="31"/>
  <c r="S6" i="31"/>
  <c r="R6" i="31"/>
  <c r="Q6" i="31"/>
  <c r="P6" i="31"/>
  <c r="O6" i="31"/>
  <c r="L6" i="31"/>
  <c r="X20" i="31"/>
  <c r="W20" i="31"/>
  <c r="V20" i="31"/>
  <c r="U20" i="31"/>
  <c r="T20" i="31"/>
  <c r="S20" i="31"/>
  <c r="R20" i="31"/>
  <c r="Q20" i="31"/>
  <c r="P20" i="31"/>
  <c r="O20" i="31"/>
  <c r="L20" i="31"/>
  <c r="M20" i="31" s="1"/>
  <c r="X16" i="31"/>
  <c r="W16" i="31"/>
  <c r="V16" i="31"/>
  <c r="U16" i="31"/>
  <c r="T16" i="31"/>
  <c r="S16" i="31"/>
  <c r="R16" i="31"/>
  <c r="Q16" i="31"/>
  <c r="P16" i="31"/>
  <c r="O16" i="31"/>
  <c r="L16" i="31"/>
  <c r="M16" i="31" s="1"/>
  <c r="X13" i="31"/>
  <c r="W13" i="31"/>
  <c r="V13" i="31"/>
  <c r="U13" i="31"/>
  <c r="T13" i="31"/>
  <c r="S13" i="31"/>
  <c r="R13" i="31"/>
  <c r="Q13" i="31"/>
  <c r="P13" i="31"/>
  <c r="O13" i="31"/>
  <c r="L13" i="31"/>
  <c r="M13" i="31" s="1"/>
  <c r="X12" i="31"/>
  <c r="W12" i="31"/>
  <c r="V12" i="31"/>
  <c r="U12" i="31"/>
  <c r="T12" i="31"/>
  <c r="S12" i="31"/>
  <c r="R12" i="31"/>
  <c r="Q12" i="31"/>
  <c r="P12" i="31"/>
  <c r="O12" i="31"/>
  <c r="L12" i="31"/>
  <c r="M12" i="31" s="1"/>
  <c r="X3" i="31"/>
  <c r="W3" i="31"/>
  <c r="V3" i="31"/>
  <c r="U3" i="31"/>
  <c r="T3" i="31"/>
  <c r="S3" i="31"/>
  <c r="R3" i="31"/>
  <c r="Q3" i="31"/>
  <c r="P3" i="31"/>
  <c r="O3" i="31"/>
  <c r="L3" i="31"/>
  <c r="M3" i="31" s="1"/>
  <c r="X7" i="31"/>
  <c r="W7" i="31"/>
  <c r="V7" i="31"/>
  <c r="U7" i="31"/>
  <c r="T7" i="31"/>
  <c r="S7" i="31"/>
  <c r="R7" i="31"/>
  <c r="Q7" i="31"/>
  <c r="P7" i="31"/>
  <c r="O7" i="31"/>
  <c r="L7" i="31"/>
  <c r="M7" i="31" s="1"/>
  <c r="X21" i="31"/>
  <c r="W21" i="31"/>
  <c r="V21" i="31"/>
  <c r="U21" i="31"/>
  <c r="T21" i="31"/>
  <c r="S21" i="31"/>
  <c r="R21" i="31"/>
  <c r="Q21" i="31"/>
  <c r="P21" i="31"/>
  <c r="O21" i="31"/>
  <c r="L21" i="31"/>
  <c r="M21" i="31" s="1"/>
  <c r="W19" i="31"/>
  <c r="S19" i="31"/>
  <c r="R19" i="31"/>
  <c r="Q19" i="31"/>
  <c r="P19" i="31"/>
  <c r="O19" i="31"/>
  <c r="L19" i="31"/>
  <c r="M19" i="31" s="1"/>
  <c r="X8" i="31"/>
  <c r="W8" i="31"/>
  <c r="V8" i="31"/>
  <c r="U8" i="31"/>
  <c r="T8" i="31"/>
  <c r="S8" i="31"/>
  <c r="R8" i="31"/>
  <c r="Q8" i="31"/>
  <c r="P8" i="31"/>
  <c r="O8" i="31"/>
  <c r="L8" i="31"/>
  <c r="M8" i="31" s="1"/>
  <c r="X10" i="31"/>
  <c r="W10" i="31"/>
  <c r="V10" i="31"/>
  <c r="U10" i="31"/>
  <c r="T10" i="31"/>
  <c r="S10" i="31"/>
  <c r="R10" i="31"/>
  <c r="Q10" i="31"/>
  <c r="P10" i="31"/>
  <c r="O10" i="31"/>
  <c r="L10" i="31"/>
  <c r="M10" i="31" s="1"/>
  <c r="X15" i="31"/>
  <c r="W15" i="31"/>
  <c r="V15" i="31"/>
  <c r="U15" i="31"/>
  <c r="T15" i="31"/>
  <c r="S15" i="31"/>
  <c r="R15" i="31"/>
  <c r="Q15" i="31"/>
  <c r="P15" i="31"/>
  <c r="O15" i="31"/>
  <c r="L15" i="31"/>
  <c r="M15" i="31" s="1"/>
  <c r="X14" i="31"/>
  <c r="W14" i="31"/>
  <c r="V14" i="31"/>
  <c r="U14" i="31"/>
  <c r="T14" i="31"/>
  <c r="S14" i="31"/>
  <c r="R14" i="31"/>
  <c r="Q14" i="31"/>
  <c r="P14" i="31"/>
  <c r="O14" i="31"/>
  <c r="L14" i="31"/>
  <c r="M14" i="31" s="1"/>
  <c r="W4" i="31"/>
  <c r="S4" i="31"/>
  <c r="R4" i="31"/>
  <c r="Q4" i="31"/>
  <c r="P4" i="31"/>
  <c r="O4" i="31"/>
  <c r="L4" i="31"/>
  <c r="M4" i="31" s="1"/>
  <c r="X5" i="31"/>
  <c r="W5" i="31"/>
  <c r="V5" i="31"/>
  <c r="U5" i="31"/>
  <c r="T5" i="31"/>
  <c r="S5" i="31"/>
  <c r="R5" i="31"/>
  <c r="Q5" i="31"/>
  <c r="P5" i="31"/>
  <c r="O5" i="31"/>
  <c r="L5" i="31"/>
  <c r="D25" i="30" a="1"/>
  <c r="D25" i="30" s="1"/>
  <c r="W21" i="30"/>
  <c r="S21" i="30"/>
  <c r="R21" i="30"/>
  <c r="Q21" i="30"/>
  <c r="P21" i="30"/>
  <c r="O21" i="30"/>
  <c r="L21" i="30"/>
  <c r="M21" i="30" s="1"/>
  <c r="X20" i="30"/>
  <c r="W20" i="30"/>
  <c r="V20" i="30"/>
  <c r="U20" i="30"/>
  <c r="T20" i="30"/>
  <c r="S20" i="30"/>
  <c r="R20" i="30"/>
  <c r="Q20" i="30"/>
  <c r="P20" i="30"/>
  <c r="O20" i="30"/>
  <c r="L20" i="30"/>
  <c r="M20" i="30" s="1"/>
  <c r="X19" i="30"/>
  <c r="W19" i="30"/>
  <c r="V19" i="30"/>
  <c r="U19" i="30"/>
  <c r="T19" i="30"/>
  <c r="S19" i="30"/>
  <c r="R19" i="30"/>
  <c r="Q19" i="30"/>
  <c r="P19" i="30"/>
  <c r="O19" i="30"/>
  <c r="L19" i="30"/>
  <c r="M19" i="30" s="1"/>
  <c r="X18" i="30"/>
  <c r="W18" i="30"/>
  <c r="V18" i="30"/>
  <c r="U18" i="30"/>
  <c r="T18" i="30"/>
  <c r="S18" i="30"/>
  <c r="R18" i="30"/>
  <c r="Q18" i="30"/>
  <c r="P18" i="30"/>
  <c r="O18" i="30"/>
  <c r="L18" i="30"/>
  <c r="M18" i="30" s="1"/>
  <c r="X17" i="30"/>
  <c r="W17" i="30"/>
  <c r="V17" i="30"/>
  <c r="U17" i="30"/>
  <c r="T17" i="30"/>
  <c r="S17" i="30"/>
  <c r="R17" i="30"/>
  <c r="Q17" i="30"/>
  <c r="P17" i="30"/>
  <c r="O17" i="30"/>
  <c r="L17" i="30"/>
  <c r="M17" i="30" s="1"/>
  <c r="X16" i="30"/>
  <c r="W16" i="30"/>
  <c r="V16" i="30"/>
  <c r="U16" i="30"/>
  <c r="T16" i="30"/>
  <c r="S16" i="30"/>
  <c r="R16" i="30"/>
  <c r="Q16" i="30"/>
  <c r="P16" i="30"/>
  <c r="O16" i="30"/>
  <c r="L16" i="30"/>
  <c r="M16" i="30" s="1"/>
  <c r="X15" i="30"/>
  <c r="W15" i="30"/>
  <c r="V15" i="30"/>
  <c r="U15" i="30"/>
  <c r="T15" i="30"/>
  <c r="S15" i="30"/>
  <c r="R15" i="30"/>
  <c r="Q15" i="30"/>
  <c r="P15" i="30"/>
  <c r="O15" i="30"/>
  <c r="L15" i="30"/>
  <c r="M15" i="30" s="1"/>
  <c r="X14" i="30"/>
  <c r="W14" i="30"/>
  <c r="V14" i="30"/>
  <c r="U14" i="30"/>
  <c r="T14" i="30"/>
  <c r="S14" i="30"/>
  <c r="R14" i="30"/>
  <c r="Q14" i="30"/>
  <c r="P14" i="30"/>
  <c r="O14" i="30"/>
  <c r="L14" i="30"/>
  <c r="M14" i="30" s="1"/>
  <c r="X13" i="30"/>
  <c r="W13" i="30"/>
  <c r="V13" i="30"/>
  <c r="U13" i="30"/>
  <c r="T13" i="30"/>
  <c r="S13" i="30"/>
  <c r="R13" i="30"/>
  <c r="Q13" i="30"/>
  <c r="P13" i="30"/>
  <c r="O13" i="30"/>
  <c r="L13" i="30"/>
  <c r="M13" i="30" s="1"/>
  <c r="X12" i="30"/>
  <c r="W12" i="30"/>
  <c r="V12" i="30"/>
  <c r="U12" i="30"/>
  <c r="T12" i="30"/>
  <c r="S12" i="30"/>
  <c r="R12" i="30"/>
  <c r="Q12" i="30"/>
  <c r="P12" i="30"/>
  <c r="O12" i="30"/>
  <c r="L12" i="30"/>
  <c r="M12" i="30" s="1"/>
  <c r="X11" i="30"/>
  <c r="W11" i="30"/>
  <c r="V11" i="30"/>
  <c r="U11" i="30"/>
  <c r="T11" i="30"/>
  <c r="S11" i="30"/>
  <c r="R11" i="30"/>
  <c r="Q11" i="30"/>
  <c r="P11" i="30"/>
  <c r="O11" i="30"/>
  <c r="L11" i="30"/>
  <c r="M11" i="30" s="1"/>
  <c r="X10" i="30"/>
  <c r="W10" i="30"/>
  <c r="V10" i="30"/>
  <c r="U10" i="30"/>
  <c r="T10" i="30"/>
  <c r="S10" i="30"/>
  <c r="R10" i="30"/>
  <c r="Q10" i="30"/>
  <c r="P10" i="30"/>
  <c r="O10" i="30"/>
  <c r="L10" i="30"/>
  <c r="M10" i="30" s="1"/>
  <c r="X9" i="30"/>
  <c r="W9" i="30"/>
  <c r="V9" i="30"/>
  <c r="U9" i="30"/>
  <c r="T9" i="30"/>
  <c r="S9" i="30"/>
  <c r="R9" i="30"/>
  <c r="Q9" i="30"/>
  <c r="P9" i="30"/>
  <c r="O9" i="30"/>
  <c r="L9" i="30"/>
  <c r="M9" i="30" s="1"/>
  <c r="W8" i="30"/>
  <c r="S8" i="30"/>
  <c r="R8" i="30"/>
  <c r="Q8" i="30"/>
  <c r="P8" i="30"/>
  <c r="O8" i="30"/>
  <c r="L8" i="30"/>
  <c r="M8" i="30" s="1"/>
  <c r="X7" i="30"/>
  <c r="W7" i="30"/>
  <c r="V7" i="30"/>
  <c r="U7" i="30"/>
  <c r="T7" i="30"/>
  <c r="S7" i="30"/>
  <c r="R7" i="30"/>
  <c r="Q7" i="30"/>
  <c r="P7" i="30"/>
  <c r="O7" i="30"/>
  <c r="L7" i="30"/>
  <c r="M7" i="30" s="1"/>
  <c r="X6" i="30"/>
  <c r="W6" i="30"/>
  <c r="V6" i="30"/>
  <c r="U6" i="30"/>
  <c r="T6" i="30"/>
  <c r="S6" i="30"/>
  <c r="R6" i="30"/>
  <c r="Q6" i="30"/>
  <c r="P6" i="30"/>
  <c r="O6" i="30"/>
  <c r="L6" i="30"/>
  <c r="X5" i="30"/>
  <c r="W5" i="30"/>
  <c r="V5" i="30"/>
  <c r="U5" i="30"/>
  <c r="T5" i="30"/>
  <c r="S5" i="30"/>
  <c r="R5" i="30"/>
  <c r="Q5" i="30"/>
  <c r="P5" i="30"/>
  <c r="O5" i="30"/>
  <c r="L5" i="30"/>
  <c r="M5" i="30" s="1"/>
  <c r="X4" i="30"/>
  <c r="W4" i="30"/>
  <c r="V4" i="30"/>
  <c r="U4" i="30"/>
  <c r="T4" i="30"/>
  <c r="S4" i="30"/>
  <c r="R4" i="30"/>
  <c r="Q4" i="30"/>
  <c r="P4" i="30"/>
  <c r="O4" i="30"/>
  <c r="L4" i="30"/>
  <c r="W3" i="30"/>
  <c r="S3" i="30"/>
  <c r="R3" i="30"/>
  <c r="Q3" i="30"/>
  <c r="P3" i="30"/>
  <c r="O3" i="30"/>
  <c r="L3" i="30"/>
  <c r="M3" i="30" s="1"/>
  <c r="X2" i="30"/>
  <c r="W2" i="30"/>
  <c r="V2" i="30"/>
  <c r="U2" i="30"/>
  <c r="T2" i="30"/>
  <c r="S2" i="30"/>
  <c r="R2" i="30"/>
  <c r="Q2" i="30"/>
  <c r="P2" i="30"/>
  <c r="O2" i="30"/>
  <c r="L2" i="30"/>
  <c r="M2" i="30" s="1"/>
  <c r="W21" i="29"/>
  <c r="S21" i="29"/>
  <c r="R21" i="29"/>
  <c r="Q21" i="29"/>
  <c r="P21" i="29"/>
  <c r="O21" i="29"/>
  <c r="L21" i="29"/>
  <c r="M21" i="29" s="1"/>
  <c r="X20" i="29"/>
  <c r="W20" i="29"/>
  <c r="V20" i="29"/>
  <c r="U20" i="29"/>
  <c r="T20" i="29"/>
  <c r="S20" i="29"/>
  <c r="R20" i="29"/>
  <c r="Q20" i="29"/>
  <c r="P20" i="29"/>
  <c r="O20" i="29"/>
  <c r="L20" i="29"/>
  <c r="M20" i="29" s="1"/>
  <c r="X19" i="29"/>
  <c r="W19" i="29"/>
  <c r="V19" i="29"/>
  <c r="U19" i="29"/>
  <c r="T19" i="29"/>
  <c r="S19" i="29"/>
  <c r="R19" i="29"/>
  <c r="Q19" i="29"/>
  <c r="P19" i="29"/>
  <c r="O19" i="29"/>
  <c r="L19" i="29"/>
  <c r="M19" i="29" s="1"/>
  <c r="X18" i="29"/>
  <c r="W18" i="29"/>
  <c r="V18" i="29"/>
  <c r="U18" i="29"/>
  <c r="T18" i="29"/>
  <c r="S18" i="29"/>
  <c r="R18" i="29"/>
  <c r="Q18" i="29"/>
  <c r="P18" i="29"/>
  <c r="O18" i="29"/>
  <c r="L18" i="29"/>
  <c r="M18" i="29" s="1"/>
  <c r="X17" i="29"/>
  <c r="W17" i="29"/>
  <c r="V17" i="29"/>
  <c r="U17" i="29"/>
  <c r="T17" i="29"/>
  <c r="S17" i="29"/>
  <c r="R17" i="29"/>
  <c r="Q17" i="29"/>
  <c r="P17" i="29"/>
  <c r="O17" i="29"/>
  <c r="L17" i="29"/>
  <c r="M17" i="29" s="1"/>
  <c r="X16" i="29"/>
  <c r="W16" i="29"/>
  <c r="V16" i="29"/>
  <c r="U16" i="29"/>
  <c r="T16" i="29"/>
  <c r="S16" i="29"/>
  <c r="R16" i="29"/>
  <c r="Q16" i="29"/>
  <c r="P16" i="29"/>
  <c r="O16" i="29"/>
  <c r="L16" i="29"/>
  <c r="M16" i="29" s="1"/>
  <c r="X15" i="29"/>
  <c r="W15" i="29"/>
  <c r="V15" i="29"/>
  <c r="U15" i="29"/>
  <c r="T15" i="29"/>
  <c r="S15" i="29"/>
  <c r="R15" i="29"/>
  <c r="Q15" i="29"/>
  <c r="P15" i="29"/>
  <c r="O15" i="29"/>
  <c r="L15" i="29"/>
  <c r="M15" i="29" s="1"/>
  <c r="X14" i="29"/>
  <c r="W14" i="29"/>
  <c r="V14" i="29"/>
  <c r="U14" i="29"/>
  <c r="T14" i="29"/>
  <c r="S14" i="29"/>
  <c r="R14" i="29"/>
  <c r="Q14" i="29"/>
  <c r="P14" i="29"/>
  <c r="O14" i="29"/>
  <c r="L14" i="29"/>
  <c r="M14" i="29" s="1"/>
  <c r="X13" i="29"/>
  <c r="W13" i="29"/>
  <c r="V13" i="29"/>
  <c r="U13" i="29"/>
  <c r="T13" i="29"/>
  <c r="S13" i="29"/>
  <c r="R13" i="29"/>
  <c r="Q13" i="29"/>
  <c r="P13" i="29"/>
  <c r="O13" i="29"/>
  <c r="L13" i="29"/>
  <c r="M13" i="29" s="1"/>
  <c r="X12" i="29"/>
  <c r="W12" i="29"/>
  <c r="V12" i="29"/>
  <c r="U12" i="29"/>
  <c r="T12" i="29"/>
  <c r="S12" i="29"/>
  <c r="R12" i="29"/>
  <c r="Q12" i="29"/>
  <c r="P12" i="29"/>
  <c r="O12" i="29"/>
  <c r="L12" i="29"/>
  <c r="M12" i="29" s="1"/>
  <c r="X11" i="29"/>
  <c r="W11" i="29"/>
  <c r="V11" i="29"/>
  <c r="U11" i="29"/>
  <c r="T11" i="29"/>
  <c r="S11" i="29"/>
  <c r="R11" i="29"/>
  <c r="Q11" i="29"/>
  <c r="P11" i="29"/>
  <c r="O11" i="29"/>
  <c r="L11" i="29"/>
  <c r="M11" i="29" s="1"/>
  <c r="X10" i="29"/>
  <c r="W10" i="29"/>
  <c r="V10" i="29"/>
  <c r="U10" i="29"/>
  <c r="T10" i="29"/>
  <c r="S10" i="29"/>
  <c r="R10" i="29"/>
  <c r="Q10" i="29"/>
  <c r="P10" i="29"/>
  <c r="O10" i="29"/>
  <c r="L10" i="29"/>
  <c r="M10" i="29" s="1"/>
  <c r="X9" i="29"/>
  <c r="W9" i="29"/>
  <c r="V9" i="29"/>
  <c r="U9" i="29"/>
  <c r="T9" i="29"/>
  <c r="S9" i="29"/>
  <c r="R9" i="29"/>
  <c r="Q9" i="29"/>
  <c r="P9" i="29"/>
  <c r="O9" i="29"/>
  <c r="L9" i="29"/>
  <c r="M9" i="29" s="1"/>
  <c r="W8" i="29"/>
  <c r="S8" i="29"/>
  <c r="R8" i="29"/>
  <c r="Q8" i="29"/>
  <c r="P8" i="29"/>
  <c r="O8" i="29"/>
  <c r="L8" i="29"/>
  <c r="M8" i="29" s="1"/>
  <c r="X7" i="29"/>
  <c r="W7" i="29"/>
  <c r="V7" i="29"/>
  <c r="U7" i="29"/>
  <c r="T7" i="29"/>
  <c r="S7" i="29"/>
  <c r="R7" i="29"/>
  <c r="Q7" i="29"/>
  <c r="P7" i="29"/>
  <c r="O7" i="29"/>
  <c r="L7" i="29"/>
  <c r="M7" i="29" s="1"/>
  <c r="X6" i="29"/>
  <c r="W6" i="29"/>
  <c r="V6" i="29"/>
  <c r="U6" i="29"/>
  <c r="T6" i="29"/>
  <c r="S6" i="29"/>
  <c r="R6" i="29"/>
  <c r="Q6" i="29"/>
  <c r="P6" i="29"/>
  <c r="O6" i="29"/>
  <c r="L6" i="29"/>
  <c r="X5" i="29"/>
  <c r="W5" i="29"/>
  <c r="V5" i="29"/>
  <c r="U5" i="29"/>
  <c r="T5" i="29"/>
  <c r="S5" i="29"/>
  <c r="R5" i="29"/>
  <c r="Q5" i="29"/>
  <c r="P5" i="29"/>
  <c r="O5" i="29"/>
  <c r="L5" i="29"/>
  <c r="M5" i="29" s="1"/>
  <c r="X4" i="29"/>
  <c r="W4" i="29"/>
  <c r="V4" i="29"/>
  <c r="U4" i="29"/>
  <c r="T4" i="29"/>
  <c r="S4" i="29"/>
  <c r="R4" i="29"/>
  <c r="Q4" i="29"/>
  <c r="P4" i="29"/>
  <c r="O4" i="29"/>
  <c r="L4" i="29"/>
  <c r="M4" i="29" s="1"/>
  <c r="W3" i="29"/>
  <c r="S3" i="29"/>
  <c r="R3" i="29"/>
  <c r="Q3" i="29"/>
  <c r="P3" i="29"/>
  <c r="O3" i="29"/>
  <c r="L3" i="29"/>
  <c r="M3" i="29" s="1"/>
  <c r="X2" i="29"/>
  <c r="W2" i="29"/>
  <c r="V2" i="29"/>
  <c r="U2" i="29"/>
  <c r="T2" i="29"/>
  <c r="S2" i="29"/>
  <c r="R2" i="29"/>
  <c r="Q2" i="29"/>
  <c r="P2" i="29"/>
  <c r="O2" i="29"/>
  <c r="L2" i="29"/>
  <c r="N5" i="29" s="1" a="1"/>
  <c r="N5" i="29" s="1"/>
  <c r="W21" i="27"/>
  <c r="S21" i="27"/>
  <c r="R21" i="27"/>
  <c r="Q21" i="27"/>
  <c r="P21" i="27"/>
  <c r="O21" i="27"/>
  <c r="L21" i="27"/>
  <c r="M21" i="27" s="1"/>
  <c r="X20" i="27"/>
  <c r="W20" i="27"/>
  <c r="V20" i="27"/>
  <c r="U20" i="27"/>
  <c r="T20" i="27"/>
  <c r="S20" i="27"/>
  <c r="R20" i="27"/>
  <c r="Q20" i="27"/>
  <c r="P20" i="27"/>
  <c r="O20" i="27"/>
  <c r="L20" i="27"/>
  <c r="M20" i="27" s="1"/>
  <c r="X19" i="27"/>
  <c r="W19" i="27"/>
  <c r="V19" i="27"/>
  <c r="U19" i="27"/>
  <c r="T19" i="27"/>
  <c r="S19" i="27"/>
  <c r="R19" i="27"/>
  <c r="Q19" i="27"/>
  <c r="P19" i="27"/>
  <c r="O19" i="27"/>
  <c r="L19" i="27"/>
  <c r="M19" i="27" s="1"/>
  <c r="X18" i="27"/>
  <c r="W18" i="27"/>
  <c r="V18" i="27"/>
  <c r="U18" i="27"/>
  <c r="T18" i="27"/>
  <c r="S18" i="27"/>
  <c r="R18" i="27"/>
  <c r="Q18" i="27"/>
  <c r="P18" i="27"/>
  <c r="O18" i="27"/>
  <c r="L18" i="27"/>
  <c r="M18" i="27" s="1"/>
  <c r="X17" i="27"/>
  <c r="W17" i="27"/>
  <c r="V17" i="27"/>
  <c r="U17" i="27"/>
  <c r="T17" i="27"/>
  <c r="S17" i="27"/>
  <c r="R17" i="27"/>
  <c r="Q17" i="27"/>
  <c r="P17" i="27"/>
  <c r="O17" i="27"/>
  <c r="L17" i="27"/>
  <c r="M17" i="27" s="1"/>
  <c r="X16" i="27"/>
  <c r="W16" i="27"/>
  <c r="V16" i="27"/>
  <c r="U16" i="27"/>
  <c r="T16" i="27"/>
  <c r="S16" i="27"/>
  <c r="R16" i="27"/>
  <c r="Q16" i="27"/>
  <c r="P16" i="27"/>
  <c r="O16" i="27"/>
  <c r="L16" i="27"/>
  <c r="M16" i="27" s="1"/>
  <c r="X15" i="27"/>
  <c r="W15" i="27"/>
  <c r="V15" i="27"/>
  <c r="U15" i="27"/>
  <c r="T15" i="27"/>
  <c r="S15" i="27"/>
  <c r="R15" i="27"/>
  <c r="Q15" i="27"/>
  <c r="P15" i="27"/>
  <c r="O15" i="27"/>
  <c r="L15" i="27"/>
  <c r="M15" i="27" s="1"/>
  <c r="X14" i="27"/>
  <c r="W14" i="27"/>
  <c r="V14" i="27"/>
  <c r="U14" i="27"/>
  <c r="T14" i="27"/>
  <c r="S14" i="27"/>
  <c r="R14" i="27"/>
  <c r="Q14" i="27"/>
  <c r="P14" i="27"/>
  <c r="O14" i="27"/>
  <c r="L14" i="27"/>
  <c r="M14" i="27" s="1"/>
  <c r="X13" i="27"/>
  <c r="W13" i="27"/>
  <c r="V13" i="27"/>
  <c r="U13" i="27"/>
  <c r="T13" i="27"/>
  <c r="S13" i="27"/>
  <c r="R13" i="27"/>
  <c r="Q13" i="27"/>
  <c r="P13" i="27"/>
  <c r="O13" i="27"/>
  <c r="L13" i="27"/>
  <c r="M13" i="27" s="1"/>
  <c r="X12" i="27"/>
  <c r="W12" i="27"/>
  <c r="V12" i="27"/>
  <c r="U12" i="27"/>
  <c r="T12" i="27"/>
  <c r="S12" i="27"/>
  <c r="R12" i="27"/>
  <c r="Q12" i="27"/>
  <c r="P12" i="27"/>
  <c r="O12" i="27"/>
  <c r="L12" i="27"/>
  <c r="M12" i="27" s="1"/>
  <c r="X11" i="27"/>
  <c r="W11" i="27"/>
  <c r="V11" i="27"/>
  <c r="U11" i="27"/>
  <c r="T11" i="27"/>
  <c r="S11" i="27"/>
  <c r="R11" i="27"/>
  <c r="Q11" i="27"/>
  <c r="P11" i="27"/>
  <c r="O11" i="27"/>
  <c r="L11" i="27"/>
  <c r="M11" i="27" s="1"/>
  <c r="X10" i="27"/>
  <c r="W10" i="27"/>
  <c r="V10" i="27"/>
  <c r="U10" i="27"/>
  <c r="T10" i="27"/>
  <c r="S10" i="27"/>
  <c r="R10" i="27"/>
  <c r="Q10" i="27"/>
  <c r="P10" i="27"/>
  <c r="O10" i="27"/>
  <c r="L10" i="27"/>
  <c r="M10" i="27" s="1"/>
  <c r="X9" i="27"/>
  <c r="W9" i="27"/>
  <c r="V9" i="27"/>
  <c r="U9" i="27"/>
  <c r="T9" i="27"/>
  <c r="S9" i="27"/>
  <c r="R9" i="27"/>
  <c r="Q9" i="27"/>
  <c r="P9" i="27"/>
  <c r="O9" i="27"/>
  <c r="L9" i="27"/>
  <c r="M9" i="27" s="1"/>
  <c r="W8" i="27"/>
  <c r="S8" i="27"/>
  <c r="R8" i="27"/>
  <c r="Q8" i="27"/>
  <c r="P8" i="27"/>
  <c r="O8" i="27"/>
  <c r="L8" i="27"/>
  <c r="M8" i="27" s="1"/>
  <c r="X7" i="27"/>
  <c r="W7" i="27"/>
  <c r="V7" i="27"/>
  <c r="U7" i="27"/>
  <c r="T7" i="27"/>
  <c r="S7" i="27"/>
  <c r="R7" i="27"/>
  <c r="Q7" i="27"/>
  <c r="P7" i="27"/>
  <c r="O7" i="27"/>
  <c r="L7" i="27"/>
  <c r="M7" i="27" s="1"/>
  <c r="X6" i="27"/>
  <c r="W6" i="27"/>
  <c r="V6" i="27"/>
  <c r="U6" i="27"/>
  <c r="T6" i="27"/>
  <c r="S6" i="27"/>
  <c r="R6" i="27"/>
  <c r="Q6" i="27"/>
  <c r="P6" i="27"/>
  <c r="O6" i="27"/>
  <c r="L6" i="27"/>
  <c r="X5" i="27"/>
  <c r="W5" i="27"/>
  <c r="V5" i="27"/>
  <c r="U5" i="27"/>
  <c r="T5" i="27"/>
  <c r="S5" i="27"/>
  <c r="R5" i="27"/>
  <c r="Q5" i="27"/>
  <c r="P5" i="27"/>
  <c r="O5" i="27"/>
  <c r="L5" i="27"/>
  <c r="M5" i="27" s="1"/>
  <c r="X4" i="27"/>
  <c r="W4" i="27"/>
  <c r="V4" i="27"/>
  <c r="U4" i="27"/>
  <c r="T4" i="27"/>
  <c r="S4" i="27"/>
  <c r="R4" i="27"/>
  <c r="Q4" i="27"/>
  <c r="P4" i="27"/>
  <c r="O4" i="27"/>
  <c r="L4" i="27"/>
  <c r="M4" i="27" s="1"/>
  <c r="W3" i="27"/>
  <c r="S3" i="27"/>
  <c r="R3" i="27"/>
  <c r="Q3" i="27"/>
  <c r="P3" i="27"/>
  <c r="O3" i="27"/>
  <c r="L3" i="27"/>
  <c r="M3" i="27" s="1"/>
  <c r="X2" i="27"/>
  <c r="W2" i="27"/>
  <c r="V2" i="27"/>
  <c r="U2" i="27"/>
  <c r="T2" i="27"/>
  <c r="S2" i="27"/>
  <c r="R2" i="27"/>
  <c r="Q2" i="27"/>
  <c r="P2" i="27"/>
  <c r="O2" i="27"/>
  <c r="L2" i="27"/>
  <c r="X2" i="26"/>
  <c r="X4" i="26"/>
  <c r="X5" i="26"/>
  <c r="X6" i="26"/>
  <c r="X7" i="26"/>
  <c r="X9" i="26"/>
  <c r="X10" i="26"/>
  <c r="X11" i="26"/>
  <c r="X12" i="26"/>
  <c r="X13" i="26"/>
  <c r="X14" i="26"/>
  <c r="X15" i="26"/>
  <c r="X16" i="26"/>
  <c r="X17" i="26"/>
  <c r="X18" i="26"/>
  <c r="X19" i="26"/>
  <c r="X20" i="26"/>
  <c r="W21" i="26"/>
  <c r="S21" i="26"/>
  <c r="R21" i="26"/>
  <c r="Q21" i="26"/>
  <c r="P21" i="26"/>
  <c r="O21" i="26"/>
  <c r="L21" i="26"/>
  <c r="M21" i="26" s="1"/>
  <c r="W20" i="26"/>
  <c r="V20" i="26"/>
  <c r="U20" i="26"/>
  <c r="T20" i="26"/>
  <c r="S20" i="26"/>
  <c r="R20" i="26"/>
  <c r="Q20" i="26"/>
  <c r="P20" i="26"/>
  <c r="O20" i="26"/>
  <c r="L20" i="26"/>
  <c r="M20" i="26" s="1"/>
  <c r="W19" i="26"/>
  <c r="V19" i="26"/>
  <c r="U19" i="26"/>
  <c r="T19" i="26"/>
  <c r="S19" i="26"/>
  <c r="R19" i="26"/>
  <c r="Q19" i="26"/>
  <c r="P19" i="26"/>
  <c r="O19" i="26"/>
  <c r="L19" i="26"/>
  <c r="M19" i="26" s="1"/>
  <c r="W18" i="26"/>
  <c r="V18" i="26"/>
  <c r="U18" i="26"/>
  <c r="T18" i="26"/>
  <c r="S18" i="26"/>
  <c r="R18" i="26"/>
  <c r="Q18" i="26"/>
  <c r="P18" i="26"/>
  <c r="O18" i="26"/>
  <c r="L18" i="26"/>
  <c r="M18" i="26" s="1"/>
  <c r="W17" i="26"/>
  <c r="V17" i="26"/>
  <c r="U17" i="26"/>
  <c r="T17" i="26"/>
  <c r="S17" i="26"/>
  <c r="R17" i="26"/>
  <c r="Q17" i="26"/>
  <c r="P17" i="26"/>
  <c r="O17" i="26"/>
  <c r="L17" i="26"/>
  <c r="M17" i="26" s="1"/>
  <c r="W16" i="26"/>
  <c r="V16" i="26"/>
  <c r="U16" i="26"/>
  <c r="T16" i="26"/>
  <c r="S16" i="26"/>
  <c r="R16" i="26"/>
  <c r="Q16" i="26"/>
  <c r="P16" i="26"/>
  <c r="O16" i="26"/>
  <c r="L16" i="26"/>
  <c r="M16" i="26" s="1"/>
  <c r="W15" i="26"/>
  <c r="V15" i="26"/>
  <c r="U15" i="26"/>
  <c r="T15" i="26"/>
  <c r="S15" i="26"/>
  <c r="R15" i="26"/>
  <c r="Q15" i="26"/>
  <c r="P15" i="26"/>
  <c r="O15" i="26"/>
  <c r="L15" i="26"/>
  <c r="M15" i="26" s="1"/>
  <c r="W14" i="26"/>
  <c r="V14" i="26"/>
  <c r="U14" i="26"/>
  <c r="T14" i="26"/>
  <c r="S14" i="26"/>
  <c r="R14" i="26"/>
  <c r="Q14" i="26"/>
  <c r="P14" i="26"/>
  <c r="O14" i="26"/>
  <c r="L14" i="26"/>
  <c r="M14" i="26" s="1"/>
  <c r="W13" i="26"/>
  <c r="V13" i="26"/>
  <c r="U13" i="26"/>
  <c r="T13" i="26"/>
  <c r="S13" i="26"/>
  <c r="R13" i="26"/>
  <c r="Q13" i="26"/>
  <c r="P13" i="26"/>
  <c r="O13" i="26"/>
  <c r="M13" i="26"/>
  <c r="L13" i="26"/>
  <c r="W12" i="26"/>
  <c r="V12" i="26"/>
  <c r="U12" i="26"/>
  <c r="T12" i="26"/>
  <c r="S12" i="26"/>
  <c r="R12" i="26"/>
  <c r="Q12" i="26"/>
  <c r="P12" i="26"/>
  <c r="O12" i="26"/>
  <c r="L12" i="26"/>
  <c r="M12" i="26" s="1"/>
  <c r="W11" i="26"/>
  <c r="V11" i="26"/>
  <c r="U11" i="26"/>
  <c r="T11" i="26"/>
  <c r="S11" i="26"/>
  <c r="R11" i="26"/>
  <c r="Q11" i="26"/>
  <c r="P11" i="26"/>
  <c r="O11" i="26"/>
  <c r="L11" i="26"/>
  <c r="M11" i="26" s="1"/>
  <c r="W10" i="26"/>
  <c r="V10" i="26"/>
  <c r="U10" i="26"/>
  <c r="T10" i="26"/>
  <c r="S10" i="26"/>
  <c r="R10" i="26"/>
  <c r="Q10" i="26"/>
  <c r="P10" i="26"/>
  <c r="O10" i="26"/>
  <c r="L10" i="26"/>
  <c r="M10" i="26" s="1"/>
  <c r="W9" i="26"/>
  <c r="V9" i="26"/>
  <c r="U9" i="26"/>
  <c r="T9" i="26"/>
  <c r="S9" i="26"/>
  <c r="R9" i="26"/>
  <c r="Q9" i="26"/>
  <c r="P9" i="26"/>
  <c r="O9" i="26"/>
  <c r="L9" i="26"/>
  <c r="M9" i="26" s="1"/>
  <c r="W8" i="26"/>
  <c r="S8" i="26"/>
  <c r="R8" i="26"/>
  <c r="Q8" i="26"/>
  <c r="P8" i="26"/>
  <c r="O8" i="26"/>
  <c r="L8" i="26"/>
  <c r="M8" i="26" s="1"/>
  <c r="W7" i="26"/>
  <c r="V7" i="26"/>
  <c r="U7" i="26"/>
  <c r="T7" i="26"/>
  <c r="S7" i="26"/>
  <c r="R7" i="26"/>
  <c r="Q7" i="26"/>
  <c r="P7" i="26"/>
  <c r="O7" i="26"/>
  <c r="L7" i="26"/>
  <c r="M7" i="26" s="1"/>
  <c r="W6" i="26"/>
  <c r="V6" i="26"/>
  <c r="U6" i="26"/>
  <c r="T6" i="26"/>
  <c r="S6" i="26"/>
  <c r="R6" i="26"/>
  <c r="Q6" i="26"/>
  <c r="P6" i="26"/>
  <c r="O6" i="26"/>
  <c r="L6" i="26"/>
  <c r="M6" i="26" s="1"/>
  <c r="W5" i="26"/>
  <c r="V5" i="26"/>
  <c r="U5" i="26"/>
  <c r="T5" i="26"/>
  <c r="S5" i="26"/>
  <c r="R5" i="26"/>
  <c r="Q5" i="26"/>
  <c r="P5" i="26"/>
  <c r="O5" i="26"/>
  <c r="L5" i="26"/>
  <c r="M5" i="26" s="1"/>
  <c r="W4" i="26"/>
  <c r="V4" i="26"/>
  <c r="U4" i="26"/>
  <c r="T4" i="26"/>
  <c r="S4" i="26"/>
  <c r="R4" i="26"/>
  <c r="Q4" i="26"/>
  <c r="P4" i="26"/>
  <c r="O4" i="26"/>
  <c r="L4" i="26"/>
  <c r="M4" i="26" s="1"/>
  <c r="W3" i="26"/>
  <c r="S3" i="26"/>
  <c r="R3" i="26"/>
  <c r="Q3" i="26"/>
  <c r="P3" i="26"/>
  <c r="O3" i="26"/>
  <c r="L3" i="26"/>
  <c r="M3" i="26" s="1"/>
  <c r="W2" i="26"/>
  <c r="V2" i="26"/>
  <c r="U2" i="26"/>
  <c r="T2" i="26"/>
  <c r="S2" i="26"/>
  <c r="R2" i="26"/>
  <c r="Q2" i="26"/>
  <c r="P2" i="26"/>
  <c r="O2" i="26"/>
  <c r="L2" i="26"/>
  <c r="W2" i="25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S21" i="25"/>
  <c r="R21" i="25"/>
  <c r="Q21" i="25"/>
  <c r="P21" i="25"/>
  <c r="O21" i="25"/>
  <c r="L21" i="25"/>
  <c r="M21" i="25" s="1"/>
  <c r="V20" i="25"/>
  <c r="U20" i="25"/>
  <c r="T20" i="25"/>
  <c r="S20" i="25"/>
  <c r="R20" i="25"/>
  <c r="Q20" i="25"/>
  <c r="P20" i="25"/>
  <c r="O20" i="25"/>
  <c r="L20" i="25"/>
  <c r="M20" i="25" s="1"/>
  <c r="V19" i="25"/>
  <c r="U19" i="25"/>
  <c r="T19" i="25"/>
  <c r="S19" i="25"/>
  <c r="R19" i="25"/>
  <c r="Q19" i="25"/>
  <c r="P19" i="25"/>
  <c r="O19" i="25"/>
  <c r="L19" i="25"/>
  <c r="M19" i="25" s="1"/>
  <c r="V18" i="25"/>
  <c r="U18" i="25"/>
  <c r="T18" i="25"/>
  <c r="S18" i="25"/>
  <c r="R18" i="25"/>
  <c r="Q18" i="25"/>
  <c r="P18" i="25"/>
  <c r="O18" i="25"/>
  <c r="L18" i="25"/>
  <c r="M18" i="25" s="1"/>
  <c r="V17" i="25"/>
  <c r="U17" i="25"/>
  <c r="T17" i="25"/>
  <c r="S17" i="25"/>
  <c r="R17" i="25"/>
  <c r="Q17" i="25"/>
  <c r="P17" i="25"/>
  <c r="O17" i="25"/>
  <c r="L17" i="25"/>
  <c r="M17" i="25" s="1"/>
  <c r="V16" i="25"/>
  <c r="U16" i="25"/>
  <c r="T16" i="25"/>
  <c r="S16" i="25"/>
  <c r="R16" i="25"/>
  <c r="Q16" i="25"/>
  <c r="P16" i="25"/>
  <c r="O16" i="25"/>
  <c r="L16" i="25"/>
  <c r="M16" i="25" s="1"/>
  <c r="V15" i="25"/>
  <c r="U15" i="25"/>
  <c r="T15" i="25"/>
  <c r="S15" i="25"/>
  <c r="R15" i="25"/>
  <c r="Q15" i="25"/>
  <c r="P15" i="25"/>
  <c r="O15" i="25"/>
  <c r="L15" i="25"/>
  <c r="M15" i="25" s="1"/>
  <c r="V14" i="25"/>
  <c r="U14" i="25"/>
  <c r="T14" i="25"/>
  <c r="S14" i="25"/>
  <c r="R14" i="25"/>
  <c r="Q14" i="25"/>
  <c r="P14" i="25"/>
  <c r="O14" i="25"/>
  <c r="L14" i="25"/>
  <c r="M14" i="25" s="1"/>
  <c r="V13" i="25"/>
  <c r="U13" i="25"/>
  <c r="T13" i="25"/>
  <c r="S13" i="25"/>
  <c r="R13" i="25"/>
  <c r="Q13" i="25"/>
  <c r="P13" i="25"/>
  <c r="O13" i="25"/>
  <c r="L13" i="25"/>
  <c r="M13" i="25" s="1"/>
  <c r="V12" i="25"/>
  <c r="U12" i="25"/>
  <c r="T12" i="25"/>
  <c r="S12" i="25"/>
  <c r="R12" i="25"/>
  <c r="Q12" i="25"/>
  <c r="P12" i="25"/>
  <c r="O12" i="25"/>
  <c r="L12" i="25"/>
  <c r="M12" i="25" s="1"/>
  <c r="V11" i="25"/>
  <c r="U11" i="25"/>
  <c r="T11" i="25"/>
  <c r="S11" i="25"/>
  <c r="R11" i="25"/>
  <c r="Q11" i="25"/>
  <c r="P11" i="25"/>
  <c r="O11" i="25"/>
  <c r="L11" i="25"/>
  <c r="M11" i="25" s="1"/>
  <c r="V10" i="25"/>
  <c r="U10" i="25"/>
  <c r="T10" i="25"/>
  <c r="S10" i="25"/>
  <c r="R10" i="25"/>
  <c r="Q10" i="25"/>
  <c r="P10" i="25"/>
  <c r="O10" i="25"/>
  <c r="L10" i="25"/>
  <c r="M10" i="25" s="1"/>
  <c r="V9" i="25"/>
  <c r="U9" i="25"/>
  <c r="T9" i="25"/>
  <c r="S9" i="25"/>
  <c r="R9" i="25"/>
  <c r="Q9" i="25"/>
  <c r="P9" i="25"/>
  <c r="O9" i="25"/>
  <c r="L9" i="25"/>
  <c r="M9" i="25" s="1"/>
  <c r="S8" i="25"/>
  <c r="R8" i="25"/>
  <c r="Q8" i="25"/>
  <c r="P8" i="25"/>
  <c r="O8" i="25"/>
  <c r="L8" i="25"/>
  <c r="M8" i="25" s="1"/>
  <c r="V7" i="25"/>
  <c r="U7" i="25"/>
  <c r="T7" i="25"/>
  <c r="S7" i="25"/>
  <c r="R7" i="25"/>
  <c r="Q7" i="25"/>
  <c r="P7" i="25"/>
  <c r="O7" i="25"/>
  <c r="L7" i="25"/>
  <c r="M7" i="25" s="1"/>
  <c r="V6" i="25"/>
  <c r="U6" i="25"/>
  <c r="T6" i="25"/>
  <c r="S6" i="25"/>
  <c r="R6" i="25"/>
  <c r="Q6" i="25"/>
  <c r="P6" i="25"/>
  <c r="O6" i="25"/>
  <c r="L6" i="25"/>
  <c r="M6" i="25" s="1"/>
  <c r="V5" i="25"/>
  <c r="U5" i="25"/>
  <c r="T5" i="25"/>
  <c r="S5" i="25"/>
  <c r="R5" i="25"/>
  <c r="Q5" i="25"/>
  <c r="P5" i="25"/>
  <c r="O5" i="25"/>
  <c r="L5" i="25"/>
  <c r="M5" i="25" s="1"/>
  <c r="V4" i="25"/>
  <c r="U4" i="25"/>
  <c r="T4" i="25"/>
  <c r="S4" i="25"/>
  <c r="R4" i="25"/>
  <c r="Q4" i="25"/>
  <c r="P4" i="25"/>
  <c r="O4" i="25"/>
  <c r="L4" i="25"/>
  <c r="M4" i="25" s="1"/>
  <c r="S3" i="25"/>
  <c r="R3" i="25"/>
  <c r="Q3" i="25"/>
  <c r="P3" i="25"/>
  <c r="O3" i="25"/>
  <c r="L3" i="25"/>
  <c r="M3" i="25" s="1"/>
  <c r="V2" i="25"/>
  <c r="U2" i="25"/>
  <c r="T2" i="25"/>
  <c r="S2" i="25"/>
  <c r="R2" i="25"/>
  <c r="Q2" i="25"/>
  <c r="P2" i="25"/>
  <c r="O2" i="25"/>
  <c r="L2" i="25"/>
  <c r="V2" i="24"/>
  <c r="U2" i="24"/>
  <c r="V4" i="24"/>
  <c r="V5" i="24"/>
  <c r="V6" i="24"/>
  <c r="V7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U4" i="24"/>
  <c r="U5" i="24"/>
  <c r="U6" i="24"/>
  <c r="U7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S21" i="24"/>
  <c r="R21" i="24"/>
  <c r="Q21" i="24"/>
  <c r="P21" i="24"/>
  <c r="O21" i="24"/>
  <c r="L21" i="24"/>
  <c r="M21" i="24" s="1"/>
  <c r="T20" i="24"/>
  <c r="S20" i="24"/>
  <c r="R20" i="24"/>
  <c r="Q20" i="24"/>
  <c r="P20" i="24"/>
  <c r="O20" i="24"/>
  <c r="L20" i="24"/>
  <c r="M20" i="24" s="1"/>
  <c r="T19" i="24"/>
  <c r="S19" i="24"/>
  <c r="R19" i="24"/>
  <c r="Q19" i="24"/>
  <c r="P19" i="24"/>
  <c r="O19" i="24"/>
  <c r="L19" i="24"/>
  <c r="M19" i="24" s="1"/>
  <c r="T18" i="24"/>
  <c r="S18" i="24"/>
  <c r="R18" i="24"/>
  <c r="Q18" i="24"/>
  <c r="P18" i="24"/>
  <c r="O18" i="24"/>
  <c r="L18" i="24"/>
  <c r="M18" i="24" s="1"/>
  <c r="T17" i="24"/>
  <c r="S17" i="24"/>
  <c r="R17" i="24"/>
  <c r="Q17" i="24"/>
  <c r="P17" i="24"/>
  <c r="O17" i="24"/>
  <c r="L17" i="24"/>
  <c r="M17" i="24" s="1"/>
  <c r="T16" i="24"/>
  <c r="S16" i="24"/>
  <c r="R16" i="24"/>
  <c r="Q16" i="24"/>
  <c r="P16" i="24"/>
  <c r="O16" i="24"/>
  <c r="L16" i="24"/>
  <c r="M16" i="24" s="1"/>
  <c r="T15" i="24"/>
  <c r="S15" i="24"/>
  <c r="R15" i="24"/>
  <c r="Q15" i="24"/>
  <c r="P15" i="24"/>
  <c r="O15" i="24"/>
  <c r="L15" i="24"/>
  <c r="M15" i="24" s="1"/>
  <c r="T14" i="24"/>
  <c r="S14" i="24"/>
  <c r="R14" i="24"/>
  <c r="Q14" i="24"/>
  <c r="P14" i="24"/>
  <c r="O14" i="24"/>
  <c r="L14" i="24"/>
  <c r="M14" i="24" s="1"/>
  <c r="T13" i="24"/>
  <c r="S13" i="24"/>
  <c r="R13" i="24"/>
  <c r="Q13" i="24"/>
  <c r="P13" i="24"/>
  <c r="O13" i="24"/>
  <c r="L13" i="24"/>
  <c r="M13" i="24" s="1"/>
  <c r="T12" i="24"/>
  <c r="S12" i="24"/>
  <c r="R12" i="24"/>
  <c r="Q12" i="24"/>
  <c r="P12" i="24"/>
  <c r="O12" i="24"/>
  <c r="L12" i="24"/>
  <c r="M12" i="24" s="1"/>
  <c r="T11" i="24"/>
  <c r="S11" i="24"/>
  <c r="R11" i="24"/>
  <c r="Q11" i="24"/>
  <c r="P11" i="24"/>
  <c r="O11" i="24"/>
  <c r="L11" i="24"/>
  <c r="M11" i="24" s="1"/>
  <c r="T10" i="24"/>
  <c r="S10" i="24"/>
  <c r="R10" i="24"/>
  <c r="Q10" i="24"/>
  <c r="P10" i="24"/>
  <c r="O10" i="24"/>
  <c r="L10" i="24"/>
  <c r="M10" i="24" s="1"/>
  <c r="T9" i="24"/>
  <c r="S9" i="24"/>
  <c r="R9" i="24"/>
  <c r="Q9" i="24"/>
  <c r="P9" i="24"/>
  <c r="O9" i="24"/>
  <c r="L9" i="24"/>
  <c r="M9" i="24" s="1"/>
  <c r="S8" i="24"/>
  <c r="R8" i="24"/>
  <c r="Q8" i="24"/>
  <c r="P8" i="24"/>
  <c r="O8" i="24"/>
  <c r="L8" i="24"/>
  <c r="M8" i="24" s="1"/>
  <c r="T7" i="24"/>
  <c r="S7" i="24"/>
  <c r="R7" i="24"/>
  <c r="Q7" i="24"/>
  <c r="P7" i="24"/>
  <c r="O7" i="24"/>
  <c r="L7" i="24"/>
  <c r="M7" i="24" s="1"/>
  <c r="T6" i="24"/>
  <c r="S6" i="24"/>
  <c r="R6" i="24"/>
  <c r="Q6" i="24"/>
  <c r="P6" i="24"/>
  <c r="O6" i="24"/>
  <c r="L6" i="24"/>
  <c r="M6" i="24" s="1"/>
  <c r="T5" i="24"/>
  <c r="S5" i="24"/>
  <c r="R5" i="24"/>
  <c r="Q5" i="24"/>
  <c r="P5" i="24"/>
  <c r="O5" i="24"/>
  <c r="L5" i="24"/>
  <c r="M5" i="24" s="1"/>
  <c r="T4" i="24"/>
  <c r="S4" i="24"/>
  <c r="R4" i="24"/>
  <c r="Q4" i="24"/>
  <c r="P4" i="24"/>
  <c r="O4" i="24"/>
  <c r="L4" i="24"/>
  <c r="S3" i="24"/>
  <c r="R3" i="24"/>
  <c r="Q3" i="24"/>
  <c r="P3" i="24"/>
  <c r="O3" i="24"/>
  <c r="L3" i="24"/>
  <c r="T2" i="24"/>
  <c r="S2" i="24"/>
  <c r="R2" i="24"/>
  <c r="Q2" i="24"/>
  <c r="P2" i="24"/>
  <c r="O2" i="24"/>
  <c r="L2" i="24"/>
  <c r="T2" i="23"/>
  <c r="T4" i="23"/>
  <c r="T5" i="23"/>
  <c r="T6" i="23"/>
  <c r="T7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S21" i="23"/>
  <c r="R21" i="23"/>
  <c r="Q21" i="23"/>
  <c r="P21" i="23"/>
  <c r="O21" i="23"/>
  <c r="L21" i="23"/>
  <c r="M21" i="23" s="1"/>
  <c r="S20" i="23"/>
  <c r="R20" i="23"/>
  <c r="Q20" i="23"/>
  <c r="P20" i="23"/>
  <c r="O20" i="23"/>
  <c r="L20" i="23"/>
  <c r="M20" i="23" s="1"/>
  <c r="S19" i="23"/>
  <c r="R19" i="23"/>
  <c r="Q19" i="23"/>
  <c r="P19" i="23"/>
  <c r="O19" i="23"/>
  <c r="M19" i="23"/>
  <c r="L19" i="23"/>
  <c r="S18" i="23"/>
  <c r="R18" i="23"/>
  <c r="Q18" i="23"/>
  <c r="P18" i="23"/>
  <c r="O18" i="23"/>
  <c r="L18" i="23"/>
  <c r="M18" i="23" s="1"/>
  <c r="S17" i="23"/>
  <c r="R17" i="23"/>
  <c r="Q17" i="23"/>
  <c r="P17" i="23"/>
  <c r="O17" i="23"/>
  <c r="L17" i="23"/>
  <c r="M17" i="23" s="1"/>
  <c r="S16" i="23"/>
  <c r="R16" i="23"/>
  <c r="Q16" i="23"/>
  <c r="P16" i="23"/>
  <c r="O16" i="23"/>
  <c r="L16" i="23"/>
  <c r="M16" i="23" s="1"/>
  <c r="S15" i="23"/>
  <c r="R15" i="23"/>
  <c r="Q15" i="23"/>
  <c r="P15" i="23"/>
  <c r="O15" i="23"/>
  <c r="L15" i="23"/>
  <c r="M15" i="23" s="1"/>
  <c r="S14" i="23"/>
  <c r="R14" i="23"/>
  <c r="Q14" i="23"/>
  <c r="P14" i="23"/>
  <c r="O14" i="23"/>
  <c r="L14" i="23"/>
  <c r="M14" i="23" s="1"/>
  <c r="S13" i="23"/>
  <c r="R13" i="23"/>
  <c r="Q13" i="23"/>
  <c r="P13" i="23"/>
  <c r="O13" i="23"/>
  <c r="L13" i="23"/>
  <c r="M13" i="23" s="1"/>
  <c r="S12" i="23"/>
  <c r="R12" i="23"/>
  <c r="Q12" i="23"/>
  <c r="P12" i="23"/>
  <c r="O12" i="23"/>
  <c r="M12" i="23"/>
  <c r="L12" i="23"/>
  <c r="S11" i="23"/>
  <c r="R11" i="23"/>
  <c r="Q11" i="23"/>
  <c r="P11" i="23"/>
  <c r="O11" i="23"/>
  <c r="L11" i="23"/>
  <c r="M11" i="23" s="1"/>
  <c r="S10" i="23"/>
  <c r="R10" i="23"/>
  <c r="Q10" i="23"/>
  <c r="P10" i="23"/>
  <c r="O10" i="23"/>
  <c r="L10" i="23"/>
  <c r="M10" i="23" s="1"/>
  <c r="S9" i="23"/>
  <c r="R9" i="23"/>
  <c r="Q9" i="23"/>
  <c r="P9" i="23"/>
  <c r="O9" i="23"/>
  <c r="L9" i="23"/>
  <c r="M9" i="23" s="1"/>
  <c r="S8" i="23"/>
  <c r="R8" i="23"/>
  <c r="Q8" i="23"/>
  <c r="P8" i="23"/>
  <c r="O8" i="23"/>
  <c r="M8" i="23"/>
  <c r="L8" i="23"/>
  <c r="S7" i="23"/>
  <c r="R7" i="23"/>
  <c r="Q7" i="23"/>
  <c r="P7" i="23"/>
  <c r="O7" i="23"/>
  <c r="L7" i="23"/>
  <c r="M7" i="23" s="1"/>
  <c r="S6" i="23"/>
  <c r="R6" i="23"/>
  <c r="Q6" i="23"/>
  <c r="P6" i="23"/>
  <c r="O6" i="23"/>
  <c r="L6" i="23"/>
  <c r="M6" i="23" s="1"/>
  <c r="S5" i="23"/>
  <c r="R5" i="23"/>
  <c r="Q5" i="23"/>
  <c r="P5" i="23"/>
  <c r="O5" i="23"/>
  <c r="L5" i="23"/>
  <c r="M5" i="23" s="1"/>
  <c r="S4" i="23"/>
  <c r="R4" i="23"/>
  <c r="Q4" i="23"/>
  <c r="P4" i="23"/>
  <c r="O4" i="23"/>
  <c r="L4" i="23"/>
  <c r="M4" i="23" s="1"/>
  <c r="S3" i="23"/>
  <c r="R3" i="23"/>
  <c r="Q3" i="23"/>
  <c r="P3" i="23"/>
  <c r="O3" i="23"/>
  <c r="L3" i="23"/>
  <c r="M3" i="23" s="1"/>
  <c r="S2" i="23"/>
  <c r="R2" i="23"/>
  <c r="Q2" i="23"/>
  <c r="P2" i="23"/>
  <c r="O2" i="23"/>
  <c r="L2" i="23"/>
  <c r="S2" i="22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R21" i="22"/>
  <c r="Q21" i="22"/>
  <c r="P21" i="22"/>
  <c r="O21" i="22"/>
  <c r="L21" i="22"/>
  <c r="M21" i="22" s="1"/>
  <c r="R20" i="22"/>
  <c r="Q20" i="22"/>
  <c r="P20" i="22"/>
  <c r="O20" i="22"/>
  <c r="L20" i="22"/>
  <c r="M20" i="22" s="1"/>
  <c r="R19" i="22"/>
  <c r="Q19" i="22"/>
  <c r="P19" i="22"/>
  <c r="O19" i="22"/>
  <c r="L19" i="22"/>
  <c r="M19" i="22" s="1"/>
  <c r="R18" i="22"/>
  <c r="Q18" i="22"/>
  <c r="P18" i="22"/>
  <c r="O18" i="22"/>
  <c r="L18" i="22"/>
  <c r="M18" i="22" s="1"/>
  <c r="R17" i="22"/>
  <c r="Q17" i="22"/>
  <c r="P17" i="22"/>
  <c r="O17" i="22"/>
  <c r="L17" i="22"/>
  <c r="M17" i="22" s="1"/>
  <c r="R16" i="22"/>
  <c r="Q16" i="22"/>
  <c r="P16" i="22"/>
  <c r="O16" i="22"/>
  <c r="L16" i="22"/>
  <c r="M16" i="22" s="1"/>
  <c r="R15" i="22"/>
  <c r="Q15" i="22"/>
  <c r="P15" i="22"/>
  <c r="O15" i="22"/>
  <c r="L15" i="22"/>
  <c r="M15" i="22" s="1"/>
  <c r="R14" i="22"/>
  <c r="Q14" i="22"/>
  <c r="P14" i="22"/>
  <c r="O14" i="22"/>
  <c r="L14" i="22"/>
  <c r="M14" i="22" s="1"/>
  <c r="R13" i="22"/>
  <c r="Q13" i="22"/>
  <c r="P13" i="22"/>
  <c r="O13" i="22"/>
  <c r="L13" i="22"/>
  <c r="M13" i="22" s="1"/>
  <c r="R12" i="22"/>
  <c r="Q12" i="22"/>
  <c r="P12" i="22"/>
  <c r="O12" i="22"/>
  <c r="L12" i="22"/>
  <c r="M12" i="22" s="1"/>
  <c r="R11" i="22"/>
  <c r="Q11" i="22"/>
  <c r="P11" i="22"/>
  <c r="O11" i="22"/>
  <c r="L11" i="22"/>
  <c r="M11" i="22" s="1"/>
  <c r="R10" i="22"/>
  <c r="Q10" i="22"/>
  <c r="P10" i="22"/>
  <c r="O10" i="22"/>
  <c r="L10" i="22"/>
  <c r="M10" i="22" s="1"/>
  <c r="R9" i="22"/>
  <c r="Q9" i="22"/>
  <c r="P9" i="22"/>
  <c r="O9" i="22"/>
  <c r="L9" i="22"/>
  <c r="M9" i="22" s="1"/>
  <c r="R8" i="22"/>
  <c r="Q8" i="22"/>
  <c r="P8" i="22"/>
  <c r="O8" i="22"/>
  <c r="L8" i="22"/>
  <c r="M8" i="22" s="1"/>
  <c r="R7" i="22"/>
  <c r="Q7" i="22"/>
  <c r="P7" i="22"/>
  <c r="O7" i="22"/>
  <c r="L7" i="22"/>
  <c r="M7" i="22" s="1"/>
  <c r="R6" i="22"/>
  <c r="Q6" i="22"/>
  <c r="P6" i="22"/>
  <c r="O6" i="22"/>
  <c r="L6" i="22"/>
  <c r="M6" i="22" s="1"/>
  <c r="R5" i="22"/>
  <c r="Q5" i="22"/>
  <c r="P5" i="22"/>
  <c r="O5" i="22"/>
  <c r="L5" i="22"/>
  <c r="M5" i="22" s="1"/>
  <c r="R4" i="22"/>
  <c r="Q4" i="22"/>
  <c r="P4" i="22"/>
  <c r="O4" i="22"/>
  <c r="L4" i="22"/>
  <c r="R3" i="22"/>
  <c r="Q3" i="22"/>
  <c r="P3" i="22"/>
  <c r="O3" i="22"/>
  <c r="L3" i="22"/>
  <c r="M3" i="22" s="1"/>
  <c r="R2" i="22"/>
  <c r="Q2" i="22"/>
  <c r="P2" i="22"/>
  <c r="O2" i="22"/>
  <c r="L2" i="22"/>
  <c r="R2" i="21"/>
  <c r="R3" i="21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Q21" i="21"/>
  <c r="P21" i="21"/>
  <c r="O21" i="21"/>
  <c r="L21" i="21"/>
  <c r="M21" i="21" s="1"/>
  <c r="Q20" i="21"/>
  <c r="P20" i="21"/>
  <c r="O20" i="21"/>
  <c r="L20" i="21"/>
  <c r="M20" i="21" s="1"/>
  <c r="Q19" i="21"/>
  <c r="P19" i="21"/>
  <c r="O19" i="21"/>
  <c r="L19" i="21"/>
  <c r="M19" i="21" s="1"/>
  <c r="Q18" i="21"/>
  <c r="P18" i="21"/>
  <c r="O18" i="21"/>
  <c r="L18" i="21"/>
  <c r="M18" i="21" s="1"/>
  <c r="Q17" i="21"/>
  <c r="P17" i="21"/>
  <c r="O17" i="21"/>
  <c r="L17" i="21"/>
  <c r="M17" i="21" s="1"/>
  <c r="Q16" i="21"/>
  <c r="P16" i="21"/>
  <c r="O16" i="21"/>
  <c r="L16" i="21"/>
  <c r="M16" i="21" s="1"/>
  <c r="Q15" i="21"/>
  <c r="P15" i="21"/>
  <c r="O15" i="21"/>
  <c r="L15" i="21"/>
  <c r="M15" i="21" s="1"/>
  <c r="Q14" i="21"/>
  <c r="P14" i="21"/>
  <c r="O14" i="21"/>
  <c r="L14" i="21"/>
  <c r="M14" i="21" s="1"/>
  <c r="Q13" i="21"/>
  <c r="P13" i="21"/>
  <c r="O13" i="21"/>
  <c r="L13" i="21"/>
  <c r="M13" i="21" s="1"/>
  <c r="Q12" i="21"/>
  <c r="P12" i="21"/>
  <c r="O12" i="21"/>
  <c r="L12" i="21"/>
  <c r="M12" i="21" s="1"/>
  <c r="Q11" i="21"/>
  <c r="P11" i="21"/>
  <c r="O11" i="21"/>
  <c r="L11" i="21"/>
  <c r="M11" i="21" s="1"/>
  <c r="Q10" i="21"/>
  <c r="P10" i="21"/>
  <c r="O10" i="21"/>
  <c r="L10" i="21"/>
  <c r="Q9" i="21"/>
  <c r="P9" i="21"/>
  <c r="O9" i="21"/>
  <c r="L9" i="21"/>
  <c r="M9" i="21" s="1"/>
  <c r="Q8" i="21"/>
  <c r="P8" i="21"/>
  <c r="O8" i="21"/>
  <c r="L8" i="21"/>
  <c r="M8" i="21" s="1"/>
  <c r="Q7" i="21"/>
  <c r="P7" i="21"/>
  <c r="O7" i="21"/>
  <c r="L7" i="21"/>
  <c r="M7" i="21" s="1"/>
  <c r="Q6" i="21"/>
  <c r="P6" i="21"/>
  <c r="O6" i="21"/>
  <c r="L6" i="21"/>
  <c r="M6" i="21" s="1"/>
  <c r="Q5" i="21"/>
  <c r="P5" i="21"/>
  <c r="O5" i="21"/>
  <c r="L5" i="21"/>
  <c r="Q4" i="21"/>
  <c r="P4" i="21"/>
  <c r="O4" i="21"/>
  <c r="L4" i="21"/>
  <c r="M4" i="21" s="1"/>
  <c r="Q3" i="21"/>
  <c r="P3" i="21"/>
  <c r="O3" i="21"/>
  <c r="L3" i="21"/>
  <c r="Q2" i="21"/>
  <c r="P2" i="21"/>
  <c r="O2" i="21"/>
  <c r="L2" i="21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P21" i="20"/>
  <c r="O21" i="20"/>
  <c r="L21" i="20"/>
  <c r="M21" i="20" s="1"/>
  <c r="P20" i="20"/>
  <c r="O20" i="20"/>
  <c r="L20" i="20"/>
  <c r="M20" i="20" s="1"/>
  <c r="P19" i="20"/>
  <c r="O19" i="20"/>
  <c r="L19" i="20"/>
  <c r="M19" i="20" s="1"/>
  <c r="P18" i="20"/>
  <c r="O18" i="20"/>
  <c r="L18" i="20"/>
  <c r="M18" i="20" s="1"/>
  <c r="P17" i="20"/>
  <c r="O17" i="20"/>
  <c r="L17" i="20"/>
  <c r="M17" i="20" s="1"/>
  <c r="P16" i="20"/>
  <c r="O16" i="20"/>
  <c r="L16" i="20"/>
  <c r="M16" i="20" s="1"/>
  <c r="P15" i="20"/>
  <c r="O15" i="20"/>
  <c r="L15" i="20"/>
  <c r="M15" i="20" s="1"/>
  <c r="P14" i="20"/>
  <c r="O14" i="20"/>
  <c r="L14" i="20"/>
  <c r="M14" i="20" s="1"/>
  <c r="P13" i="20"/>
  <c r="O13" i="20"/>
  <c r="L13" i="20"/>
  <c r="M13" i="20" s="1"/>
  <c r="P12" i="20"/>
  <c r="O12" i="20"/>
  <c r="L12" i="20"/>
  <c r="M12" i="20" s="1"/>
  <c r="P11" i="20"/>
  <c r="O11" i="20"/>
  <c r="L11" i="20"/>
  <c r="M11" i="20" s="1"/>
  <c r="P10" i="20"/>
  <c r="O10" i="20"/>
  <c r="L10" i="20"/>
  <c r="M10" i="20" s="1"/>
  <c r="P9" i="20"/>
  <c r="O9" i="20"/>
  <c r="L9" i="20"/>
  <c r="M9" i="20" s="1"/>
  <c r="P8" i="20"/>
  <c r="O8" i="20"/>
  <c r="L8" i="20"/>
  <c r="M8" i="20" s="1"/>
  <c r="P7" i="20"/>
  <c r="O7" i="20"/>
  <c r="L7" i="20"/>
  <c r="M7" i="20" s="1"/>
  <c r="P6" i="20"/>
  <c r="O6" i="20"/>
  <c r="L6" i="20"/>
  <c r="M6" i="20" s="1"/>
  <c r="P5" i="20"/>
  <c r="O5" i="20"/>
  <c r="L5" i="20"/>
  <c r="M5" i="20" s="1"/>
  <c r="P4" i="20"/>
  <c r="O4" i="20"/>
  <c r="L4" i="20"/>
  <c r="M4" i="20" s="1"/>
  <c r="P3" i="20"/>
  <c r="O3" i="20"/>
  <c r="L3" i="20"/>
  <c r="M3" i="20" s="1"/>
  <c r="P2" i="20"/>
  <c r="O2" i="20"/>
  <c r="L2" i="20"/>
  <c r="P2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O21" i="19"/>
  <c r="L21" i="19"/>
  <c r="M21" i="19" s="1"/>
  <c r="O20" i="19"/>
  <c r="L20" i="19"/>
  <c r="M20" i="19" s="1"/>
  <c r="O19" i="19"/>
  <c r="L19" i="19"/>
  <c r="M19" i="19" s="1"/>
  <c r="O18" i="19"/>
  <c r="L18" i="19"/>
  <c r="M18" i="19" s="1"/>
  <c r="O17" i="19"/>
  <c r="L17" i="19"/>
  <c r="M17" i="19" s="1"/>
  <c r="O16" i="19"/>
  <c r="L16" i="19"/>
  <c r="M16" i="19" s="1"/>
  <c r="O15" i="19"/>
  <c r="L15" i="19"/>
  <c r="M15" i="19" s="1"/>
  <c r="O14" i="19"/>
  <c r="L14" i="19"/>
  <c r="M14" i="19" s="1"/>
  <c r="O13" i="19"/>
  <c r="L13" i="19"/>
  <c r="M13" i="19" s="1"/>
  <c r="O12" i="19"/>
  <c r="L12" i="19"/>
  <c r="M12" i="19" s="1"/>
  <c r="O11" i="19"/>
  <c r="L11" i="19"/>
  <c r="M11" i="19" s="1"/>
  <c r="O10" i="19"/>
  <c r="L10" i="19"/>
  <c r="O9" i="19"/>
  <c r="L9" i="19"/>
  <c r="M9" i="19" s="1"/>
  <c r="O8" i="19"/>
  <c r="L8" i="19"/>
  <c r="M8" i="19" s="1"/>
  <c r="O7" i="19"/>
  <c r="L7" i="19"/>
  <c r="M7" i="19" s="1"/>
  <c r="O6" i="19"/>
  <c r="L6" i="19"/>
  <c r="M6" i="19" s="1"/>
  <c r="O5" i="19"/>
  <c r="L5" i="19"/>
  <c r="M5" i="19" s="1"/>
  <c r="O4" i="19"/>
  <c r="L4" i="19"/>
  <c r="M4" i="19" s="1"/>
  <c r="O3" i="19"/>
  <c r="L3" i="19"/>
  <c r="N8" i="19" s="1" a="1"/>
  <c r="N8" i="19" s="1"/>
  <c r="O2" i="19"/>
  <c r="L2" i="19"/>
  <c r="O2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L21" i="18"/>
  <c r="M21" i="18" s="1"/>
  <c r="L20" i="18"/>
  <c r="M20" i="18" s="1"/>
  <c r="L19" i="18"/>
  <c r="M19" i="18" s="1"/>
  <c r="L18" i="18"/>
  <c r="M18" i="18" s="1"/>
  <c r="L17" i="18"/>
  <c r="M17" i="18" s="1"/>
  <c r="L16" i="18"/>
  <c r="M16" i="18" s="1"/>
  <c r="L15" i="18"/>
  <c r="M15" i="18" s="1"/>
  <c r="L14" i="18"/>
  <c r="M14" i="18" s="1"/>
  <c r="L13" i="18"/>
  <c r="M13" i="18" s="1"/>
  <c r="L12" i="18"/>
  <c r="M12" i="18" s="1"/>
  <c r="L11" i="18"/>
  <c r="M11" i="18" s="1"/>
  <c r="L10" i="18"/>
  <c r="M10" i="18" s="1"/>
  <c r="L9" i="18"/>
  <c r="M9" i="18" s="1"/>
  <c r="L8" i="18"/>
  <c r="M8" i="18" s="1"/>
  <c r="L7" i="18"/>
  <c r="M7" i="18" s="1"/>
  <c r="L6" i="18"/>
  <c r="M6" i="18" s="1"/>
  <c r="L5" i="18"/>
  <c r="M5" i="18" s="1"/>
  <c r="L4" i="18"/>
  <c r="N19" i="18" s="1" a="1"/>
  <c r="N19" i="18" s="1"/>
  <c r="L3" i="18"/>
  <c r="M3" i="18" s="1"/>
  <c r="L2" i="18"/>
  <c r="N2" i="17" a="1"/>
  <c r="N2" i="17" s="1"/>
  <c r="N3" i="17" a="1"/>
  <c r="N3" i="17" s="1"/>
  <c r="N4" i="17" a="1"/>
  <c r="N4" i="17"/>
  <c r="N5" i="17" a="1"/>
  <c r="N5" i="17"/>
  <c r="N6" i="17" a="1"/>
  <c r="N6" i="17" s="1"/>
  <c r="N7" i="17" a="1"/>
  <c r="N7" i="17" s="1"/>
  <c r="N8" i="17" a="1"/>
  <c r="N8" i="17" s="1"/>
  <c r="N9" i="17" a="1"/>
  <c r="N9" i="17" s="1"/>
  <c r="N10" i="17" a="1"/>
  <c r="N10" i="17" s="1"/>
  <c r="N11" i="17" a="1"/>
  <c r="N11" i="17"/>
  <c r="N12" i="17" a="1"/>
  <c r="N12" i="17"/>
  <c r="N13" i="17" a="1"/>
  <c r="N13" i="17" s="1"/>
  <c r="N14" i="17" a="1"/>
  <c r="N14" i="17" s="1"/>
  <c r="N15" i="17" a="1"/>
  <c r="N15" i="17" s="1"/>
  <c r="N16" i="17" a="1"/>
  <c r="N16" i="17" s="1"/>
  <c r="N17" i="17" a="1"/>
  <c r="N17" i="17" s="1"/>
  <c r="N18" i="17" a="1"/>
  <c r="N18" i="17"/>
  <c r="N19" i="17" a="1"/>
  <c r="N19" i="17"/>
  <c r="N20" i="17" a="1"/>
  <c r="N20" i="17" s="1"/>
  <c r="N21" i="17" a="1"/>
  <c r="N21" i="17" s="1"/>
  <c r="L21" i="17"/>
  <c r="M21" i="17" s="1"/>
  <c r="L20" i="17"/>
  <c r="M20" i="17" s="1"/>
  <c r="L19" i="17"/>
  <c r="M19" i="17" s="1"/>
  <c r="L18" i="17"/>
  <c r="M18" i="17" s="1"/>
  <c r="L17" i="17"/>
  <c r="M17" i="17" s="1"/>
  <c r="L16" i="17"/>
  <c r="M16" i="17" s="1"/>
  <c r="L15" i="17"/>
  <c r="M15" i="17" s="1"/>
  <c r="L14" i="17"/>
  <c r="M14" i="17" s="1"/>
  <c r="L13" i="17"/>
  <c r="M13" i="17" s="1"/>
  <c r="L12" i="17"/>
  <c r="M12" i="17" s="1"/>
  <c r="L11" i="17"/>
  <c r="M11" i="17" s="1"/>
  <c r="L10" i="17"/>
  <c r="M10" i="17" s="1"/>
  <c r="L9" i="17"/>
  <c r="M9" i="17" s="1"/>
  <c r="L8" i="17"/>
  <c r="M8" i="17" s="1"/>
  <c r="L7" i="17"/>
  <c r="M7" i="17" s="1"/>
  <c r="L6" i="17"/>
  <c r="M6" i="17" s="1"/>
  <c r="L5" i="17"/>
  <c r="M5" i="17" s="1"/>
  <c r="L4" i="17"/>
  <c r="M4" i="17" s="1"/>
  <c r="L3" i="17"/>
  <c r="M3" i="17" s="1"/>
  <c r="L2" i="17"/>
  <c r="P4" i="16"/>
  <c r="L21" i="16"/>
  <c r="M21" i="16" s="1"/>
  <c r="M20" i="16"/>
  <c r="L20" i="16"/>
  <c r="L19" i="16"/>
  <c r="M19" i="16" s="1"/>
  <c r="L18" i="16"/>
  <c r="M18" i="16" s="1"/>
  <c r="L17" i="16"/>
  <c r="M17" i="16" s="1"/>
  <c r="L16" i="16"/>
  <c r="M16" i="16" s="1"/>
  <c r="M15" i="16"/>
  <c r="L15" i="16"/>
  <c r="M14" i="16"/>
  <c r="L14" i="16"/>
  <c r="L13" i="16"/>
  <c r="M13" i="16" s="1"/>
  <c r="L12" i="16"/>
  <c r="M12" i="16" s="1"/>
  <c r="L11" i="16"/>
  <c r="M11" i="16" s="1"/>
  <c r="L10" i="16"/>
  <c r="M10" i="16" s="1"/>
  <c r="M9" i="16"/>
  <c r="L9" i="16"/>
  <c r="M8" i="16"/>
  <c r="L8" i="16"/>
  <c r="L7" i="16"/>
  <c r="M7" i="16" s="1"/>
  <c r="L6" i="16"/>
  <c r="M6" i="16" s="1"/>
  <c r="L5" i="16"/>
  <c r="M5" i="16" s="1"/>
  <c r="L4" i="16"/>
  <c r="L3" i="16"/>
  <c r="M3" i="16" s="1"/>
  <c r="L2" i="16"/>
  <c r="M2" i="16" s="1"/>
  <c r="P3" i="15"/>
  <c r="M21" i="15"/>
  <c r="L21" i="15"/>
  <c r="L20" i="15"/>
  <c r="M20" i="15" s="1"/>
  <c r="L19" i="15"/>
  <c r="M19" i="15" s="1"/>
  <c r="L18" i="15"/>
  <c r="M18" i="15" s="1"/>
  <c r="L17" i="15"/>
  <c r="M17" i="15" s="1"/>
  <c r="L16" i="15"/>
  <c r="M16" i="15" s="1"/>
  <c r="M15" i="15"/>
  <c r="L15" i="15"/>
  <c r="M14" i="15"/>
  <c r="L14" i="15"/>
  <c r="L13" i="15"/>
  <c r="M13" i="15" s="1"/>
  <c r="L12" i="15"/>
  <c r="M12" i="15" s="1"/>
  <c r="L11" i="15"/>
  <c r="M11" i="15" s="1"/>
  <c r="L10" i="15"/>
  <c r="M10" i="15" s="1"/>
  <c r="M9" i="15"/>
  <c r="L9" i="15"/>
  <c r="M8" i="15"/>
  <c r="L8" i="15"/>
  <c r="L7" i="15"/>
  <c r="M7" i="15" s="1"/>
  <c r="L6" i="15"/>
  <c r="M6" i="15" s="1"/>
  <c r="L5" i="15"/>
  <c r="M5" i="15" s="1"/>
  <c r="L4" i="15"/>
  <c r="M4" i="15" s="1"/>
  <c r="M3" i="15"/>
  <c r="L3" i="15"/>
  <c r="M2" i="15"/>
  <c r="L2" i="15"/>
  <c r="M2" i="14"/>
  <c r="M4" i="14"/>
  <c r="M5" i="14"/>
  <c r="M8" i="14"/>
  <c r="M10" i="14"/>
  <c r="M13" i="14"/>
  <c r="M16" i="14"/>
  <c r="M17" i="14"/>
  <c r="M20" i="14"/>
  <c r="L21" i="14"/>
  <c r="M21" i="14" s="1"/>
  <c r="L20" i="14"/>
  <c r="L19" i="14"/>
  <c r="M19" i="14" s="1"/>
  <c r="L18" i="14"/>
  <c r="M18" i="14" s="1"/>
  <c r="L17" i="14"/>
  <c r="L16" i="14"/>
  <c r="L15" i="14"/>
  <c r="M15" i="14" s="1"/>
  <c r="L14" i="14"/>
  <c r="M14" i="14" s="1"/>
  <c r="L13" i="14"/>
  <c r="L12" i="14"/>
  <c r="M12" i="14" s="1"/>
  <c r="L11" i="14"/>
  <c r="M11" i="14" s="1"/>
  <c r="L10" i="14"/>
  <c r="L9" i="14"/>
  <c r="M9" i="14" s="1"/>
  <c r="L8" i="14"/>
  <c r="L7" i="14"/>
  <c r="M7" i="14" s="1"/>
  <c r="L6" i="14"/>
  <c r="M6" i="14" s="1"/>
  <c r="L5" i="14"/>
  <c r="L4" i="14"/>
  <c r="L3" i="14"/>
  <c r="M3" i="14" s="1"/>
  <c r="L2" i="14"/>
  <c r="O3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O3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O3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O3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O3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P3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P3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O3" i="5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O3" i="1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10" i="32" l="1" a="1"/>
  <c r="N10" i="32" s="1"/>
  <c r="M3" i="32"/>
  <c r="N5" i="32" a="1"/>
  <c r="N5" i="32" s="1"/>
  <c r="N4" i="32" a="1"/>
  <c r="N4" i="32" s="1"/>
  <c r="N18" i="32" a="1"/>
  <c r="N18" i="32" s="1"/>
  <c r="N3" i="32" a="1"/>
  <c r="N3" i="32" s="1"/>
  <c r="N15" i="32" a="1"/>
  <c r="N15" i="32" s="1"/>
  <c r="N19" i="32" a="1"/>
  <c r="N19" i="32" s="1"/>
  <c r="N14" i="32" a="1"/>
  <c r="N14" i="32" s="1"/>
  <c r="N9" i="32" a="1"/>
  <c r="N9" i="32" s="1"/>
  <c r="N16" i="32" a="1"/>
  <c r="N16" i="32" s="1"/>
  <c r="N11" i="32" a="1"/>
  <c r="N11" i="32" s="1"/>
  <c r="N17" i="32" a="1"/>
  <c r="N17" i="32" s="1"/>
  <c r="N13" i="32" a="1"/>
  <c r="N13" i="32" s="1"/>
  <c r="N20" i="32" a="1"/>
  <c r="N20" i="32" s="1"/>
  <c r="N21" i="32" a="1"/>
  <c r="N21" i="32" s="1"/>
  <c r="M2" i="32"/>
  <c r="N7" i="32" a="1"/>
  <c r="N7" i="32" s="1"/>
  <c r="N8" i="32" a="1"/>
  <c r="N8" i="32" s="1"/>
  <c r="N2" i="32" a="1"/>
  <c r="N2" i="32" s="1"/>
  <c r="N12" i="32" a="1"/>
  <c r="N12" i="32" s="1"/>
  <c r="M6" i="32"/>
  <c r="N6" i="32" a="1"/>
  <c r="N6" i="32" s="1"/>
  <c r="N20" i="31" a="1"/>
  <c r="N20" i="31" s="1"/>
  <c r="N17" i="31" a="1"/>
  <c r="N17" i="31" s="1"/>
  <c r="N21" i="31" a="1"/>
  <c r="N21" i="31" s="1"/>
  <c r="N4" i="31" a="1"/>
  <c r="N4" i="31" s="1"/>
  <c r="N15" i="31" a="1"/>
  <c r="N15" i="31" s="1"/>
  <c r="N13" i="31" a="1"/>
  <c r="N13" i="31" s="1"/>
  <c r="N11" i="31" a="1"/>
  <c r="N11" i="31" s="1"/>
  <c r="N10" i="31" a="1"/>
  <c r="N10" i="31" s="1"/>
  <c r="N16" i="31" a="1"/>
  <c r="N16" i="31" s="1"/>
  <c r="N2" i="31" a="1"/>
  <c r="N2" i="31" s="1"/>
  <c r="N8" i="31" a="1"/>
  <c r="N8" i="31" s="1"/>
  <c r="N18" i="31" a="1"/>
  <c r="N18" i="31" s="1"/>
  <c r="M6" i="31"/>
  <c r="N19" i="31" a="1"/>
  <c r="N19" i="31" s="1"/>
  <c r="N7" i="31" a="1"/>
  <c r="N7" i="31" s="1"/>
  <c r="N6" i="31" a="1"/>
  <c r="N6" i="31" s="1"/>
  <c r="N3" i="31" a="1"/>
  <c r="N3" i="31" s="1"/>
  <c r="N9" i="31" a="1"/>
  <c r="N9" i="31" s="1"/>
  <c r="M5" i="31"/>
  <c r="N5" i="31" a="1"/>
  <c r="N5" i="31" s="1"/>
  <c r="N14" i="31" a="1"/>
  <c r="N14" i="31" s="1"/>
  <c r="N12" i="31" a="1"/>
  <c r="N12" i="31" s="1"/>
  <c r="N5" i="30" a="1"/>
  <c r="N5" i="30" s="1"/>
  <c r="N18" i="30" a="1"/>
  <c r="N18" i="30" s="1"/>
  <c r="M4" i="30"/>
  <c r="N3" i="30" a="1"/>
  <c r="N3" i="30" s="1"/>
  <c r="N13" i="30" a="1"/>
  <c r="N13" i="30" s="1"/>
  <c r="N10" i="30" a="1"/>
  <c r="N10" i="30" s="1"/>
  <c r="N19" i="30" a="1"/>
  <c r="N19" i="30" s="1"/>
  <c r="M6" i="30"/>
  <c r="N6" i="30" a="1"/>
  <c r="N6" i="30" s="1"/>
  <c r="N14" i="30" a="1"/>
  <c r="N14" i="30" s="1"/>
  <c r="N20" i="30" a="1"/>
  <c r="N20" i="30" s="1"/>
  <c r="N21" i="30" a="1"/>
  <c r="N21" i="30" s="1"/>
  <c r="N7" i="30" a="1"/>
  <c r="N7" i="30" s="1"/>
  <c r="N15" i="30" a="1"/>
  <c r="N15" i="30" s="1"/>
  <c r="N16" i="30" a="1"/>
  <c r="N16" i="30" s="1"/>
  <c r="N11" i="30" a="1"/>
  <c r="N11" i="30" s="1"/>
  <c r="N17" i="30" a="1"/>
  <c r="N17" i="30" s="1"/>
  <c r="N9" i="30" a="1"/>
  <c r="N9" i="30" s="1"/>
  <c r="N8" i="30" a="1"/>
  <c r="N8" i="30" s="1"/>
  <c r="N2" i="30" a="1"/>
  <c r="N2" i="30" s="1"/>
  <c r="N4" i="30" a="1"/>
  <c r="N4" i="30" s="1"/>
  <c r="N12" i="30" a="1"/>
  <c r="N12" i="30" s="1"/>
  <c r="N3" i="29" a="1"/>
  <c r="N3" i="29" s="1"/>
  <c r="N2" i="29" a="1"/>
  <c r="N2" i="29" s="1"/>
  <c r="N18" i="29" a="1"/>
  <c r="N18" i="29" s="1"/>
  <c r="N6" i="29" a="1"/>
  <c r="N6" i="29" s="1"/>
  <c r="N9" i="29" a="1"/>
  <c r="N9" i="29" s="1"/>
  <c r="N8" i="29" a="1"/>
  <c r="N8" i="29" s="1"/>
  <c r="N10" i="29" a="1"/>
  <c r="N10" i="29" s="1"/>
  <c r="N16" i="29" a="1"/>
  <c r="N16" i="29" s="1"/>
  <c r="N20" i="29" a="1"/>
  <c r="N20" i="29" s="1"/>
  <c r="N21" i="29" a="1"/>
  <c r="N21" i="29" s="1"/>
  <c r="N13" i="29" a="1"/>
  <c r="N13" i="29" s="1"/>
  <c r="N14" i="29" a="1"/>
  <c r="N14" i="29" s="1"/>
  <c r="N15" i="29" a="1"/>
  <c r="N15" i="29" s="1"/>
  <c r="N11" i="29" a="1"/>
  <c r="N11" i="29" s="1"/>
  <c r="N17" i="29" a="1"/>
  <c r="N17" i="29" s="1"/>
  <c r="N19" i="29" a="1"/>
  <c r="N19" i="29" s="1"/>
  <c r="M6" i="29"/>
  <c r="N7" i="29" a="1"/>
  <c r="N7" i="29" s="1"/>
  <c r="M2" i="29"/>
  <c r="N4" i="29" a="1"/>
  <c r="N4" i="29" s="1"/>
  <c r="N12" i="29" a="1"/>
  <c r="N12" i="29" s="1"/>
  <c r="N5" i="27" a="1"/>
  <c r="N5" i="27" s="1"/>
  <c r="N3" i="27" a="1"/>
  <c r="N3" i="27" s="1"/>
  <c r="N6" i="27" a="1"/>
  <c r="N6" i="27" s="1"/>
  <c r="N18" i="27" a="1"/>
  <c r="N18" i="27" s="1"/>
  <c r="N19" i="27" a="1"/>
  <c r="N19" i="27" s="1"/>
  <c r="M6" i="27"/>
  <c r="N20" i="27" a="1"/>
  <c r="N20" i="27" s="1"/>
  <c r="N9" i="27" a="1"/>
  <c r="N9" i="27" s="1"/>
  <c r="N15" i="27" a="1"/>
  <c r="N15" i="27" s="1"/>
  <c r="N21" i="27" a="1"/>
  <c r="N21" i="27" s="1"/>
  <c r="N8" i="27" a="1"/>
  <c r="N8" i="27" s="1"/>
  <c r="N10" i="27" a="1"/>
  <c r="N10" i="27" s="1"/>
  <c r="N16" i="27" a="1"/>
  <c r="N16" i="27" s="1"/>
  <c r="N14" i="27" a="1"/>
  <c r="N14" i="27" s="1"/>
  <c r="N7" i="27" a="1"/>
  <c r="N7" i="27" s="1"/>
  <c r="M2" i="27"/>
  <c r="N11" i="27" a="1"/>
  <c r="N11" i="27" s="1"/>
  <c r="N17" i="27" a="1"/>
  <c r="N17" i="27" s="1"/>
  <c r="N2" i="27" a="1"/>
  <c r="N2" i="27" s="1"/>
  <c r="N4" i="27" a="1"/>
  <c r="N4" i="27" s="1"/>
  <c r="N12" i="27" a="1"/>
  <c r="N12" i="27" s="1"/>
  <c r="N13" i="27" a="1"/>
  <c r="N13" i="27" s="1"/>
  <c r="N16" i="26" a="1"/>
  <c r="N16" i="26" s="1"/>
  <c r="N2" i="26" a="1"/>
  <c r="N2" i="26" s="1"/>
  <c r="N20" i="26" a="1"/>
  <c r="N20" i="26" s="1"/>
  <c r="N18" i="26" a="1"/>
  <c r="N18" i="26" s="1"/>
  <c r="N21" i="26" a="1"/>
  <c r="N21" i="26" s="1"/>
  <c r="N17" i="26" a="1"/>
  <c r="N17" i="26" s="1"/>
  <c r="M2" i="26"/>
  <c r="N5" i="26" a="1"/>
  <c r="N5" i="26" s="1"/>
  <c r="N9" i="26" a="1"/>
  <c r="N9" i="26" s="1"/>
  <c r="N7" i="26" a="1"/>
  <c r="N7" i="26" s="1"/>
  <c r="N10" i="26" a="1"/>
  <c r="N10" i="26" s="1"/>
  <c r="N19" i="26" a="1"/>
  <c r="N19" i="26" s="1"/>
  <c r="N3" i="26" a="1"/>
  <c r="N3" i="26" s="1"/>
  <c r="N6" i="26" a="1"/>
  <c r="N6" i="26" s="1"/>
  <c r="N8" i="26" a="1"/>
  <c r="N8" i="26" s="1"/>
  <c r="N11" i="26" a="1"/>
  <c r="N11" i="26" s="1"/>
  <c r="N4" i="26" a="1"/>
  <c r="N4" i="26" s="1"/>
  <c r="N12" i="26" a="1"/>
  <c r="N12" i="26" s="1"/>
  <c r="N15" i="26" a="1"/>
  <c r="N15" i="26" s="1"/>
  <c r="N13" i="26" a="1"/>
  <c r="N13" i="26" s="1"/>
  <c r="N14" i="26" a="1"/>
  <c r="N14" i="26" s="1"/>
  <c r="N21" i="25" a="1"/>
  <c r="N21" i="25" s="1"/>
  <c r="N3" i="25" a="1"/>
  <c r="N3" i="25" s="1"/>
  <c r="N10" i="25" a="1"/>
  <c r="N10" i="25" s="1"/>
  <c r="N15" i="25" a="1"/>
  <c r="N15" i="25" s="1"/>
  <c r="N17" i="25" a="1"/>
  <c r="N17" i="25" s="1"/>
  <c r="N5" i="25" a="1"/>
  <c r="N5" i="25" s="1"/>
  <c r="N11" i="25" a="1"/>
  <c r="N11" i="25" s="1"/>
  <c r="N16" i="25" a="1"/>
  <c r="N16" i="25" s="1"/>
  <c r="N18" i="25" a="1"/>
  <c r="N18" i="25" s="1"/>
  <c r="N6" i="25" a="1"/>
  <c r="N6" i="25" s="1"/>
  <c r="N9" i="25" a="1"/>
  <c r="N9" i="25" s="1"/>
  <c r="N13" i="25" a="1"/>
  <c r="N13" i="25" s="1"/>
  <c r="N20" i="25" a="1"/>
  <c r="N20" i="25" s="1"/>
  <c r="M2" i="25"/>
  <c r="N4" i="25" a="1"/>
  <c r="N4" i="25" s="1"/>
  <c r="N8" i="25" a="1"/>
  <c r="N8" i="25" s="1"/>
  <c r="N14" i="25" a="1"/>
  <c r="N14" i="25" s="1"/>
  <c r="N19" i="25" a="1"/>
  <c r="N19" i="25" s="1"/>
  <c r="N2" i="25" a="1"/>
  <c r="N2" i="25" s="1"/>
  <c r="N7" i="25" a="1"/>
  <c r="N7" i="25" s="1"/>
  <c r="N12" i="25" a="1"/>
  <c r="N12" i="25" s="1"/>
  <c r="N11" i="24" a="1"/>
  <c r="N11" i="24" s="1"/>
  <c r="N5" i="24" a="1"/>
  <c r="N5" i="24" s="1"/>
  <c r="N16" i="24" a="1"/>
  <c r="N16" i="24" s="1"/>
  <c r="N18" i="24" a="1"/>
  <c r="N18" i="24" s="1"/>
  <c r="N10" i="24" a="1"/>
  <c r="N10" i="24" s="1"/>
  <c r="N17" i="24" a="1"/>
  <c r="N17" i="24" s="1"/>
  <c r="N3" i="24" a="1"/>
  <c r="N3" i="24" s="1"/>
  <c r="N9" i="24" a="1"/>
  <c r="N9" i="24" s="1"/>
  <c r="N21" i="24" a="1"/>
  <c r="N21" i="24" s="1"/>
  <c r="M2" i="24"/>
  <c r="N15" i="24" a="1"/>
  <c r="N15" i="24" s="1"/>
  <c r="N2" i="24" a="1"/>
  <c r="N2" i="24" s="1"/>
  <c r="N8" i="24" a="1"/>
  <c r="N8" i="24" s="1"/>
  <c r="N14" i="24" a="1"/>
  <c r="N14" i="24" s="1"/>
  <c r="N20" i="24" a="1"/>
  <c r="N20" i="24" s="1"/>
  <c r="N4" i="24" a="1"/>
  <c r="N4" i="24" s="1"/>
  <c r="M3" i="24"/>
  <c r="N7" i="24" a="1"/>
  <c r="N7" i="24" s="1"/>
  <c r="N13" i="24" a="1"/>
  <c r="N13" i="24" s="1"/>
  <c r="N19" i="24" a="1"/>
  <c r="N19" i="24" s="1"/>
  <c r="M4" i="24"/>
  <c r="N6" i="24" a="1"/>
  <c r="N6" i="24" s="1"/>
  <c r="N12" i="24" a="1"/>
  <c r="N12" i="24" s="1"/>
  <c r="N19" i="23" a="1"/>
  <c r="N19" i="23" s="1"/>
  <c r="N14" i="23" a="1"/>
  <c r="N14" i="23" s="1"/>
  <c r="N9" i="23" a="1"/>
  <c r="N9" i="23" s="1"/>
  <c r="N21" i="23" a="1"/>
  <c r="N21" i="23" s="1"/>
  <c r="N17" i="23" a="1"/>
  <c r="N17" i="23" s="1"/>
  <c r="N2" i="23" a="1"/>
  <c r="N2" i="23" s="1"/>
  <c r="N5" i="23" a="1"/>
  <c r="N5" i="23" s="1"/>
  <c r="N8" i="23" a="1"/>
  <c r="N8" i="23" s="1"/>
  <c r="N16" i="23" a="1"/>
  <c r="N16" i="23" s="1"/>
  <c r="M2" i="23"/>
  <c r="N10" i="23" a="1"/>
  <c r="N10" i="23" s="1"/>
  <c r="N4" i="23" a="1"/>
  <c r="N4" i="23" s="1"/>
  <c r="N12" i="23" a="1"/>
  <c r="N12" i="23" s="1"/>
  <c r="N20" i="23" a="1"/>
  <c r="N20" i="23" s="1"/>
  <c r="N6" i="23" a="1"/>
  <c r="N6" i="23" s="1"/>
  <c r="N18" i="23" a="1"/>
  <c r="N18" i="23" s="1"/>
  <c r="N13" i="23" a="1"/>
  <c r="N13" i="23" s="1"/>
  <c r="N3" i="23" a="1"/>
  <c r="N3" i="23" s="1"/>
  <c r="N7" i="23" a="1"/>
  <c r="N7" i="23" s="1"/>
  <c r="N11" i="23" a="1"/>
  <c r="N11" i="23" s="1"/>
  <c r="N15" i="23" a="1"/>
  <c r="N15" i="23" s="1"/>
  <c r="N2" i="22" a="1"/>
  <c r="N2" i="22" s="1"/>
  <c r="N19" i="22" a="1"/>
  <c r="N19" i="22" s="1"/>
  <c r="N7" i="22" a="1"/>
  <c r="N7" i="22" s="1"/>
  <c r="N3" i="22" a="1"/>
  <c r="N3" i="22" s="1"/>
  <c r="N6" i="22" a="1"/>
  <c r="N6" i="22" s="1"/>
  <c r="N9" i="22" a="1"/>
  <c r="N9" i="22" s="1"/>
  <c r="N12" i="22" a="1"/>
  <c r="N12" i="22" s="1"/>
  <c r="N15" i="22" a="1"/>
  <c r="N15" i="22" s="1"/>
  <c r="N18" i="22" a="1"/>
  <c r="N18" i="22" s="1"/>
  <c r="N21" i="22" a="1"/>
  <c r="N21" i="22" s="1"/>
  <c r="N13" i="22" a="1"/>
  <c r="N13" i="22" s="1"/>
  <c r="M2" i="22"/>
  <c r="M4" i="22"/>
  <c r="N4" i="22" a="1"/>
  <c r="N4" i="22" s="1"/>
  <c r="N16" i="22" a="1"/>
  <c r="N16" i="22" s="1"/>
  <c r="N5" i="22" a="1"/>
  <c r="N5" i="22" s="1"/>
  <c r="N8" i="22" a="1"/>
  <c r="N8" i="22" s="1"/>
  <c r="N11" i="22" a="1"/>
  <c r="N11" i="22" s="1"/>
  <c r="N14" i="22" a="1"/>
  <c r="N14" i="22" s="1"/>
  <c r="N17" i="22" a="1"/>
  <c r="N17" i="22" s="1"/>
  <c r="N20" i="22" a="1"/>
  <c r="N20" i="22" s="1"/>
  <c r="N10" i="22" a="1"/>
  <c r="N10" i="22" s="1"/>
  <c r="N13" i="21" a="1"/>
  <c r="N13" i="21" s="1"/>
  <c r="M2" i="21"/>
  <c r="N2" i="21" a="1"/>
  <c r="N2" i="21" s="1"/>
  <c r="N8" i="21" a="1"/>
  <c r="N8" i="21" s="1"/>
  <c r="M3" i="21"/>
  <c r="N3" i="21" a="1"/>
  <c r="N3" i="21" s="1"/>
  <c r="N4" i="21" a="1"/>
  <c r="N4" i="21" s="1"/>
  <c r="M5" i="21"/>
  <c r="N5" i="21" a="1"/>
  <c r="N5" i="21" s="1"/>
  <c r="N17" i="21" a="1"/>
  <c r="N17" i="21" s="1"/>
  <c r="N15" i="21" a="1"/>
  <c r="N15" i="21" s="1"/>
  <c r="N12" i="21" a="1"/>
  <c r="N12" i="21" s="1"/>
  <c r="M10" i="21"/>
  <c r="N7" i="21" a="1"/>
  <c r="N7" i="21" s="1"/>
  <c r="N19" i="21" a="1"/>
  <c r="N19" i="21" s="1"/>
  <c r="N10" i="21" a="1"/>
  <c r="N10" i="21" s="1"/>
  <c r="N14" i="21" a="1"/>
  <c r="N14" i="21" s="1"/>
  <c r="N9" i="21" a="1"/>
  <c r="N9" i="21" s="1"/>
  <c r="N21" i="21" a="1"/>
  <c r="N21" i="21" s="1"/>
  <c r="N16" i="21" a="1"/>
  <c r="N16" i="21" s="1"/>
  <c r="N20" i="21" a="1"/>
  <c r="N20" i="21" s="1"/>
  <c r="N11" i="21" a="1"/>
  <c r="N11" i="21" s="1"/>
  <c r="N6" i="21" a="1"/>
  <c r="N6" i="21" s="1"/>
  <c r="N18" i="21" a="1"/>
  <c r="N18" i="21" s="1"/>
  <c r="N12" i="20" a="1"/>
  <c r="N12" i="20" s="1"/>
  <c r="N14" i="20" a="1"/>
  <c r="N14" i="20" s="1"/>
  <c r="N4" i="20" a="1"/>
  <c r="N4" i="20" s="1"/>
  <c r="N10" i="20" a="1"/>
  <c r="N10" i="20" s="1"/>
  <c r="N18" i="20" a="1"/>
  <c r="N18" i="20" s="1"/>
  <c r="N5" i="20" a="1"/>
  <c r="N5" i="20" s="1"/>
  <c r="N7" i="20" a="1"/>
  <c r="N7" i="20" s="1"/>
  <c r="N9" i="20" a="1"/>
  <c r="N9" i="20" s="1"/>
  <c r="N11" i="20" a="1"/>
  <c r="N11" i="20" s="1"/>
  <c r="N13" i="20" a="1"/>
  <c r="N13" i="20" s="1"/>
  <c r="N15" i="20" a="1"/>
  <c r="N15" i="20" s="1"/>
  <c r="N17" i="20" a="1"/>
  <c r="N17" i="20" s="1"/>
  <c r="N19" i="20" a="1"/>
  <c r="N19" i="20" s="1"/>
  <c r="N21" i="20" a="1"/>
  <c r="N21" i="20" s="1"/>
  <c r="N2" i="20" a="1"/>
  <c r="N2" i="20" s="1"/>
  <c r="N8" i="20" a="1"/>
  <c r="N8" i="20" s="1"/>
  <c r="N16" i="20" a="1"/>
  <c r="N16" i="20" s="1"/>
  <c r="N3" i="20" a="1"/>
  <c r="N3" i="20" s="1"/>
  <c r="N20" i="20" a="1"/>
  <c r="N20" i="20" s="1"/>
  <c r="M2" i="20"/>
  <c r="N6" i="20" a="1"/>
  <c r="N6" i="20" s="1"/>
  <c r="N12" i="19" a="1"/>
  <c r="N12" i="19" s="1"/>
  <c r="N19" i="19" a="1"/>
  <c r="N19" i="19" s="1"/>
  <c r="N17" i="19" a="1"/>
  <c r="N17" i="19" s="1"/>
  <c r="M10" i="19"/>
  <c r="N15" i="19" a="1"/>
  <c r="N15" i="19" s="1"/>
  <c r="N13" i="19" a="1"/>
  <c r="N13" i="19" s="1"/>
  <c r="N18" i="19" a="1"/>
  <c r="N18" i="19" s="1"/>
  <c r="N6" i="19" a="1"/>
  <c r="N6" i="19" s="1"/>
  <c r="N11" i="19" a="1"/>
  <c r="N11" i="19" s="1"/>
  <c r="N21" i="19" a="1"/>
  <c r="N21" i="19" s="1"/>
  <c r="N10" i="19" a="1"/>
  <c r="N10" i="19" s="1"/>
  <c r="N20" i="19" a="1"/>
  <c r="N20" i="19" s="1"/>
  <c r="N16" i="19" a="1"/>
  <c r="N16" i="19" s="1"/>
  <c r="N9" i="19" a="1"/>
  <c r="N9" i="19" s="1"/>
  <c r="N2" i="19" a="1"/>
  <c r="N2" i="19" s="1"/>
  <c r="N14" i="19" a="1"/>
  <c r="N14" i="19" s="1"/>
  <c r="N5" i="19" a="1"/>
  <c r="N5" i="19" s="1"/>
  <c r="M3" i="19"/>
  <c r="N3" i="19" a="1"/>
  <c r="N3" i="19" s="1"/>
  <c r="N4" i="19" a="1"/>
  <c r="N4" i="19" s="1"/>
  <c r="M2" i="19"/>
  <c r="N7" i="19" a="1"/>
  <c r="N7" i="19" s="1"/>
  <c r="N21" i="18" a="1"/>
  <c r="N21" i="18" s="1"/>
  <c r="M4" i="18"/>
  <c r="N7" i="18" a="1"/>
  <c r="N7" i="18" s="1"/>
  <c r="N13" i="18" a="1"/>
  <c r="N13" i="18" s="1"/>
  <c r="N2" i="18" a="1"/>
  <c r="N2" i="18" s="1"/>
  <c r="N11" i="18" a="1"/>
  <c r="N11" i="18" s="1"/>
  <c r="N17" i="18" a="1"/>
  <c r="N17" i="18" s="1"/>
  <c r="N4" i="18" a="1"/>
  <c r="N4" i="18" s="1"/>
  <c r="N16" i="18" a="1"/>
  <c r="N16" i="18" s="1"/>
  <c r="N5" i="18" a="1"/>
  <c r="N5" i="18" s="1"/>
  <c r="N14" i="18" a="1"/>
  <c r="N14" i="18" s="1"/>
  <c r="N20" i="18" a="1"/>
  <c r="N20" i="18" s="1"/>
  <c r="N10" i="18" a="1"/>
  <c r="N10" i="18" s="1"/>
  <c r="M2" i="18"/>
  <c r="N8" i="18" a="1"/>
  <c r="N8" i="18" s="1"/>
  <c r="N3" i="18" a="1"/>
  <c r="N3" i="18" s="1"/>
  <c r="N6" i="18" a="1"/>
  <c r="N6" i="18" s="1"/>
  <c r="N9" i="18" a="1"/>
  <c r="N9" i="18" s="1"/>
  <c r="N12" i="18" a="1"/>
  <c r="N12" i="18" s="1"/>
  <c r="N15" i="18" a="1"/>
  <c r="N15" i="18" s="1"/>
  <c r="N18" i="18" a="1"/>
  <c r="N18" i="18" s="1"/>
  <c r="M2" i="17"/>
  <c r="M4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<sst xmlns="http://schemas.openxmlformats.org/spreadsheetml/2006/main" count="3946" uniqueCount="80">
  <si>
    <t>Order ID</t>
  </si>
  <si>
    <t>Customer Info</t>
  </si>
  <si>
    <t>Product</t>
  </si>
  <si>
    <t>Category</t>
  </si>
  <si>
    <t>Quantity</t>
  </si>
  <si>
    <t>Price</t>
  </si>
  <si>
    <t>Region</t>
  </si>
  <si>
    <t>Order Date</t>
  </si>
  <si>
    <t>Channel</t>
  </si>
  <si>
    <t>Status</t>
  </si>
  <si>
    <t>Discount</t>
  </si>
  <si>
    <t>Arjun | 9876543210</t>
  </si>
  <si>
    <t>Pen</t>
  </si>
  <si>
    <t>Stationery</t>
  </si>
  <si>
    <t>india</t>
  </si>
  <si>
    <t>Online</t>
  </si>
  <si>
    <t>Delivered</t>
  </si>
  <si>
    <t>Neha | 9123456780</t>
  </si>
  <si>
    <t>Notebook</t>
  </si>
  <si>
    <t>US</t>
  </si>
  <si>
    <t>Offline</t>
  </si>
  <si>
    <t>Pending</t>
  </si>
  <si>
    <t>Rohit | 9988776655</t>
  </si>
  <si>
    <t>Pencil</t>
  </si>
  <si>
    <t>UK</t>
  </si>
  <si>
    <t>Simran | 9012345678</t>
  </si>
  <si>
    <t>Eraser</t>
  </si>
  <si>
    <t>UAE</t>
  </si>
  <si>
    <t>App</t>
  </si>
  <si>
    <t>Karan | 9090909090</t>
  </si>
  <si>
    <t>India</t>
  </si>
  <si>
    <t>Riya | 9345678901</t>
  </si>
  <si>
    <t>us</t>
  </si>
  <si>
    <t>Amit | 9234567890</t>
  </si>
  <si>
    <t>Cancelled</t>
  </si>
  <si>
    <t>Sara | 9876501234</t>
  </si>
  <si>
    <t>John | 9988001122</t>
  </si>
  <si>
    <t>Uk</t>
  </si>
  <si>
    <t>Meena | 9765432109</t>
  </si>
  <si>
    <t>Returned</t>
  </si>
  <si>
    <t>Vikram | 9123001122</t>
  </si>
  <si>
    <t>Pooja | 9345001123</t>
  </si>
  <si>
    <t>Kiran | 9000011122</t>
  </si>
  <si>
    <t>Anil | 9888800011</t>
  </si>
  <si>
    <t>Divya | 9777700011</t>
  </si>
  <si>
    <t>Rahul | 9666600011</t>
  </si>
  <si>
    <t>Sneha | 9555500011</t>
  </si>
  <si>
    <t>Karthik | 9001122334</t>
  </si>
  <si>
    <t>Lavanya | 9011223344</t>
  </si>
  <si>
    <t>Manoj | 9022334455</t>
  </si>
  <si>
    <t>Sales</t>
  </si>
  <si>
    <t>Sales=Quantity * Price</t>
  </si>
  <si>
    <t xml:space="preserve">Total Sales </t>
  </si>
  <si>
    <t>Average Sales</t>
  </si>
  <si>
    <t>Highest  Sales Value</t>
  </si>
  <si>
    <t>Lowest Sales Value</t>
  </si>
  <si>
    <t>Total Orders</t>
  </si>
  <si>
    <t>Orders From India</t>
  </si>
  <si>
    <t>Quantity &gt; 5</t>
  </si>
  <si>
    <t>Missing Order Date</t>
  </si>
  <si>
    <t>Average Sales(India)</t>
  </si>
  <si>
    <t>Performance Classification for Sales</t>
  </si>
  <si>
    <t>Sales &gt; 500 AND Delivered</t>
  </si>
  <si>
    <t>Quantity = 0 OR Sales &lt; 100</t>
  </si>
  <si>
    <t>Valid/Check</t>
  </si>
  <si>
    <t>Customer Name</t>
  </si>
  <si>
    <t>Customer Number</t>
  </si>
  <si>
    <t>Remove Extra Spaces</t>
  </si>
  <si>
    <t>Standardize Region</t>
  </si>
  <si>
    <t>Remove "pcs"</t>
  </si>
  <si>
    <t>Year</t>
  </si>
  <si>
    <t>Month</t>
  </si>
  <si>
    <t>Month2</t>
  </si>
  <si>
    <t>Days Since order</t>
  </si>
  <si>
    <t>Old/Recent</t>
  </si>
  <si>
    <t>Sales &gt; 500</t>
  </si>
  <si>
    <t>Unique Products</t>
  </si>
  <si>
    <t>High Sales&gt;800</t>
  </si>
  <si>
    <t>Missing Values</t>
  </si>
  <si>
    <t>Invalid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</si>
</sst>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9" fontId="1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2" fillId="0" borderId="0" xfId="0" applyFont="1"/>
    <xf numFmtId="9" fontId="1" fillId="0" borderId="9" xfId="0" applyNumberFormat="1" applyFont="1" applyBorder="1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NumberFormat="1" applyFont="1" applyAlignment="1">
      <alignment wrapText="1"/>
    </xf>
    <xf numFmtId="0" fontId="7" fillId="0" borderId="0" xfId="0" applyFont="1"/>
    <xf numFmtId="0" fontId="8" fillId="0" borderId="0" xfId="0" applyFont="1"/>
    <xf numFmtId="14" fontId="1" fillId="0" borderId="8" xfId="0" applyNumberFormat="1" applyFont="1" applyBorder="1" applyAlignment="1">
      <alignment wrapText="1"/>
    </xf>
  </cellXfs>
  <cellStyles count="1">
    <cellStyle name="Normal" xfId="0" builtinId="0"/>
  </cellStyles>
  <dxfs count="629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485913</xdr:colOff>
      <xdr:row>4</xdr:row>
      <xdr:rowOff>237953</xdr:rowOff>
    </xdr:from>
    <xdr:to>
      <xdr:col>28</xdr:col>
      <xdr:colOff>88141</xdr:colOff>
      <xdr:row>24</xdr:row>
      <xdr:rowOff>62390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DB725-6211-4B2E-A02C-CA6DBA11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2453" y="1167593"/>
          <a:ext cx="8136628" cy="52422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485913</xdr:colOff>
      <xdr:row>5</xdr:row>
      <xdr:rowOff>135713</xdr:rowOff>
    </xdr:from>
    <xdr:to>
      <xdr:col>30</xdr:col>
      <xdr:colOff>233028</xdr:colOff>
      <xdr:row>23</xdr:row>
      <xdr:rowOff>143703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408CF-E2C8-60E1-27A5-38C005E7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0435" y="1350496"/>
          <a:ext cx="10901028" cy="4977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578363</xdr:colOff>
      <xdr:row>7</xdr:row>
      <xdr:rowOff>77304</xdr:rowOff>
    </xdr:from>
    <xdr:to>
      <xdr:col>28</xdr:col>
      <xdr:colOff>275073</xdr:colOff>
      <xdr:row>22</xdr:row>
      <xdr:rowOff>59682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7C029F-AA0A-D5A1-7E22-DBCEE32A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2885" y="1822174"/>
          <a:ext cx="9657927" cy="4234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320818</xdr:colOff>
      <xdr:row>5</xdr:row>
      <xdr:rowOff>121478</xdr:rowOff>
    </xdr:from>
    <xdr:to>
      <xdr:col>28</xdr:col>
      <xdr:colOff>265045</xdr:colOff>
      <xdr:row>19</xdr:row>
      <xdr:rowOff>270928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A05096-B814-A48E-C654-A589CDC1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5340" y="1336261"/>
          <a:ext cx="9982748" cy="41251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247710</xdr:colOff>
      <xdr:row>6</xdr:row>
      <xdr:rowOff>231913</xdr:rowOff>
    </xdr:from>
    <xdr:to>
      <xdr:col>27</xdr:col>
      <xdr:colOff>227154</xdr:colOff>
      <xdr:row>19</xdr:row>
      <xdr:rowOff>259240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A4F27C-6373-1FC4-9B8D-6304C940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9623" y="1678609"/>
          <a:ext cx="8648574" cy="37710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733322</xdr:colOff>
      <xdr:row>5</xdr:row>
      <xdr:rowOff>121478</xdr:rowOff>
    </xdr:from>
    <xdr:to>
      <xdr:col>28</xdr:col>
      <xdr:colOff>397564</xdr:colOff>
      <xdr:row>26</xdr:row>
      <xdr:rowOff>165652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005F1B-F4D8-403C-854B-74E41C695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7844" y="1336261"/>
          <a:ext cx="9459807" cy="55769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430119</xdr:colOff>
      <xdr:row>5</xdr:row>
      <xdr:rowOff>0</xdr:rowOff>
    </xdr:from>
    <xdr:to>
      <xdr:col>26</xdr:col>
      <xdr:colOff>220870</xdr:colOff>
      <xdr:row>27</xdr:row>
      <xdr:rowOff>165653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C13EA2-49D3-2D86-D8DD-656ACF38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4641" y="1214783"/>
          <a:ext cx="9464838" cy="58861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985881</xdr:colOff>
      <xdr:row>6</xdr:row>
      <xdr:rowOff>99391</xdr:rowOff>
    </xdr:from>
    <xdr:to>
      <xdr:col>27</xdr:col>
      <xdr:colOff>297095</xdr:colOff>
      <xdr:row>29</xdr:row>
      <xdr:rowOff>154608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A550D6-278A-7478-AC13-042A8845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0403" y="1546087"/>
          <a:ext cx="8543562" cy="591930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559574</xdr:colOff>
      <xdr:row>4</xdr:row>
      <xdr:rowOff>276087</xdr:rowOff>
    </xdr:from>
    <xdr:to>
      <xdr:col>27</xdr:col>
      <xdr:colOff>419652</xdr:colOff>
      <xdr:row>28</xdr:row>
      <xdr:rowOff>55218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64BA45-26D6-40F5-9398-1663E0A0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4096" y="1203739"/>
          <a:ext cx="9777121" cy="59745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331304</xdr:colOff>
      <xdr:row>5</xdr:row>
      <xdr:rowOff>209826</xdr:rowOff>
    </xdr:from>
    <xdr:to>
      <xdr:col>27</xdr:col>
      <xdr:colOff>120599</xdr:colOff>
      <xdr:row>26</xdr:row>
      <xdr:rowOff>99392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9A59C9-9AD3-8F1C-DCAE-3F07B61D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826" y="1424609"/>
          <a:ext cx="10125990" cy="542234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342348</xdr:colOff>
      <xdr:row>1</xdr:row>
      <xdr:rowOff>165652</xdr:rowOff>
    </xdr:from>
    <xdr:to>
      <xdr:col>27</xdr:col>
      <xdr:colOff>276813</xdr:colOff>
      <xdr:row>30</xdr:row>
      <xdr:rowOff>110435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59806-6640-D43D-8DF9-EFA8C88CB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88957" y="519043"/>
          <a:ext cx="7830552" cy="725556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585305</xdr:colOff>
      <xdr:row>4</xdr:row>
      <xdr:rowOff>165653</xdr:rowOff>
    </xdr:from>
    <xdr:to>
      <xdr:col>22</xdr:col>
      <xdr:colOff>573575</xdr:colOff>
      <xdr:row>22</xdr:row>
      <xdr:rowOff>121478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7E2B5D-275D-0734-F325-C21B7840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4522" y="1258957"/>
          <a:ext cx="7873314" cy="502478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523971</xdr:colOff>
      <xdr:row>6</xdr:row>
      <xdr:rowOff>55217</xdr:rowOff>
    </xdr:from>
    <xdr:to>
      <xdr:col>23</xdr:col>
      <xdr:colOff>0</xdr:colOff>
      <xdr:row>25</xdr:row>
      <xdr:rowOff>99392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90BFEC-C464-C916-9920-486D6DF77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0580" y="1667565"/>
          <a:ext cx="7361072" cy="51573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618435</xdr:colOff>
      <xdr:row>1</xdr:row>
      <xdr:rowOff>176170</xdr:rowOff>
    </xdr:from>
    <xdr:to>
      <xdr:col>29</xdr:col>
      <xdr:colOff>187739</xdr:colOff>
      <xdr:row>24</xdr:row>
      <xdr:rowOff>66262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955718-8E2F-958E-B091-7F4E23D3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0174" y="529561"/>
          <a:ext cx="9132956" cy="60744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353392</xdr:colOff>
      <xdr:row>0</xdr:row>
      <xdr:rowOff>231912</xdr:rowOff>
    </xdr:from>
    <xdr:to>
      <xdr:col>33</xdr:col>
      <xdr:colOff>578479</xdr:colOff>
      <xdr:row>20</xdr:row>
      <xdr:rowOff>135435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A6019-F0B4-E321-9092-AC245DE9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97044" y="231912"/>
          <a:ext cx="11158131" cy="564613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519043</xdr:colOff>
      <xdr:row>0</xdr:row>
      <xdr:rowOff>154610</xdr:rowOff>
    </xdr:from>
    <xdr:to>
      <xdr:col>37</xdr:col>
      <xdr:colOff>265043</xdr:colOff>
      <xdr:row>23</xdr:row>
      <xdr:rowOff>167958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8C498-E34C-5F58-3F16-4CFD1A29A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65826" y="154610"/>
          <a:ext cx="12501217" cy="63633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165653</xdr:rowOff>
    </xdr:from>
    <xdr:to>
      <xdr:col>39</xdr:col>
      <xdr:colOff>352319</xdr:colOff>
      <xdr:row>19</xdr:row>
      <xdr:rowOff>342349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66065-622B-BF43-3894-27B2D643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38348" y="519044"/>
          <a:ext cx="13107536" cy="517939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463826</xdr:colOff>
      <xdr:row>1</xdr:row>
      <xdr:rowOff>0</xdr:rowOff>
    </xdr:from>
    <xdr:to>
      <xdr:col>41</xdr:col>
      <xdr:colOff>303497</xdr:colOff>
      <xdr:row>23</xdr:row>
      <xdr:rowOff>132522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2C6773-C053-299E-FC68-C89E797B1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28609" y="353391"/>
          <a:ext cx="13809671" cy="612913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419652</xdr:colOff>
      <xdr:row>0</xdr:row>
      <xdr:rowOff>287130</xdr:rowOff>
    </xdr:from>
    <xdr:to>
      <xdr:col>43</xdr:col>
      <xdr:colOff>562599</xdr:colOff>
      <xdr:row>23</xdr:row>
      <xdr:rowOff>132522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50A86B-5534-6791-AF3D-6E927C0AF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55652" y="287130"/>
          <a:ext cx="14720338" cy="619539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217272</xdr:colOff>
      <xdr:row>0</xdr:row>
      <xdr:rowOff>0</xdr:rowOff>
    </xdr:from>
    <xdr:to>
      <xdr:col>44</xdr:col>
      <xdr:colOff>448289</xdr:colOff>
      <xdr:row>25</xdr:row>
      <xdr:rowOff>165652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D3ABD-EBDF-B0DF-AEAB-F1AC46F55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8055" y="0"/>
          <a:ext cx="14201017" cy="68911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386521</xdr:colOff>
      <xdr:row>0</xdr:row>
      <xdr:rowOff>22087</xdr:rowOff>
    </xdr:from>
    <xdr:to>
      <xdr:col>44</xdr:col>
      <xdr:colOff>379379</xdr:colOff>
      <xdr:row>16</xdr:row>
      <xdr:rowOff>24549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81E5C-5B29-2A7C-E114-0E657431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44695" y="22087"/>
          <a:ext cx="13355467" cy="4475071"/>
        </a:xfrm>
        <a:prstGeom prst="rect">
          <a:avLst/>
        </a:prstGeom>
      </xdr:spPr>
    </xdr:pic>
    <xdr:clientData/>
  </xdr:twoCellAnchor>
  <xdr:twoCellAnchor editAs="oneCell">
    <xdr:from>
      <xdr:col>22</xdr:col>
      <xdr:colOff>265043</xdr:colOff>
      <xdr:row>16</xdr:row>
      <xdr:rowOff>199438</xdr:rowOff>
    </xdr:from>
    <xdr:to>
      <xdr:col>44</xdr:col>
      <xdr:colOff>397565</xdr:colOff>
      <xdr:row>37</xdr:row>
      <xdr:rowOff>21128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F337CD-3CCB-BA41-4560-6ED4CE732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23217" y="4672047"/>
          <a:ext cx="13495131" cy="432742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47</xdr:col>
      <xdr:colOff>562599</xdr:colOff>
      <xdr:row>17</xdr:row>
      <xdr:rowOff>110055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7DB5B6-F565-791D-36CA-A1B1F0DC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36783" y="353391"/>
          <a:ext cx="14532599" cy="454953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430696</xdr:colOff>
      <xdr:row>2</xdr:row>
      <xdr:rowOff>154608</xdr:rowOff>
    </xdr:from>
    <xdr:to>
      <xdr:col>49</xdr:col>
      <xdr:colOff>116919</xdr:colOff>
      <xdr:row>19</xdr:row>
      <xdr:rowOff>375478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12D051-49B4-EEAA-A039-20487754B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90261" y="706782"/>
          <a:ext cx="13656223" cy="502478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4</xdr:row>
      <xdr:rowOff>0</xdr:rowOff>
    </xdr:from>
    <xdr:to>
      <xdr:col>49</xdr:col>
      <xdr:colOff>135842</xdr:colOff>
      <xdr:row>19</xdr:row>
      <xdr:rowOff>355337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12D30-76DE-D8B9-8947-D4AFB5AAB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59565" y="1093304"/>
          <a:ext cx="14105842" cy="461812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242956</xdr:colOff>
      <xdr:row>25</xdr:row>
      <xdr:rowOff>0</xdr:rowOff>
    </xdr:from>
    <xdr:to>
      <xdr:col>21</xdr:col>
      <xdr:colOff>198782</xdr:colOff>
      <xdr:row>46</xdr:row>
      <xdr:rowOff>10602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51C54C-7596-0EDC-D116-C189A276C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7739" y="3290957"/>
          <a:ext cx="14941826" cy="395312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265044</xdr:colOff>
      <xdr:row>0</xdr:row>
      <xdr:rowOff>298175</xdr:rowOff>
    </xdr:from>
    <xdr:to>
      <xdr:col>47</xdr:col>
      <xdr:colOff>293874</xdr:colOff>
      <xdr:row>20</xdr:row>
      <xdr:rowOff>94106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7B7F2A-00BC-6AA1-2607-7DCADBB9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4609" y="298175"/>
          <a:ext cx="13391439" cy="55385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48</xdr:col>
      <xdr:colOff>570220</xdr:colOff>
      <xdr:row>19</xdr:row>
      <xdr:rowOff>49802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6D6C8-DFDC-3A14-14B8-B2C9283E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52174" y="353391"/>
          <a:ext cx="14540220" cy="505249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379592</xdr:colOff>
      <xdr:row>3</xdr:row>
      <xdr:rowOff>121478</xdr:rowOff>
    </xdr:from>
    <xdr:to>
      <xdr:col>46</xdr:col>
      <xdr:colOff>371953</xdr:colOff>
      <xdr:row>18</xdr:row>
      <xdr:rowOff>267313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64B89A-C7BB-FAD3-75D4-7DFD8682A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31766" y="1126435"/>
          <a:ext cx="13741491" cy="4397574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</xdr:row>
      <xdr:rowOff>0</xdr:rowOff>
    </xdr:from>
    <xdr:to>
      <xdr:col>67</xdr:col>
      <xdr:colOff>583907</xdr:colOff>
      <xdr:row>19</xdr:row>
      <xdr:rowOff>212225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7F2D02-7DF4-3274-9676-3E1E1412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29565" y="1004957"/>
          <a:ext cx="11903472" cy="4740051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</xdr:row>
      <xdr:rowOff>0</xdr:rowOff>
    </xdr:from>
    <xdr:to>
      <xdr:col>92</xdr:col>
      <xdr:colOff>452809</xdr:colOff>
      <xdr:row>22</xdr:row>
      <xdr:rowOff>91910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BA3774-89F1-434D-81BF-DEB82FE82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65217" y="1004957"/>
          <a:ext cx="14334462" cy="54259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076A8F-FA04-43AE-943A-50CD7C26BE41}" name="Table13" displayName="Table13" ref="A1:K21" totalsRowShown="0" headerRowDxfId="628" dataDxfId="627" headerRowBorderDxfId="625" tableBorderDxfId="626" totalsRowBorderDxfId="624">
  <tableColumns count="11">
    <tableColumn id="1" xr3:uid="{47D42729-D413-4852-BEE3-1F10F62B1FFC}" name="Order ID" dataDxfId="623"/>
    <tableColumn id="2" xr3:uid="{67345330-DBCE-4862-ABD7-DB6C1F090075}" name="Customer Info" dataDxfId="622"/>
    <tableColumn id="3" xr3:uid="{A2C3DD19-180F-4F5C-B461-18DE7A569F3F}" name="Product" dataDxfId="621"/>
    <tableColumn id="4" xr3:uid="{49AC1B9F-3E4E-4A2C-A3DE-98F86B97E343}" name="Category" dataDxfId="620"/>
    <tableColumn id="5" xr3:uid="{5EB2FA2D-8D27-4C4E-826C-FD9A514761C4}" name="Quantity" dataDxfId="619"/>
    <tableColumn id="6" xr3:uid="{7454C5EF-E4DD-4C25-A4AB-6F3B66F63CC6}" name="Price" dataDxfId="618"/>
    <tableColumn id="7" xr3:uid="{B9AA430D-0BF0-4F1C-AFF6-70A322299096}" name="Region" dataDxfId="617"/>
    <tableColumn id="8" xr3:uid="{C50EFCD8-3557-4BCE-90FB-76957BB81F9F}" name="Order Date" dataDxfId="616"/>
    <tableColumn id="9" xr3:uid="{81AEEECE-6F37-41ED-BC85-4D3115BE56A6}" name="Channel" dataDxfId="615"/>
    <tableColumn id="10" xr3:uid="{F01FD4CF-4763-484F-A27A-6822E08CAD20}" name="Status" dataDxfId="614"/>
    <tableColumn id="11" xr3:uid="{F7D7BDBE-ECFA-4529-9EF5-9B2C796E7950}" name="Discount" dataDxfId="6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DE6920-309F-4148-A0BE-E4E0BED50429}" name="Table145" displayName="Table145" ref="A1:L21" totalsRowShown="0" headerRowDxfId="578" dataDxfId="577" headerRowBorderDxfId="575" tableBorderDxfId="576" totalsRowBorderDxfId="574">
  <tableColumns count="12">
    <tableColumn id="1" xr3:uid="{9E3D8815-F266-428F-A2AB-670D66670845}" name="Order ID" dataDxfId="573"/>
    <tableColumn id="2" xr3:uid="{A376BCAA-BC42-4FED-88A6-991DD59D5C8F}" name="Customer Info" dataDxfId="572"/>
    <tableColumn id="3" xr3:uid="{EFA0B742-3879-4ADC-BFF8-808485B92B37}" name="Product" dataDxfId="571"/>
    <tableColumn id="4" xr3:uid="{88319EF6-F15A-443F-B0F8-AECB1F37C380}" name="Category" dataDxfId="570"/>
    <tableColumn id="5" xr3:uid="{1786DD8F-8A43-45FC-A6A7-4DDA483BF51F}" name="Quantity" dataDxfId="569"/>
    <tableColumn id="6" xr3:uid="{4C086C45-7B1B-43D6-B0F2-8C463088CAAE}" name="Price" dataDxfId="568"/>
    <tableColumn id="7" xr3:uid="{A59796C6-0B80-4812-8865-5918BFE0420E}" name="Region" dataDxfId="567"/>
    <tableColumn id="8" xr3:uid="{83C92323-9CD1-4313-A16D-12AED0A83314}" name="Order Date" dataDxfId="566"/>
    <tableColumn id="9" xr3:uid="{4F3193B7-DA95-40EC-843E-FA9E0851BB8C}" name="Channel" dataDxfId="565"/>
    <tableColumn id="10" xr3:uid="{199EB1EF-C5EE-4F36-857C-7FE9CC53E48A}" name="Status" dataDxfId="564"/>
    <tableColumn id="11" xr3:uid="{3C824747-630C-4BB6-A340-51293AB6FFF5}" name="Discount" dataDxfId="563"/>
    <tableColumn id="12" xr3:uid="{BC3780D8-43C0-4CF1-82FB-7D08AFB5AE7B}" name="Sales" dataDxfId="562">
      <calculatedColumnFormula>Table145[[#This Row],[Quantity]]*Table145[[#This Row],[Price]]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0A5C9-23F8-4D2D-A3C0-7B506CAE6ADF}" name="Table1" displayName="Table1" ref="A1:L21" totalsRowShown="0" headerRowDxfId="595" dataDxfId="594" headerRowBorderDxfId="592" tableBorderDxfId="593" totalsRowBorderDxfId="591">
  <tableColumns count="12">
    <tableColumn id="1" xr3:uid="{8E0F870D-A969-46C2-AE79-285A8EA059A3}" name="Order ID" dataDxfId="590"/>
    <tableColumn id="2" xr3:uid="{6CFF80F7-E1F2-4BE7-B270-1E6A1A214895}" name="Customer Info" dataDxfId="589"/>
    <tableColumn id="3" xr3:uid="{1F30C068-AD46-4661-80D9-D119C68BC8C8}" name="Product" dataDxfId="588"/>
    <tableColumn id="4" xr3:uid="{D5EBB165-FA5E-4AA0-AA3D-1AC155A97D8C}" name="Category" dataDxfId="587"/>
    <tableColumn id="5" xr3:uid="{16D08ACD-F829-48A3-94B0-B6CC243B839F}" name="Quantity" dataDxfId="586"/>
    <tableColumn id="6" xr3:uid="{800BDAC5-434F-4870-9461-FDAA1098E566}" name="Price" dataDxfId="585"/>
    <tableColumn id="7" xr3:uid="{C2B6A4F1-35BC-42AD-A676-3BAE4A64084E}" name="Region" dataDxfId="584"/>
    <tableColumn id="8" xr3:uid="{317F9CB4-37B8-43BD-ABBE-E0F71263AE45}" name="Order Date" dataDxfId="583"/>
    <tableColumn id="9" xr3:uid="{DDFF236E-A4BE-4B5E-8063-50C2FB36B560}" name="Channel" dataDxfId="582"/>
    <tableColumn id="10" xr3:uid="{65D83B5E-A907-45E8-A5B5-9EF9D536366A}" name="Status" dataDxfId="581"/>
    <tableColumn id="11" xr3:uid="{86F777CF-0D33-4B86-8651-17962A738B3F}" name="Discount" dataDxfId="580"/>
    <tableColumn id="12" xr3:uid="{42A901D5-E091-4CD2-BFA7-E0E041D397A5}" name="Sales" dataDxfId="579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08C7D1-6CC9-400E-93D0-3207FD9D9EFF}" name="Table14" displayName="Table14" ref="A1:L21" totalsRowShown="0" headerRowDxfId="612" dataDxfId="611" headerRowBorderDxfId="609" tableBorderDxfId="610" totalsRowBorderDxfId="608">
  <tableColumns count="12">
    <tableColumn id="1" xr3:uid="{476D6A77-6993-4CAB-AA3B-0D96E203947F}" name="Order ID" dataDxfId="607"/>
    <tableColumn id="2" xr3:uid="{3ADEF79D-AE09-468C-8EAC-DFE627CCCBAD}" name="Customer Info" dataDxfId="606"/>
    <tableColumn id="3" xr3:uid="{D8EA2D83-8784-4C77-99D0-4CD47B73ACB0}" name="Product" dataDxfId="605"/>
    <tableColumn id="4" xr3:uid="{83F46B1C-E65A-42E0-85E8-DC9B31C4D89E}" name="Category" dataDxfId="604"/>
    <tableColumn id="5" xr3:uid="{49B2768A-450E-4C1E-B0CF-85BB5DAD9C00}" name="Quantity" dataDxfId="603"/>
    <tableColumn id="6" xr3:uid="{FF5976E6-4F70-417D-A83B-631DBCCC33B4}" name="Price" dataDxfId="602"/>
    <tableColumn id="7" xr3:uid="{FAB7A29C-A6A5-4187-BE3A-2927AAE5CBBD}" name="Region" dataDxfId="601"/>
    <tableColumn id="8" xr3:uid="{8BC0346A-ED95-4973-A26F-A90C36F1111A}" name="Order Date" dataDxfId="600"/>
    <tableColumn id="9" xr3:uid="{671EEB64-344E-4653-9623-EE6DB4033320}" name="Channel" dataDxfId="599"/>
    <tableColumn id="10" xr3:uid="{9B3485CE-465C-480F-A04A-1A2FC6615D3B}" name="Status" dataDxfId="598"/>
    <tableColumn id="11" xr3:uid="{F10D1AF6-EB63-40B2-A148-F48B4B99238A}" name="Discount" dataDxfId="597"/>
    <tableColumn id="12" xr3:uid="{E8E87467-ED2E-4AC4-BD89-A68DEEF496E1}" name="Sales" dataDxfId="596">
      <calculatedColumnFormula>Table14[[#This Row],[Quantity]]*Table14[[#This Row],[Price]]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A6250B-D7BB-4CF9-BE4E-891CF5A29AC4}" name="Table1456" displayName="Table1456" ref="A1:L21" totalsRowShown="0" headerRowDxfId="561" dataDxfId="560" headerRowBorderDxfId="558" tableBorderDxfId="559" totalsRowBorderDxfId="557">
  <tableColumns count="12">
    <tableColumn id="1" xr3:uid="{71B722AE-E4CC-4513-ACCD-79B329166C03}" name="Order ID" dataDxfId="556"/>
    <tableColumn id="2" xr3:uid="{E2177471-97AD-46B7-831F-FB68E48E2BFE}" name="Customer Info" dataDxfId="555"/>
    <tableColumn id="3" xr3:uid="{00707FD9-A093-4A46-B73E-B25D803C9C33}" name="Product" dataDxfId="554"/>
    <tableColumn id="4" xr3:uid="{8F7CF1C0-6547-444D-813A-95A697779BA7}" name="Category" dataDxfId="553"/>
    <tableColumn id="5" xr3:uid="{C374EED0-BD82-498B-A897-A9D5B74B6450}" name="Quantity" dataDxfId="552"/>
    <tableColumn id="6" xr3:uid="{8EFD221A-B6A3-4633-823D-85D97091AFC9}" name="Price" dataDxfId="551"/>
    <tableColumn id="7" xr3:uid="{2A68C773-022E-44DC-B464-A5D6E106CDBF}" name="Region" dataDxfId="550"/>
    <tableColumn id="8" xr3:uid="{5E1BDD48-ACFF-43E2-84C4-ADA7FBC5D168}" name="Order Date" dataDxfId="549"/>
    <tableColumn id="9" xr3:uid="{3635C780-0FD0-4EFF-9F84-9FB9CD3A98D8}" name="Channel" dataDxfId="548"/>
    <tableColumn id="10" xr3:uid="{442F197E-76BA-433C-9CA5-8C5A340C5B77}" name="Status" dataDxfId="547"/>
    <tableColumn id="11" xr3:uid="{141E2E22-04DC-42F9-BFE6-374F11E3DC7C}" name="Discount" dataDxfId="546"/>
    <tableColumn id="12" xr3:uid="{DCCB9958-508F-4162-8879-6740C0CE3905}" name="Sales" dataDxfId="545">
      <calculatedColumnFormula>Table1456[[#This Row],[Quantity]]*Table1456[[#This Row],[Price]]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5C0B8B-1ABE-4EDC-80C1-0C9BCB76ABF8}" name="Table1457" displayName="Table1457" ref="A1:L21" totalsRowShown="0" headerRowDxfId="544" dataDxfId="543" headerRowBorderDxfId="541" tableBorderDxfId="542" totalsRowBorderDxfId="540">
  <tableColumns count="12">
    <tableColumn id="1" xr3:uid="{E2C2D457-0A94-4070-B2F2-71414E0AD04A}" name="Order ID" dataDxfId="539"/>
    <tableColumn id="2" xr3:uid="{E5500DB2-9C9F-4038-8D7F-D48194AF5E28}" name="Customer Info" dataDxfId="538"/>
    <tableColumn id="3" xr3:uid="{BE19C3D0-4C75-4012-9205-53002D00D355}" name="Product" dataDxfId="537"/>
    <tableColumn id="4" xr3:uid="{AE8AF9E1-636F-4B9D-8123-106EBDDABDBE}" name="Category" dataDxfId="536"/>
    <tableColumn id="5" xr3:uid="{8C5E3396-EA9B-4318-A26C-46C90AD40FD4}" name="Quantity" dataDxfId="535"/>
    <tableColumn id="6" xr3:uid="{FE127C2A-4BB1-48E0-9D36-0F8719EAE0EA}" name="Price" dataDxfId="534"/>
    <tableColumn id="7" xr3:uid="{DBFB2430-FC8D-4A0F-8DC7-06CE980E7A8D}" name="Region" dataDxfId="533"/>
    <tableColumn id="8" xr3:uid="{0CABBDD3-1940-4C7E-A653-653FD5AD8D39}" name="Order Date" dataDxfId="532"/>
    <tableColumn id="9" xr3:uid="{75E1EBF6-7F76-407A-B844-D2BD0EB85884}" name="Channel" dataDxfId="531"/>
    <tableColumn id="10" xr3:uid="{EF9E7115-3730-470F-B4BD-1E3C264C4143}" name="Status" dataDxfId="530"/>
    <tableColumn id="11" xr3:uid="{3C3B8455-62BF-4B24-8171-19FF9F9780F9}" name="Discount" dataDxfId="529"/>
    <tableColumn id="12" xr3:uid="{373EC7FC-CA5E-45D3-8CFA-2E5E5BADCF60}" name="Sales" dataDxfId="528">
      <calculatedColumnFormula>Table1457[[#This Row],[Quantity]]*Table1457[[#This Row],[Price]]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BDD824-DA80-4060-BE3D-20A1D4C7CFF3}" name="Table1458" displayName="Table1458" ref="A1:L21" totalsRowShown="0" headerRowDxfId="527" dataDxfId="526" headerRowBorderDxfId="524" tableBorderDxfId="525" totalsRowBorderDxfId="523">
  <tableColumns count="12">
    <tableColumn id="1" xr3:uid="{7DA9C026-C3B9-4FDF-B79A-3C9CD7B85001}" name="Order ID" dataDxfId="522"/>
    <tableColumn id="2" xr3:uid="{2168C879-D53F-4CE6-B8AA-CD6075BE9C74}" name="Customer Info" dataDxfId="521"/>
    <tableColumn id="3" xr3:uid="{E3ABA490-4317-4D4F-91DF-271690C6A8E2}" name="Product" dataDxfId="520"/>
    <tableColumn id="4" xr3:uid="{E5E4232E-374E-4DA5-8F3F-669EC2D5F22A}" name="Category" dataDxfId="519"/>
    <tableColumn id="5" xr3:uid="{9585C64F-527C-4B94-8017-8D25CEE094CE}" name="Quantity" dataDxfId="518"/>
    <tableColumn id="6" xr3:uid="{509C5535-EED0-445C-92D9-A34CED8BEACA}" name="Price" dataDxfId="517"/>
    <tableColumn id="7" xr3:uid="{431B690C-9120-4A35-90D3-5790C7B19C4A}" name="Region" dataDxfId="516"/>
    <tableColumn id="8" xr3:uid="{34DB7AD4-0141-4D13-8B28-C75B71118EDF}" name="Order Date" dataDxfId="515"/>
    <tableColumn id="9" xr3:uid="{D52B5348-0FC0-4718-A1A3-DB04AC6652D3}" name="Channel" dataDxfId="514"/>
    <tableColumn id="10" xr3:uid="{3FA61BCC-2799-48E5-B6F6-D41E8AE46931}" name="Status" dataDxfId="513"/>
    <tableColumn id="11" xr3:uid="{B8701120-DBC3-407E-BDB5-DD203185C80F}" name="Discount" dataDxfId="512"/>
    <tableColumn id="12" xr3:uid="{48D059D8-CDBC-4000-A2A6-F5B91EAA10ED}" name="Sales" dataDxfId="511">
      <calculatedColumnFormula>Table1458[[#This Row],[Quantity]]*Table1458[[#This Row],[Price]]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94752F-E85C-4691-9D3A-E417B3D52EFD}" name="Table1459" displayName="Table1459" ref="A1:L21" totalsRowShown="0" headerRowDxfId="510" dataDxfId="509" headerRowBorderDxfId="507" tableBorderDxfId="508" totalsRowBorderDxfId="506">
  <tableColumns count="12">
    <tableColumn id="1" xr3:uid="{706AB843-DDDE-4795-822B-6975617322AE}" name="Order ID" dataDxfId="505"/>
    <tableColumn id="2" xr3:uid="{4ED98DBC-D884-4393-A873-BA33945E6C78}" name="Customer Info" dataDxfId="504"/>
    <tableColumn id="3" xr3:uid="{C0846FD1-1B38-48E3-A037-9001EB2E3760}" name="Product" dataDxfId="503"/>
    <tableColumn id="4" xr3:uid="{90B0DC52-D21D-4DD7-8775-4025A504CD16}" name="Category" dataDxfId="502"/>
    <tableColumn id="5" xr3:uid="{ADFEBE1B-AF4E-4C1B-95A3-2BCB84D885F5}" name="Quantity" dataDxfId="501"/>
    <tableColumn id="6" xr3:uid="{EE9527A8-5044-4482-B59C-9C4568E53EDA}" name="Price" dataDxfId="500"/>
    <tableColumn id="7" xr3:uid="{D69C8898-D386-49D7-93B7-52C139B7AA60}" name="Region" dataDxfId="499"/>
    <tableColumn id="8" xr3:uid="{AD752DB0-8B1B-44A8-8F1D-D6CF801CFEE6}" name="Order Date" dataDxfId="498"/>
    <tableColumn id="9" xr3:uid="{A7738943-C191-4A2C-BEA7-C188B4EF918E}" name="Channel" dataDxfId="497"/>
    <tableColumn id="10" xr3:uid="{6BCDD42C-CFAD-4682-B810-5CC2512756D3}" name="Status" dataDxfId="496"/>
    <tableColumn id="11" xr3:uid="{079D3568-A026-417A-8AF0-A50A0B76966E}" name="Discount" dataDxfId="495"/>
    <tableColumn id="12" xr3:uid="{BAEDF7BF-50A8-4134-8A85-85704861DFE8}" name="Sales" dataDxfId="494">
      <calculatedColumnFormula>Table1459[[#This Row],[Quantity]]*Table1459[[#This Row],[Price]]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4AF936-3DDD-45A6-841D-1417468E6D07}" name="Table14510" displayName="Table14510" ref="A1:L21" totalsRowShown="0" headerRowDxfId="493" dataDxfId="492" headerRowBorderDxfId="490" tableBorderDxfId="491" totalsRowBorderDxfId="489">
  <tableColumns count="12">
    <tableColumn id="1" xr3:uid="{E1C2CC94-A589-4238-A427-E0A2FE8DD853}" name="Order ID" dataDxfId="488"/>
    <tableColumn id="2" xr3:uid="{4C448027-2D85-4960-B81A-3F5AEAA3EBB0}" name="Customer Info" dataDxfId="487"/>
    <tableColumn id="3" xr3:uid="{842C2006-F958-4E8D-9384-8345ECBD56D1}" name="Product" dataDxfId="486"/>
    <tableColumn id="4" xr3:uid="{5FC46917-8BF7-4184-B02C-4E4F7CE58429}" name="Category" dataDxfId="485"/>
    <tableColumn id="5" xr3:uid="{4342441E-3BC7-4789-90F6-E88F1D768978}" name="Quantity" dataDxfId="484"/>
    <tableColumn id="6" xr3:uid="{96161705-CB58-492B-A440-E6722BE1F992}" name="Price" dataDxfId="483"/>
    <tableColumn id="7" xr3:uid="{FD0F7104-FF7F-4D19-8C06-7B3257E1725D}" name="Region" dataDxfId="482"/>
    <tableColumn id="8" xr3:uid="{0621F8B0-0CE1-43A3-88FC-D021D90B5EBB}" name="Order Date" dataDxfId="481"/>
    <tableColumn id="9" xr3:uid="{1790948A-C800-4929-87EB-658D58A53BB6}" name="Channel" dataDxfId="480"/>
    <tableColumn id="10" xr3:uid="{12A7786F-5F59-4161-8449-33D6E13D0763}" name="Status" dataDxfId="479"/>
    <tableColumn id="11" xr3:uid="{E2DEF481-506F-422F-8BBE-1C06B22CBDFA}" name="Discount" dataDxfId="478"/>
    <tableColumn id="12" xr3:uid="{B08084E6-E11A-4EA8-8E60-977CB51B3087}" name="Sales" dataDxfId="477">
      <calculatedColumnFormula>Table14510[[#This Row],[Quantity]]*Table14510[[#This Row],[Price]]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485570-29B1-4F9A-945A-7BA1D0AD5EF1}" name="Table14511" displayName="Table14511" ref="A1:L21" totalsRowShown="0" headerRowDxfId="476" dataDxfId="475" headerRowBorderDxfId="473" tableBorderDxfId="474" totalsRowBorderDxfId="472">
  <tableColumns count="12">
    <tableColumn id="1" xr3:uid="{7D0C2B99-15E3-4573-8B57-58893276C8F3}" name="Order ID" dataDxfId="471"/>
    <tableColumn id="2" xr3:uid="{6F141F77-7BD7-4BE2-A160-72DB8D0C2A25}" name="Customer Info" dataDxfId="470"/>
    <tableColumn id="3" xr3:uid="{012DD1E3-1578-47F9-ABDA-28176C108F36}" name="Product" dataDxfId="469"/>
    <tableColumn id="4" xr3:uid="{B551F70B-EF0C-4BD3-9675-0847A4217488}" name="Category" dataDxfId="468"/>
    <tableColumn id="5" xr3:uid="{84C9AEB8-9184-4379-83D0-E43770BFCA76}" name="Quantity" dataDxfId="467"/>
    <tableColumn id="6" xr3:uid="{10BFEC28-48BC-4CD8-9AB8-C9C35667AF7B}" name="Price" dataDxfId="466"/>
    <tableColumn id="7" xr3:uid="{244ECC6A-783D-483B-A3AF-8C3033D2E697}" name="Region" dataDxfId="465"/>
    <tableColumn id="8" xr3:uid="{4CCF49C3-EC0C-4E81-B16A-C072757BACE2}" name="Order Date" dataDxfId="464"/>
    <tableColumn id="9" xr3:uid="{996B0965-0147-4FF1-9002-9E5A4616C75A}" name="Channel" dataDxfId="463"/>
    <tableColumn id="10" xr3:uid="{9E8A3D14-097F-422A-9C3F-E25CB85A69CD}" name="Status" dataDxfId="462"/>
    <tableColumn id="11" xr3:uid="{14A6380F-C0FF-4D1F-893B-F3EA7247C028}" name="Discount" dataDxfId="461"/>
    <tableColumn id="12" xr3:uid="{21691443-CF05-43A7-84E9-EEA53B211D8F}" name="Sales" dataDxfId="460">
      <calculatedColumnFormula>Table14511[[#This Row],[Quantity]]*Table14511[[#This Row],[Price]]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8009A5-E61F-46C6-9E43-A2D80A0877C6}" name="Table14512" displayName="Table14512" ref="A1:L21" totalsRowShown="0" headerRowDxfId="459" dataDxfId="458" headerRowBorderDxfId="456" tableBorderDxfId="457" totalsRowBorderDxfId="455">
  <tableColumns count="12">
    <tableColumn id="1" xr3:uid="{A8BC608F-DD7C-43F6-87ED-66DB15B4F87D}" name="Order ID" dataDxfId="454"/>
    <tableColumn id="2" xr3:uid="{B9AB701A-3D67-47E4-8459-123AB6B2C9BB}" name="Customer Info" dataDxfId="453"/>
    <tableColumn id="3" xr3:uid="{3229A445-AA87-4EDA-A7CB-2C70E8351E60}" name="Product" dataDxfId="452"/>
    <tableColumn id="4" xr3:uid="{9BBB1732-C0DD-43FD-A493-796176552C14}" name="Category" dataDxfId="451"/>
    <tableColumn id="5" xr3:uid="{476034FF-1F8F-4F90-AE6C-F8E24C208277}" name="Quantity" dataDxfId="450"/>
    <tableColumn id="6" xr3:uid="{AEC92049-ABDC-4E5A-A324-B7EDA023377D}" name="Price" dataDxfId="449"/>
    <tableColumn id="7" xr3:uid="{69DDD184-35F8-440A-BCE7-11B6E601CCE3}" name="Region" dataDxfId="448"/>
    <tableColumn id="8" xr3:uid="{6B889570-DFAC-4046-95F1-D3DB9BF23C2D}" name="Order Date" dataDxfId="447"/>
    <tableColumn id="9" xr3:uid="{41EA6A35-9FA1-4336-92CD-6093950712CF}" name="Channel" dataDxfId="446"/>
    <tableColumn id="10" xr3:uid="{A4A76D71-77B2-43BE-81A0-397C05DDD40E}" name="Status" dataDxfId="445"/>
    <tableColumn id="11" xr3:uid="{BAC35768-F146-4984-BDB0-615103DC7DF3}" name="Discount" dataDxfId="444"/>
    <tableColumn id="12" xr3:uid="{39A91655-4655-4F88-AFE1-840B757288E4}" name="Sales" dataDxfId="443">
      <calculatedColumnFormula>Table14512[[#This Row],[Quantity]]*Table14512[[#This Row],[Price]]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671AF8-D5CA-4FBB-8B86-649A532E1504}" name="Table14513" displayName="Table14513" ref="A1:M21" totalsRowShown="0" headerRowDxfId="442" dataDxfId="441" headerRowBorderDxfId="439" tableBorderDxfId="440" totalsRowBorderDxfId="438">
  <tableColumns count="13">
    <tableColumn id="1" xr3:uid="{154F9805-7F21-4D05-8253-6A34B007327C}" name="Order ID" dataDxfId="437"/>
    <tableColumn id="2" xr3:uid="{B2A48A3C-779C-4C9D-AB59-43FE987C7165}" name="Customer Info" dataDxfId="436"/>
    <tableColumn id="3" xr3:uid="{02C82FCA-F31A-4502-AB9A-988C9C1E40F8}" name="Product" dataDxfId="435"/>
    <tableColumn id="4" xr3:uid="{A9225F2E-70EA-45A6-86FB-470184617571}" name="Category" dataDxfId="434"/>
    <tableColumn id="5" xr3:uid="{4CBB5501-2F9B-4DF7-B55D-EEBBEEC47AEB}" name="Quantity" dataDxfId="433"/>
    <tableColumn id="6" xr3:uid="{3F80D35D-B14B-498C-8068-CED1F492B6AA}" name="Price" dataDxfId="432"/>
    <tableColumn id="7" xr3:uid="{4AFDEB29-2EF1-4CD7-BB69-9EACE5AE037F}" name="Region" dataDxfId="431"/>
    <tableColumn id="8" xr3:uid="{66BB6685-73AF-4596-B972-9FFCE1CB6504}" name="Order Date" dataDxfId="430"/>
    <tableColumn id="9" xr3:uid="{1671641F-9897-4EEA-98C9-82F3B1C2136C}" name="Channel" dataDxfId="429"/>
    <tableColumn id="10" xr3:uid="{0201EAB3-2DE7-4973-BC75-25B7CB187700}" name="Status" dataDxfId="428"/>
    <tableColumn id="11" xr3:uid="{52769C2F-88B7-4664-96F3-CBE174693BFC}" name="Discount" dataDxfId="427"/>
    <tableColumn id="12" xr3:uid="{C6B2BE3F-15D2-47A6-95D2-E2350445D785}" name="Sales" dataDxfId="426">
      <calculatedColumnFormula>Table14513[[#This Row],[Quantity]]*Table14513[[#This Row],[Price]]</calculatedColumnFormula>
    </tableColumn>
    <tableColumn id="13" xr3:uid="{230925A3-141C-4E72-960A-6087B7AE9EC5}" name="Performance Classification for Sales" dataDxfId="425">
      <calculatedColumnFormula>IF(Table14513[[#This Row],[Sales]]&gt;800,"High",IF(Table14513[[#This Row],[Sales]]&gt;=500,"Medium","Low"))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1D5E43-F67B-41BC-92A9-EC02B34D31D7}" name="Table1451314" displayName="Table1451314" ref="A1:M21" totalsRowShown="0" headerRowDxfId="424" dataDxfId="423" headerRowBorderDxfId="421" tableBorderDxfId="422" totalsRowBorderDxfId="420">
  <tableColumns count="13">
    <tableColumn id="1" xr3:uid="{CA72F4AB-E38E-45F6-B380-A48B70D24D8F}" name="Order ID" dataDxfId="419"/>
    <tableColumn id="2" xr3:uid="{35DE0942-068D-41CE-A4B5-E7723FDED93E}" name="Customer Info" dataDxfId="418"/>
    <tableColumn id="3" xr3:uid="{24436775-B437-4C99-864C-71A4FDEBDBA0}" name="Product" dataDxfId="417"/>
    <tableColumn id="4" xr3:uid="{75E92439-2E11-4271-8B4E-64DE8D6E5C11}" name="Category" dataDxfId="416"/>
    <tableColumn id="5" xr3:uid="{FA8FBFCA-5BBA-48CA-BCEC-B622F0F8EB33}" name="Quantity" dataDxfId="415"/>
    <tableColumn id="6" xr3:uid="{269B44D1-1A31-4195-AE03-E0CDEE8D9540}" name="Price" dataDxfId="414"/>
    <tableColumn id="7" xr3:uid="{5538BCAA-986D-4084-BA9E-73F704F3150E}" name="Region" dataDxfId="413"/>
    <tableColumn id="8" xr3:uid="{1E1B6107-55C1-443A-818C-3154FFF6EC43}" name="Order Date" dataDxfId="412"/>
    <tableColumn id="9" xr3:uid="{B837610F-61E9-43D3-AC1B-80CAC864042A}" name="Channel" dataDxfId="411"/>
    <tableColumn id="10" xr3:uid="{F3EAF420-3AE2-4EB5-BB0F-29BEB83FF588}" name="Status" dataDxfId="410"/>
    <tableColumn id="11" xr3:uid="{5D59A3F4-105F-4669-AD41-BA31D13B3628}" name="Discount" dataDxfId="409"/>
    <tableColumn id="12" xr3:uid="{8D230537-2C86-4F87-8110-02C16D21B03F}" name="Sales" dataDxfId="408">
      <calculatedColumnFormula>Table1451314[[#This Row],[Quantity]]*Table1451314[[#This Row],[Price]]</calculatedColumnFormula>
    </tableColumn>
    <tableColumn id="13" xr3:uid="{6F9F8127-4A7F-423B-BB60-66EC65814E39}" name="Performance Classification for Sales" dataDxfId="407">
      <calculatedColumnFormula>IF(Table1451314[[#This Row],[Sales]]&gt;800,"High",IF(Table1451314[[#This Row],[Sales]]&gt;=500,"Medium","Low"))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957401-BF08-4E5D-9025-B4FE0D4C99FC}" name="Table145131415" displayName="Table145131415" ref="A1:M21" totalsRowShown="0" headerRowDxfId="406" dataDxfId="405" headerRowBorderDxfId="403" tableBorderDxfId="404" totalsRowBorderDxfId="402">
  <tableColumns count="13">
    <tableColumn id="1" xr3:uid="{319662C7-B0EC-417F-AFC3-F13F83D1715E}" name="Order ID" dataDxfId="401"/>
    <tableColumn id="2" xr3:uid="{C2ED890B-A8F5-418F-9E2B-CDFEA0F86810}" name="Customer Info" dataDxfId="400"/>
    <tableColumn id="3" xr3:uid="{2DB77E93-268C-4A5A-9DA1-84BB432CE48F}" name="Product" dataDxfId="399"/>
    <tableColumn id="4" xr3:uid="{4D29EF1A-CEE7-46D1-9DC9-DA3081F8A13F}" name="Category" dataDxfId="398"/>
    <tableColumn id="5" xr3:uid="{787DD1EC-5232-4B18-B45B-2892EEE4134F}" name="Quantity" dataDxfId="397"/>
    <tableColumn id="6" xr3:uid="{129F3C1C-FF21-480B-BCE4-ECCCE2401591}" name="Price" dataDxfId="396"/>
    <tableColumn id="7" xr3:uid="{59F2C43F-9F7F-4FD8-A785-185EF596FC19}" name="Region" dataDxfId="395"/>
    <tableColumn id="8" xr3:uid="{EA6530FA-4920-4AE4-9D16-2C30A650717F}" name="Order Date" dataDxfId="394"/>
    <tableColumn id="9" xr3:uid="{38C865BB-8778-4546-9014-B7E35B137E9D}" name="Channel" dataDxfId="393"/>
    <tableColumn id="10" xr3:uid="{826F760D-431E-4137-8FDD-F5FB7DA2BA7F}" name="Status" dataDxfId="392"/>
    <tableColumn id="11" xr3:uid="{72F6558A-5171-4320-B3C6-0B5104443E1F}" name="Discount" dataDxfId="391"/>
    <tableColumn id="12" xr3:uid="{B3C4E848-34D8-469B-99F9-B72EE8B2CA83}" name="Sales" dataDxfId="390">
      <calculatedColumnFormula>Table145131415[[#This Row],[Quantity]]*Table145131415[[#This Row],[Price]]</calculatedColumnFormula>
    </tableColumn>
    <tableColumn id="13" xr3:uid="{8FDA4637-F1C1-402B-B705-ECDAB8CCA3C1}" name="Performance Classification for Sales" dataDxfId="389">
      <calculatedColumnFormula>IF(Table145131415[[#This Row],[Sales]]&gt;800,"High",IF(Table145131415[[#This Row],[Sales]]&gt;=500,"Medium","Low"))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2A3E8B-4DFE-4654-94A8-38A90F6119C8}" name="Table14513141516" displayName="Table14513141516" ref="A1:N21" totalsRowShown="0" headerRowDxfId="388" dataDxfId="387" headerRowBorderDxfId="385" tableBorderDxfId="386" totalsRowBorderDxfId="384">
  <tableColumns count="14">
    <tableColumn id="1" xr3:uid="{E87521C9-C143-483E-8B06-E30CEA969111}" name="Order ID" dataDxfId="383"/>
    <tableColumn id="2" xr3:uid="{F8AAD101-6A12-4D07-A732-17CD8F78239B}" name="Customer Info" dataDxfId="382"/>
    <tableColumn id="3" xr3:uid="{62D65040-CCC2-471D-A4D2-5FE3B08F92FE}" name="Product" dataDxfId="381"/>
    <tableColumn id="4" xr3:uid="{41F10AE2-BC89-4791-BBBF-3A5B2704E157}" name="Category" dataDxfId="380"/>
    <tableColumn id="5" xr3:uid="{CF958D86-5136-4123-8E92-6E87C90F434A}" name="Quantity" dataDxfId="379"/>
    <tableColumn id="6" xr3:uid="{6A99BBAF-29CF-466F-826C-3085CA0FC35B}" name="Price" dataDxfId="378"/>
    <tableColumn id="7" xr3:uid="{221F3045-24B4-48C5-B48B-278B021B661A}" name="Region" dataDxfId="377"/>
    <tableColumn id="8" xr3:uid="{2C4AE2E1-07D7-4BEB-B0D4-BFCCA61EF0BD}" name="Order Date" dataDxfId="376"/>
    <tableColumn id="9" xr3:uid="{6CF3EEA3-6362-4741-9FBF-034EC313D2A4}" name="Channel" dataDxfId="375"/>
    <tableColumn id="10" xr3:uid="{3BCCD673-AC0C-43F8-A244-90701CCF0807}" name="Status" dataDxfId="374"/>
    <tableColumn id="11" xr3:uid="{173E18BA-2EEE-496C-AB62-D31FED27DD05}" name="Discount" dataDxfId="373"/>
    <tableColumn id="12" xr3:uid="{DAB4B3B2-00F7-4D6F-87C6-E4174435AE14}" name="Sales" dataDxfId="372">
      <calculatedColumnFormula>Table14513141516[[#This Row],[Quantity]]*Table14513141516[[#This Row],[Price]]</calculatedColumnFormula>
    </tableColumn>
    <tableColumn id="13" xr3:uid="{9A8ABA19-C51B-49C7-ABA7-622FC3C159BE}" name="Performance Classification for Sales" dataDxfId="371">
      <calculatedColumnFormula>IF(Table14513141516[[#This Row],[Sales]]&gt;800,"High",IF(Table14513141516[[#This Row],[Sales]]&gt;=500,"Medium","Low"))</calculatedColumnFormula>
    </tableColumn>
    <tableColumn id="14" xr3:uid="{7223F5E5-A349-4629-BD28-8C1FC2FBA445}" name="Valid/Check" dataDxfId="370">
      <calculatedColumnFormula array="1">_xlfn.IFS(AND(Table14513141516[Status]="Delivered",Table14513141516[Sales]&gt;500),"Valid",TRUE,"Check")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A8EFEDB-2E25-4EDE-A026-71E77F5A9E04}" name="Table1451314151617" displayName="Table1451314151617" ref="A1:O21" totalsRowShown="0" headerRowDxfId="369" dataDxfId="368" headerRowBorderDxfId="366" tableBorderDxfId="367" totalsRowBorderDxfId="365">
  <tableColumns count="15">
    <tableColumn id="1" xr3:uid="{D145CE1B-93A2-4A28-A1DA-BA83C0701EF5}" name="Order ID" dataDxfId="364"/>
    <tableColumn id="2" xr3:uid="{5E003EEE-DB9E-42EB-B4AB-50D479BA931A}" name="Customer Info" dataDxfId="363"/>
    <tableColumn id="3" xr3:uid="{911EAF84-7A81-4FFE-8053-07380573388D}" name="Product" dataDxfId="362"/>
    <tableColumn id="4" xr3:uid="{7E8A159A-DA77-49A7-BC86-2B62A0B780B3}" name="Category" dataDxfId="361"/>
    <tableColumn id="5" xr3:uid="{37711847-E783-491F-A565-EF15420EF44E}" name="Quantity" dataDxfId="360"/>
    <tableColumn id="6" xr3:uid="{F6327AEA-12A2-4B2B-97B0-F096EF6AECD9}" name="Price" dataDxfId="359"/>
    <tableColumn id="7" xr3:uid="{7DF1A292-0639-445B-8059-321A8B547ABD}" name="Region" dataDxfId="358"/>
    <tableColumn id="8" xr3:uid="{4A9487F4-D78A-4EBF-AE61-490EAA4744F6}" name="Order Date" dataDxfId="357"/>
    <tableColumn id="9" xr3:uid="{86B099DA-2899-4256-8122-D9171A76176C}" name="Channel" dataDxfId="356"/>
    <tableColumn id="10" xr3:uid="{B057440D-ABED-4DEE-8FBD-BB522CEB064A}" name="Status" dataDxfId="355"/>
    <tableColumn id="11" xr3:uid="{A513DF38-5A86-4937-B342-BA18B2D37389}" name="Discount" dataDxfId="354"/>
    <tableColumn id="12" xr3:uid="{BB2DB8EA-8D8D-4061-A7C6-600D8E91FCEA}" name="Sales" dataDxfId="353">
      <calculatedColumnFormula>Table1451314151617[[#This Row],[Quantity]]*Table1451314151617[[#This Row],[Price]]</calculatedColumnFormula>
    </tableColumn>
    <tableColumn id="13" xr3:uid="{A3842DAB-E26C-4BA4-9595-D14249659757}" name="Performance Classification for Sales" dataDxfId="352">
      <calculatedColumnFormula>IF(Table1451314151617[[#This Row],[Sales]]&gt;800,"High",IF(Table1451314151617[[#This Row],[Sales]]&gt;=500,"Medium","Low"))</calculatedColumnFormula>
    </tableColumn>
    <tableColumn id="14" xr3:uid="{45B0D831-C70B-4CA5-AE2C-7E7C15183A43}" name="Valid/Check" dataDxfId="351">
      <calculatedColumnFormula array="1">_xlfn.IFS(AND(Table1451314151617[Status]="Delivered",Table1451314151617[Sales]&gt;500),"Valid",TRUE,"Check")</calculatedColumnFormula>
    </tableColumn>
    <tableColumn id="15" xr3:uid="{B603FC9F-CCEA-4297-8508-8A331B095126}" name="Customer Name" dataDxfId="350">
      <calculatedColumnFormula>LEFT(Table1451314151617[[#This Row],[Customer Info]],FIND("|",Table1451314151617[[#This Row],[Customer Info]])-2)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6E7A909-9F4C-443B-BE40-8A3975C450F3}" name="Table145131415161718" displayName="Table145131415161718" ref="A1:P21" totalsRowShown="0" headerRowDxfId="349" dataDxfId="348" headerRowBorderDxfId="346" tableBorderDxfId="347" totalsRowBorderDxfId="345">
  <tableColumns count="16">
    <tableColumn id="1" xr3:uid="{4A5F9683-563E-4028-B898-CC728257375F}" name="Order ID" dataDxfId="344"/>
    <tableColumn id="2" xr3:uid="{0AEDAD68-27F3-4515-A95C-D0EA2A97AA6E}" name="Customer Info" dataDxfId="343"/>
    <tableColumn id="3" xr3:uid="{538ADC52-D9A8-484C-9406-B9017B93EFC8}" name="Product" dataDxfId="342"/>
    <tableColumn id="4" xr3:uid="{639DDFD0-1D16-4F67-9249-D3D7BAA343C5}" name="Category" dataDxfId="341"/>
    <tableColumn id="5" xr3:uid="{B4AFD428-C851-46BC-8E4B-CBE123967104}" name="Quantity" dataDxfId="340"/>
    <tableColumn id="6" xr3:uid="{A94E2E38-3A22-4630-892D-4F915EEE9F7A}" name="Price" dataDxfId="339"/>
    <tableColumn id="7" xr3:uid="{932D82CF-1E9D-42AD-8DB0-ADBF8052F926}" name="Region" dataDxfId="338"/>
    <tableColumn id="8" xr3:uid="{4C5AF33A-810B-4AD6-B11D-AB2F61A66723}" name="Order Date" dataDxfId="337"/>
    <tableColumn id="9" xr3:uid="{D3C93A3C-7120-4A05-A470-84754AE0FC88}" name="Channel" dataDxfId="336"/>
    <tableColumn id="10" xr3:uid="{D9B35DD9-9170-4B55-8DFA-8DB2116C6B36}" name="Status" dataDxfId="335"/>
    <tableColumn id="11" xr3:uid="{8328D48A-DB9F-488E-8166-E8BB0EB864C8}" name="Discount" dataDxfId="334"/>
    <tableColumn id="12" xr3:uid="{B810886E-8936-4704-A800-C441118C72E2}" name="Sales" dataDxfId="333">
      <calculatedColumnFormula>Table145131415161718[[#This Row],[Quantity]]*Table145131415161718[[#This Row],[Price]]</calculatedColumnFormula>
    </tableColumn>
    <tableColumn id="13" xr3:uid="{B3ECBBF5-3E2C-450B-9187-C319A8A7154A}" name="Performance Classification for Sales" dataDxfId="332">
      <calculatedColumnFormula>IF(Table145131415161718[[#This Row],[Sales]]&gt;800,"High",IF(Table145131415161718[[#This Row],[Sales]]&gt;=500,"Medium","Low"))</calculatedColumnFormula>
    </tableColumn>
    <tableColumn id="14" xr3:uid="{5BDDB484-5E3A-446C-AD2F-DCD47CF766EB}" name="Valid/Check" dataDxfId="331">
      <calculatedColumnFormula array="1">_xlfn.IFS(AND(Table145131415161718[Status]="Delivered",Table145131415161718[Sales]&gt;500),"Valid",TRUE,"Check")</calculatedColumnFormula>
    </tableColumn>
    <tableColumn id="15" xr3:uid="{C9247FC8-9F77-474F-9FA5-1F7F738C1B32}" name="Customer Name" dataDxfId="330">
      <calculatedColumnFormula>LEFT(Table145131415161718[[#This Row],[Customer Info]],FIND("|",Table145131415161718[[#This Row],[Customer Info]])-2)</calculatedColumnFormula>
    </tableColumn>
    <tableColumn id="16" xr3:uid="{008BCBEA-0858-4F41-8CA3-AFAFD84DB269}" name="Customer Number" dataDxfId="329">
      <calculatedColumnFormula>RIGHT(Table145131415161718[[#This Row],[Customer Info]],LEN(Table145131415161718[[#This Row],[Customer Info]])-FIND("|",Table145131415161718[[#This Row],[Customer Info]])-1)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88DF418-A5C6-4EFF-BB5F-E70BB7A23F02}" name="Table14513141516171819" displayName="Table14513141516171819" ref="A1:Q21" totalsRowShown="0" headerRowDxfId="328" dataDxfId="327" headerRowBorderDxfId="325" tableBorderDxfId="326" totalsRowBorderDxfId="324">
  <tableColumns count="17">
    <tableColumn id="1" xr3:uid="{FDD7DBD9-0B86-441B-A788-B0EF23AF5C7A}" name="Order ID" dataDxfId="323"/>
    <tableColumn id="2" xr3:uid="{94D85B03-933F-44BF-BFAA-C3F71DA26665}" name="Customer Info" dataDxfId="322"/>
    <tableColumn id="3" xr3:uid="{D93D75FF-874F-4ECE-8CCE-42A4A3864109}" name="Product" dataDxfId="321"/>
    <tableColumn id="4" xr3:uid="{E902FAED-EB8C-49E8-BF31-FEE1D4070C4D}" name="Category" dataDxfId="320"/>
    <tableColumn id="5" xr3:uid="{5512C7ED-C3DB-4952-8852-7BAA7431A370}" name="Quantity" dataDxfId="319"/>
    <tableColumn id="6" xr3:uid="{CDC810B3-F6BC-40E5-9E93-244D5AEE433A}" name="Price" dataDxfId="318"/>
    <tableColumn id="7" xr3:uid="{75B5DF55-8706-4667-9325-A8D949417607}" name="Region" dataDxfId="317"/>
    <tableColumn id="8" xr3:uid="{39E0FC51-B968-4C1A-B496-75F97FB17636}" name="Order Date" dataDxfId="316"/>
    <tableColumn id="9" xr3:uid="{3C511BDD-DBEF-46C4-8E58-9A8D3ABFF1C9}" name="Channel" dataDxfId="315"/>
    <tableColumn id="10" xr3:uid="{48A7A4E8-B3F1-4137-A526-3C374D7B64EB}" name="Status" dataDxfId="314"/>
    <tableColumn id="11" xr3:uid="{611575C9-5AEA-4CE6-B792-D5B2F9CBAF2D}" name="Discount" dataDxfId="313"/>
    <tableColumn id="12" xr3:uid="{5E041BDF-A2A4-4702-82C4-BB2D544E3700}" name="Sales" dataDxfId="312">
      <calculatedColumnFormula>Table14513141516171819[[#This Row],[Quantity]]*Table14513141516171819[[#This Row],[Price]]</calculatedColumnFormula>
    </tableColumn>
    <tableColumn id="13" xr3:uid="{713C4DCC-B335-4B33-BED1-BACA20FBC6FB}" name="Performance Classification for Sales" dataDxfId="311">
      <calculatedColumnFormula>IF(Table14513141516171819[[#This Row],[Sales]]&gt;800,"High",IF(Table14513141516171819[[#This Row],[Sales]]&gt;=500,"Medium","Low"))</calculatedColumnFormula>
    </tableColumn>
    <tableColumn id="14" xr3:uid="{32C54A6A-B499-4E11-8F98-734EC7B2010F}" name="Valid/Check" dataDxfId="310">
      <calculatedColumnFormula array="1">_xlfn.IFS(AND(Table14513141516171819[Status]="Delivered",Table14513141516171819[Sales]&gt;500),"Valid",TRUE,"Check")</calculatedColumnFormula>
    </tableColumn>
    <tableColumn id="15" xr3:uid="{BEFA7ACF-F480-40AC-B0E2-441A29DE7C1A}" name="Customer Name" dataDxfId="309">
      <calculatedColumnFormula>LEFT(Table14513141516171819[[#This Row],[Customer Info]],FIND("|",Table14513141516171819[[#This Row],[Customer Info]])-2)</calculatedColumnFormula>
    </tableColumn>
    <tableColumn id="16" xr3:uid="{B0BDE299-F087-4D26-ACE2-7050D3B663F7}" name="Customer Number" dataDxfId="308">
      <calculatedColumnFormula>RIGHT(Table14513141516171819[[#This Row],[Customer Info]],LEN(Table14513141516171819[[#This Row],[Customer Info]])-FIND("|",Table14513141516171819[[#This Row],[Customer Info]])-1)</calculatedColumnFormula>
    </tableColumn>
    <tableColumn id="17" xr3:uid="{DE29DFF9-83DD-4F30-A79A-76B3C31FBBB1}" name="Remove Extra Spaces" dataDxfId="307">
      <calculatedColumnFormula>TRIM(Table14513141516171819[[#This Row],[Customer Info]])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BC87A92-51CF-4A18-A5C4-DF8F5377B404}" name="Table1451314151617181920" displayName="Table1451314151617181920" ref="A1:R21" totalsRowShown="0" headerRowDxfId="306" dataDxfId="305" headerRowBorderDxfId="303" tableBorderDxfId="304" totalsRowBorderDxfId="302">
  <tableColumns count="18">
    <tableColumn id="1" xr3:uid="{AE038035-9995-4DF7-9358-A72868130C04}" name="Order ID" dataDxfId="301"/>
    <tableColumn id="2" xr3:uid="{1A822D0D-F488-40EE-902B-2029B0881652}" name="Customer Info" dataDxfId="300"/>
    <tableColumn id="3" xr3:uid="{5AB44685-DDF5-4D70-B267-FE88557FBCA6}" name="Product" dataDxfId="299"/>
    <tableColumn id="4" xr3:uid="{153EA739-0AC4-4318-867F-5691F69A1914}" name="Category" dataDxfId="298"/>
    <tableColumn id="5" xr3:uid="{47EC6AD8-0845-4DFB-A33A-5D35F5D800C5}" name="Quantity" dataDxfId="297"/>
    <tableColumn id="6" xr3:uid="{252A453E-F2DA-45F4-A9DB-F537300B428A}" name="Price" dataDxfId="296"/>
    <tableColumn id="7" xr3:uid="{E09F1DA7-DC62-4D4D-8D90-360816913CD9}" name="Region" dataDxfId="295"/>
    <tableColumn id="8" xr3:uid="{B0675C78-30AA-43A7-9C56-C60AD71AC26C}" name="Order Date" dataDxfId="294"/>
    <tableColumn id="9" xr3:uid="{622AF738-9044-40E2-BEA8-3D24C74EE019}" name="Channel" dataDxfId="293"/>
    <tableColumn id="10" xr3:uid="{5701A53F-C481-4519-BDEF-ADF24CD47C80}" name="Status" dataDxfId="292"/>
    <tableColumn id="11" xr3:uid="{52917626-C7AF-4383-BC0F-4509D5DA20C7}" name="Discount" dataDxfId="291"/>
    <tableColumn id="12" xr3:uid="{5BE5018C-2C43-4469-A28E-89FF3EA9F800}" name="Sales" dataDxfId="290">
      <calculatedColumnFormula>Table1451314151617181920[[#This Row],[Quantity]]*Table1451314151617181920[[#This Row],[Price]]</calculatedColumnFormula>
    </tableColumn>
    <tableColumn id="13" xr3:uid="{A9BEBEFA-9043-4A47-93B9-09CFEAEDBED2}" name="Performance Classification for Sales" dataDxfId="289">
      <calculatedColumnFormula>IF(Table1451314151617181920[[#This Row],[Sales]]&gt;800,"High",IF(Table1451314151617181920[[#This Row],[Sales]]&gt;=500,"Medium","Low"))</calculatedColumnFormula>
    </tableColumn>
    <tableColumn id="14" xr3:uid="{CAC7ECA5-3184-47CB-8F94-25D83F247C06}" name="Valid/Check" dataDxfId="288">
      <calculatedColumnFormula array="1">_xlfn.IFS(AND(Table1451314151617181920[Status]="Delivered",Table1451314151617181920[Sales]&gt;500),"Valid",TRUE,"Check")</calculatedColumnFormula>
    </tableColumn>
    <tableColumn id="15" xr3:uid="{27D51B53-050C-4125-BDF7-A48D6EC48932}" name="Customer Name" dataDxfId="287">
      <calculatedColumnFormula>LEFT(Table1451314151617181920[[#This Row],[Customer Info]],FIND("|",Table1451314151617181920[[#This Row],[Customer Info]])-2)</calculatedColumnFormula>
    </tableColumn>
    <tableColumn id="16" xr3:uid="{89B3A135-491E-4286-9741-2F9DC0D5A3BD}" name="Customer Number" dataDxfId="286">
      <calculatedColumnFormula>RIGHT(Table1451314151617181920[[#This Row],[Customer Info]],LEN(Table1451314151617181920[[#This Row],[Customer Info]])-FIND("|",Table1451314151617181920[[#This Row],[Customer Info]])-1)</calculatedColumnFormula>
    </tableColumn>
    <tableColumn id="17" xr3:uid="{22B65C1E-B7DE-4983-9EE6-6C30A26FC071}" name="Remove Extra Spaces" dataDxfId="285">
      <calculatedColumnFormula>TRIM(Table1451314151617181920[[#This Row],[Customer Info]])</calculatedColumnFormula>
    </tableColumn>
    <tableColumn id="18" xr3:uid="{4C520D41-8A7F-4493-8DF6-B2791ABD6A9D}" name="Standardize Region" dataDxfId="284">
      <calculatedColumnFormula>UPPER(Table1451314151617181920[[#This Row],[Region]])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5BD8D3D-8F71-466F-9829-0D4D79260F4F}" name="Table145131415161718192021" displayName="Table145131415161718192021" ref="A1:S21" totalsRowShown="0" headerRowDxfId="283" dataDxfId="282" headerRowBorderDxfId="280" tableBorderDxfId="281" totalsRowBorderDxfId="279">
  <tableColumns count="19">
    <tableColumn id="1" xr3:uid="{5DE41AB4-8216-4096-9450-3C6BA39AE829}" name="Order ID" dataDxfId="278"/>
    <tableColumn id="2" xr3:uid="{CB493837-8845-4386-AE9F-17B375A0E9CA}" name="Customer Info" dataDxfId="277"/>
    <tableColumn id="3" xr3:uid="{B9DA86FC-9BCB-4495-B266-F84D95B369C4}" name="Product" dataDxfId="276"/>
    <tableColumn id="4" xr3:uid="{F4D310A6-3B21-46E0-A4CD-FB5241932C70}" name="Category" dataDxfId="275"/>
    <tableColumn id="5" xr3:uid="{0DDC672C-E90F-4CCE-8B96-B0546F78F5E9}" name="Quantity" dataDxfId="274"/>
    <tableColumn id="6" xr3:uid="{9F23F324-C17C-409E-A77C-3D55DA16128C}" name="Price" dataDxfId="273"/>
    <tableColumn id="7" xr3:uid="{E03C07AB-5F8C-40FD-9868-BA2EC439F3DF}" name="Region" dataDxfId="272"/>
    <tableColumn id="8" xr3:uid="{CD0E0F73-6579-42D2-AFD9-BCB19B4E0898}" name="Order Date" dataDxfId="271"/>
    <tableColumn id="9" xr3:uid="{729B1379-B1D3-45BE-AECE-3721CAB7D894}" name="Channel" dataDxfId="270"/>
    <tableColumn id="10" xr3:uid="{43E69436-F6DB-4106-89B2-B2B572A51558}" name="Status" dataDxfId="269"/>
    <tableColumn id="11" xr3:uid="{F4390F71-C95C-477C-9049-96B493A670CB}" name="Discount" dataDxfId="268"/>
    <tableColumn id="12" xr3:uid="{5B7ED1B4-CBDF-4E64-8A18-0C45E4CCCAB1}" name="Sales" dataDxfId="267">
      <calculatedColumnFormula>Table145131415161718192021[[#This Row],[Quantity]]*Table145131415161718192021[[#This Row],[Price]]</calculatedColumnFormula>
    </tableColumn>
    <tableColumn id="13" xr3:uid="{F7DB111D-2AC5-4D0A-B82C-58F810E383F0}" name="Performance Classification for Sales" dataDxfId="266">
      <calculatedColumnFormula>IF(Table145131415161718192021[[#This Row],[Sales]]&gt;800,"High",IF(Table145131415161718192021[[#This Row],[Sales]]&gt;=500,"Medium","Low"))</calculatedColumnFormula>
    </tableColumn>
    <tableColumn id="14" xr3:uid="{1F040028-B428-45CD-904F-87991900E6EB}" name="Valid/Check" dataDxfId="265">
      <calculatedColumnFormula array="1">_xlfn.IFS(AND(Table145131415161718192021[Status]="Delivered",Table145131415161718192021[Sales]&gt;500),"Valid",TRUE,"Check")</calculatedColumnFormula>
    </tableColumn>
    <tableColumn id="15" xr3:uid="{906AAF82-1255-4D71-B012-7B91C8049D3F}" name="Customer Name" dataDxfId="264">
      <calculatedColumnFormula>LEFT(Table145131415161718192021[[#This Row],[Customer Info]],FIND("|",Table145131415161718192021[[#This Row],[Customer Info]])-2)</calculatedColumnFormula>
    </tableColumn>
    <tableColumn id="16" xr3:uid="{6314571C-E8A6-482C-8DAA-828E45AF2F58}" name="Customer Number" dataDxfId="263">
      <calculatedColumnFormula>RIGHT(Table145131415161718192021[[#This Row],[Customer Info]],LEN(Table145131415161718192021[[#This Row],[Customer Info]])-FIND("|",Table145131415161718192021[[#This Row],[Customer Info]])-1)</calculatedColumnFormula>
    </tableColumn>
    <tableColumn id="17" xr3:uid="{96466BF3-E666-4182-B7EE-3DBE78A7BAF1}" name="Remove Extra Spaces" dataDxfId="262">
      <calculatedColumnFormula>TRIM(Table145131415161718192021[[#This Row],[Customer Info]])</calculatedColumnFormula>
    </tableColumn>
    <tableColumn id="18" xr3:uid="{7255F8A2-D452-413A-BEE5-4D805416C7E5}" name="Standardize Region" dataDxfId="261">
      <calculatedColumnFormula>UPPER(Table145131415161718192021[[#This Row],[Region]])</calculatedColumnFormula>
    </tableColumn>
    <tableColumn id="19" xr3:uid="{8979FEA8-AA80-457A-BB5E-0DB60AE96906}" name="Remove &quot;pcs&quot;" dataDxfId="260">
      <calculatedColumnFormula>VALUE(SUBSTITUTE(Table145131415161718192021[[#This Row],[Quantity]],"pcs",""))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06E81AB-0210-4712-A194-EA2B3304C822}" name="Table14513141516171819202122" displayName="Table14513141516171819202122" ref="A1:T21" totalsRowShown="0" headerRowDxfId="259" dataDxfId="258" headerRowBorderDxfId="256" tableBorderDxfId="257" totalsRowBorderDxfId="255">
  <tableColumns count="20">
    <tableColumn id="1" xr3:uid="{AC072D12-DD59-40C6-A657-E4053FBB5B4A}" name="Order ID" dataDxfId="254"/>
    <tableColumn id="2" xr3:uid="{954E4035-1020-4078-83EC-93696DAB44D9}" name="Customer Info" dataDxfId="253"/>
    <tableColumn id="3" xr3:uid="{7C4C8E9A-5643-4B2F-853E-036437E7DCD2}" name="Product" dataDxfId="252"/>
    <tableColumn id="4" xr3:uid="{525FD6B3-DCE2-46B9-8E99-BDB450284C17}" name="Category" dataDxfId="251"/>
    <tableColumn id="5" xr3:uid="{641E26C7-B470-4D3F-84C0-0A5738B20013}" name="Quantity" dataDxfId="250"/>
    <tableColumn id="6" xr3:uid="{DEBE70C2-4495-4793-BA31-EB9CFFA8FE3C}" name="Price" dataDxfId="249"/>
    <tableColumn id="7" xr3:uid="{CFAA9B8D-64BB-4A49-B7CE-1448966E08BA}" name="Region" dataDxfId="248"/>
    <tableColumn id="8" xr3:uid="{1F58C8E0-6035-430A-B39C-DF3F8E13892B}" name="Order Date" dataDxfId="247"/>
    <tableColumn id="9" xr3:uid="{909AEC41-45D8-4646-9127-6BCB62E3E844}" name="Channel" dataDxfId="246"/>
    <tableColumn id="10" xr3:uid="{34F2453B-B284-4C63-9D1F-BBB4FF145E8F}" name="Status" dataDxfId="245"/>
    <tableColumn id="11" xr3:uid="{BF3F3627-CCC3-400F-B0C4-ACFBF473CB5F}" name="Discount" dataDxfId="244"/>
    <tableColumn id="12" xr3:uid="{4D64D45A-8604-4368-9DBF-3F1F94BB9A17}" name="Sales" dataDxfId="243">
      <calculatedColumnFormula>Table14513141516171819202122[[#This Row],[Quantity]]*Table14513141516171819202122[[#This Row],[Price]]</calculatedColumnFormula>
    </tableColumn>
    <tableColumn id="13" xr3:uid="{44F486C0-434D-4E9C-A719-729C16EEF7EC}" name="Performance Classification for Sales" dataDxfId="242">
      <calculatedColumnFormula>IF(Table14513141516171819202122[[#This Row],[Sales]]&gt;800,"High",IF(Table14513141516171819202122[[#This Row],[Sales]]&gt;=500,"Medium","Low"))</calculatedColumnFormula>
    </tableColumn>
    <tableColumn id="14" xr3:uid="{6C80189E-5C1D-4281-8CE9-4F1C30CEB698}" name="Valid/Check" dataDxfId="241">
      <calculatedColumnFormula array="1">_xlfn.IFS(AND(Table14513141516171819202122[Status]="Delivered",Table14513141516171819202122[Sales]&gt;500),"Valid",TRUE,"Check")</calculatedColumnFormula>
    </tableColumn>
    <tableColumn id="15" xr3:uid="{F3F2FAAD-3266-4E11-B804-3D5436A57A13}" name="Customer Name" dataDxfId="240">
      <calculatedColumnFormula>LEFT(Table14513141516171819202122[[#This Row],[Customer Info]],FIND("|",Table14513141516171819202122[[#This Row],[Customer Info]])-2)</calculatedColumnFormula>
    </tableColumn>
    <tableColumn id="16" xr3:uid="{52C0DADE-3A5C-42E1-816A-83FDDB601A06}" name="Customer Number" dataDxfId="239">
      <calculatedColumnFormula>RIGHT(Table14513141516171819202122[[#This Row],[Customer Info]],LEN(Table14513141516171819202122[[#This Row],[Customer Info]])-FIND("|",Table14513141516171819202122[[#This Row],[Customer Info]])-1)</calculatedColumnFormula>
    </tableColumn>
    <tableColumn id="17" xr3:uid="{0D2B2242-7EAE-4FDC-ADA2-3A2D0880C2DB}" name="Remove Extra Spaces" dataDxfId="238">
      <calculatedColumnFormula>TRIM(Table14513141516171819202122[[#This Row],[Customer Info]])</calculatedColumnFormula>
    </tableColumn>
    <tableColumn id="18" xr3:uid="{F69634D1-3B36-4F28-82A7-CF524B18EC49}" name="Standardize Region" dataDxfId="237">
      <calculatedColumnFormula>UPPER(Table14513141516171819202122[[#This Row],[Region]])</calculatedColumnFormula>
    </tableColumn>
    <tableColumn id="19" xr3:uid="{E1EBC6BF-8775-430C-A0E8-347DFD319904}" name="Remove &quot;pcs&quot;" dataDxfId="236">
      <calculatedColumnFormula>VALUE(SUBSTITUTE(Table14513141516171819202122[[#This Row],[Quantity]],"pcs",""))</calculatedColumnFormula>
    </tableColumn>
    <tableColumn id="20" xr3:uid="{3FF4A68A-ABEE-48C9-A373-A77C2E59C93F}" name="Year" dataDxfId="235">
      <calculatedColumnFormula>YEAR(Table14513141516171819202122[[#This Row],[Order Date]])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2B73258-54A7-414E-96FE-B560ADBB2D96}" name="Table1451314151617181920212223" displayName="Table1451314151617181920212223" ref="A1:V21" totalsRowShown="0" headerRowDxfId="234" dataDxfId="233" headerRowBorderDxfId="231" tableBorderDxfId="232" totalsRowBorderDxfId="230">
  <tableColumns count="22">
    <tableColumn id="1" xr3:uid="{8ACCEC1E-E5FB-4770-8BD7-7D04CE844344}" name="Order ID" dataDxfId="229"/>
    <tableColumn id="2" xr3:uid="{0D1FCE34-3016-4280-B71E-89B38A9667CB}" name="Customer Info" dataDxfId="228"/>
    <tableColumn id="3" xr3:uid="{1612EBFE-F521-401A-95E8-D60AC84E5857}" name="Product" dataDxfId="227"/>
    <tableColumn id="4" xr3:uid="{DF8526A1-473E-4AAA-B068-4B0ED01E2EE7}" name="Category" dataDxfId="226"/>
    <tableColumn id="5" xr3:uid="{9E496477-3EE2-4FF6-A75F-55CD69D7DC81}" name="Quantity" dataDxfId="225"/>
    <tableColumn id="6" xr3:uid="{D3E28435-A5BF-4C91-947A-F710B36A11A6}" name="Price" dataDxfId="224"/>
    <tableColumn id="7" xr3:uid="{942730F9-61C6-4CCA-B7CE-CD92E45D087F}" name="Region" dataDxfId="223"/>
    <tableColumn id="8" xr3:uid="{15FB975E-06F7-4D6D-A47D-5412156B7DDA}" name="Order Date" dataDxfId="222"/>
    <tableColumn id="9" xr3:uid="{50052836-61AC-4BBE-904C-93FB50250658}" name="Channel" dataDxfId="221"/>
    <tableColumn id="10" xr3:uid="{65973EB7-8D6E-4F88-A291-3AAA31B90E10}" name="Status" dataDxfId="220"/>
    <tableColumn id="11" xr3:uid="{85F57F5A-89FE-4513-8F99-112053723C05}" name="Discount" dataDxfId="219"/>
    <tableColumn id="12" xr3:uid="{66A75069-88F7-4EF2-9AF4-9F9A54EE2B5E}" name="Sales" dataDxfId="218">
      <calculatedColumnFormula>Table1451314151617181920212223[[#This Row],[Quantity]]*Table1451314151617181920212223[[#This Row],[Price]]</calculatedColumnFormula>
    </tableColumn>
    <tableColumn id="13" xr3:uid="{5A20D2A5-10BE-4960-B115-15A00D1C50E5}" name="Performance Classification for Sales" dataDxfId="217">
      <calculatedColumnFormula>IF(Table1451314151617181920212223[[#This Row],[Sales]]&gt;800,"High",IF(Table1451314151617181920212223[[#This Row],[Sales]]&gt;=500,"Medium","Low"))</calculatedColumnFormula>
    </tableColumn>
    <tableColumn id="14" xr3:uid="{592A9C5C-F8DA-4BDF-BC8A-AEB09E2E1215}" name="Valid/Check" dataDxfId="216">
      <calculatedColumnFormula array="1">_xlfn.IFS(AND(Table1451314151617181920212223[Status]="Delivered",Table1451314151617181920212223[Sales]&gt;500),"Valid",TRUE,"Check")</calculatedColumnFormula>
    </tableColumn>
    <tableColumn id="15" xr3:uid="{44FEF359-3341-4686-97D7-5E2AE34DADFD}" name="Customer Name" dataDxfId="215">
      <calculatedColumnFormula>LEFT(Table1451314151617181920212223[[#This Row],[Customer Info]],FIND("|",Table1451314151617181920212223[[#This Row],[Customer Info]])-2)</calculatedColumnFormula>
    </tableColumn>
    <tableColumn id="16" xr3:uid="{277C6D82-9181-467C-A843-89E42E6C8EAF}" name="Customer Number" dataDxfId="214">
      <calculatedColumnFormula>RIGHT(Table1451314151617181920212223[[#This Row],[Customer Info]],LEN(Table1451314151617181920212223[[#This Row],[Customer Info]])-FIND("|",Table1451314151617181920212223[[#This Row],[Customer Info]])-1)</calculatedColumnFormula>
    </tableColumn>
    <tableColumn id="17" xr3:uid="{D864BA6D-EF1B-4B67-B6A0-51344B05BBE8}" name="Remove Extra Spaces" dataDxfId="213">
      <calculatedColumnFormula>TRIM(Table1451314151617181920212223[[#This Row],[Customer Info]])</calculatedColumnFormula>
    </tableColumn>
    <tableColumn id="18" xr3:uid="{33F42239-FB7D-4A7F-99FA-5DFDF9D5A4E5}" name="Standardize Region" dataDxfId="212">
      <calculatedColumnFormula>UPPER(Table1451314151617181920212223[[#This Row],[Region]])</calculatedColumnFormula>
    </tableColumn>
    <tableColumn id="19" xr3:uid="{9F5CFA72-B6EB-41E7-8F51-52B699E550E5}" name="Remove &quot;pcs&quot;" dataDxfId="211">
      <calculatedColumnFormula>VALUE(SUBSTITUTE(Table1451314151617181920212223[[#This Row],[Quantity]],"pcs",""))</calculatedColumnFormula>
    </tableColumn>
    <tableColumn id="20" xr3:uid="{DC2D78F8-D409-45C0-8EAF-DBEB6C6076BF}" name="Year" dataDxfId="210">
      <calculatedColumnFormula>YEAR(Table1451314151617181920212223[[#This Row],[Order Date]])</calculatedColumnFormula>
    </tableColumn>
    <tableColumn id="21" xr3:uid="{446C1E19-F3D8-405E-B5C6-F429118B51B8}" name="Month" dataDxfId="209">
      <calculatedColumnFormula>MONTH(Table1451314151617181920212223[[#This Row],[Order Date]])</calculatedColumnFormula>
    </tableColumn>
    <tableColumn id="22" xr3:uid="{531D224F-9A7A-43F0-AD7A-E788FA618FA8}" name="Month2" dataDxfId="208">
      <calculatedColumnFormula>TEXT(Table1451314151617181920212223[[#This Row],[Order Date]],"mmm")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5DB499E-25B8-4977-ACFD-08828D3C8680}" name="Table145131415161718192021222324" displayName="Table145131415161718192021222324" ref="A1:W21" totalsRowShown="0" headerRowDxfId="207" dataDxfId="206" headerRowBorderDxfId="204" tableBorderDxfId="205" totalsRowBorderDxfId="203">
  <tableColumns count="23">
    <tableColumn id="1" xr3:uid="{6F2C202E-B06A-4317-A518-44AB1F83F83F}" name="Order ID" dataDxfId="202"/>
    <tableColumn id="2" xr3:uid="{81432302-FCF8-446F-ABD2-C5078EA52149}" name="Customer Info" dataDxfId="201"/>
    <tableColumn id="3" xr3:uid="{AEE65D77-8D15-4B36-AC1B-627817606F94}" name="Product" dataDxfId="200"/>
    <tableColumn id="4" xr3:uid="{962A114A-4367-4072-B40F-05053CB686E2}" name="Category" dataDxfId="199"/>
    <tableColumn id="5" xr3:uid="{1D176206-8F0F-4F89-B2AD-86AB6D9E84B6}" name="Quantity" dataDxfId="198"/>
    <tableColumn id="6" xr3:uid="{DC195398-F5FA-4AA5-A8C9-5903E54E0885}" name="Price" dataDxfId="197"/>
    <tableColumn id="7" xr3:uid="{40389512-FD26-48B1-A8E2-AA506AD47838}" name="Region" dataDxfId="196"/>
    <tableColumn id="8" xr3:uid="{D97A2FFA-40B3-4592-82E7-056F78017850}" name="Order Date" dataDxfId="195"/>
    <tableColumn id="9" xr3:uid="{566C708A-A100-4C7F-8308-5603E0CCF52B}" name="Channel" dataDxfId="194"/>
    <tableColumn id="10" xr3:uid="{43132601-370C-4181-8A9A-2ADA372216CB}" name="Status" dataDxfId="193"/>
    <tableColumn id="11" xr3:uid="{B8B7C161-5E8C-4DD1-A58D-B52026E3B144}" name="Discount" dataDxfId="192"/>
    <tableColumn id="12" xr3:uid="{D6DC3F0A-9258-445C-B33D-14D6A2AFB314}" name="Sales" dataDxfId="191">
      <calculatedColumnFormula>Table145131415161718192021222324[[#This Row],[Quantity]]*Table145131415161718192021222324[[#This Row],[Price]]</calculatedColumnFormula>
    </tableColumn>
    <tableColumn id="13" xr3:uid="{78C10014-A599-4593-BE2B-AA00DD9A3865}" name="Performance Classification for Sales" dataDxfId="190">
      <calculatedColumnFormula>IF(Table145131415161718192021222324[[#This Row],[Sales]]&gt;800,"High",IF(Table145131415161718192021222324[[#This Row],[Sales]]&gt;=500,"Medium","Low"))</calculatedColumnFormula>
    </tableColumn>
    <tableColumn id="14" xr3:uid="{6DE0D2F5-0E59-453A-8313-7043D054E23E}" name="Valid/Check" dataDxfId="189">
      <calculatedColumnFormula array="1">_xlfn.IFS(AND(Table145131415161718192021222324[Status]="Delivered",Table145131415161718192021222324[Sales]&gt;500),"Valid",TRUE,"Check")</calculatedColumnFormula>
    </tableColumn>
    <tableColumn id="15" xr3:uid="{30DE0041-9C1C-4791-B3B3-BA16FE42719B}" name="Customer Name" dataDxfId="188">
      <calculatedColumnFormula>LEFT(Table145131415161718192021222324[[#This Row],[Customer Info]],FIND("|",Table145131415161718192021222324[[#This Row],[Customer Info]])-2)</calculatedColumnFormula>
    </tableColumn>
    <tableColumn id="16" xr3:uid="{B1AA77B7-E5E8-4097-95FE-3424078E46A5}" name="Customer Number" dataDxfId="187">
      <calculatedColumnFormula>RIGHT(Table145131415161718192021222324[[#This Row],[Customer Info]],LEN(Table145131415161718192021222324[[#This Row],[Customer Info]])-FIND("|",Table145131415161718192021222324[[#This Row],[Customer Info]])-1)</calculatedColumnFormula>
    </tableColumn>
    <tableColumn id="17" xr3:uid="{C716B412-68E5-4E76-8039-5914C152324C}" name="Remove Extra Spaces" dataDxfId="186">
      <calculatedColumnFormula>TRIM(Table145131415161718192021222324[[#This Row],[Customer Info]])</calculatedColumnFormula>
    </tableColumn>
    <tableColumn id="18" xr3:uid="{08D10D70-476B-4251-8A6C-B6712B5790E2}" name="Standardize Region" dataDxfId="185">
      <calculatedColumnFormula>UPPER(Table145131415161718192021222324[[#This Row],[Region]])</calculatedColumnFormula>
    </tableColumn>
    <tableColumn id="19" xr3:uid="{CE62DF8C-C642-499E-B3B5-020E286B9A1C}" name="Remove &quot;pcs&quot;" dataDxfId="184">
      <calculatedColumnFormula>VALUE(SUBSTITUTE(Table145131415161718192021222324[[#This Row],[Quantity]],"pcs",""))</calculatedColumnFormula>
    </tableColumn>
    <tableColumn id="20" xr3:uid="{6E74241A-D6CE-4D76-8412-B9C0BC33213C}" name="Year" dataDxfId="183">
      <calculatedColumnFormula>YEAR(Table145131415161718192021222324[[#This Row],[Order Date]])</calculatedColumnFormula>
    </tableColumn>
    <tableColumn id="21" xr3:uid="{B156AD4E-1662-4C17-95AB-E06963F39563}" name="Month" dataDxfId="182">
      <calculatedColumnFormula>MONTH(Table145131415161718192021222324[[#This Row],[Order Date]])</calculatedColumnFormula>
    </tableColumn>
    <tableColumn id="22" xr3:uid="{06D0F4C0-74FD-4033-BE36-5467E759F099}" name="Month2" dataDxfId="181">
      <calculatedColumnFormula>TEXT(Table145131415161718192021222324[[#This Row],[Order Date]],"mmm")</calculatedColumnFormula>
    </tableColumn>
    <tableColumn id="23" xr3:uid="{B3F12814-27DF-444F-96D3-CC22C298E539}" name="Days Since order" dataDxfId="180">
      <calculatedColumnFormula>IF(Table145131415161718192021222324[[#This Row],[Order Date]]="","",TODAY()-Table145131415161718192021222324[[#This Row],[Order Date]])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476D592-C5B3-4FF9-A009-8BD6FD18973B}" name="Table14513141516171819202122232425" displayName="Table14513141516171819202122232425" ref="A1:X21" totalsRowShown="0" headerRowDxfId="179" dataDxfId="178" headerRowBorderDxfId="176" tableBorderDxfId="177" totalsRowBorderDxfId="175">
  <tableColumns count="24">
    <tableColumn id="1" xr3:uid="{F5B92B12-A502-4D8B-9F8B-AE802A4E7A37}" name="Order ID" dataDxfId="174"/>
    <tableColumn id="2" xr3:uid="{49CB7176-4E8D-4C0D-8CEF-290CDF559169}" name="Customer Info" dataDxfId="173"/>
    <tableColumn id="3" xr3:uid="{484703E9-4E63-438E-B559-64486D8307AB}" name="Product" dataDxfId="172"/>
    <tableColumn id="4" xr3:uid="{C7C91EC2-DE84-4C7E-8178-9E79575D25B8}" name="Category" dataDxfId="171"/>
    <tableColumn id="5" xr3:uid="{3E7798E5-CC6B-4949-95A5-F675BF366843}" name="Quantity" dataDxfId="170"/>
    <tableColumn id="6" xr3:uid="{0AFDAD83-A8DE-405F-A87D-9E80A9D4BD74}" name="Price" dataDxfId="169"/>
    <tableColumn id="7" xr3:uid="{2CA3E2FC-B5EE-4812-9CF7-FFED1390B1D8}" name="Region" dataDxfId="168"/>
    <tableColumn id="8" xr3:uid="{3DCD9228-05CC-484B-9EB4-E814857BC620}" name="Order Date" dataDxfId="167"/>
    <tableColumn id="9" xr3:uid="{C612FAFB-98CC-49BE-8DE6-96997C1FAAC9}" name="Channel" dataDxfId="166"/>
    <tableColumn id="10" xr3:uid="{6571976F-9580-4C5F-9518-910D2744F9E2}" name="Status" dataDxfId="165"/>
    <tableColumn id="11" xr3:uid="{81DF9F5D-F516-4D17-A277-8F599D3A293C}" name="Discount" dataDxfId="164"/>
    <tableColumn id="12" xr3:uid="{DCF1F200-AE32-4F30-AF19-E7E45DCAD2C8}" name="Sales" dataDxfId="163">
      <calculatedColumnFormula>Table14513141516171819202122232425[[#This Row],[Quantity]]*Table14513141516171819202122232425[[#This Row],[Price]]</calculatedColumnFormula>
    </tableColumn>
    <tableColumn id="13" xr3:uid="{06A2A9F2-56B9-494F-A288-0B4CB3C1EC9B}" name="Performance Classification for Sales" dataDxfId="162">
      <calculatedColumnFormula>IF(Table14513141516171819202122232425[[#This Row],[Sales]]&gt;800,"High",IF(Table14513141516171819202122232425[[#This Row],[Sales]]&gt;=500,"Medium","Low"))</calculatedColumnFormula>
    </tableColumn>
    <tableColumn id="14" xr3:uid="{EBD49CE4-2C7B-456D-A88E-A116E5A63FB6}" name="Valid/Check" dataDxfId="161">
      <calculatedColumnFormula array="1">_xlfn.IFS(AND(Table14513141516171819202122232425[Status]="Delivered",Table14513141516171819202122232425[Sales]&gt;500),"Valid",TRUE,"Check")</calculatedColumnFormula>
    </tableColumn>
    <tableColumn id="15" xr3:uid="{EDE1A968-9BB8-4F0B-9CBF-5606EEF46B46}" name="Customer Name" dataDxfId="160">
      <calculatedColumnFormula>LEFT(Table14513141516171819202122232425[[#This Row],[Customer Info]],FIND("|",Table14513141516171819202122232425[[#This Row],[Customer Info]])-2)</calculatedColumnFormula>
    </tableColumn>
    <tableColumn id="16" xr3:uid="{CC5DF036-E2D7-4660-9505-F3F18BBB3C83}" name="Customer Number" dataDxfId="159">
      <calculatedColumnFormula>RIGHT(Table14513141516171819202122232425[[#This Row],[Customer Info]],LEN(Table14513141516171819202122232425[[#This Row],[Customer Info]])-FIND("|",Table14513141516171819202122232425[[#This Row],[Customer Info]])-1)</calculatedColumnFormula>
    </tableColumn>
    <tableColumn id="17" xr3:uid="{0E2E0901-F035-4FB7-93E2-55D86CB60C68}" name="Remove Extra Spaces" dataDxfId="158">
      <calculatedColumnFormula>TRIM(Table14513141516171819202122232425[[#This Row],[Customer Info]])</calculatedColumnFormula>
    </tableColumn>
    <tableColumn id="18" xr3:uid="{E6634439-D86B-4C88-9255-5FEE2892FD57}" name="Standardize Region" dataDxfId="157">
      <calculatedColumnFormula>UPPER(Table14513141516171819202122232425[[#This Row],[Region]])</calculatedColumnFormula>
    </tableColumn>
    <tableColumn id="19" xr3:uid="{9EE0F712-DFCD-4E0D-B8E8-5CE3B884B4A1}" name="Remove &quot;pcs&quot;" dataDxfId="156">
      <calculatedColumnFormula>VALUE(SUBSTITUTE(Table14513141516171819202122232425[[#This Row],[Quantity]],"pcs",""))</calculatedColumnFormula>
    </tableColumn>
    <tableColumn id="20" xr3:uid="{06E38508-74BF-4B35-A053-08AE758DEA36}" name="Year" dataDxfId="155">
      <calculatedColumnFormula>YEAR(Table14513141516171819202122232425[[#This Row],[Order Date]])</calculatedColumnFormula>
    </tableColumn>
    <tableColumn id="21" xr3:uid="{1D0B4A7D-2CF1-4DDC-8B34-744722562DE1}" name="Month" dataDxfId="154">
      <calculatedColumnFormula>MONTH(Table14513141516171819202122232425[[#This Row],[Order Date]])</calculatedColumnFormula>
    </tableColumn>
    <tableColumn id="22" xr3:uid="{609B8F9D-DBC5-4DB4-BA52-6E1E08F2EE33}" name="Month2" dataDxfId="153">
      <calculatedColumnFormula>TEXT(Table14513141516171819202122232425[[#This Row],[Order Date]],"mmm")</calculatedColumnFormula>
    </tableColumn>
    <tableColumn id="23" xr3:uid="{B91BF2B6-BCE4-46E9-B0DE-BF175E0E7CC1}" name="Days Since order" dataDxfId="152">
      <calculatedColumnFormula>IF(Table14513141516171819202122232425[[#This Row],[Order Date]]="","",TODAY()-Table14513141516171819202122232425[[#This Row],[Order Date]])</calculatedColumnFormula>
    </tableColumn>
    <tableColumn id="24" xr3:uid="{3B855AB1-E9A5-4E39-B1E6-76C3482A9714}" name="Old/Recent" dataDxfId="151">
      <calculatedColumnFormula>IF(TODAY()-Table14513141516171819202122232425[[#This Row],[Order Date]]&gt;30,"Old","Recent")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5112E96-7E94-4BCB-882F-B7AAA45D5869}" name="Table1451314151617181920212223242526" displayName="Table1451314151617181920212223242526" ref="A1:X21" totalsRowShown="0" headerRowDxfId="150" dataDxfId="149" headerRowBorderDxfId="147" tableBorderDxfId="148" totalsRowBorderDxfId="146">
  <autoFilter ref="A1:X21" xr:uid="{55112E96-7E94-4BCB-882F-B7AAA45D5869}"/>
  <tableColumns count="24">
    <tableColumn id="1" xr3:uid="{88AAE6E6-7DF5-454A-8285-838F60BED07A}" name="Order ID" dataDxfId="145"/>
    <tableColumn id="2" xr3:uid="{E79BC35D-4E43-4248-AD75-EBA7B3BF970F}" name="Customer Info" dataDxfId="144"/>
    <tableColumn id="3" xr3:uid="{D953A1C1-ADE0-4887-A52F-746B2FDDCC95}" name="Product" dataDxfId="143"/>
    <tableColumn id="4" xr3:uid="{9D7B8200-ADE2-4D6E-93FB-465E06EE4454}" name="Category" dataDxfId="142"/>
    <tableColumn id="5" xr3:uid="{7679E303-B4B7-417D-A04C-C953B6051C9E}" name="Quantity" dataDxfId="141"/>
    <tableColumn id="6" xr3:uid="{358D2488-C6C7-4EC8-BFFC-9B91D9098E23}" name="Price" dataDxfId="140"/>
    <tableColumn id="7" xr3:uid="{CC2F45D1-18D8-4147-AC67-436C51407CA3}" name="Region" dataDxfId="139"/>
    <tableColumn id="8" xr3:uid="{F7AE4B74-3E6E-41D2-8648-1CB128C5E487}" name="Order Date" dataDxfId="138"/>
    <tableColumn id="9" xr3:uid="{4D1AD8FF-D898-4B5D-AEFD-126484C81D01}" name="Channel" dataDxfId="137"/>
    <tableColumn id="10" xr3:uid="{D7AA56C4-D160-451C-9499-FF73846085AA}" name="Status" dataDxfId="136"/>
    <tableColumn id="11" xr3:uid="{F19FF1B9-B5B3-44D5-A030-2F77159FDF4E}" name="Discount" dataDxfId="135"/>
    <tableColumn id="12" xr3:uid="{66854D9F-3ECD-4427-A819-DBB0FF454601}" name="Sales" dataDxfId="134">
      <calculatedColumnFormula>Table1451314151617181920212223242526[[#This Row],[Quantity]]*Table1451314151617181920212223242526[[#This Row],[Price]]</calculatedColumnFormula>
    </tableColumn>
    <tableColumn id="13" xr3:uid="{E7A45041-1C18-4E74-9160-0619CA6AE3D6}" name="Performance Classification for Sales" dataDxfId="133">
      <calculatedColumnFormula>IF(Table1451314151617181920212223242526[[#This Row],[Sales]]&gt;800,"High",IF(Table1451314151617181920212223242526[[#This Row],[Sales]]&gt;=500,"Medium","Low"))</calculatedColumnFormula>
    </tableColumn>
    <tableColumn id="14" xr3:uid="{7F7B14D2-6FE3-4218-B1C2-28B4AD57749E}" name="Valid/Check" dataDxfId="132">
      <calculatedColumnFormula array="1">_xlfn.IFS(AND(Table1451314151617181920212223242526[Status]="Delivered",Table1451314151617181920212223242526[Sales]&gt;500),"Valid",TRUE,"Check")</calculatedColumnFormula>
    </tableColumn>
    <tableColumn id="15" xr3:uid="{652C319E-2FA3-40DA-AB7F-7B388155E465}" name="Customer Name" dataDxfId="131">
      <calculatedColumnFormula>LEFT(Table1451314151617181920212223242526[[#This Row],[Customer Info]],FIND("|",Table1451314151617181920212223242526[[#This Row],[Customer Info]])-2)</calculatedColumnFormula>
    </tableColumn>
    <tableColumn id="16" xr3:uid="{1E4E5030-A1BA-4CE9-9C76-EB083A89AFDC}" name="Customer Number" dataDxfId="130">
      <calculatedColumnFormula>RIGHT(Table1451314151617181920212223242526[[#This Row],[Customer Info]],LEN(Table1451314151617181920212223242526[[#This Row],[Customer Info]])-FIND("|",Table1451314151617181920212223242526[[#This Row],[Customer Info]])-1)</calculatedColumnFormula>
    </tableColumn>
    <tableColumn id="17" xr3:uid="{7DD0AF38-F3CC-4A1A-8E5E-75E408D9880E}" name="Remove Extra Spaces" dataDxfId="129">
      <calculatedColumnFormula>TRIM(Table1451314151617181920212223242526[[#This Row],[Customer Info]])</calculatedColumnFormula>
    </tableColumn>
    <tableColumn id="18" xr3:uid="{5CC1BC90-246A-4740-A373-CF69C19EAE07}" name="Standardize Region" dataDxfId="128">
      <calculatedColumnFormula>UPPER(Table1451314151617181920212223242526[[#This Row],[Region]])</calculatedColumnFormula>
    </tableColumn>
    <tableColumn id="19" xr3:uid="{AECC9F88-2A19-4214-812F-564F332E0CC8}" name="Remove &quot;pcs&quot;" dataDxfId="127">
      <calculatedColumnFormula>VALUE(SUBSTITUTE(Table1451314151617181920212223242526[[#This Row],[Quantity]],"pcs",""))</calculatedColumnFormula>
    </tableColumn>
    <tableColumn id="20" xr3:uid="{05413BD5-05F2-4B20-847D-6E24A11681B2}" name="Year" dataDxfId="126">
      <calculatedColumnFormula>YEAR(Table1451314151617181920212223242526[[#This Row],[Order Date]])</calculatedColumnFormula>
    </tableColumn>
    <tableColumn id="21" xr3:uid="{471FAF90-4EE9-4CE1-81B6-E1BF981EB1AF}" name="Month" dataDxfId="125">
      <calculatedColumnFormula>MONTH(Table1451314151617181920212223242526[[#This Row],[Order Date]])</calculatedColumnFormula>
    </tableColumn>
    <tableColumn id="22" xr3:uid="{F580C7A9-C8B8-4288-A719-63C7D2A30AC6}" name="Month2" dataDxfId="124">
      <calculatedColumnFormula>TEXT(Table1451314151617181920212223242526[[#This Row],[Order Date]],"mmm")</calculatedColumnFormula>
    </tableColumn>
    <tableColumn id="23" xr3:uid="{B1771351-140F-41DD-A1DB-3B325E66B24C}" name="Days Since order" dataDxfId="123">
      <calculatedColumnFormula>IF(Table1451314151617181920212223242526[[#This Row],[Order Date]]="","",TODAY()-Table1451314151617181920212223242526[[#This Row],[Order Date]])</calculatedColumnFormula>
    </tableColumn>
    <tableColumn id="24" xr3:uid="{BFDABC52-7740-492A-9C0D-AFC332480A80}" name="Old/Recent" dataDxfId="122">
      <calculatedColumnFormula>IF(TODAY()-Table1451314151617181920212223242526[[#This Row],[Order Date]]&gt;30,"Old","Recent")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C20CF89-9435-4168-B9F2-2F77B70792A6}" name="Table1451314151617181920212223242528" displayName="Table1451314151617181920212223242528" ref="A1:X21" totalsRowShown="0" headerRowDxfId="121" dataDxfId="120" headerRowBorderDxfId="118" tableBorderDxfId="119" totalsRowBorderDxfId="117">
  <autoFilter ref="A1:X21" xr:uid="{CC20CF89-9435-4168-B9F2-2F77B70792A6}">
    <filterColumn colId="17">
      <filters>
        <filter val="INDIA"/>
      </filters>
    </filterColumn>
  </autoFilter>
  <tableColumns count="24">
    <tableColumn id="1" xr3:uid="{F57E48A4-46A4-44B5-9F5F-58917A5B6D29}" name="Order ID" dataDxfId="116"/>
    <tableColumn id="2" xr3:uid="{81709EE8-8031-4AA1-BDD1-FDC3524763E1}" name="Customer Info" dataDxfId="115"/>
    <tableColumn id="3" xr3:uid="{AEA66169-4813-4DF0-918F-3DE1F11B61A6}" name="Product" dataDxfId="114"/>
    <tableColumn id="4" xr3:uid="{FB46CA4C-2111-4B9F-A027-CD2AEF599A44}" name="Category" dataDxfId="113"/>
    <tableColumn id="5" xr3:uid="{D97E6C3E-C6F2-4455-9652-F1353D0F7999}" name="Quantity" dataDxfId="112"/>
    <tableColumn id="6" xr3:uid="{01DAC0D8-5F92-40D4-BD67-2A54FD6636D3}" name="Price" dataDxfId="111"/>
    <tableColumn id="7" xr3:uid="{4A0FEE5B-BA73-448A-9373-118D88AD5FF9}" name="Region" dataDxfId="110"/>
    <tableColumn id="8" xr3:uid="{4E804772-2B81-4A94-AB2C-2C2C303209F2}" name="Order Date" dataDxfId="109"/>
    <tableColumn id="9" xr3:uid="{B544100C-A93A-4C8F-A3FF-3C69D906D39F}" name="Channel" dataDxfId="108"/>
    <tableColumn id="10" xr3:uid="{E2A40CCA-326A-4368-9899-4A78EA5129B8}" name="Status" dataDxfId="107"/>
    <tableColumn id="11" xr3:uid="{C812AD21-E489-475E-95C4-469B813D6496}" name="Discount" dataDxfId="106"/>
    <tableColumn id="12" xr3:uid="{9E7F7D0E-69D6-46BB-BAA1-81C625357618}" name="Sales" dataDxfId="105">
      <calculatedColumnFormula>Table1451314151617181920212223242528[[#This Row],[Quantity]]*Table1451314151617181920212223242528[[#This Row],[Price]]</calculatedColumnFormula>
    </tableColumn>
    <tableColumn id="13" xr3:uid="{6EB7673B-BE79-486C-BF5B-C9F2BE527FF4}" name="Performance Classification for Sales" dataDxfId="104">
      <calculatedColumnFormula>IF(Table1451314151617181920212223242528[[#This Row],[Sales]]&gt;800,"High",IF(Table1451314151617181920212223242528[[#This Row],[Sales]]&gt;=500,"Medium","Low"))</calculatedColumnFormula>
    </tableColumn>
    <tableColumn id="14" xr3:uid="{BC98F5B7-7B0B-4A2E-BF1A-672A43CB0EAB}" name="Valid/Check" dataDxfId="103">
      <calculatedColumnFormula array="1">_xlfn.IFS(AND(Table1451314151617181920212223242528[Status]="Delivered",Table1451314151617181920212223242528[Sales]&gt;500),"Valid",TRUE,"Check")</calculatedColumnFormula>
    </tableColumn>
    <tableColumn id="15" xr3:uid="{43D38E6C-7A29-4C6C-A536-3227A96292F1}" name="Customer Name" dataDxfId="102">
      <calculatedColumnFormula>LEFT(Table1451314151617181920212223242528[[#This Row],[Customer Info]],FIND("|",Table1451314151617181920212223242528[[#This Row],[Customer Info]])-2)</calculatedColumnFormula>
    </tableColumn>
    <tableColumn id="16" xr3:uid="{F3CDD1F7-7654-4E27-920E-B87C5B63193F}" name="Customer Number" dataDxfId="101">
      <calculatedColumnFormula>RIGHT(Table1451314151617181920212223242528[[#This Row],[Customer Info]],LEN(Table1451314151617181920212223242528[[#This Row],[Customer Info]])-FIND("|",Table1451314151617181920212223242528[[#This Row],[Customer Info]])-1)</calculatedColumnFormula>
    </tableColumn>
    <tableColumn id="17" xr3:uid="{B85B68B8-0325-4254-922E-00CF452A255F}" name="Remove Extra Spaces" dataDxfId="100">
      <calculatedColumnFormula>TRIM(Table1451314151617181920212223242528[[#This Row],[Customer Info]])</calculatedColumnFormula>
    </tableColumn>
    <tableColumn id="18" xr3:uid="{699D7570-B795-42DB-A7AC-813FC16E6FAC}" name="Standardize Region" dataDxfId="99">
      <calculatedColumnFormula>UPPER(Table1451314151617181920212223242528[[#This Row],[Region]])</calculatedColumnFormula>
    </tableColumn>
    <tableColumn id="19" xr3:uid="{D2501492-8C14-45B3-A4EC-278CBA942F0D}" name="Remove &quot;pcs&quot;" dataDxfId="98">
      <calculatedColumnFormula>VALUE(SUBSTITUTE(Table1451314151617181920212223242528[[#This Row],[Quantity]],"pcs",""))</calculatedColumnFormula>
    </tableColumn>
    <tableColumn id="20" xr3:uid="{884B13AD-37DE-47E3-A594-5886A2224FBE}" name="Year" dataDxfId="97">
      <calculatedColumnFormula>YEAR(Table1451314151617181920212223242528[[#This Row],[Order Date]])</calculatedColumnFormula>
    </tableColumn>
    <tableColumn id="21" xr3:uid="{4C3D45AC-3ABD-4B9F-835A-D3EFB330A284}" name="Month" dataDxfId="96">
      <calculatedColumnFormula>MONTH(Table1451314151617181920212223242528[[#This Row],[Order Date]])</calculatedColumnFormula>
    </tableColumn>
    <tableColumn id="22" xr3:uid="{8DBA740A-55F7-4DCD-815C-D1BE46E0CC3C}" name="Month2" dataDxfId="95">
      <calculatedColumnFormula>TEXT(Table1451314151617181920212223242528[[#This Row],[Order Date]],"mmm")</calculatedColumnFormula>
    </tableColumn>
    <tableColumn id="23" xr3:uid="{63FDCB82-25BF-4B25-84FD-F11BFDFF390E}" name="Days Since order" dataDxfId="94">
      <calculatedColumnFormula>IF(Table1451314151617181920212223242528[[#This Row],[Order Date]]="","",TODAY()-Table1451314151617181920212223242528[[#This Row],[Order Date]])</calculatedColumnFormula>
    </tableColumn>
    <tableColumn id="24" xr3:uid="{F283F673-24E5-4CEB-9394-C4AAD0BF442F}" name="Old/Recent" dataDxfId="93">
      <calculatedColumnFormula>IF(TODAY()-Table1451314151617181920212223242528[[#This Row],[Order Date]]&gt;30,"Old","Recent")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1EC86E2-68FE-409A-BE23-3FB35D0933A2}" name="Table1451314151617181920212223242529" displayName="Table1451314151617181920212223242529" ref="A1:X21" totalsRowShown="0" headerRowDxfId="92" dataDxfId="91" headerRowBorderDxfId="89" tableBorderDxfId="90" totalsRowBorderDxfId="88">
  <tableColumns count="24">
    <tableColumn id="1" xr3:uid="{C4106547-1281-4164-985C-19F02A4C0D45}" name="Order ID" dataDxfId="87"/>
    <tableColumn id="2" xr3:uid="{9BFDF46B-34A2-4BF4-A8D1-977BD8817C5B}" name="Customer Info" dataDxfId="86"/>
    <tableColumn id="3" xr3:uid="{4D219FE0-1D9F-4D94-BB6A-2B9BC3614CEF}" name="Product" dataDxfId="85"/>
    <tableColumn id="4" xr3:uid="{240558BD-FB60-40FC-B4C1-E1BD5AD0EF20}" name="Category" dataDxfId="84"/>
    <tableColumn id="5" xr3:uid="{983B1F32-3276-4B5F-97D3-11C498C5E8C9}" name="Quantity" dataDxfId="83"/>
    <tableColumn id="6" xr3:uid="{A1791ADB-1A85-4B70-9F14-408D20D7B13A}" name="Price" dataDxfId="82"/>
    <tableColumn id="7" xr3:uid="{F34C355D-DB39-4BF6-A05C-EBBA94B2B8D8}" name="Region" dataDxfId="81"/>
    <tableColumn id="8" xr3:uid="{521CA97E-5EC4-4EF7-8EEE-D327AE4931DA}" name="Order Date" dataDxfId="80"/>
    <tableColumn id="9" xr3:uid="{BF5DCDE5-4281-4896-926C-6A4CFC739603}" name="Channel" dataDxfId="79"/>
    <tableColumn id="10" xr3:uid="{3615EF73-694B-440A-83A9-406236C1753A}" name="Status" dataDxfId="78"/>
    <tableColumn id="11" xr3:uid="{7AE9DDDE-EDBF-4A40-9C90-B1EC8C7EE78B}" name="Discount" dataDxfId="77"/>
    <tableColumn id="12" xr3:uid="{D9CB6EFF-1C20-40F5-99A7-2C32FD65871A}" name="Sales" dataDxfId="76">
      <calculatedColumnFormula>Table1451314151617181920212223242529[[#This Row],[Quantity]]*Table1451314151617181920212223242529[[#This Row],[Price]]</calculatedColumnFormula>
    </tableColumn>
    <tableColumn id="13" xr3:uid="{6145130E-B8A5-4129-B3A0-495B69CDD598}" name="Performance Classification for Sales" dataDxfId="75">
      <calculatedColumnFormula>IF(Table1451314151617181920212223242529[[#This Row],[Sales]]&gt;800,"High",IF(Table1451314151617181920212223242529[[#This Row],[Sales]]&gt;=500,"Medium","Low"))</calculatedColumnFormula>
    </tableColumn>
    <tableColumn id="14" xr3:uid="{51B69876-8F27-40D8-97A0-9225B4091BAF}" name="Valid/Check" dataDxfId="74">
      <calculatedColumnFormula array="1">_xlfn.IFS(AND(Table1451314151617181920212223242529[Status]="Delivered",Table1451314151617181920212223242529[Sales]&gt;500),"Valid",TRUE,"Check")</calculatedColumnFormula>
    </tableColumn>
    <tableColumn id="15" xr3:uid="{6E9A22A5-7807-4EE7-BD4A-BBA0AB6251D4}" name="Customer Name" dataDxfId="73">
      <calculatedColumnFormula>LEFT(Table1451314151617181920212223242529[[#This Row],[Customer Info]],FIND("|",Table1451314151617181920212223242529[[#This Row],[Customer Info]])-2)</calculatedColumnFormula>
    </tableColumn>
    <tableColumn id="16" xr3:uid="{BD80BE07-FBB8-4426-B046-AF0060304EA3}" name="Customer Number" dataDxfId="72">
      <calculatedColumnFormula>RIGHT(Table1451314151617181920212223242529[[#This Row],[Customer Info]],LEN(Table1451314151617181920212223242529[[#This Row],[Customer Info]])-FIND("|",Table1451314151617181920212223242529[[#This Row],[Customer Info]])-1)</calculatedColumnFormula>
    </tableColumn>
    <tableColumn id="17" xr3:uid="{D0B7BCF4-4160-4CDF-9F14-2196FFC44438}" name="Remove Extra Spaces" dataDxfId="71">
      <calculatedColumnFormula>TRIM(Table1451314151617181920212223242529[[#This Row],[Customer Info]])</calculatedColumnFormula>
    </tableColumn>
    <tableColumn id="18" xr3:uid="{97D5B426-25A2-4F56-BA50-152E4B59ADE3}" name="Standardize Region" dataDxfId="70">
      <calculatedColumnFormula>UPPER(Table1451314151617181920212223242529[[#This Row],[Region]])</calculatedColumnFormula>
    </tableColumn>
    <tableColumn id="19" xr3:uid="{B59A34D3-9F94-480C-AC47-93CF4034334B}" name="Remove &quot;pcs&quot;" dataDxfId="69">
      <calculatedColumnFormula>VALUE(SUBSTITUTE(Table1451314151617181920212223242529[[#This Row],[Quantity]],"pcs",""))</calculatedColumnFormula>
    </tableColumn>
    <tableColumn id="20" xr3:uid="{7766C5B3-66C5-4D59-BDBF-4A9CAB948937}" name="Year" dataDxfId="68">
      <calculatedColumnFormula>YEAR(Table1451314151617181920212223242529[[#This Row],[Order Date]])</calculatedColumnFormula>
    </tableColumn>
    <tableColumn id="21" xr3:uid="{79934062-DFEF-411F-8738-AFEF1D9F5E94}" name="Month" dataDxfId="67">
      <calculatedColumnFormula>MONTH(Table1451314151617181920212223242529[[#This Row],[Order Date]])</calculatedColumnFormula>
    </tableColumn>
    <tableColumn id="22" xr3:uid="{4DD1CF15-4190-4ED1-8CAC-89A0E81372FE}" name="Month2" dataDxfId="66">
      <calculatedColumnFormula>TEXT(Table1451314151617181920212223242529[[#This Row],[Order Date]],"mmm")</calculatedColumnFormula>
    </tableColumn>
    <tableColumn id="23" xr3:uid="{3AA4C9E5-804D-47CA-BA31-54BBFF8C49DB}" name="Days Since order" dataDxfId="65">
      <calculatedColumnFormula>IF(Table1451314151617181920212223242529[[#This Row],[Order Date]]="","",TODAY()-Table1451314151617181920212223242529[[#This Row],[Order Date]])</calculatedColumnFormula>
    </tableColumn>
    <tableColumn id="24" xr3:uid="{B0F97C4C-116C-4DE9-816B-C84972ACB3A2}" name="Old/Recent" dataDxfId="64">
      <calculatedColumnFormula>IF(TODAY()-Table1451314151617181920212223242529[[#This Row],[Order Date]]&gt;30,"Old","Recent")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B83C4BE-C676-426B-A604-334007CFCD82}" name="Table1451314151617181920212223242532" displayName="Table1451314151617181920212223242532" ref="A1:X21" totalsRowShown="0" headerRowDxfId="63" dataDxfId="62" headerRowBorderDxfId="60" tableBorderDxfId="61" totalsRowBorderDxfId="59">
  <autoFilter ref="A1:X21" xr:uid="{CB83C4BE-C676-426B-A604-334007CFCD82}"/>
  <sortState xmlns:xlrd2="http://schemas.microsoft.com/office/spreadsheetml/2017/richdata2" ref="A2:X21">
    <sortCondition descending="1" ref="L1:L21"/>
  </sortState>
  <tableColumns count="24">
    <tableColumn id="1" xr3:uid="{881865F5-BBED-4EDC-A015-DC11122421E2}" name="Order ID" dataDxfId="58"/>
    <tableColumn id="2" xr3:uid="{F0F642AF-9055-4211-9269-23A40D5F256A}" name="Customer Info" dataDxfId="57"/>
    <tableColumn id="3" xr3:uid="{32C9E99F-76F4-4664-B08D-D3F6E3619B5B}" name="Product" dataDxfId="56"/>
    <tableColumn id="4" xr3:uid="{C59F2AFF-0FED-4F7A-B9B8-19A61AE22D69}" name="Category" dataDxfId="55"/>
    <tableColumn id="5" xr3:uid="{AD375A18-E47C-4836-8866-FEF534F6BACA}" name="Quantity" dataDxfId="54"/>
    <tableColumn id="6" xr3:uid="{CBA29FAD-C197-4511-B732-ECBAC520D612}" name="Price" dataDxfId="53"/>
    <tableColumn id="7" xr3:uid="{2DEBDFD4-FD4B-4935-9AE5-4E689DBFFA41}" name="Region" dataDxfId="52"/>
    <tableColumn id="8" xr3:uid="{5C5EF5DF-7988-4800-A4BA-C1B4A37BE249}" name="Order Date" dataDxfId="51"/>
    <tableColumn id="9" xr3:uid="{A09AF8C7-5E80-4551-991B-2E47AE43E8E8}" name="Channel" dataDxfId="50"/>
    <tableColumn id="10" xr3:uid="{64B3D3F9-0918-4969-A1B9-5536B6A005C3}" name="Status" dataDxfId="49"/>
    <tableColumn id="11" xr3:uid="{1B548CAB-2A92-4EB6-977D-A69E4FE1DE7E}" name="Discount" dataDxfId="48"/>
    <tableColumn id="12" xr3:uid="{92F53700-E9ED-41A9-B8E6-892BAD72ABA7}" name="Sales" dataDxfId="47">
      <calculatedColumnFormula>Table1451314151617181920212223242532[[#This Row],[Quantity]]*Table1451314151617181920212223242532[[#This Row],[Price]]</calculatedColumnFormula>
    </tableColumn>
    <tableColumn id="13" xr3:uid="{7DF7A17D-E537-4B08-B15A-F19347B0DF0E}" name="Performance Classification for Sales" dataDxfId="46">
      <calculatedColumnFormula>IF(Table1451314151617181920212223242532[[#This Row],[Sales]]&gt;800,"High",IF(Table1451314151617181920212223242532[[#This Row],[Sales]]&gt;=500,"Medium","Low"))</calculatedColumnFormula>
    </tableColumn>
    <tableColumn id="14" xr3:uid="{63C7CCF8-170A-4E19-98B9-51FACE91305E}" name="Valid/Check" dataDxfId="45">
      <calculatedColumnFormula array="1">_xlfn.IFS(AND(Table1451314151617181920212223242532[Status]="Delivered",Table1451314151617181920212223242532[Sales]&gt;500),"Valid",TRUE,"Check")</calculatedColumnFormula>
    </tableColumn>
    <tableColumn id="15" xr3:uid="{3334A176-AA2F-491F-92B2-178DEDAC0F8D}" name="Customer Name" dataDxfId="44">
      <calculatedColumnFormula>LEFT(Table1451314151617181920212223242532[[#This Row],[Customer Info]],FIND("|",Table1451314151617181920212223242532[[#This Row],[Customer Info]])-2)</calculatedColumnFormula>
    </tableColumn>
    <tableColumn id="16" xr3:uid="{553D3B6B-A742-4102-AAFC-283539E1CF3E}" name="Customer Number" dataDxfId="43">
      <calculatedColumnFormula>RIGHT(Table1451314151617181920212223242532[[#This Row],[Customer Info]],LEN(Table1451314151617181920212223242532[[#This Row],[Customer Info]])-FIND("|",Table1451314151617181920212223242532[[#This Row],[Customer Info]])-1)</calculatedColumnFormula>
    </tableColumn>
    <tableColumn id="17" xr3:uid="{14F71432-B646-41AF-B52E-E06FFA326318}" name="Remove Extra Spaces" dataDxfId="42">
      <calculatedColumnFormula>TRIM(Table1451314151617181920212223242532[[#This Row],[Customer Info]])</calculatedColumnFormula>
    </tableColumn>
    <tableColumn id="18" xr3:uid="{F738B78B-3E84-4644-9011-BA23ACE26EB4}" name="Standardize Region" dataDxfId="41">
      <calculatedColumnFormula>UPPER(Table1451314151617181920212223242532[[#This Row],[Region]])</calculatedColumnFormula>
    </tableColumn>
    <tableColumn id="19" xr3:uid="{CFDAD0FD-12F0-4A89-AF08-7F7716EF4A8A}" name="Remove &quot;pcs&quot;" dataDxfId="40">
      <calculatedColumnFormula>VALUE(SUBSTITUTE(Table1451314151617181920212223242532[[#This Row],[Quantity]],"pcs",""))</calculatedColumnFormula>
    </tableColumn>
    <tableColumn id="20" xr3:uid="{F362733E-A70F-4AE9-982B-3B52749EA54F}" name="Year" dataDxfId="39">
      <calculatedColumnFormula>YEAR(Table1451314151617181920212223242532[[#This Row],[Order Date]])</calculatedColumnFormula>
    </tableColumn>
    <tableColumn id="21" xr3:uid="{161E4F22-6C46-45C3-BE96-AB473832C37A}" name="Month" dataDxfId="38">
      <calculatedColumnFormula>MONTH(Table1451314151617181920212223242532[[#This Row],[Order Date]])</calculatedColumnFormula>
    </tableColumn>
    <tableColumn id="22" xr3:uid="{85E782D9-D6A5-49AF-BC25-4088E1F2530A}" name="Month2" dataDxfId="37">
      <calculatedColumnFormula>TEXT(Table1451314151617181920212223242532[[#This Row],[Order Date]],"mmm")</calculatedColumnFormula>
    </tableColumn>
    <tableColumn id="23" xr3:uid="{B787230B-C3FC-4AB0-8C00-0D39B914804E}" name="Days Since order" dataDxfId="36">
      <calculatedColumnFormula>IF(Table1451314151617181920212223242532[[#This Row],[Order Date]]="","",TODAY()-Table1451314151617181920212223242532[[#This Row],[Order Date]])</calculatedColumnFormula>
    </tableColumn>
    <tableColumn id="24" xr3:uid="{9F8C5E48-AB19-4082-8ED0-2B807ECFE079}" name="Old/Recent" dataDxfId="35">
      <calculatedColumnFormula>IF(TODAY()-Table1451314151617181920212223242532[[#This Row],[Order Date]]&gt;30,"Old","Recent")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901B334-2226-45B1-AB33-AD32ECA3DFC1}" name="Table1451314151617181920212223242533" displayName="Table1451314151617181920212223242533" ref="A1:X21" totalsRowShown="0" headerRowDxfId="31" dataDxfId="30" headerRowBorderDxfId="28" tableBorderDxfId="29" totalsRowBorderDxfId="27">
  <tableColumns count="24">
    <tableColumn id="1" xr3:uid="{18D20023-24EF-4E9F-811A-1BB716E85732}" name="Order ID" dataDxfId="26"/>
    <tableColumn id="2" xr3:uid="{ACA390AB-EA23-48EC-B456-9FCBB2697447}" name="Customer Info" dataDxfId="25"/>
    <tableColumn id="3" xr3:uid="{05EAB545-A11D-4BA2-AB52-DA0AA73A8903}" name="Product" dataDxfId="24"/>
    <tableColumn id="4" xr3:uid="{621FECB3-3357-4397-A33C-14343CE28EA1}" name="Category" dataDxfId="23"/>
    <tableColumn id="5" xr3:uid="{088886B8-9730-4B51-9F8B-4B08D669A0BF}" name="Quantity" dataDxfId="22"/>
    <tableColumn id="6" xr3:uid="{B8702286-E99D-4ED3-BCA9-69A265739784}" name="Price" dataDxfId="21"/>
    <tableColumn id="7" xr3:uid="{D6F9A547-3652-47AF-9830-196EF9133BD5}" name="Region" dataDxfId="20"/>
    <tableColumn id="8" xr3:uid="{155E74F7-EE57-4A12-9C5B-201428F942D0}" name="Order Date" dataDxfId="19"/>
    <tableColumn id="9" xr3:uid="{1ECF0708-4B82-44C9-9EFA-1D00266563FA}" name="Channel" dataDxfId="18"/>
    <tableColumn id="10" xr3:uid="{18BD86CC-D153-46CC-A4CB-57C58AA10532}" name="Status" dataDxfId="17"/>
    <tableColumn id="11" xr3:uid="{FCF807AA-F73A-4C56-8345-60B0D218A44C}" name="Discount" dataDxfId="16"/>
    <tableColumn id="12" xr3:uid="{FD94E99C-108A-4C40-A48B-31A62813E607}" name="Sales" dataDxfId="15">
      <calculatedColumnFormula>Table1451314151617181920212223242533[[#This Row],[Quantity]]*Table1451314151617181920212223242533[[#This Row],[Price]]</calculatedColumnFormula>
    </tableColumn>
    <tableColumn id="13" xr3:uid="{FE0A3E58-9DC2-4A61-AB3A-2C57001ABF63}" name="Performance Classification for Sales" dataDxfId="14">
      <calculatedColumnFormula>IF(Table1451314151617181920212223242533[[#This Row],[Sales]]&gt;800,"High",IF(Table1451314151617181920212223242533[[#This Row],[Sales]]&gt;=500,"Medium","Low"))</calculatedColumnFormula>
    </tableColumn>
    <tableColumn id="14" xr3:uid="{0B9ED0E9-FFAE-4A41-8809-F2ED2A9C1038}" name="Valid/Check" dataDxfId="13">
      <calculatedColumnFormula array="1">_xlfn.IFS(AND(Table1451314151617181920212223242533[Status]="Delivered",Table1451314151617181920212223242533[Sales]&gt;500),"Valid",TRUE,"Check")</calculatedColumnFormula>
    </tableColumn>
    <tableColumn id="15" xr3:uid="{D2DCCCF2-0F66-4DB5-8802-7BBD54716499}" name="Customer Name" dataDxfId="12">
      <calculatedColumnFormula>LEFT(Table1451314151617181920212223242533[[#This Row],[Customer Info]],FIND("|",Table1451314151617181920212223242533[[#This Row],[Customer Info]])-2)</calculatedColumnFormula>
    </tableColumn>
    <tableColumn id="16" xr3:uid="{018107B9-0A2C-4DB2-A154-2714496C5899}" name="Customer Number" dataDxfId="11">
      <calculatedColumnFormula>RIGHT(Table1451314151617181920212223242533[[#This Row],[Customer Info]],LEN(Table1451314151617181920212223242533[[#This Row],[Customer Info]])-FIND("|",Table1451314151617181920212223242533[[#This Row],[Customer Info]])-1)</calculatedColumnFormula>
    </tableColumn>
    <tableColumn id="17" xr3:uid="{F7D138F7-3573-4DD6-B61A-93A4434E3089}" name="Remove Extra Spaces" dataDxfId="10">
      <calculatedColumnFormula>TRIM(Table1451314151617181920212223242533[[#This Row],[Customer Info]])</calculatedColumnFormula>
    </tableColumn>
    <tableColumn id="18" xr3:uid="{01356FDD-FC67-412B-BF88-5EBBEF81FF61}" name="Standardize Region" dataDxfId="9">
      <calculatedColumnFormula>UPPER(Table1451314151617181920212223242533[[#This Row],[Region]])</calculatedColumnFormula>
    </tableColumn>
    <tableColumn id="19" xr3:uid="{7BC1B27B-C634-4757-B7A6-AA99E6361D5E}" name="Remove &quot;pcs&quot;" dataDxfId="8">
      <calculatedColumnFormula>VALUE(SUBSTITUTE(Table1451314151617181920212223242533[[#This Row],[Quantity]],"pcs",""))</calculatedColumnFormula>
    </tableColumn>
    <tableColumn id="20" xr3:uid="{042A773C-A504-4E19-BDB9-F07F68A798D0}" name="Year" dataDxfId="7">
      <calculatedColumnFormula>YEAR(Table1451314151617181920212223242533[[#This Row],[Order Date]])</calculatedColumnFormula>
    </tableColumn>
    <tableColumn id="21" xr3:uid="{F2882AD5-A5DE-49E9-B7B5-8742469D88A9}" name="Month" dataDxfId="6">
      <calculatedColumnFormula>MONTH(Table1451314151617181920212223242533[[#This Row],[Order Date]])</calculatedColumnFormula>
    </tableColumn>
    <tableColumn id="22" xr3:uid="{31D275C1-E243-458D-BCBD-AA2C7D0BA8B5}" name="Month2" dataDxfId="5">
      <calculatedColumnFormula>TEXT(Table1451314151617181920212223242533[[#This Row],[Order Date]],"mmm")</calculatedColumnFormula>
    </tableColumn>
    <tableColumn id="23" xr3:uid="{7E003301-300D-4AD4-824D-79C105A1F7DC}" name="Days Since order" dataDxfId="4">
      <calculatedColumnFormula>IF(Table1451314151617181920212223242533[[#This Row],[Order Date]]="","",TODAY()-Table1451314151617181920212223242533[[#This Row],[Order Date]])</calculatedColumnFormula>
    </tableColumn>
    <tableColumn id="24" xr3:uid="{3C4DE0E0-E006-4AF8-9AA8-61533CB20C76}" name="Old/Recent" dataDxfId="3">
      <calculatedColumnFormula>IF(TODAY()-Table1451314151617181920212223242533[[#This Row],[Order Date]]&gt;30,"Old","Recent")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89DB-3894-497C-927B-060CFE90DDD0}">
  <dimension ref="A1:K21"/>
  <sheetViews>
    <sheetView zoomScale="69" workbookViewId="0">
      <selection activeCell="P15" sqref="P15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</cols>
  <sheetData>
    <row r="1" spans="1:11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</row>
    <row r="2" spans="1:11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</row>
    <row r="3" spans="1:11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</row>
    <row r="4" spans="1:11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</row>
    <row r="5" spans="1:11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</row>
    <row r="6" spans="1:11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</row>
    <row r="7" spans="1:11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</row>
    <row r="8" spans="1:11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</row>
    <row r="9" spans="1:11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</row>
    <row r="10" spans="1:11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</row>
    <row r="11" spans="1:11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</row>
    <row r="12" spans="1:11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</row>
    <row r="13" spans="1:11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</row>
    <row r="14" spans="1:11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</row>
    <row r="15" spans="1:11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</row>
    <row r="16" spans="1:11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</row>
    <row r="17" spans="1:11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</row>
    <row r="18" spans="1:11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</row>
    <row r="19" spans="1:11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</row>
    <row r="20" spans="1:11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</row>
    <row r="21" spans="1:11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AE25-F95C-4287-B47C-84E329CE5D75}">
  <dimension ref="A1:V21"/>
  <sheetViews>
    <sheetView zoomScale="69" workbookViewId="0">
      <selection activeCell="C32" sqref="C32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Table145[[#This Row],[Quantity]]*Table145[[#This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Table145[[#This Row],[Quantity]]*Table145[[#This Row],[Price]]</f>
        <v>250</v>
      </c>
      <c r="T3" s="15" t="s">
        <v>51</v>
      </c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Table145[[#This Row],[Quantity]]*Table145[[#This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Table145[[#This Row],[Quantity]]*Table145[[#This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Table145[[#This Row],[Quantity]]*Table145[[#This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Table145[[#This Row],[Quantity]]*Table145[[#This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Table145[[#This Row],[Quantity]]*Table145[[#This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Table145[[#This Row],[Quantity]]*Table145[[#This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Table145[[#This Row],[Quantity]]*Table145[[#This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Table145[[#This Row],[Quantity]]*Table145[[#This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Table145[[#This Row],[Quantity]]*Table145[[#This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Table145[[#This Row],[Quantity]]*Table145[[#This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Table145[[#This Row],[Quantity]]*Table145[[#This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Table145[[#This Row],[Quantity]]*Table145[[#This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Table145[[#This Row],[Quantity]]*Table145[[#This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Table145[[#This Row],[Quantity]]*Table145[[#This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Table145[[#This Row],[Quantity]]*Table145[[#This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Table145[[#This Row],[Quantity]]*Table145[[#This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Table145[[#This Row],[Quantity]]*Table145[[#This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Table145[[#This Row],[Quantity]]*Table145[[#This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E895-3B06-4372-AF43-162F1B673DB9}">
  <dimension ref="A1:V21"/>
  <sheetViews>
    <sheetView topLeftCell="B1" zoomScale="69" workbookViewId="0">
      <selection activeCell="T3" sqref="T3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20.8867187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Table1[[#This Row],[Quantity]]*Table1[[#This Row],[Price]]</f>
        <v>200</v>
      </c>
    </row>
    <row r="3" spans="1:22" ht="21.6" customHeight="1" thickBot="1" x14ac:dyDescent="0.55000000000000004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Table1[[#This Row],[Quantity]]*Table1[[#This Row],[Price]]</f>
        <v>250</v>
      </c>
      <c r="M3" s="17"/>
      <c r="N3" s="18" t="s">
        <v>52</v>
      </c>
      <c r="O3" s="18">
        <f>SUM(Table1[Sales])</f>
        <v>2450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Table1[[#This Row],[Quantity]]*Table1[[#This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Table1[[#This Row],[Quantity]]*Table1[[#This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Table1[[#This Row],[Quantity]]*Table1[[#This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Table1[[#This Row],[Quantity]]*Table1[[#This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Table1[[#This Row],[Quantity]]*Table1[[#This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Table1[[#This Row],[Quantity]]*Table1[[#This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Table1[[#This Row],[Quantity]]*Table1[[#This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Table1[[#This Row],[Quantity]]*Table1[[#This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Table1[[#This Row],[Quantity]]*Table1[[#This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Table1[[#This Row],[Quantity]]*Table1[[#This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Table1[[#This Row],[Quantity]]*Table1[[#This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Table1[[#This Row],[Quantity]]*Table1[[#This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Table1[[#This Row],[Quantity]]*Table1[[#This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Table1[[#This Row],[Quantity]]*Table1[[#This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Table1[[#This Row],[Quantity]]*Table1[[#This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Table1[[#This Row],[Quantity]]*Table1[[#This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Table1[[#This Row],[Quantity]]*Table1[[#This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Table1[[#This Row],[Quantity]]*Table1[[#This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77F2-0B25-4242-862E-08A111BD906F}">
  <dimension ref="A1:V21"/>
  <sheetViews>
    <sheetView zoomScale="69" workbookViewId="0">
      <selection activeCell="S4" sqref="S4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21.2187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Table14[[#This Row],[Quantity]]*Table14[[#This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Table14[[#This Row],[Quantity]]*Table14[[#This Row],[Price]]</f>
        <v>250</v>
      </c>
      <c r="N3" s="15" t="s">
        <v>53</v>
      </c>
      <c r="O3" s="15">
        <f>AVERAGE(Table14[Sales])</f>
        <v>122.5</v>
      </c>
      <c r="P3" s="15"/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Table14[[#This Row],[Quantity]]*Table14[[#This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Table14[[#This Row],[Quantity]]*Table14[[#This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Table14[[#This Row],[Quantity]]*Table14[[#This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Table14[[#This Row],[Quantity]]*Table14[[#This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Table14[[#This Row],[Quantity]]*Table14[[#This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Table14[[#This Row],[Quantity]]*Table14[[#This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Table14[[#This Row],[Quantity]]*Table14[[#This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Table14[[#This Row],[Quantity]]*Table14[[#This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Table14[[#This Row],[Quantity]]*Table14[[#This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Table14[[#This Row],[Quantity]]*Table14[[#This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Table14[[#This Row],[Quantity]]*Table14[[#This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Table14[[#This Row],[Quantity]]*Table14[[#This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Table14[[#This Row],[Quantity]]*Table14[[#This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Table14[[#This Row],[Quantity]]*Table14[[#This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Table14[[#This Row],[Quantity]]*Table14[[#This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Table14[[#This Row],[Quantity]]*Table14[[#This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Table14[[#This Row],[Quantity]]*Table14[[#This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Table14[[#This Row],[Quantity]]*Table14[[#This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FD3A-106C-41F5-B920-9DF0965EF44C}">
  <dimension ref="A1:V21"/>
  <sheetViews>
    <sheetView zoomScale="69" workbookViewId="0">
      <selection activeCell="T25" sqref="T25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5" max="15" width="22.3320312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Table1456[[#This Row],[Quantity]]*Table1456[[#This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Table1456[[#This Row],[Quantity]]*Table1456[[#This Row],[Price]]</f>
        <v>250</v>
      </c>
      <c r="N3" s="15" t="s">
        <v>54</v>
      </c>
      <c r="O3" s="15"/>
      <c r="P3" s="15">
        <f>MAX(Table1456[Sales])</f>
        <v>350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Table1456[[#This Row],[Quantity]]*Table1456[[#This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Table1456[[#This Row],[Quantity]]*Table1456[[#This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Table1456[[#This Row],[Quantity]]*Table1456[[#This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Table1456[[#This Row],[Quantity]]*Table1456[[#This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Table1456[[#This Row],[Quantity]]*Table1456[[#This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Table1456[[#This Row],[Quantity]]*Table1456[[#This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Table1456[[#This Row],[Quantity]]*Table1456[[#This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Table1456[[#This Row],[Quantity]]*Table1456[[#This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Table1456[[#This Row],[Quantity]]*Table1456[[#This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Table1456[[#This Row],[Quantity]]*Table1456[[#This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Table1456[[#This Row],[Quantity]]*Table1456[[#This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Table1456[[#This Row],[Quantity]]*Table1456[[#This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Table1456[[#This Row],[Quantity]]*Table1456[[#This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Table1456[[#This Row],[Quantity]]*Table1456[[#This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Table1456[[#This Row],[Quantity]]*Table1456[[#This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Table1456[[#This Row],[Quantity]]*Table1456[[#This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Table1456[[#This Row],[Quantity]]*Table1456[[#This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Table1456[[#This Row],[Quantity]]*Table1456[[#This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2D1F-1773-4F8B-8917-79CA3D1EA05A}">
  <dimension ref="A1:V21"/>
  <sheetViews>
    <sheetView zoomScale="69" workbookViewId="0">
      <selection activeCell="W26" sqref="W26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5" max="15" width="20.10937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Table1457[[#This Row],[Quantity]]*Table1457[[#This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Table1457[[#This Row],[Quantity]]*Table1457[[#This Row],[Price]]</f>
        <v>250</v>
      </c>
      <c r="N3" s="15" t="s">
        <v>55</v>
      </c>
      <c r="O3" s="15"/>
      <c r="P3" s="15">
        <f>MIN(Table1457[Sales])</f>
        <v>0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Table1457[[#This Row],[Quantity]]*Table1457[[#This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Table1457[[#This Row],[Quantity]]*Table1457[[#This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Table1457[[#This Row],[Quantity]]*Table1457[[#This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Table1457[[#This Row],[Quantity]]*Table1457[[#This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Table1457[[#This Row],[Quantity]]*Table1457[[#This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Table1457[[#This Row],[Quantity]]*Table1457[[#This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Table1457[[#This Row],[Quantity]]*Table1457[[#This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Table1457[[#This Row],[Quantity]]*Table1457[[#This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Table1457[[#This Row],[Quantity]]*Table1457[[#This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Table1457[[#This Row],[Quantity]]*Table1457[[#This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Table1457[[#This Row],[Quantity]]*Table1457[[#This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Table1457[[#This Row],[Quantity]]*Table1457[[#This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Table1457[[#This Row],[Quantity]]*Table1457[[#This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Table1457[[#This Row],[Quantity]]*Table1457[[#This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Table1457[[#This Row],[Quantity]]*Table1457[[#This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Table1457[[#This Row],[Quantity]]*Table1457[[#This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Table1457[[#This Row],[Quantity]]*Table1457[[#This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Table1457[[#This Row],[Quantity]]*Table1457[[#This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6455-FCAA-4FA8-90A7-FAEABEBB1661}">
  <dimension ref="A1:V21"/>
  <sheetViews>
    <sheetView zoomScale="69" workbookViewId="0">
      <selection activeCell="R4" sqref="R4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18.8867187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Table1458[[#This Row],[Quantity]]*Table1458[[#This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Table1458[[#This Row],[Quantity]]*Table1458[[#This Row],[Price]]</f>
        <v>250</v>
      </c>
      <c r="N3" s="15" t="s">
        <v>56</v>
      </c>
      <c r="O3" s="15">
        <f>COUNT(Table1458[Order ID])</f>
        <v>20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Table1458[[#This Row],[Quantity]]*Table1458[[#This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Table1458[[#This Row],[Quantity]]*Table1458[[#This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Table1458[[#This Row],[Quantity]]*Table1458[[#This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Table1458[[#This Row],[Quantity]]*Table1458[[#This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Table1458[[#This Row],[Quantity]]*Table1458[[#This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Table1458[[#This Row],[Quantity]]*Table1458[[#This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Table1458[[#This Row],[Quantity]]*Table1458[[#This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Table1458[[#This Row],[Quantity]]*Table1458[[#This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Table1458[[#This Row],[Quantity]]*Table1458[[#This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Table1458[[#This Row],[Quantity]]*Table1458[[#This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Table1458[[#This Row],[Quantity]]*Table1458[[#This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Table1458[[#This Row],[Quantity]]*Table1458[[#This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Table1458[[#This Row],[Quantity]]*Table1458[[#This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Table1458[[#This Row],[Quantity]]*Table1458[[#This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Table1458[[#This Row],[Quantity]]*Table1458[[#This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Table1458[[#This Row],[Quantity]]*Table1458[[#This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Table1458[[#This Row],[Quantity]]*Table1458[[#This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Table1458[[#This Row],[Quantity]]*Table1458[[#This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404D-6CF7-473C-BEC2-AAA3F2B1BB67}">
  <dimension ref="A1:V21"/>
  <sheetViews>
    <sheetView zoomScale="69" workbookViewId="0">
      <selection activeCell="Y4" sqref="Y4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28.21875" customWidth="1"/>
    <col min="15" max="15" width="15.4414062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Table1459[[#This Row],[Quantity]]*Table1459[[#This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Table1459[[#This Row],[Quantity]]*Table1459[[#This Row],[Price]]</f>
        <v>250</v>
      </c>
      <c r="N3" s="15" t="s">
        <v>57</v>
      </c>
      <c r="O3" s="15">
        <f>COUNTIF(Table1459[Region],"India")</f>
        <v>8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Table1459[[#This Row],[Quantity]]*Table1459[[#This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Table1459[[#This Row],[Quantity]]*Table1459[[#This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Table1459[[#This Row],[Quantity]]*Table1459[[#This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Table1459[[#This Row],[Quantity]]*Table1459[[#This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Table1459[[#This Row],[Quantity]]*Table1459[[#This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Table1459[[#This Row],[Quantity]]*Table1459[[#This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Table1459[[#This Row],[Quantity]]*Table1459[[#This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Table1459[[#This Row],[Quantity]]*Table1459[[#This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Table1459[[#This Row],[Quantity]]*Table1459[[#This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Table1459[[#This Row],[Quantity]]*Table1459[[#This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Table1459[[#This Row],[Quantity]]*Table1459[[#This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Table1459[[#This Row],[Quantity]]*Table1459[[#This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Table1459[[#This Row],[Quantity]]*Table1459[[#This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Table1459[[#This Row],[Quantity]]*Table1459[[#This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Table1459[[#This Row],[Quantity]]*Table1459[[#This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Table1459[[#This Row],[Quantity]]*Table1459[[#This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Table1459[[#This Row],[Quantity]]*Table1459[[#This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Table1459[[#This Row],[Quantity]]*Table1459[[#This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FC82-52FD-437D-B915-EF367B2497E2}">
  <dimension ref="A1:V21"/>
  <sheetViews>
    <sheetView zoomScale="69" workbookViewId="0">
      <selection activeCell="R5" sqref="R5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19.554687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Table14510[[#This Row],[Quantity]]*Table14510[[#This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Table14510[[#This Row],[Quantity]]*Table14510[[#This Row],[Price]]</f>
        <v>250</v>
      </c>
      <c r="N3" s="15" t="s">
        <v>58</v>
      </c>
      <c r="O3" s="15">
        <f>COUNTIF(Table14510[Quantity],"&gt;5")</f>
        <v>8</v>
      </c>
      <c r="P3" s="15"/>
      <c r="T3" s="15"/>
      <c r="U3" s="15"/>
      <c r="V3" s="15"/>
    </row>
    <row r="4" spans="1:22" ht="21" customHeight="1" thickBot="1" x14ac:dyDescent="0.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Table14510[[#This Row],[Quantity]]*Table14510[[#This Row],[Price]]</f>
        <v>80</v>
      </c>
      <c r="N4" s="15"/>
      <c r="O4" s="15"/>
      <c r="P4" s="15"/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Table14510[[#This Row],[Quantity]]*Table14510[[#This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Table14510[[#This Row],[Quantity]]*Table14510[[#This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Table14510[[#This Row],[Quantity]]*Table14510[[#This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Table14510[[#This Row],[Quantity]]*Table14510[[#This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Table14510[[#This Row],[Quantity]]*Table14510[[#This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Table14510[[#This Row],[Quantity]]*Table14510[[#This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Table14510[[#This Row],[Quantity]]*Table14510[[#This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Table14510[[#This Row],[Quantity]]*Table14510[[#This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Table14510[[#This Row],[Quantity]]*Table14510[[#This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Table14510[[#This Row],[Quantity]]*Table14510[[#This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Table14510[[#This Row],[Quantity]]*Table14510[[#This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Table14510[[#This Row],[Quantity]]*Table14510[[#This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Table14510[[#This Row],[Quantity]]*Table14510[[#This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Table14510[[#This Row],[Quantity]]*Table14510[[#This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Table14510[[#This Row],[Quantity]]*Table14510[[#This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Table14510[[#This Row],[Quantity]]*Table14510[[#This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Table14510[[#This Row],[Quantity]]*Table14510[[#This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891B-0FCF-440B-9F8F-71B585C2BF4B}">
  <dimension ref="A1:V21"/>
  <sheetViews>
    <sheetView topLeftCell="A2" zoomScale="69" workbookViewId="0">
      <selection activeCell="M26" sqref="M26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29.4414062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Table14511[[#This Row],[Quantity]]*Table14511[[#This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Table14511[[#This Row],[Quantity]]*Table14511[[#This Row],[Price]]</f>
        <v>250</v>
      </c>
      <c r="N3" s="15" t="s">
        <v>59</v>
      </c>
      <c r="O3" s="15">
        <f>COUNTBLANK(Table14511[Order Date])</f>
        <v>3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Table14511[[#This Row],[Quantity]]*Table14511[[#This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Table14511[[#This Row],[Quantity]]*Table14511[[#This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Table14511[[#This Row],[Quantity]]*Table14511[[#This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Table14511[[#This Row],[Quantity]]*Table14511[[#This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Table14511[[#This Row],[Quantity]]*Table14511[[#This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Table14511[[#This Row],[Quantity]]*Table14511[[#This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Table14511[[#This Row],[Quantity]]*Table14511[[#This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Table14511[[#This Row],[Quantity]]*Table14511[[#This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Table14511[[#This Row],[Quantity]]*Table14511[[#This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Table14511[[#This Row],[Quantity]]*Table14511[[#This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Table14511[[#This Row],[Quantity]]*Table14511[[#This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Table14511[[#This Row],[Quantity]]*Table14511[[#This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Table14511[[#This Row],[Quantity]]*Table14511[[#This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Table14511[[#This Row],[Quantity]]*Table14511[[#This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Table14511[[#This Row],[Quantity]]*Table14511[[#This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Table14511[[#This Row],[Quantity]]*Table14511[[#This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Table14511[[#This Row],[Quantity]]*Table14511[[#This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Table14511[[#This Row],[Quantity]]*Table14511[[#This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FB2D-F139-4755-9044-AD6FC6E88E34}">
  <dimension ref="A1:V21"/>
  <sheetViews>
    <sheetView zoomScale="69" workbookViewId="0">
      <selection activeCell="V4" sqref="V4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4" max="14" width="35.5546875" customWidth="1"/>
  </cols>
  <sheetData>
    <row r="1" spans="1:22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Table14512[[#This Row],[Quantity]]*Table14512[[#This Row],[Price]]</f>
        <v>200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Table14512[[#This Row],[Quantity]]*Table14512[[#This Row],[Price]]</f>
        <v>250</v>
      </c>
      <c r="N3" s="15" t="s">
        <v>60</v>
      </c>
      <c r="O3" s="15">
        <f>AVERAGEIF(Table14512[Region],"India",Table14512[Sales])</f>
        <v>126.25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Table14512[[#This Row],[Quantity]]*Table14512[[#This Row],[Price]]</f>
        <v>80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Table14512[[#This Row],[Quantity]]*Table14512[[#This Row],[Price]]</f>
        <v>45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Table14512[[#This Row],[Quantity]]*Table14512[[#This Row],[Price]]</f>
        <v>120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Table14512[[#This Row],[Quantity]]*Table14512[[#This Row],[Price]]</f>
        <v>150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Table14512[[#This Row],[Quantity]]*Table14512[[#This Row],[Price]]</f>
        <v>20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Table14512[[#This Row],[Quantity]]*Table14512[[#This Row],[Price]]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Table14512[[#This Row],[Quantity]]*Table14512[[#This Row],[Price]]</f>
        <v>160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Table14512[[#This Row],[Quantity]]*Table14512[[#This Row],[Price]]</f>
        <v>300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Table14512[[#This Row],[Quantity]]*Table14512[[#This Row],[Price]]</f>
        <v>100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Table14512[[#This Row],[Quantity]]*Table14512[[#This Row],[Price]]</f>
        <v>100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Table14512[[#This Row],[Quantity]]*Table14512[[#This Row],[Price]]</f>
        <v>45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Table14512[[#This Row],[Quantity]]*Table14512[[#This Row],[Price]]</f>
        <v>10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Table14512[[#This Row],[Quantity]]*Table14512[[#This Row],[Price]]</f>
        <v>200</v>
      </c>
    </row>
    <row r="17" spans="1:1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Table14512[[#This Row],[Quantity]]*Table14512[[#This Row],[Price]]</f>
        <v>140</v>
      </c>
    </row>
    <row r="18" spans="1:1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Table14512[[#This Row],[Quantity]]*Table14512[[#This Row],[Price]]</f>
        <v>30</v>
      </c>
    </row>
    <row r="19" spans="1:1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Table14512[[#This Row],[Quantity]]*Table14512[[#This Row],[Price]]</f>
        <v>120</v>
      </c>
    </row>
    <row r="20" spans="1:1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Table14512[[#This Row],[Quantity]]*Table14512[[#This Row],[Price]]</f>
        <v>350</v>
      </c>
    </row>
    <row r="21" spans="1:1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Table14512[[#This Row],[Quantity]]*Table14512[[#This Row],[Price]]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8E69-F3A0-4F7C-91F9-E10A58CC7773}">
  <dimension ref="A1:V21"/>
  <sheetViews>
    <sheetView zoomScale="69" workbookViewId="0">
      <selection activeCell="N11" sqref="N11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Table14513[[#This Row],[Quantity]]*Table14513[[#This Row],[Price]]</f>
        <v>200</v>
      </c>
      <c r="M2" s="19" t="str">
        <f>IF(Table14513[[#This Row],[Sales]]&gt;800,"High",IF(Table14513[[#This Row],[Sales]]&gt;=500,"Medium","Low"))</f>
        <v>Low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Table14513[[#This Row],[Quantity]]*Table14513[[#This Row],[Price]]</f>
        <v>250</v>
      </c>
      <c r="M3" s="19" t="str">
        <f>IF(Table14513[[#This Row],[Sales]]&gt;800,"High",IF(Table14513[[#This Row],[Sales]]&gt;=500,"Medium","Low"))</f>
        <v>Low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Table14513[[#This Row],[Quantity]]*Table14513[[#This Row],[Price]]</f>
        <v>80</v>
      </c>
      <c r="M4" s="19" t="str">
        <f>IF(Table14513[[#This Row],[Sales]]&gt;800,"High",IF(Table14513[[#This Row],[Sales]]&gt;=500,"Medium","Low"))</f>
        <v>Low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Table14513[[#This Row],[Quantity]]*Table14513[[#This Row],[Price]]</f>
        <v>45</v>
      </c>
      <c r="M5" s="19" t="str">
        <f>IF(Table14513[[#This Row],[Sales]]&gt;800,"High",IF(Table14513[[#This Row],[Sales]]&gt;=500,"Medium","Low"))</f>
        <v>Low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Table14513[[#This Row],[Quantity]]*Table14513[[#This Row],[Price]]</f>
        <v>120</v>
      </c>
      <c r="M6" s="19" t="str">
        <f>IF(Table14513[[#This Row],[Sales]]&gt;800,"High",IF(Table14513[[#This Row],[Sales]]&gt;=500,"Medium","Low"))</f>
        <v>Low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Table14513[[#This Row],[Quantity]]*Table14513[[#This Row],[Price]]</f>
        <v>150</v>
      </c>
      <c r="M7" s="19" t="str">
        <f>IF(Table14513[[#This Row],[Sales]]&gt;800,"High",IF(Table14513[[#This Row],[Sales]]&gt;=500,"Medium","Low"))</f>
        <v>Low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Table14513[[#This Row],[Quantity]]*Table14513[[#This Row],[Price]]</f>
        <v>20</v>
      </c>
      <c r="M8" s="19" t="str">
        <f>IF(Table14513[[#This Row],[Sales]]&gt;800,"High",IF(Table14513[[#This Row],[Sales]]&gt;=500,"Medium","Low"))</f>
        <v>Low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Table14513[[#This Row],[Quantity]]*Table14513[[#This Row],[Price]]</f>
        <v>0</v>
      </c>
      <c r="M9" s="19" t="str">
        <f>IF(Table14513[[#This Row],[Sales]]&gt;800,"High",IF(Table14513[[#This Row],[Sales]]&gt;=500,"Medium","Low"))</f>
        <v>Low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Table14513[[#This Row],[Quantity]]*Table14513[[#This Row],[Price]]</f>
        <v>160</v>
      </c>
      <c r="M10" s="19" t="str">
        <f>IF(Table14513[[#This Row],[Sales]]&gt;800,"High",IF(Table14513[[#This Row],[Sales]]&gt;=500,"Medium","Low"))</f>
        <v>Low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Table14513[[#This Row],[Quantity]]*Table14513[[#This Row],[Price]]</f>
        <v>300</v>
      </c>
      <c r="M11" s="19" t="str">
        <f>IF(Table14513[[#This Row],[Sales]]&gt;800,"High",IF(Table14513[[#This Row],[Sales]]&gt;=500,"Medium","Low"))</f>
        <v>Low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Table14513[[#This Row],[Quantity]]*Table14513[[#This Row],[Price]]</f>
        <v>100</v>
      </c>
      <c r="M12" s="19" t="str">
        <f>IF(Table14513[[#This Row],[Sales]]&gt;800,"High",IF(Table14513[[#This Row],[Sales]]&gt;=500,"Medium","Low"))</f>
        <v>Low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Table14513[[#This Row],[Quantity]]*Table14513[[#This Row],[Price]]</f>
        <v>100</v>
      </c>
      <c r="M13" s="19" t="str">
        <f>IF(Table14513[[#This Row],[Sales]]&gt;800,"High",IF(Table14513[[#This Row],[Sales]]&gt;=500,"Medium","Low"))</f>
        <v>Low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Table14513[[#This Row],[Quantity]]*Table14513[[#This Row],[Price]]</f>
        <v>45</v>
      </c>
      <c r="M14" s="19" t="str">
        <f>IF(Table14513[[#This Row],[Sales]]&gt;800,"High",IF(Table14513[[#This Row],[Sales]]&gt;=500,"Medium","Low"))</f>
        <v>Low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Table14513[[#This Row],[Quantity]]*Table14513[[#This Row],[Price]]</f>
        <v>10</v>
      </c>
      <c r="M15" s="19" t="str">
        <f>IF(Table14513[[#This Row],[Sales]]&gt;800,"High",IF(Table14513[[#This Row],[Sales]]&gt;=500,"Medium","Low"))</f>
        <v>Low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Table14513[[#This Row],[Quantity]]*Table14513[[#This Row],[Price]]</f>
        <v>200</v>
      </c>
      <c r="M16" s="19" t="str">
        <f>IF(Table14513[[#This Row],[Sales]]&gt;800,"High",IF(Table14513[[#This Row],[Sales]]&gt;=500,"Medium","Low"))</f>
        <v>Low</v>
      </c>
    </row>
    <row r="17" spans="1:13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Table14513[[#This Row],[Quantity]]*Table14513[[#This Row],[Price]]</f>
        <v>140</v>
      </c>
      <c r="M17" s="19" t="str">
        <f>IF(Table14513[[#This Row],[Sales]]&gt;800,"High",IF(Table14513[[#This Row],[Sales]]&gt;=500,"Medium","Low"))</f>
        <v>Low</v>
      </c>
    </row>
    <row r="18" spans="1:13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Table14513[[#This Row],[Quantity]]*Table14513[[#This Row],[Price]]</f>
        <v>30</v>
      </c>
      <c r="M18" s="19" t="str">
        <f>IF(Table14513[[#This Row],[Sales]]&gt;800,"High",IF(Table14513[[#This Row],[Sales]]&gt;=500,"Medium","Low"))</f>
        <v>Low</v>
      </c>
    </row>
    <row r="19" spans="1:13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Table14513[[#This Row],[Quantity]]*Table14513[[#This Row],[Price]]</f>
        <v>120</v>
      </c>
      <c r="M19" s="19" t="str">
        <f>IF(Table14513[[#This Row],[Sales]]&gt;800,"High",IF(Table14513[[#This Row],[Sales]]&gt;=500,"Medium","Low"))</f>
        <v>Low</v>
      </c>
    </row>
    <row r="20" spans="1:13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Table14513[[#This Row],[Quantity]]*Table14513[[#This Row],[Price]]</f>
        <v>350</v>
      </c>
      <c r="M20" s="19" t="str">
        <f>IF(Table14513[[#This Row],[Sales]]&gt;800,"High",IF(Table14513[[#This Row],[Sales]]&gt;=500,"Medium","Low"))</f>
        <v>Low</v>
      </c>
    </row>
    <row r="21" spans="1:13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Table14513[[#This Row],[Quantity]]*Table14513[[#This Row],[Price]]</f>
        <v>30</v>
      </c>
      <c r="M21" s="19" t="str">
        <f>IF(Table14513[[#This Row],[Sales]]&gt;800,"High",IF(Table14513[[#This Row],[Sales]]&gt;=500,"Medium","Low"))</f>
        <v>Low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4DA1-60F3-423B-9B00-A89EED38C75D}">
  <dimension ref="A1:V21"/>
  <sheetViews>
    <sheetView zoomScale="69" workbookViewId="0">
      <selection activeCell="O26" sqref="O26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5" max="15" width="44.10937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Table1451314[[#This Row],[Quantity]]*Table1451314[[#This Row],[Price]]</f>
        <v>200</v>
      </c>
      <c r="M2" s="19" t="str">
        <f>IF(Table1451314[[#This Row],[Sales]]&gt;800,"High",IF(Table1451314[[#This Row],[Sales]]&gt;=500,"Medium","Low"))</f>
        <v>Low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Table1451314[[#This Row],[Quantity]]*Table1451314[[#This Row],[Price]]</f>
        <v>250</v>
      </c>
      <c r="M3" s="19" t="str">
        <f>IF(Table1451314[[#This Row],[Sales]]&gt;800,"High",IF(Table1451314[[#This Row],[Sales]]&gt;=500,"Medium","Low"))</f>
        <v>Low</v>
      </c>
      <c r="O3" s="15" t="s">
        <v>62</v>
      </c>
      <c r="P3" s="15">
        <f>COUNTIFS(Table1451314[Sales],"&gt;500",Table1451314[Status],"Delivered")</f>
        <v>0</v>
      </c>
      <c r="Q3" s="15"/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Table1451314[[#This Row],[Quantity]]*Table1451314[[#This Row],[Price]]</f>
        <v>80</v>
      </c>
      <c r="M4" s="19" t="str">
        <f>IF(Table1451314[[#This Row],[Sales]]&gt;800,"High",IF(Table1451314[[#This Row],[Sales]]&gt;=500,"Medium","Low"))</f>
        <v>Low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Table1451314[[#This Row],[Quantity]]*Table1451314[[#This Row],[Price]]</f>
        <v>45</v>
      </c>
      <c r="M5" s="19" t="str">
        <f>IF(Table1451314[[#This Row],[Sales]]&gt;800,"High",IF(Table1451314[[#This Row],[Sales]]&gt;=500,"Medium","Low"))</f>
        <v>Low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Table1451314[[#This Row],[Quantity]]*Table1451314[[#This Row],[Price]]</f>
        <v>120</v>
      </c>
      <c r="M6" s="19" t="str">
        <f>IF(Table1451314[[#This Row],[Sales]]&gt;800,"High",IF(Table1451314[[#This Row],[Sales]]&gt;=500,"Medium","Low"))</f>
        <v>Low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Table1451314[[#This Row],[Quantity]]*Table1451314[[#This Row],[Price]]</f>
        <v>150</v>
      </c>
      <c r="M7" s="19" t="str">
        <f>IF(Table1451314[[#This Row],[Sales]]&gt;800,"High",IF(Table1451314[[#This Row],[Sales]]&gt;=500,"Medium","Low"))</f>
        <v>Low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Table1451314[[#This Row],[Quantity]]*Table1451314[[#This Row],[Price]]</f>
        <v>20</v>
      </c>
      <c r="M8" s="19" t="str">
        <f>IF(Table1451314[[#This Row],[Sales]]&gt;800,"High",IF(Table1451314[[#This Row],[Sales]]&gt;=500,"Medium","Low"))</f>
        <v>Low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Table1451314[[#This Row],[Quantity]]*Table1451314[[#This Row],[Price]]</f>
        <v>0</v>
      </c>
      <c r="M9" s="19" t="str">
        <f>IF(Table1451314[[#This Row],[Sales]]&gt;800,"High",IF(Table1451314[[#This Row],[Sales]]&gt;=500,"Medium","Low"))</f>
        <v>Low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Table1451314[[#This Row],[Quantity]]*Table1451314[[#This Row],[Price]]</f>
        <v>160</v>
      </c>
      <c r="M10" s="19" t="str">
        <f>IF(Table1451314[[#This Row],[Sales]]&gt;800,"High",IF(Table1451314[[#This Row],[Sales]]&gt;=500,"Medium","Low"))</f>
        <v>Low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Table1451314[[#This Row],[Quantity]]*Table1451314[[#This Row],[Price]]</f>
        <v>300</v>
      </c>
      <c r="M11" s="19" t="str">
        <f>IF(Table1451314[[#This Row],[Sales]]&gt;800,"High",IF(Table1451314[[#This Row],[Sales]]&gt;=500,"Medium","Low"))</f>
        <v>Low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Table1451314[[#This Row],[Quantity]]*Table1451314[[#This Row],[Price]]</f>
        <v>100</v>
      </c>
      <c r="M12" s="19" t="str">
        <f>IF(Table1451314[[#This Row],[Sales]]&gt;800,"High",IF(Table1451314[[#This Row],[Sales]]&gt;=500,"Medium","Low"))</f>
        <v>Low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Table1451314[[#This Row],[Quantity]]*Table1451314[[#This Row],[Price]]</f>
        <v>100</v>
      </c>
      <c r="M13" s="19" t="str">
        <f>IF(Table1451314[[#This Row],[Sales]]&gt;800,"High",IF(Table1451314[[#This Row],[Sales]]&gt;=500,"Medium","Low"))</f>
        <v>Low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Table1451314[[#This Row],[Quantity]]*Table1451314[[#This Row],[Price]]</f>
        <v>45</v>
      </c>
      <c r="M14" s="19" t="str">
        <f>IF(Table1451314[[#This Row],[Sales]]&gt;800,"High",IF(Table1451314[[#This Row],[Sales]]&gt;=500,"Medium","Low"))</f>
        <v>Low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Table1451314[[#This Row],[Quantity]]*Table1451314[[#This Row],[Price]]</f>
        <v>10</v>
      </c>
      <c r="M15" s="19" t="str">
        <f>IF(Table1451314[[#This Row],[Sales]]&gt;800,"High",IF(Table1451314[[#This Row],[Sales]]&gt;=500,"Medium","Low"))</f>
        <v>Low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Table1451314[[#This Row],[Quantity]]*Table1451314[[#This Row],[Price]]</f>
        <v>200</v>
      </c>
      <c r="M16" s="19" t="str">
        <f>IF(Table1451314[[#This Row],[Sales]]&gt;800,"High",IF(Table1451314[[#This Row],[Sales]]&gt;=500,"Medium","Low"))</f>
        <v>Low</v>
      </c>
    </row>
    <row r="17" spans="1:13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Table1451314[[#This Row],[Quantity]]*Table1451314[[#This Row],[Price]]</f>
        <v>140</v>
      </c>
      <c r="M17" s="19" t="str">
        <f>IF(Table1451314[[#This Row],[Sales]]&gt;800,"High",IF(Table1451314[[#This Row],[Sales]]&gt;=500,"Medium","Low"))</f>
        <v>Low</v>
      </c>
    </row>
    <row r="18" spans="1:13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Table1451314[[#This Row],[Quantity]]*Table1451314[[#This Row],[Price]]</f>
        <v>30</v>
      </c>
      <c r="M18" s="19" t="str">
        <f>IF(Table1451314[[#This Row],[Sales]]&gt;800,"High",IF(Table1451314[[#This Row],[Sales]]&gt;=500,"Medium","Low"))</f>
        <v>Low</v>
      </c>
    </row>
    <row r="19" spans="1:13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Table1451314[[#This Row],[Quantity]]*Table1451314[[#This Row],[Price]]</f>
        <v>120</v>
      </c>
      <c r="M19" s="19" t="str">
        <f>IF(Table1451314[[#This Row],[Sales]]&gt;800,"High",IF(Table1451314[[#This Row],[Sales]]&gt;=500,"Medium","Low"))</f>
        <v>Low</v>
      </c>
    </row>
    <row r="20" spans="1:13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Table1451314[[#This Row],[Quantity]]*Table1451314[[#This Row],[Price]]</f>
        <v>350</v>
      </c>
      <c r="M20" s="19" t="str">
        <f>IF(Table1451314[[#This Row],[Sales]]&gt;800,"High",IF(Table1451314[[#This Row],[Sales]]&gt;=500,"Medium","Low"))</f>
        <v>Low</v>
      </c>
    </row>
    <row r="21" spans="1:13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Table1451314[[#This Row],[Quantity]]*Table1451314[[#This Row],[Price]]</f>
        <v>30</v>
      </c>
      <c r="M21" s="19" t="str">
        <f>IF(Table1451314[[#This Row],[Sales]]&gt;800,"High",IF(Table1451314[[#This Row],[Sales]]&gt;=500,"Medium","Low"))</f>
        <v>Low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B6E2-A055-4DF3-8D95-D54BC0CFFEA9}">
  <dimension ref="A1:V21"/>
  <sheetViews>
    <sheetView zoomScale="69" workbookViewId="0">
      <selection activeCell="T4" sqref="T4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5" max="15" width="44.10937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Table145131415[[#This Row],[Quantity]]*Table145131415[[#This Row],[Price]]</f>
        <v>200</v>
      </c>
      <c r="M2" s="19" t="str">
        <f>IF(Table145131415[[#This Row],[Sales]]&gt;800,"High",IF(Table145131415[[#This Row],[Sales]]&gt;=500,"Medium","Low"))</f>
        <v>Low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Table145131415[[#This Row],[Quantity]]*Table145131415[[#This Row],[Price]]</f>
        <v>250</v>
      </c>
      <c r="M3" s="19" t="str">
        <f>IF(Table145131415[[#This Row],[Sales]]&gt;800,"High",IF(Table145131415[[#This Row],[Sales]]&gt;=500,"Medium","Low"))</f>
        <v>Low</v>
      </c>
      <c r="O3" s="15"/>
      <c r="P3" s="15"/>
      <c r="Q3" s="15"/>
      <c r="T3" s="15"/>
      <c r="U3" s="15"/>
      <c r="V3" s="15"/>
    </row>
    <row r="4" spans="1:22" ht="21" customHeight="1" thickBot="1" x14ac:dyDescent="0.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Table145131415[[#This Row],[Quantity]]*Table145131415[[#This Row],[Price]]</f>
        <v>80</v>
      </c>
      <c r="M4" s="19" t="str">
        <f>IF(Table145131415[[#This Row],[Sales]]&gt;800,"High",IF(Table145131415[[#This Row],[Sales]]&gt;=500,"Medium","Low"))</f>
        <v>Low</v>
      </c>
      <c r="O4" s="15" t="s">
        <v>63</v>
      </c>
      <c r="P4" s="15">
        <f>COUNTIFS(Table145131415[Quantity],0)+COUNTIFS(Table145131415[Sales],"&lt;100")</f>
        <v>9</v>
      </c>
      <c r="Q4" s="15"/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Table145131415[[#This Row],[Quantity]]*Table145131415[[#This Row],[Price]]</f>
        <v>45</v>
      </c>
      <c r="M5" s="19" t="str">
        <f>IF(Table145131415[[#This Row],[Sales]]&gt;800,"High",IF(Table145131415[[#This Row],[Sales]]&gt;=500,"Medium","Low"))</f>
        <v>Low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Table145131415[[#This Row],[Quantity]]*Table145131415[[#This Row],[Price]]</f>
        <v>120</v>
      </c>
      <c r="M6" s="19" t="str">
        <f>IF(Table145131415[[#This Row],[Sales]]&gt;800,"High",IF(Table145131415[[#This Row],[Sales]]&gt;=500,"Medium","Low"))</f>
        <v>Low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Table145131415[[#This Row],[Quantity]]*Table145131415[[#This Row],[Price]]</f>
        <v>150</v>
      </c>
      <c r="M7" s="19" t="str">
        <f>IF(Table145131415[[#This Row],[Sales]]&gt;800,"High",IF(Table145131415[[#This Row],[Sales]]&gt;=500,"Medium","Low"))</f>
        <v>Low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Table145131415[[#This Row],[Quantity]]*Table145131415[[#This Row],[Price]]</f>
        <v>20</v>
      </c>
      <c r="M8" s="19" t="str">
        <f>IF(Table145131415[[#This Row],[Sales]]&gt;800,"High",IF(Table145131415[[#This Row],[Sales]]&gt;=500,"Medium","Low"))</f>
        <v>Low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Table145131415[[#This Row],[Quantity]]*Table145131415[[#This Row],[Price]]</f>
        <v>0</v>
      </c>
      <c r="M9" s="19" t="str">
        <f>IF(Table145131415[[#This Row],[Sales]]&gt;800,"High",IF(Table145131415[[#This Row],[Sales]]&gt;=500,"Medium","Low"))</f>
        <v>Low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Table145131415[[#This Row],[Quantity]]*Table145131415[[#This Row],[Price]]</f>
        <v>160</v>
      </c>
      <c r="M10" s="19" t="str">
        <f>IF(Table145131415[[#This Row],[Sales]]&gt;800,"High",IF(Table145131415[[#This Row],[Sales]]&gt;=500,"Medium","Low"))</f>
        <v>Low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Table145131415[[#This Row],[Quantity]]*Table145131415[[#This Row],[Price]]</f>
        <v>300</v>
      </c>
      <c r="M11" s="19" t="str">
        <f>IF(Table145131415[[#This Row],[Sales]]&gt;800,"High",IF(Table145131415[[#This Row],[Sales]]&gt;=500,"Medium","Low"))</f>
        <v>Low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Table145131415[[#This Row],[Quantity]]*Table145131415[[#This Row],[Price]]</f>
        <v>100</v>
      </c>
      <c r="M12" s="19" t="str">
        <f>IF(Table145131415[[#This Row],[Sales]]&gt;800,"High",IF(Table145131415[[#This Row],[Sales]]&gt;=500,"Medium","Low"))</f>
        <v>Low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Table145131415[[#This Row],[Quantity]]*Table145131415[[#This Row],[Price]]</f>
        <v>100</v>
      </c>
      <c r="M13" s="19" t="str">
        <f>IF(Table145131415[[#This Row],[Sales]]&gt;800,"High",IF(Table145131415[[#This Row],[Sales]]&gt;=500,"Medium","Low"))</f>
        <v>Low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Table145131415[[#This Row],[Quantity]]*Table145131415[[#This Row],[Price]]</f>
        <v>45</v>
      </c>
      <c r="M14" s="19" t="str">
        <f>IF(Table145131415[[#This Row],[Sales]]&gt;800,"High",IF(Table145131415[[#This Row],[Sales]]&gt;=500,"Medium","Low"))</f>
        <v>Low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Table145131415[[#This Row],[Quantity]]*Table145131415[[#This Row],[Price]]</f>
        <v>10</v>
      </c>
      <c r="M15" s="19" t="str">
        <f>IF(Table145131415[[#This Row],[Sales]]&gt;800,"High",IF(Table145131415[[#This Row],[Sales]]&gt;=500,"Medium","Low"))</f>
        <v>Low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Table145131415[[#This Row],[Quantity]]*Table145131415[[#This Row],[Price]]</f>
        <v>200</v>
      </c>
      <c r="M16" s="19" t="str">
        <f>IF(Table145131415[[#This Row],[Sales]]&gt;800,"High",IF(Table145131415[[#This Row],[Sales]]&gt;=500,"Medium","Low"))</f>
        <v>Low</v>
      </c>
    </row>
    <row r="17" spans="1:13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Table145131415[[#This Row],[Quantity]]*Table145131415[[#This Row],[Price]]</f>
        <v>140</v>
      </c>
      <c r="M17" s="19" t="str">
        <f>IF(Table145131415[[#This Row],[Sales]]&gt;800,"High",IF(Table145131415[[#This Row],[Sales]]&gt;=500,"Medium","Low"))</f>
        <v>Low</v>
      </c>
    </row>
    <row r="18" spans="1:13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Table145131415[[#This Row],[Quantity]]*Table145131415[[#This Row],[Price]]</f>
        <v>30</v>
      </c>
      <c r="M18" s="19" t="str">
        <f>IF(Table145131415[[#This Row],[Sales]]&gt;800,"High",IF(Table145131415[[#This Row],[Sales]]&gt;=500,"Medium","Low"))</f>
        <v>Low</v>
      </c>
    </row>
    <row r="19" spans="1:13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Table145131415[[#This Row],[Quantity]]*Table145131415[[#This Row],[Price]]</f>
        <v>120</v>
      </c>
      <c r="M19" s="19" t="str">
        <f>IF(Table145131415[[#This Row],[Sales]]&gt;800,"High",IF(Table145131415[[#This Row],[Sales]]&gt;=500,"Medium","Low"))</f>
        <v>Low</v>
      </c>
    </row>
    <row r="20" spans="1:13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Table145131415[[#This Row],[Quantity]]*Table145131415[[#This Row],[Price]]</f>
        <v>350</v>
      </c>
      <c r="M20" s="19" t="str">
        <f>IF(Table145131415[[#This Row],[Sales]]&gt;800,"High",IF(Table145131415[[#This Row],[Sales]]&gt;=500,"Medium","Low"))</f>
        <v>Low</v>
      </c>
    </row>
    <row r="21" spans="1:13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Table145131415[[#This Row],[Quantity]]*Table145131415[[#This Row],[Price]]</f>
        <v>30</v>
      </c>
      <c r="M21" s="19" t="str">
        <f>IF(Table145131415[[#This Row],[Sales]]&gt;800,"High",IF(Table145131415[[#This Row],[Sales]]&gt;=500,"Medium","Low"))</f>
        <v>Low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E604-7D54-43FA-AE2A-537D32862CA6}">
  <dimension ref="A1:V21"/>
  <sheetViews>
    <sheetView zoomScale="69" workbookViewId="0">
      <selection activeCell="N29" sqref="N29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5.4414062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Table14513141516[[#This Row],[Quantity]]*Table14513141516[[#This Row],[Price]]</f>
        <v>200</v>
      </c>
      <c r="M2" s="19" t="str">
        <f>IF(Table14513141516[[#This Row],[Sales]]&gt;800,"High",IF(Table14513141516[[#This Row],[Sales]]&gt;=500,"Medium","Low"))</f>
        <v>Low</v>
      </c>
      <c r="N2" s="19" t="str" cm="1">
        <f t="array" ref="N2">_xlfn.IFS(AND(Table14513141516[Status]="Delivered",Table14513141516[Sales]&gt;500),"Valid",TRUE,"Check")</f>
        <v>Check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Table14513141516[[#This Row],[Quantity]]*Table14513141516[[#This Row],[Price]]</f>
        <v>250</v>
      </c>
      <c r="M3" s="19" t="str">
        <f>IF(Table14513141516[[#This Row],[Sales]]&gt;800,"High",IF(Table14513141516[[#This Row],[Sales]]&gt;=500,"Medium","Low"))</f>
        <v>Low</v>
      </c>
      <c r="N3" s="19" t="str" cm="1">
        <f t="array" ref="N3">_xlfn.IFS(AND(Table14513141516[Status]="Delivered",Table14513141516[Sales]&gt;500),"Valid",TRUE,"Check")</f>
        <v>Check</v>
      </c>
      <c r="O3" s="15"/>
      <c r="P3" s="15"/>
      <c r="Q3" s="15"/>
      <c r="T3" s="15"/>
      <c r="U3" s="15"/>
      <c r="V3" s="15"/>
    </row>
    <row r="4" spans="1:22" ht="21" customHeight="1" thickBot="1" x14ac:dyDescent="0.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Table14513141516[[#This Row],[Quantity]]*Table14513141516[[#This Row],[Price]]</f>
        <v>80</v>
      </c>
      <c r="M4" s="19" t="str">
        <f>IF(Table14513141516[[#This Row],[Sales]]&gt;800,"High",IF(Table14513141516[[#This Row],[Sales]]&gt;=500,"Medium","Low"))</f>
        <v>Low</v>
      </c>
      <c r="N4" s="19" t="str" cm="1">
        <f t="array" ref="N4">_xlfn.IFS(AND(Table14513141516[Status]="Delivered",Table14513141516[Sales]&gt;500),"Valid",TRUE,"Check")</f>
        <v>Check</v>
      </c>
      <c r="O4" s="15"/>
      <c r="P4" s="15"/>
      <c r="Q4" s="15"/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Table14513141516[[#This Row],[Quantity]]*Table14513141516[[#This Row],[Price]]</f>
        <v>45</v>
      </c>
      <c r="M5" s="19" t="str">
        <f>IF(Table14513141516[[#This Row],[Sales]]&gt;800,"High",IF(Table14513141516[[#This Row],[Sales]]&gt;=500,"Medium","Low"))</f>
        <v>Low</v>
      </c>
      <c r="N5" s="19" t="str" cm="1">
        <f t="array" ref="N5">_xlfn.IFS(AND(Table14513141516[Status]="Delivered",Table14513141516[Sales]&gt;500),"Valid",TRUE,"Check")</f>
        <v>Check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Table14513141516[[#This Row],[Quantity]]*Table14513141516[[#This Row],[Price]]</f>
        <v>120</v>
      </c>
      <c r="M6" s="19" t="str">
        <f>IF(Table14513141516[[#This Row],[Sales]]&gt;800,"High",IF(Table14513141516[[#This Row],[Sales]]&gt;=500,"Medium","Low"))</f>
        <v>Low</v>
      </c>
      <c r="N6" s="19" t="str" cm="1">
        <f t="array" ref="N6">_xlfn.IFS(AND(Table14513141516[Status]="Delivered",Table14513141516[Sales]&gt;500),"Valid",TRUE,"Check")</f>
        <v>Check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Table14513141516[[#This Row],[Quantity]]*Table14513141516[[#This Row],[Price]]</f>
        <v>150</v>
      </c>
      <c r="M7" s="19" t="str">
        <f>IF(Table14513141516[[#This Row],[Sales]]&gt;800,"High",IF(Table14513141516[[#This Row],[Sales]]&gt;=500,"Medium","Low"))</f>
        <v>Low</v>
      </c>
      <c r="N7" s="19" t="str" cm="1">
        <f t="array" ref="N7">_xlfn.IFS(AND(Table14513141516[Status]="Delivered",Table14513141516[Sales]&gt;500),"Valid",TRUE,"Check")</f>
        <v>Check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Table14513141516[[#This Row],[Quantity]]*Table14513141516[[#This Row],[Price]]</f>
        <v>20</v>
      </c>
      <c r="M8" s="19" t="str">
        <f>IF(Table14513141516[[#This Row],[Sales]]&gt;800,"High",IF(Table14513141516[[#This Row],[Sales]]&gt;=500,"Medium","Low"))</f>
        <v>Low</v>
      </c>
      <c r="N8" s="19" t="str" cm="1">
        <f t="array" ref="N8">_xlfn.IFS(AND(Table14513141516[Status]="Delivered",Table14513141516[Sales]&gt;500),"Valid",TRUE,"Check")</f>
        <v>Check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Table14513141516[[#This Row],[Quantity]]*Table14513141516[[#This Row],[Price]]</f>
        <v>0</v>
      </c>
      <c r="M9" s="19" t="str">
        <f>IF(Table14513141516[[#This Row],[Sales]]&gt;800,"High",IF(Table14513141516[[#This Row],[Sales]]&gt;=500,"Medium","Low"))</f>
        <v>Low</v>
      </c>
      <c r="N9" s="19" t="str" cm="1">
        <f t="array" ref="N9">_xlfn.IFS(AND(Table14513141516[Status]="Delivered",Table14513141516[Sales]&gt;500),"Valid",TRUE,"Check")</f>
        <v>Check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Table14513141516[[#This Row],[Quantity]]*Table14513141516[[#This Row],[Price]]</f>
        <v>160</v>
      </c>
      <c r="M10" s="19" t="str">
        <f>IF(Table14513141516[[#This Row],[Sales]]&gt;800,"High",IF(Table14513141516[[#This Row],[Sales]]&gt;=500,"Medium","Low"))</f>
        <v>Low</v>
      </c>
      <c r="N10" s="19" t="str" cm="1">
        <f t="array" ref="N10">_xlfn.IFS(AND(Table14513141516[Status]="Delivered",Table14513141516[Sales]&gt;500),"Valid",TRUE,"Check")</f>
        <v>Check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Table14513141516[[#This Row],[Quantity]]*Table14513141516[[#This Row],[Price]]</f>
        <v>300</v>
      </c>
      <c r="M11" s="19" t="str">
        <f>IF(Table14513141516[[#This Row],[Sales]]&gt;800,"High",IF(Table14513141516[[#This Row],[Sales]]&gt;=500,"Medium","Low"))</f>
        <v>Low</v>
      </c>
      <c r="N11" s="19" t="str" cm="1">
        <f t="array" ref="N11">_xlfn.IFS(AND(Table14513141516[Status]="Delivered",Table14513141516[Sales]&gt;500),"Valid",TRUE,"Check")</f>
        <v>Check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Table14513141516[[#This Row],[Quantity]]*Table14513141516[[#This Row],[Price]]</f>
        <v>100</v>
      </c>
      <c r="M12" s="19" t="str">
        <f>IF(Table14513141516[[#This Row],[Sales]]&gt;800,"High",IF(Table14513141516[[#This Row],[Sales]]&gt;=500,"Medium","Low"))</f>
        <v>Low</v>
      </c>
      <c r="N12" s="19" t="str" cm="1">
        <f t="array" ref="N12">_xlfn.IFS(AND(Table14513141516[Status]="Delivered",Table14513141516[Sales]&gt;500),"Valid",TRUE,"Check")</f>
        <v>Check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Table14513141516[[#This Row],[Quantity]]*Table14513141516[[#This Row],[Price]]</f>
        <v>100</v>
      </c>
      <c r="M13" s="19" t="str">
        <f>IF(Table14513141516[[#This Row],[Sales]]&gt;800,"High",IF(Table14513141516[[#This Row],[Sales]]&gt;=500,"Medium","Low"))</f>
        <v>Low</v>
      </c>
      <c r="N13" s="19" t="str" cm="1">
        <f t="array" ref="N13">_xlfn.IFS(AND(Table14513141516[Status]="Delivered",Table14513141516[Sales]&gt;500),"Valid",TRUE,"Check")</f>
        <v>Check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Table14513141516[[#This Row],[Quantity]]*Table14513141516[[#This Row],[Price]]</f>
        <v>45</v>
      </c>
      <c r="M14" s="19" t="str">
        <f>IF(Table14513141516[[#This Row],[Sales]]&gt;800,"High",IF(Table14513141516[[#This Row],[Sales]]&gt;=500,"Medium","Low"))</f>
        <v>Low</v>
      </c>
      <c r="N14" s="19" t="str" cm="1">
        <f t="array" ref="N14">_xlfn.IFS(AND(Table14513141516[Status]="Delivered",Table14513141516[Sales]&gt;500),"Valid",TRUE,"Check")</f>
        <v>Check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Table14513141516[[#This Row],[Quantity]]*Table14513141516[[#This Row],[Price]]</f>
        <v>10</v>
      </c>
      <c r="M15" s="19" t="str">
        <f>IF(Table14513141516[[#This Row],[Sales]]&gt;800,"High",IF(Table14513141516[[#This Row],[Sales]]&gt;=500,"Medium","Low"))</f>
        <v>Low</v>
      </c>
      <c r="N15" s="19" t="str" cm="1">
        <f t="array" ref="N15">_xlfn.IFS(AND(Table14513141516[Status]="Delivered",Table14513141516[Sales]&gt;500),"Valid",TRUE,"Check")</f>
        <v>Check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Table14513141516[[#This Row],[Quantity]]*Table14513141516[[#This Row],[Price]]</f>
        <v>200</v>
      </c>
      <c r="M16" s="19" t="str">
        <f>IF(Table14513141516[[#This Row],[Sales]]&gt;800,"High",IF(Table14513141516[[#This Row],[Sales]]&gt;=500,"Medium","Low"))</f>
        <v>Low</v>
      </c>
      <c r="N16" s="19" t="str" cm="1">
        <f t="array" ref="N16">_xlfn.IFS(AND(Table14513141516[Status]="Delivered",Table14513141516[Sales]&gt;500),"Valid",TRUE,"Check")</f>
        <v>Check</v>
      </c>
    </row>
    <row r="17" spans="1:14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Table14513141516[[#This Row],[Quantity]]*Table14513141516[[#This Row],[Price]]</f>
        <v>140</v>
      </c>
      <c r="M17" s="19" t="str">
        <f>IF(Table14513141516[[#This Row],[Sales]]&gt;800,"High",IF(Table14513141516[[#This Row],[Sales]]&gt;=500,"Medium","Low"))</f>
        <v>Low</v>
      </c>
      <c r="N17" s="19" t="str" cm="1">
        <f t="array" ref="N17">_xlfn.IFS(AND(Table14513141516[Status]="Delivered",Table14513141516[Sales]&gt;500),"Valid",TRUE,"Check")</f>
        <v>Check</v>
      </c>
    </row>
    <row r="18" spans="1:14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Table14513141516[[#This Row],[Quantity]]*Table14513141516[[#This Row],[Price]]</f>
        <v>30</v>
      </c>
      <c r="M18" s="19" t="str">
        <f>IF(Table14513141516[[#This Row],[Sales]]&gt;800,"High",IF(Table14513141516[[#This Row],[Sales]]&gt;=500,"Medium","Low"))</f>
        <v>Low</v>
      </c>
      <c r="N18" s="19" t="str" cm="1">
        <f t="array" ref="N18">_xlfn.IFS(AND(Table14513141516[Status]="Delivered",Table14513141516[Sales]&gt;500),"Valid",TRUE,"Check")</f>
        <v>Check</v>
      </c>
    </row>
    <row r="19" spans="1:14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Table14513141516[[#This Row],[Quantity]]*Table14513141516[[#This Row],[Price]]</f>
        <v>120</v>
      </c>
      <c r="M19" s="19" t="str">
        <f>IF(Table14513141516[[#This Row],[Sales]]&gt;800,"High",IF(Table14513141516[[#This Row],[Sales]]&gt;=500,"Medium","Low"))</f>
        <v>Low</v>
      </c>
      <c r="N19" s="19" t="str" cm="1">
        <f t="array" ref="N19">_xlfn.IFS(AND(Table14513141516[Status]="Delivered",Table14513141516[Sales]&gt;500),"Valid",TRUE,"Check")</f>
        <v>Check</v>
      </c>
    </row>
    <row r="20" spans="1:14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Table14513141516[[#This Row],[Quantity]]*Table14513141516[[#This Row],[Price]]</f>
        <v>350</v>
      </c>
      <c r="M20" s="19" t="str">
        <f>IF(Table14513141516[[#This Row],[Sales]]&gt;800,"High",IF(Table14513141516[[#This Row],[Sales]]&gt;=500,"Medium","Low"))</f>
        <v>Low</v>
      </c>
      <c r="N20" s="19" t="str" cm="1">
        <f t="array" ref="N20">_xlfn.IFS(AND(Table14513141516[Status]="Delivered",Table14513141516[Sales]&gt;500),"Valid",TRUE,"Check")</f>
        <v>Check</v>
      </c>
    </row>
    <row r="21" spans="1:14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Table14513141516[[#This Row],[Quantity]]*Table14513141516[[#This Row],[Price]]</f>
        <v>30</v>
      </c>
      <c r="M21" s="19" t="str">
        <f>IF(Table14513141516[[#This Row],[Sales]]&gt;800,"High",IF(Table14513141516[[#This Row],[Sales]]&gt;=500,"Medium","Low"))</f>
        <v>Low</v>
      </c>
      <c r="N21" s="19" t="str" cm="1">
        <f t="array" ref="N21">_xlfn.IFS(AND(Table14513141516[Status]="Delivered",Table14513141516[Sales]&gt;500),"Valid",TRUE,"Check")</f>
        <v>Check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B710-0194-4B1A-B6DB-0D27801FF9D7}">
  <dimension ref="A1:V21"/>
  <sheetViews>
    <sheetView topLeftCell="Y1" zoomScale="69" workbookViewId="0">
      <selection activeCell="P27" sqref="P27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21.8867187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Table1451314151617[[#This Row],[Quantity]]*Table1451314151617[[#This Row],[Price]]</f>
        <v>200</v>
      </c>
      <c r="M2" s="19" t="str">
        <f>IF(Table1451314151617[[#This Row],[Sales]]&gt;800,"High",IF(Table1451314151617[[#This Row],[Sales]]&gt;=500,"Medium","Low"))</f>
        <v>Low</v>
      </c>
      <c r="N2" s="19" t="str" cm="1">
        <f t="array" ref="N2">_xlfn.IFS(AND(Table1451314151617[Status]="Delivered",Table1451314151617[Sales]&gt;500),"Valid",TRUE,"Check")</f>
        <v>Check</v>
      </c>
      <c r="O2" s="19" t="str">
        <f>LEFT(Table1451314151617[[#This Row],[Customer Info]],FIND("|",Table1451314151617[[#This Row],[Customer Info]])-2)</f>
        <v>Arjun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Table1451314151617[[#This Row],[Quantity]]*Table1451314151617[[#This Row],[Price]]</f>
        <v>250</v>
      </c>
      <c r="M3" s="19" t="str">
        <f>IF(Table1451314151617[[#This Row],[Sales]]&gt;800,"High",IF(Table1451314151617[[#This Row],[Sales]]&gt;=500,"Medium","Low"))</f>
        <v>Low</v>
      </c>
      <c r="N3" s="19" t="str" cm="1">
        <f t="array" ref="N3">_xlfn.IFS(AND(Table1451314151617[Status]="Delivered",Table1451314151617[Sales]&gt;500),"Valid",TRUE,"Check")</f>
        <v>Check</v>
      </c>
      <c r="O3" s="19" t="str">
        <f>LEFT(Table1451314151617[[#This Row],[Customer Info]],FIND("|",Table1451314151617[[#This Row],[Customer Info]])-2)</f>
        <v>Neha</v>
      </c>
      <c r="P3" s="15"/>
      <c r="Q3" s="15"/>
      <c r="T3" s="15"/>
      <c r="U3" s="15"/>
      <c r="V3" s="15"/>
    </row>
    <row r="4" spans="1:22" ht="21" customHeight="1" thickBot="1" x14ac:dyDescent="0.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Table1451314151617[[#This Row],[Quantity]]*Table1451314151617[[#This Row],[Price]]</f>
        <v>80</v>
      </c>
      <c r="M4" s="19" t="str">
        <f>IF(Table1451314151617[[#This Row],[Sales]]&gt;800,"High",IF(Table1451314151617[[#This Row],[Sales]]&gt;=500,"Medium","Low"))</f>
        <v>Low</v>
      </c>
      <c r="N4" s="19" t="str" cm="1">
        <f t="array" ref="N4">_xlfn.IFS(AND(Table1451314151617[Status]="Delivered",Table1451314151617[Sales]&gt;500),"Valid",TRUE,"Check")</f>
        <v>Check</v>
      </c>
      <c r="O4" s="19" t="str">
        <f>LEFT(Table1451314151617[[#This Row],[Customer Info]],FIND("|",Table1451314151617[[#This Row],[Customer Info]])-2)</f>
        <v>Rohit</v>
      </c>
      <c r="P4" s="15"/>
      <c r="Q4" s="15"/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Table1451314151617[[#This Row],[Quantity]]*Table1451314151617[[#This Row],[Price]]</f>
        <v>45</v>
      </c>
      <c r="M5" s="19" t="str">
        <f>IF(Table1451314151617[[#This Row],[Sales]]&gt;800,"High",IF(Table1451314151617[[#This Row],[Sales]]&gt;=500,"Medium","Low"))</f>
        <v>Low</v>
      </c>
      <c r="N5" s="19" t="str" cm="1">
        <f t="array" ref="N5">_xlfn.IFS(AND(Table1451314151617[Status]="Delivered",Table1451314151617[Sales]&gt;500),"Valid",TRUE,"Check")</f>
        <v>Check</v>
      </c>
      <c r="O5" s="19" t="str">
        <f>LEFT(Table1451314151617[[#This Row],[Customer Info]],FIND("|",Table1451314151617[[#This Row],[Customer Info]])-2)</f>
        <v>Simran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Table1451314151617[[#This Row],[Quantity]]*Table1451314151617[[#This Row],[Price]]</f>
        <v>120</v>
      </c>
      <c r="M6" s="19" t="str">
        <f>IF(Table1451314151617[[#This Row],[Sales]]&gt;800,"High",IF(Table1451314151617[[#This Row],[Sales]]&gt;=500,"Medium","Low"))</f>
        <v>Low</v>
      </c>
      <c r="N6" s="19" t="str" cm="1">
        <f t="array" ref="N6">_xlfn.IFS(AND(Table1451314151617[Status]="Delivered",Table1451314151617[Sales]&gt;500),"Valid",TRUE,"Check")</f>
        <v>Check</v>
      </c>
      <c r="O6" s="19" t="str">
        <f>LEFT(Table1451314151617[[#This Row],[Customer Info]],FIND("|",Table1451314151617[[#This Row],[Customer Info]])-2)</f>
        <v>Karan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Table1451314151617[[#This Row],[Quantity]]*Table1451314151617[[#This Row],[Price]]</f>
        <v>150</v>
      </c>
      <c r="M7" s="19" t="str">
        <f>IF(Table1451314151617[[#This Row],[Sales]]&gt;800,"High",IF(Table1451314151617[[#This Row],[Sales]]&gt;=500,"Medium","Low"))</f>
        <v>Low</v>
      </c>
      <c r="N7" s="19" t="str" cm="1">
        <f t="array" ref="N7">_xlfn.IFS(AND(Table1451314151617[Status]="Delivered",Table1451314151617[Sales]&gt;500),"Valid",TRUE,"Check")</f>
        <v>Check</v>
      </c>
      <c r="O7" s="19" t="str">
        <f>LEFT(Table1451314151617[[#This Row],[Customer Info]],FIND("|",Table1451314151617[[#This Row],[Customer Info]])-2)</f>
        <v>Riya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Table1451314151617[[#This Row],[Quantity]]*Table1451314151617[[#This Row],[Price]]</f>
        <v>20</v>
      </c>
      <c r="M8" s="19" t="str">
        <f>IF(Table1451314151617[[#This Row],[Sales]]&gt;800,"High",IF(Table1451314151617[[#This Row],[Sales]]&gt;=500,"Medium","Low"))</f>
        <v>Low</v>
      </c>
      <c r="N8" s="19" t="str" cm="1">
        <f t="array" ref="N8">_xlfn.IFS(AND(Table1451314151617[Status]="Delivered",Table1451314151617[Sales]&gt;500),"Valid",TRUE,"Check")</f>
        <v>Check</v>
      </c>
      <c r="O8" s="19" t="str">
        <f>LEFT(Table1451314151617[[#This Row],[Customer Info]],FIND("|",Table1451314151617[[#This Row],[Customer Info]])-2)</f>
        <v>Amit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Table1451314151617[[#This Row],[Quantity]]*Table1451314151617[[#This Row],[Price]]</f>
        <v>0</v>
      </c>
      <c r="M9" s="19" t="str">
        <f>IF(Table1451314151617[[#This Row],[Sales]]&gt;800,"High",IF(Table1451314151617[[#This Row],[Sales]]&gt;=500,"Medium","Low"))</f>
        <v>Low</v>
      </c>
      <c r="N9" s="19" t="str" cm="1">
        <f t="array" ref="N9">_xlfn.IFS(AND(Table1451314151617[Status]="Delivered",Table1451314151617[Sales]&gt;500),"Valid",TRUE,"Check")</f>
        <v>Check</v>
      </c>
      <c r="O9" s="19" t="str">
        <f>LEFT(Table1451314151617[[#This Row],[Customer Info]],FIND("|",Table1451314151617[[#This Row],[Customer Info]])-2)</f>
        <v>Sara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Table1451314151617[[#This Row],[Quantity]]*Table1451314151617[[#This Row],[Price]]</f>
        <v>160</v>
      </c>
      <c r="M10" s="19" t="str">
        <f>IF(Table1451314151617[[#This Row],[Sales]]&gt;800,"High",IF(Table1451314151617[[#This Row],[Sales]]&gt;=500,"Medium","Low"))</f>
        <v>Low</v>
      </c>
      <c r="N10" s="19" t="str" cm="1">
        <f t="array" ref="N10">_xlfn.IFS(AND(Table1451314151617[Status]="Delivered",Table1451314151617[Sales]&gt;500),"Valid",TRUE,"Check")</f>
        <v>Check</v>
      </c>
      <c r="O10" s="19" t="str">
        <f>LEFT(Table1451314151617[[#This Row],[Customer Info]],FIND("|",Table1451314151617[[#This Row],[Customer Info]])-2)</f>
        <v>John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Table1451314151617[[#This Row],[Quantity]]*Table1451314151617[[#This Row],[Price]]</f>
        <v>300</v>
      </c>
      <c r="M11" s="19" t="str">
        <f>IF(Table1451314151617[[#This Row],[Sales]]&gt;800,"High",IF(Table1451314151617[[#This Row],[Sales]]&gt;=500,"Medium","Low"))</f>
        <v>Low</v>
      </c>
      <c r="N11" s="19" t="str" cm="1">
        <f t="array" ref="N11">_xlfn.IFS(AND(Table1451314151617[Status]="Delivered",Table1451314151617[Sales]&gt;500),"Valid",TRUE,"Check")</f>
        <v>Check</v>
      </c>
      <c r="O11" s="19" t="str">
        <f>LEFT(Table1451314151617[[#This Row],[Customer Info]],FIND("|",Table1451314151617[[#This Row],[Customer Info]])-2)</f>
        <v>Meena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Table1451314151617[[#This Row],[Quantity]]*Table1451314151617[[#This Row],[Price]]</f>
        <v>100</v>
      </c>
      <c r="M12" s="19" t="str">
        <f>IF(Table1451314151617[[#This Row],[Sales]]&gt;800,"High",IF(Table1451314151617[[#This Row],[Sales]]&gt;=500,"Medium","Low"))</f>
        <v>Low</v>
      </c>
      <c r="N12" s="19" t="str" cm="1">
        <f t="array" ref="N12">_xlfn.IFS(AND(Table1451314151617[Status]="Delivered",Table1451314151617[Sales]&gt;500),"Valid",TRUE,"Check")</f>
        <v>Check</v>
      </c>
      <c r="O12" s="19" t="str">
        <f>LEFT(Table1451314151617[[#This Row],[Customer Info]],FIND("|",Table1451314151617[[#This Row],[Customer Info]])-2)</f>
        <v>Vikram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Table1451314151617[[#This Row],[Quantity]]*Table1451314151617[[#This Row],[Price]]</f>
        <v>100</v>
      </c>
      <c r="M13" s="19" t="str">
        <f>IF(Table1451314151617[[#This Row],[Sales]]&gt;800,"High",IF(Table1451314151617[[#This Row],[Sales]]&gt;=500,"Medium","Low"))</f>
        <v>Low</v>
      </c>
      <c r="N13" s="19" t="str" cm="1">
        <f t="array" ref="N13">_xlfn.IFS(AND(Table1451314151617[Status]="Delivered",Table1451314151617[Sales]&gt;500),"Valid",TRUE,"Check")</f>
        <v>Check</v>
      </c>
      <c r="O13" s="19" t="str">
        <f>LEFT(Table1451314151617[[#This Row],[Customer Info]],FIND("|",Table1451314151617[[#This Row],[Customer Info]])-2)</f>
        <v>Pooja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Table1451314151617[[#This Row],[Quantity]]*Table1451314151617[[#This Row],[Price]]</f>
        <v>45</v>
      </c>
      <c r="M14" s="19" t="str">
        <f>IF(Table1451314151617[[#This Row],[Sales]]&gt;800,"High",IF(Table1451314151617[[#This Row],[Sales]]&gt;=500,"Medium","Low"))</f>
        <v>Low</v>
      </c>
      <c r="N14" s="19" t="str" cm="1">
        <f t="array" ref="N14">_xlfn.IFS(AND(Table1451314151617[Status]="Delivered",Table1451314151617[Sales]&gt;500),"Valid",TRUE,"Check")</f>
        <v>Check</v>
      </c>
      <c r="O14" s="19" t="str">
        <f>LEFT(Table1451314151617[[#This Row],[Customer Info]],FIND("|",Table1451314151617[[#This Row],[Customer Info]])-2)</f>
        <v>Kiran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Table1451314151617[[#This Row],[Quantity]]*Table1451314151617[[#This Row],[Price]]</f>
        <v>10</v>
      </c>
      <c r="M15" s="19" t="str">
        <f>IF(Table1451314151617[[#This Row],[Sales]]&gt;800,"High",IF(Table1451314151617[[#This Row],[Sales]]&gt;=500,"Medium","Low"))</f>
        <v>Low</v>
      </c>
      <c r="N15" s="19" t="str" cm="1">
        <f t="array" ref="N15">_xlfn.IFS(AND(Table1451314151617[Status]="Delivered",Table1451314151617[Sales]&gt;500),"Valid",TRUE,"Check")</f>
        <v>Check</v>
      </c>
      <c r="O15" s="19" t="str">
        <f>LEFT(Table1451314151617[[#This Row],[Customer Info]],FIND("|",Table1451314151617[[#This Row],[Customer Info]])-2)</f>
        <v>Anil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Table1451314151617[[#This Row],[Quantity]]*Table1451314151617[[#This Row],[Price]]</f>
        <v>200</v>
      </c>
      <c r="M16" s="19" t="str">
        <f>IF(Table1451314151617[[#This Row],[Sales]]&gt;800,"High",IF(Table1451314151617[[#This Row],[Sales]]&gt;=500,"Medium","Low"))</f>
        <v>Low</v>
      </c>
      <c r="N16" s="19" t="str" cm="1">
        <f t="array" ref="N16">_xlfn.IFS(AND(Table1451314151617[Status]="Delivered",Table1451314151617[Sales]&gt;500),"Valid",TRUE,"Check")</f>
        <v>Check</v>
      </c>
      <c r="O16" s="19" t="str">
        <f>LEFT(Table1451314151617[[#This Row],[Customer Info]],FIND("|",Table1451314151617[[#This Row],[Customer Info]])-2)</f>
        <v>Divya</v>
      </c>
    </row>
    <row r="17" spans="1:15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Table1451314151617[[#This Row],[Quantity]]*Table1451314151617[[#This Row],[Price]]</f>
        <v>140</v>
      </c>
      <c r="M17" s="19" t="str">
        <f>IF(Table1451314151617[[#This Row],[Sales]]&gt;800,"High",IF(Table1451314151617[[#This Row],[Sales]]&gt;=500,"Medium","Low"))</f>
        <v>Low</v>
      </c>
      <c r="N17" s="19" t="str" cm="1">
        <f t="array" ref="N17">_xlfn.IFS(AND(Table1451314151617[Status]="Delivered",Table1451314151617[Sales]&gt;500),"Valid",TRUE,"Check")</f>
        <v>Check</v>
      </c>
      <c r="O17" s="19" t="str">
        <f>LEFT(Table1451314151617[[#This Row],[Customer Info]],FIND("|",Table1451314151617[[#This Row],[Customer Info]])-2)</f>
        <v>Rahul</v>
      </c>
    </row>
    <row r="18" spans="1:15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Table1451314151617[[#This Row],[Quantity]]*Table1451314151617[[#This Row],[Price]]</f>
        <v>30</v>
      </c>
      <c r="M18" s="19" t="str">
        <f>IF(Table1451314151617[[#This Row],[Sales]]&gt;800,"High",IF(Table1451314151617[[#This Row],[Sales]]&gt;=500,"Medium","Low"))</f>
        <v>Low</v>
      </c>
      <c r="N18" s="19" t="str" cm="1">
        <f t="array" ref="N18">_xlfn.IFS(AND(Table1451314151617[Status]="Delivered",Table1451314151617[Sales]&gt;500),"Valid",TRUE,"Check")</f>
        <v>Check</v>
      </c>
      <c r="O18" s="19" t="str">
        <f>LEFT(Table1451314151617[[#This Row],[Customer Info]],FIND("|",Table1451314151617[[#This Row],[Customer Info]])-2)</f>
        <v>Sneha</v>
      </c>
    </row>
    <row r="19" spans="1:15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Table1451314151617[[#This Row],[Quantity]]*Table1451314151617[[#This Row],[Price]]</f>
        <v>120</v>
      </c>
      <c r="M19" s="19" t="str">
        <f>IF(Table1451314151617[[#This Row],[Sales]]&gt;800,"High",IF(Table1451314151617[[#This Row],[Sales]]&gt;=500,"Medium","Low"))</f>
        <v>Low</v>
      </c>
      <c r="N19" s="19" t="str" cm="1">
        <f t="array" ref="N19">_xlfn.IFS(AND(Table1451314151617[Status]="Delivered",Table1451314151617[Sales]&gt;500),"Valid",TRUE,"Check")</f>
        <v>Check</v>
      </c>
      <c r="O19" s="19" t="str">
        <f>LEFT(Table1451314151617[[#This Row],[Customer Info]],FIND("|",Table1451314151617[[#This Row],[Customer Info]])-2)</f>
        <v>Karthik</v>
      </c>
    </row>
    <row r="20" spans="1:15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Table1451314151617[[#This Row],[Quantity]]*Table1451314151617[[#This Row],[Price]]</f>
        <v>350</v>
      </c>
      <c r="M20" s="19" t="str">
        <f>IF(Table1451314151617[[#This Row],[Sales]]&gt;800,"High",IF(Table1451314151617[[#This Row],[Sales]]&gt;=500,"Medium","Low"))</f>
        <v>Low</v>
      </c>
      <c r="N20" s="19" t="str" cm="1">
        <f t="array" ref="N20">_xlfn.IFS(AND(Table1451314151617[Status]="Delivered",Table1451314151617[Sales]&gt;500),"Valid",TRUE,"Check")</f>
        <v>Check</v>
      </c>
      <c r="O20" s="19" t="str">
        <f>LEFT(Table1451314151617[[#This Row],[Customer Info]],FIND("|",Table1451314151617[[#This Row],[Customer Info]])-2)</f>
        <v>Lavanya</v>
      </c>
    </row>
    <row r="21" spans="1:15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Table1451314151617[[#This Row],[Quantity]]*Table1451314151617[[#This Row],[Price]]</f>
        <v>30</v>
      </c>
      <c r="M21" s="19" t="str">
        <f>IF(Table1451314151617[[#This Row],[Sales]]&gt;800,"High",IF(Table1451314151617[[#This Row],[Sales]]&gt;=500,"Medium","Low"))</f>
        <v>Low</v>
      </c>
      <c r="N21" s="19" t="str" cm="1">
        <f t="array" ref="N21">_xlfn.IFS(AND(Table1451314151617[Status]="Delivered",Table1451314151617[Sales]&gt;500),"Valid",TRUE,"Check")</f>
        <v>Check</v>
      </c>
      <c r="O21" s="19" t="str">
        <f>LEFT(Table1451314151617[[#This Row],[Customer Info]],FIND("|",Table1451314151617[[#This Row],[Customer Info]])-2)</f>
        <v>Manoj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B20E-9CCC-4216-80BC-B59D67A765CE}">
  <dimension ref="A1:V21"/>
  <sheetViews>
    <sheetView topLeftCell="X1" zoomScale="69" workbookViewId="0">
      <selection activeCell="AS26" sqref="AS26"/>
    </sheetView>
  </sheetViews>
  <sheetFormatPr defaultRowHeight="14.4" x14ac:dyDescent="0.3"/>
  <cols>
    <col min="1" max="1" width="10.33203125" customWidth="1"/>
    <col min="2" max="2" width="19.5546875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Table145131415161718[[#This Row],[Quantity]]*Table145131415161718[[#This Row],[Price]]</f>
        <v>200</v>
      </c>
      <c r="M2" s="19" t="str">
        <f>IF(Table145131415161718[[#This Row],[Sales]]&gt;800,"High",IF(Table145131415161718[[#This Row],[Sales]]&gt;=500,"Medium","Low"))</f>
        <v>Low</v>
      </c>
      <c r="N2" s="19" t="str" cm="1">
        <f t="array" ref="N2">_xlfn.IFS(AND(Table145131415161718[Status]="Delivered",Table145131415161718[Sales]&gt;500),"Valid",TRUE,"Check")</f>
        <v>Check</v>
      </c>
      <c r="O2" s="19" t="str">
        <f>LEFT(Table145131415161718[[#This Row],[Customer Info]],FIND("|",Table145131415161718[[#This Row],[Customer Info]])-2)</f>
        <v>Arjun</v>
      </c>
      <c r="P2" s="20" t="str">
        <f>RIGHT(Table145131415161718[[#This Row],[Customer Info]],LEN(Table145131415161718[[#This Row],[Customer Info]])-FIND("|",Table145131415161718[[#This Row],[Customer Info]])-1)</f>
        <v>9876543210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Table145131415161718[[#This Row],[Quantity]]*Table145131415161718[[#This Row],[Price]]</f>
        <v>250</v>
      </c>
      <c r="M3" s="19" t="str">
        <f>IF(Table145131415161718[[#This Row],[Sales]]&gt;800,"High",IF(Table145131415161718[[#This Row],[Sales]]&gt;=500,"Medium","Low"))</f>
        <v>Low</v>
      </c>
      <c r="N3" s="19" t="str" cm="1">
        <f t="array" ref="N3">_xlfn.IFS(AND(Table145131415161718[Status]="Delivered",Table145131415161718[Sales]&gt;500),"Valid",TRUE,"Check")</f>
        <v>Check</v>
      </c>
      <c r="O3" s="19" t="str">
        <f>LEFT(Table145131415161718[[#This Row],[Customer Info]],FIND("|",Table145131415161718[[#This Row],[Customer Info]])-2)</f>
        <v>Neha</v>
      </c>
      <c r="P3" s="20" t="str">
        <f>RIGHT(Table145131415161718[[#This Row],[Customer Info]],LEN(Table145131415161718[[#This Row],[Customer Info]])-FIND("|",Table145131415161718[[#This Row],[Customer Info]])-1)</f>
        <v>9123456780</v>
      </c>
      <c r="Q3" s="15"/>
      <c r="T3" s="15"/>
      <c r="U3" s="15"/>
      <c r="V3" s="15"/>
    </row>
    <row r="4" spans="1:22" ht="21" customHeight="1" thickBot="1" x14ac:dyDescent="0.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Table145131415161718[[#This Row],[Quantity]]*Table145131415161718[[#This Row],[Price]]</f>
        <v>80</v>
      </c>
      <c r="M4" s="19" t="str">
        <f>IF(Table145131415161718[[#This Row],[Sales]]&gt;800,"High",IF(Table145131415161718[[#This Row],[Sales]]&gt;=500,"Medium","Low"))</f>
        <v>Low</v>
      </c>
      <c r="N4" s="19" t="str" cm="1">
        <f t="array" ref="N4">_xlfn.IFS(AND(Table145131415161718[Status]="Delivered",Table145131415161718[Sales]&gt;500),"Valid",TRUE,"Check")</f>
        <v>Check</v>
      </c>
      <c r="O4" s="19" t="str">
        <f>LEFT(Table145131415161718[[#This Row],[Customer Info]],FIND("|",Table145131415161718[[#This Row],[Customer Info]])-2)</f>
        <v>Rohit</v>
      </c>
      <c r="P4" s="20" t="str">
        <f>RIGHT(Table145131415161718[[#This Row],[Customer Info]],LEN(Table145131415161718[[#This Row],[Customer Info]])-FIND("|",Table145131415161718[[#This Row],[Customer Info]])-1)</f>
        <v>9988776655</v>
      </c>
      <c r="Q4" s="15"/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Table145131415161718[[#This Row],[Quantity]]*Table145131415161718[[#This Row],[Price]]</f>
        <v>45</v>
      </c>
      <c r="M5" s="19" t="str">
        <f>IF(Table145131415161718[[#This Row],[Sales]]&gt;800,"High",IF(Table145131415161718[[#This Row],[Sales]]&gt;=500,"Medium","Low"))</f>
        <v>Low</v>
      </c>
      <c r="N5" s="19" t="str" cm="1">
        <f t="array" ref="N5">_xlfn.IFS(AND(Table145131415161718[Status]="Delivered",Table145131415161718[Sales]&gt;500),"Valid",TRUE,"Check")</f>
        <v>Check</v>
      </c>
      <c r="O5" s="19" t="str">
        <f>LEFT(Table145131415161718[[#This Row],[Customer Info]],FIND("|",Table145131415161718[[#This Row],[Customer Info]])-2)</f>
        <v>Simran</v>
      </c>
      <c r="P5" s="20" t="str">
        <f>RIGHT(Table145131415161718[[#This Row],[Customer Info]],LEN(Table145131415161718[[#This Row],[Customer Info]])-FIND("|",Table145131415161718[[#This Row],[Customer Info]])-1)</f>
        <v>9012345678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Table145131415161718[[#This Row],[Quantity]]*Table145131415161718[[#This Row],[Price]]</f>
        <v>120</v>
      </c>
      <c r="M6" s="19" t="str">
        <f>IF(Table145131415161718[[#This Row],[Sales]]&gt;800,"High",IF(Table145131415161718[[#This Row],[Sales]]&gt;=500,"Medium","Low"))</f>
        <v>Low</v>
      </c>
      <c r="N6" s="19" t="str" cm="1">
        <f t="array" ref="N6">_xlfn.IFS(AND(Table145131415161718[Status]="Delivered",Table145131415161718[Sales]&gt;500),"Valid",TRUE,"Check")</f>
        <v>Check</v>
      </c>
      <c r="O6" s="19" t="str">
        <f>LEFT(Table145131415161718[[#This Row],[Customer Info]],FIND("|",Table145131415161718[[#This Row],[Customer Info]])-2)</f>
        <v>Karan</v>
      </c>
      <c r="P6" s="20" t="str">
        <f>RIGHT(Table145131415161718[[#This Row],[Customer Info]],LEN(Table145131415161718[[#This Row],[Customer Info]])-FIND("|",Table145131415161718[[#This Row],[Customer Info]])-1)</f>
        <v>9090909090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Table145131415161718[[#This Row],[Quantity]]*Table145131415161718[[#This Row],[Price]]</f>
        <v>150</v>
      </c>
      <c r="M7" s="19" t="str">
        <f>IF(Table145131415161718[[#This Row],[Sales]]&gt;800,"High",IF(Table145131415161718[[#This Row],[Sales]]&gt;=500,"Medium","Low"))</f>
        <v>Low</v>
      </c>
      <c r="N7" s="19" t="str" cm="1">
        <f t="array" ref="N7">_xlfn.IFS(AND(Table145131415161718[Status]="Delivered",Table145131415161718[Sales]&gt;500),"Valid",TRUE,"Check")</f>
        <v>Check</v>
      </c>
      <c r="O7" s="19" t="str">
        <f>LEFT(Table145131415161718[[#This Row],[Customer Info]],FIND("|",Table145131415161718[[#This Row],[Customer Info]])-2)</f>
        <v>Riya</v>
      </c>
      <c r="P7" s="20" t="str">
        <f>RIGHT(Table145131415161718[[#This Row],[Customer Info]],LEN(Table145131415161718[[#This Row],[Customer Info]])-FIND("|",Table145131415161718[[#This Row],[Customer Info]])-1)</f>
        <v>9345678901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Table145131415161718[[#This Row],[Quantity]]*Table145131415161718[[#This Row],[Price]]</f>
        <v>20</v>
      </c>
      <c r="M8" s="19" t="str">
        <f>IF(Table145131415161718[[#This Row],[Sales]]&gt;800,"High",IF(Table145131415161718[[#This Row],[Sales]]&gt;=500,"Medium","Low"))</f>
        <v>Low</v>
      </c>
      <c r="N8" s="19" t="str" cm="1">
        <f t="array" ref="N8">_xlfn.IFS(AND(Table145131415161718[Status]="Delivered",Table145131415161718[Sales]&gt;500),"Valid",TRUE,"Check")</f>
        <v>Check</v>
      </c>
      <c r="O8" s="19" t="str">
        <f>LEFT(Table145131415161718[[#This Row],[Customer Info]],FIND("|",Table145131415161718[[#This Row],[Customer Info]])-2)</f>
        <v>Amit</v>
      </c>
      <c r="P8" s="20" t="str">
        <f>RIGHT(Table145131415161718[[#This Row],[Customer Info]],LEN(Table145131415161718[[#This Row],[Customer Info]])-FIND("|",Table145131415161718[[#This Row],[Customer Info]])-1)</f>
        <v>9234567890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Table145131415161718[[#This Row],[Quantity]]*Table145131415161718[[#This Row],[Price]]</f>
        <v>0</v>
      </c>
      <c r="M9" s="19" t="str">
        <f>IF(Table145131415161718[[#This Row],[Sales]]&gt;800,"High",IF(Table145131415161718[[#This Row],[Sales]]&gt;=500,"Medium","Low"))</f>
        <v>Low</v>
      </c>
      <c r="N9" s="19" t="str" cm="1">
        <f t="array" ref="N9">_xlfn.IFS(AND(Table145131415161718[Status]="Delivered",Table145131415161718[Sales]&gt;500),"Valid",TRUE,"Check")</f>
        <v>Check</v>
      </c>
      <c r="O9" s="19" t="str">
        <f>LEFT(Table145131415161718[[#This Row],[Customer Info]],FIND("|",Table145131415161718[[#This Row],[Customer Info]])-2)</f>
        <v>Sara</v>
      </c>
      <c r="P9" s="20" t="str">
        <f>RIGHT(Table145131415161718[[#This Row],[Customer Info]],LEN(Table145131415161718[[#This Row],[Customer Info]])-FIND("|",Table145131415161718[[#This Row],[Customer Info]])-1)</f>
        <v>9876501234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Table145131415161718[[#This Row],[Quantity]]*Table145131415161718[[#This Row],[Price]]</f>
        <v>160</v>
      </c>
      <c r="M10" s="19" t="str">
        <f>IF(Table145131415161718[[#This Row],[Sales]]&gt;800,"High",IF(Table145131415161718[[#This Row],[Sales]]&gt;=500,"Medium","Low"))</f>
        <v>Low</v>
      </c>
      <c r="N10" s="19" t="str" cm="1">
        <f t="array" ref="N10">_xlfn.IFS(AND(Table145131415161718[Status]="Delivered",Table145131415161718[Sales]&gt;500),"Valid",TRUE,"Check")</f>
        <v>Check</v>
      </c>
      <c r="O10" s="19" t="str">
        <f>LEFT(Table145131415161718[[#This Row],[Customer Info]],FIND("|",Table145131415161718[[#This Row],[Customer Info]])-2)</f>
        <v>John</v>
      </c>
      <c r="P10" s="20" t="str">
        <f>RIGHT(Table145131415161718[[#This Row],[Customer Info]],LEN(Table145131415161718[[#This Row],[Customer Info]])-FIND("|",Table145131415161718[[#This Row],[Customer Info]])-1)</f>
        <v>9988001122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Table145131415161718[[#This Row],[Quantity]]*Table145131415161718[[#This Row],[Price]]</f>
        <v>300</v>
      </c>
      <c r="M11" s="19" t="str">
        <f>IF(Table145131415161718[[#This Row],[Sales]]&gt;800,"High",IF(Table145131415161718[[#This Row],[Sales]]&gt;=500,"Medium","Low"))</f>
        <v>Low</v>
      </c>
      <c r="N11" s="19" t="str" cm="1">
        <f t="array" ref="N11">_xlfn.IFS(AND(Table145131415161718[Status]="Delivered",Table145131415161718[Sales]&gt;500),"Valid",TRUE,"Check")</f>
        <v>Check</v>
      </c>
      <c r="O11" s="19" t="str">
        <f>LEFT(Table145131415161718[[#This Row],[Customer Info]],FIND("|",Table145131415161718[[#This Row],[Customer Info]])-2)</f>
        <v>Meena</v>
      </c>
      <c r="P11" s="20" t="str">
        <f>RIGHT(Table145131415161718[[#This Row],[Customer Info]],LEN(Table145131415161718[[#This Row],[Customer Info]])-FIND("|",Table145131415161718[[#This Row],[Customer Info]])-1)</f>
        <v>9765432109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Table145131415161718[[#This Row],[Quantity]]*Table145131415161718[[#This Row],[Price]]</f>
        <v>100</v>
      </c>
      <c r="M12" s="19" t="str">
        <f>IF(Table145131415161718[[#This Row],[Sales]]&gt;800,"High",IF(Table145131415161718[[#This Row],[Sales]]&gt;=500,"Medium","Low"))</f>
        <v>Low</v>
      </c>
      <c r="N12" s="19" t="str" cm="1">
        <f t="array" ref="N12">_xlfn.IFS(AND(Table145131415161718[Status]="Delivered",Table145131415161718[Sales]&gt;500),"Valid",TRUE,"Check")</f>
        <v>Check</v>
      </c>
      <c r="O12" s="19" t="str">
        <f>LEFT(Table145131415161718[[#This Row],[Customer Info]],FIND("|",Table145131415161718[[#This Row],[Customer Info]])-2)</f>
        <v>Vikram</v>
      </c>
      <c r="P12" s="20" t="str">
        <f>RIGHT(Table145131415161718[[#This Row],[Customer Info]],LEN(Table145131415161718[[#This Row],[Customer Info]])-FIND("|",Table145131415161718[[#This Row],[Customer Info]])-1)</f>
        <v>9123001122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Table145131415161718[[#This Row],[Quantity]]*Table145131415161718[[#This Row],[Price]]</f>
        <v>100</v>
      </c>
      <c r="M13" s="19" t="str">
        <f>IF(Table145131415161718[[#This Row],[Sales]]&gt;800,"High",IF(Table145131415161718[[#This Row],[Sales]]&gt;=500,"Medium","Low"))</f>
        <v>Low</v>
      </c>
      <c r="N13" s="19" t="str" cm="1">
        <f t="array" ref="N13">_xlfn.IFS(AND(Table145131415161718[Status]="Delivered",Table145131415161718[Sales]&gt;500),"Valid",TRUE,"Check")</f>
        <v>Check</v>
      </c>
      <c r="O13" s="19" t="str">
        <f>LEFT(Table145131415161718[[#This Row],[Customer Info]],FIND("|",Table145131415161718[[#This Row],[Customer Info]])-2)</f>
        <v>Pooja</v>
      </c>
      <c r="P13" s="20" t="str">
        <f>RIGHT(Table145131415161718[[#This Row],[Customer Info]],LEN(Table145131415161718[[#This Row],[Customer Info]])-FIND("|",Table145131415161718[[#This Row],[Customer Info]])-1)</f>
        <v>9345001123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Table145131415161718[[#This Row],[Quantity]]*Table145131415161718[[#This Row],[Price]]</f>
        <v>45</v>
      </c>
      <c r="M14" s="19" t="str">
        <f>IF(Table145131415161718[[#This Row],[Sales]]&gt;800,"High",IF(Table145131415161718[[#This Row],[Sales]]&gt;=500,"Medium","Low"))</f>
        <v>Low</v>
      </c>
      <c r="N14" s="19" t="str" cm="1">
        <f t="array" ref="N14">_xlfn.IFS(AND(Table145131415161718[Status]="Delivered",Table145131415161718[Sales]&gt;500),"Valid",TRUE,"Check")</f>
        <v>Check</v>
      </c>
      <c r="O14" s="19" t="str">
        <f>LEFT(Table145131415161718[[#This Row],[Customer Info]],FIND("|",Table145131415161718[[#This Row],[Customer Info]])-2)</f>
        <v>Kiran</v>
      </c>
      <c r="P14" s="20" t="str">
        <f>RIGHT(Table145131415161718[[#This Row],[Customer Info]],LEN(Table145131415161718[[#This Row],[Customer Info]])-FIND("|",Table145131415161718[[#This Row],[Customer Info]])-1)</f>
        <v>9000011122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Table145131415161718[[#This Row],[Quantity]]*Table145131415161718[[#This Row],[Price]]</f>
        <v>10</v>
      </c>
      <c r="M15" s="19" t="str">
        <f>IF(Table145131415161718[[#This Row],[Sales]]&gt;800,"High",IF(Table145131415161718[[#This Row],[Sales]]&gt;=500,"Medium","Low"))</f>
        <v>Low</v>
      </c>
      <c r="N15" s="19" t="str" cm="1">
        <f t="array" ref="N15">_xlfn.IFS(AND(Table145131415161718[Status]="Delivered",Table145131415161718[Sales]&gt;500),"Valid",TRUE,"Check")</f>
        <v>Check</v>
      </c>
      <c r="O15" s="19" t="str">
        <f>LEFT(Table145131415161718[[#This Row],[Customer Info]],FIND("|",Table145131415161718[[#This Row],[Customer Info]])-2)</f>
        <v>Anil</v>
      </c>
      <c r="P15" s="20" t="str">
        <f>RIGHT(Table145131415161718[[#This Row],[Customer Info]],LEN(Table145131415161718[[#This Row],[Customer Info]])-FIND("|",Table145131415161718[[#This Row],[Customer Info]])-1)</f>
        <v>9888800011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Table145131415161718[[#This Row],[Quantity]]*Table145131415161718[[#This Row],[Price]]</f>
        <v>200</v>
      </c>
      <c r="M16" s="19" t="str">
        <f>IF(Table145131415161718[[#This Row],[Sales]]&gt;800,"High",IF(Table145131415161718[[#This Row],[Sales]]&gt;=500,"Medium","Low"))</f>
        <v>Low</v>
      </c>
      <c r="N16" s="19" t="str" cm="1">
        <f t="array" ref="N16">_xlfn.IFS(AND(Table145131415161718[Status]="Delivered",Table145131415161718[Sales]&gt;500),"Valid",TRUE,"Check")</f>
        <v>Check</v>
      </c>
      <c r="O16" s="19" t="str">
        <f>LEFT(Table145131415161718[[#This Row],[Customer Info]],FIND("|",Table145131415161718[[#This Row],[Customer Info]])-2)</f>
        <v>Divya</v>
      </c>
      <c r="P16" s="20" t="str">
        <f>RIGHT(Table145131415161718[[#This Row],[Customer Info]],LEN(Table145131415161718[[#This Row],[Customer Info]])-FIND("|",Table145131415161718[[#This Row],[Customer Info]])-1)</f>
        <v>9777700011</v>
      </c>
    </row>
    <row r="17" spans="1:16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Table145131415161718[[#This Row],[Quantity]]*Table145131415161718[[#This Row],[Price]]</f>
        <v>140</v>
      </c>
      <c r="M17" s="19" t="str">
        <f>IF(Table145131415161718[[#This Row],[Sales]]&gt;800,"High",IF(Table145131415161718[[#This Row],[Sales]]&gt;=500,"Medium","Low"))</f>
        <v>Low</v>
      </c>
      <c r="N17" s="19" t="str" cm="1">
        <f t="array" ref="N17">_xlfn.IFS(AND(Table145131415161718[Status]="Delivered",Table145131415161718[Sales]&gt;500),"Valid",TRUE,"Check")</f>
        <v>Check</v>
      </c>
      <c r="O17" s="19" t="str">
        <f>LEFT(Table145131415161718[[#This Row],[Customer Info]],FIND("|",Table145131415161718[[#This Row],[Customer Info]])-2)</f>
        <v>Rahul</v>
      </c>
      <c r="P17" s="20" t="str">
        <f>RIGHT(Table145131415161718[[#This Row],[Customer Info]],LEN(Table145131415161718[[#This Row],[Customer Info]])-FIND("|",Table145131415161718[[#This Row],[Customer Info]])-1)</f>
        <v>9666600011</v>
      </c>
    </row>
    <row r="18" spans="1:16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Table145131415161718[[#This Row],[Quantity]]*Table145131415161718[[#This Row],[Price]]</f>
        <v>30</v>
      </c>
      <c r="M18" s="19" t="str">
        <f>IF(Table145131415161718[[#This Row],[Sales]]&gt;800,"High",IF(Table145131415161718[[#This Row],[Sales]]&gt;=500,"Medium","Low"))</f>
        <v>Low</v>
      </c>
      <c r="N18" s="19" t="str" cm="1">
        <f t="array" ref="N18">_xlfn.IFS(AND(Table145131415161718[Status]="Delivered",Table145131415161718[Sales]&gt;500),"Valid",TRUE,"Check")</f>
        <v>Check</v>
      </c>
      <c r="O18" s="19" t="str">
        <f>LEFT(Table145131415161718[[#This Row],[Customer Info]],FIND("|",Table145131415161718[[#This Row],[Customer Info]])-2)</f>
        <v>Sneha</v>
      </c>
      <c r="P18" s="20" t="str">
        <f>RIGHT(Table145131415161718[[#This Row],[Customer Info]],LEN(Table145131415161718[[#This Row],[Customer Info]])-FIND("|",Table145131415161718[[#This Row],[Customer Info]])-1)</f>
        <v>9555500011</v>
      </c>
    </row>
    <row r="19" spans="1:16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Table145131415161718[[#This Row],[Quantity]]*Table145131415161718[[#This Row],[Price]]</f>
        <v>120</v>
      </c>
      <c r="M19" s="19" t="str">
        <f>IF(Table145131415161718[[#This Row],[Sales]]&gt;800,"High",IF(Table145131415161718[[#This Row],[Sales]]&gt;=500,"Medium","Low"))</f>
        <v>Low</v>
      </c>
      <c r="N19" s="19" t="str" cm="1">
        <f t="array" ref="N19">_xlfn.IFS(AND(Table145131415161718[Status]="Delivered",Table145131415161718[Sales]&gt;500),"Valid",TRUE,"Check")</f>
        <v>Check</v>
      </c>
      <c r="O19" s="19" t="str">
        <f>LEFT(Table145131415161718[[#This Row],[Customer Info]],FIND("|",Table145131415161718[[#This Row],[Customer Info]])-2)</f>
        <v>Karthik</v>
      </c>
      <c r="P19" s="20" t="str">
        <f>RIGHT(Table145131415161718[[#This Row],[Customer Info]],LEN(Table145131415161718[[#This Row],[Customer Info]])-FIND("|",Table145131415161718[[#This Row],[Customer Info]])-1)</f>
        <v>9001122334</v>
      </c>
    </row>
    <row r="20" spans="1:16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Table145131415161718[[#This Row],[Quantity]]*Table145131415161718[[#This Row],[Price]]</f>
        <v>350</v>
      </c>
      <c r="M20" s="19" t="str">
        <f>IF(Table145131415161718[[#This Row],[Sales]]&gt;800,"High",IF(Table145131415161718[[#This Row],[Sales]]&gt;=500,"Medium","Low"))</f>
        <v>Low</v>
      </c>
      <c r="N20" s="19" t="str" cm="1">
        <f t="array" ref="N20">_xlfn.IFS(AND(Table145131415161718[Status]="Delivered",Table145131415161718[Sales]&gt;500),"Valid",TRUE,"Check")</f>
        <v>Check</v>
      </c>
      <c r="O20" s="19" t="str">
        <f>LEFT(Table145131415161718[[#This Row],[Customer Info]],FIND("|",Table145131415161718[[#This Row],[Customer Info]])-2)</f>
        <v>Lavanya</v>
      </c>
      <c r="P20" s="20" t="str">
        <f>RIGHT(Table145131415161718[[#This Row],[Customer Info]],LEN(Table145131415161718[[#This Row],[Customer Info]])-FIND("|",Table145131415161718[[#This Row],[Customer Info]])-1)</f>
        <v>9011223344</v>
      </c>
    </row>
    <row r="21" spans="1:16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Table145131415161718[[#This Row],[Quantity]]*Table145131415161718[[#This Row],[Price]]</f>
        <v>30</v>
      </c>
      <c r="M21" s="19" t="str">
        <f>IF(Table145131415161718[[#This Row],[Sales]]&gt;800,"High",IF(Table145131415161718[[#This Row],[Sales]]&gt;=500,"Medium","Low"))</f>
        <v>Low</v>
      </c>
      <c r="N21" s="19" t="str" cm="1">
        <f t="array" ref="N21">_xlfn.IFS(AND(Table145131415161718[Status]="Delivered",Table145131415161718[Sales]&gt;500),"Valid",TRUE,"Check")</f>
        <v>Check</v>
      </c>
      <c r="O21" s="19" t="str">
        <f>LEFT(Table145131415161718[[#This Row],[Customer Info]],FIND("|",Table145131415161718[[#This Row],[Customer Info]])-2)</f>
        <v>Manoj</v>
      </c>
      <c r="P21" s="20" t="str">
        <f>RIGHT(Table145131415161718[[#This Row],[Customer Info]],LEN(Table145131415161718[[#This Row],[Customer Info]])-FIND("|",Table145131415161718[[#This Row],[Customer Info]])-1)</f>
        <v>9022334455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CE22-A8AB-4FF2-9274-A5D5C5492FA3}">
  <dimension ref="A1:V21"/>
  <sheetViews>
    <sheetView topLeftCell="U1" zoomScale="69" workbookViewId="0">
      <selection activeCell="AR18" sqref="AR18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Table14513141516171819[[#This Row],[Quantity]]*Table14513141516171819[[#This Row],[Price]]</f>
        <v>200</v>
      </c>
      <c r="M2" s="19" t="str">
        <f>IF(Table14513141516171819[[#This Row],[Sales]]&gt;800,"High",IF(Table14513141516171819[[#This Row],[Sales]]&gt;=500,"Medium","Low"))</f>
        <v>Low</v>
      </c>
      <c r="N2" s="19" t="str" cm="1">
        <f t="array" ref="N2">_xlfn.IFS(AND(Table14513141516171819[Status]="Delivered",Table14513141516171819[Sales]&gt;500),"Valid",TRUE,"Check")</f>
        <v>Check</v>
      </c>
      <c r="O2" s="19" t="str">
        <f>LEFT(Table14513141516171819[[#This Row],[Customer Info]],FIND("|",Table14513141516171819[[#This Row],[Customer Info]])-2)</f>
        <v>Arjun</v>
      </c>
      <c r="P2" s="20" t="str">
        <f>RIGHT(Table14513141516171819[[#This Row],[Customer Info]],LEN(Table14513141516171819[[#This Row],[Customer Info]])-FIND("|",Table14513141516171819[[#This Row],[Customer Info]])-1)</f>
        <v>9876543210</v>
      </c>
      <c r="Q2" s="20" t="str">
        <f>TRIM(Table14513141516171819[[#This Row],[Customer Info]])</f>
        <v>Arjun | 9876543210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Table14513141516171819[[#This Row],[Quantity]]*Table14513141516171819[[#This Row],[Price]]</f>
        <v>250</v>
      </c>
      <c r="M3" s="19" t="str">
        <f>IF(Table14513141516171819[[#This Row],[Sales]]&gt;800,"High",IF(Table14513141516171819[[#This Row],[Sales]]&gt;=500,"Medium","Low"))</f>
        <v>Low</v>
      </c>
      <c r="N3" s="19" t="str" cm="1">
        <f t="array" ref="N3">_xlfn.IFS(AND(Table14513141516171819[Status]="Delivered",Table14513141516171819[Sales]&gt;500),"Valid",TRUE,"Check")</f>
        <v>Check</v>
      </c>
      <c r="O3" s="19" t="str">
        <f>LEFT(Table14513141516171819[[#This Row],[Customer Info]],FIND("|",Table14513141516171819[[#This Row],[Customer Info]])-2)</f>
        <v>Neha</v>
      </c>
      <c r="P3" s="20" t="str">
        <f>RIGHT(Table14513141516171819[[#This Row],[Customer Info]],LEN(Table14513141516171819[[#This Row],[Customer Info]])-FIND("|",Table14513141516171819[[#This Row],[Customer Info]])-1)</f>
        <v>9123456780</v>
      </c>
      <c r="Q3" s="20" t="str">
        <f>TRIM(Table14513141516171819[[#This Row],[Customer Info]])</f>
        <v>Neha | 9123456780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Table14513141516171819[[#This Row],[Quantity]]*Table14513141516171819[[#This Row],[Price]]</f>
        <v>80</v>
      </c>
      <c r="M4" s="19" t="str">
        <f>IF(Table14513141516171819[[#This Row],[Sales]]&gt;800,"High",IF(Table14513141516171819[[#This Row],[Sales]]&gt;=500,"Medium","Low"))</f>
        <v>Low</v>
      </c>
      <c r="N4" s="19" t="str" cm="1">
        <f t="array" ref="N4">_xlfn.IFS(AND(Table14513141516171819[Status]="Delivered",Table14513141516171819[Sales]&gt;500),"Valid",TRUE,"Check")</f>
        <v>Check</v>
      </c>
      <c r="O4" s="19" t="str">
        <f>LEFT(Table14513141516171819[[#This Row],[Customer Info]],FIND("|",Table14513141516171819[[#This Row],[Customer Info]])-2)</f>
        <v>Rohit</v>
      </c>
      <c r="P4" s="20" t="str">
        <f>RIGHT(Table14513141516171819[[#This Row],[Customer Info]],LEN(Table14513141516171819[[#This Row],[Customer Info]])-FIND("|",Table14513141516171819[[#This Row],[Customer Info]])-1)</f>
        <v>9988776655</v>
      </c>
      <c r="Q4" s="20" t="str">
        <f>TRIM(Table14513141516171819[[#This Row],[Customer Info]])</f>
        <v>Rohit | 9988776655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Table14513141516171819[[#This Row],[Quantity]]*Table14513141516171819[[#This Row],[Price]]</f>
        <v>45</v>
      </c>
      <c r="M5" s="19" t="str">
        <f>IF(Table14513141516171819[[#This Row],[Sales]]&gt;800,"High",IF(Table14513141516171819[[#This Row],[Sales]]&gt;=500,"Medium","Low"))</f>
        <v>Low</v>
      </c>
      <c r="N5" s="19" t="str" cm="1">
        <f t="array" ref="N5">_xlfn.IFS(AND(Table14513141516171819[Status]="Delivered",Table14513141516171819[Sales]&gt;500),"Valid",TRUE,"Check")</f>
        <v>Check</v>
      </c>
      <c r="O5" s="19" t="str">
        <f>LEFT(Table14513141516171819[[#This Row],[Customer Info]],FIND("|",Table14513141516171819[[#This Row],[Customer Info]])-2)</f>
        <v>Simran</v>
      </c>
      <c r="P5" s="20" t="str">
        <f>RIGHT(Table14513141516171819[[#This Row],[Customer Info]],LEN(Table14513141516171819[[#This Row],[Customer Info]])-FIND("|",Table14513141516171819[[#This Row],[Customer Info]])-1)</f>
        <v>9012345678</v>
      </c>
      <c r="Q5" s="20" t="str">
        <f>TRIM(Table14513141516171819[[#This Row],[Customer Info]])</f>
        <v>Simran | 9012345678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Table14513141516171819[[#This Row],[Quantity]]*Table14513141516171819[[#This Row],[Price]]</f>
        <v>120</v>
      </c>
      <c r="M6" s="19" t="str">
        <f>IF(Table14513141516171819[[#This Row],[Sales]]&gt;800,"High",IF(Table14513141516171819[[#This Row],[Sales]]&gt;=500,"Medium","Low"))</f>
        <v>Low</v>
      </c>
      <c r="N6" s="19" t="str" cm="1">
        <f t="array" ref="N6">_xlfn.IFS(AND(Table14513141516171819[Status]="Delivered",Table14513141516171819[Sales]&gt;500),"Valid",TRUE,"Check")</f>
        <v>Check</v>
      </c>
      <c r="O6" s="19" t="str">
        <f>LEFT(Table14513141516171819[[#This Row],[Customer Info]],FIND("|",Table14513141516171819[[#This Row],[Customer Info]])-2)</f>
        <v>Karan</v>
      </c>
      <c r="P6" s="20" t="str">
        <f>RIGHT(Table14513141516171819[[#This Row],[Customer Info]],LEN(Table14513141516171819[[#This Row],[Customer Info]])-FIND("|",Table14513141516171819[[#This Row],[Customer Info]])-1)</f>
        <v>9090909090</v>
      </c>
      <c r="Q6" s="20" t="str">
        <f>TRIM(Table14513141516171819[[#This Row],[Customer Info]])</f>
        <v>Karan | 9090909090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Table14513141516171819[[#This Row],[Quantity]]*Table14513141516171819[[#This Row],[Price]]</f>
        <v>150</v>
      </c>
      <c r="M7" s="19" t="str">
        <f>IF(Table14513141516171819[[#This Row],[Sales]]&gt;800,"High",IF(Table14513141516171819[[#This Row],[Sales]]&gt;=500,"Medium","Low"))</f>
        <v>Low</v>
      </c>
      <c r="N7" s="19" t="str" cm="1">
        <f t="array" ref="N7">_xlfn.IFS(AND(Table14513141516171819[Status]="Delivered",Table14513141516171819[Sales]&gt;500),"Valid",TRUE,"Check")</f>
        <v>Check</v>
      </c>
      <c r="O7" s="19" t="str">
        <f>LEFT(Table14513141516171819[[#This Row],[Customer Info]],FIND("|",Table14513141516171819[[#This Row],[Customer Info]])-2)</f>
        <v>Riya</v>
      </c>
      <c r="P7" s="20" t="str">
        <f>RIGHT(Table14513141516171819[[#This Row],[Customer Info]],LEN(Table14513141516171819[[#This Row],[Customer Info]])-FIND("|",Table14513141516171819[[#This Row],[Customer Info]])-1)</f>
        <v>9345678901</v>
      </c>
      <c r="Q7" s="20" t="str">
        <f>TRIM(Table14513141516171819[[#This Row],[Customer Info]])</f>
        <v>Riya | 9345678901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Table14513141516171819[[#This Row],[Quantity]]*Table14513141516171819[[#This Row],[Price]]</f>
        <v>20</v>
      </c>
      <c r="M8" s="19" t="str">
        <f>IF(Table14513141516171819[[#This Row],[Sales]]&gt;800,"High",IF(Table14513141516171819[[#This Row],[Sales]]&gt;=500,"Medium","Low"))</f>
        <v>Low</v>
      </c>
      <c r="N8" s="19" t="str" cm="1">
        <f t="array" ref="N8">_xlfn.IFS(AND(Table14513141516171819[Status]="Delivered",Table14513141516171819[Sales]&gt;500),"Valid",TRUE,"Check")</f>
        <v>Check</v>
      </c>
      <c r="O8" s="19" t="str">
        <f>LEFT(Table14513141516171819[[#This Row],[Customer Info]],FIND("|",Table14513141516171819[[#This Row],[Customer Info]])-2)</f>
        <v>Amit</v>
      </c>
      <c r="P8" s="20" t="str">
        <f>RIGHT(Table14513141516171819[[#This Row],[Customer Info]],LEN(Table14513141516171819[[#This Row],[Customer Info]])-FIND("|",Table14513141516171819[[#This Row],[Customer Info]])-1)</f>
        <v>9234567890</v>
      </c>
      <c r="Q8" s="20" t="str">
        <f>TRIM(Table14513141516171819[[#This Row],[Customer Info]])</f>
        <v>Amit | 9234567890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Table14513141516171819[[#This Row],[Quantity]]*Table14513141516171819[[#This Row],[Price]]</f>
        <v>0</v>
      </c>
      <c r="M9" s="19" t="str">
        <f>IF(Table14513141516171819[[#This Row],[Sales]]&gt;800,"High",IF(Table14513141516171819[[#This Row],[Sales]]&gt;=500,"Medium","Low"))</f>
        <v>Low</v>
      </c>
      <c r="N9" s="19" t="str" cm="1">
        <f t="array" ref="N9">_xlfn.IFS(AND(Table14513141516171819[Status]="Delivered",Table14513141516171819[Sales]&gt;500),"Valid",TRUE,"Check")</f>
        <v>Check</v>
      </c>
      <c r="O9" s="19" t="str">
        <f>LEFT(Table14513141516171819[[#This Row],[Customer Info]],FIND("|",Table14513141516171819[[#This Row],[Customer Info]])-2)</f>
        <v>Sara</v>
      </c>
      <c r="P9" s="20" t="str">
        <f>RIGHT(Table14513141516171819[[#This Row],[Customer Info]],LEN(Table14513141516171819[[#This Row],[Customer Info]])-FIND("|",Table14513141516171819[[#This Row],[Customer Info]])-1)</f>
        <v>9876501234</v>
      </c>
      <c r="Q9" s="20" t="str">
        <f>TRIM(Table14513141516171819[[#This Row],[Customer Info]])</f>
        <v>Sara | 9876501234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Table14513141516171819[[#This Row],[Quantity]]*Table14513141516171819[[#This Row],[Price]]</f>
        <v>160</v>
      </c>
      <c r="M10" s="19" t="str">
        <f>IF(Table14513141516171819[[#This Row],[Sales]]&gt;800,"High",IF(Table14513141516171819[[#This Row],[Sales]]&gt;=500,"Medium","Low"))</f>
        <v>Low</v>
      </c>
      <c r="N10" s="19" t="str" cm="1">
        <f t="array" ref="N10">_xlfn.IFS(AND(Table14513141516171819[Status]="Delivered",Table14513141516171819[Sales]&gt;500),"Valid",TRUE,"Check")</f>
        <v>Check</v>
      </c>
      <c r="O10" s="19" t="str">
        <f>LEFT(Table14513141516171819[[#This Row],[Customer Info]],FIND("|",Table14513141516171819[[#This Row],[Customer Info]])-2)</f>
        <v>John</v>
      </c>
      <c r="P10" s="20" t="str">
        <f>RIGHT(Table14513141516171819[[#This Row],[Customer Info]],LEN(Table14513141516171819[[#This Row],[Customer Info]])-FIND("|",Table14513141516171819[[#This Row],[Customer Info]])-1)</f>
        <v>9988001122</v>
      </c>
      <c r="Q10" s="20" t="str">
        <f>TRIM(Table14513141516171819[[#This Row],[Customer Info]])</f>
        <v>John | 9988001122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Table14513141516171819[[#This Row],[Quantity]]*Table14513141516171819[[#This Row],[Price]]</f>
        <v>300</v>
      </c>
      <c r="M11" s="19" t="str">
        <f>IF(Table14513141516171819[[#This Row],[Sales]]&gt;800,"High",IF(Table14513141516171819[[#This Row],[Sales]]&gt;=500,"Medium","Low"))</f>
        <v>Low</v>
      </c>
      <c r="N11" s="19" t="str" cm="1">
        <f t="array" ref="N11">_xlfn.IFS(AND(Table14513141516171819[Status]="Delivered",Table14513141516171819[Sales]&gt;500),"Valid",TRUE,"Check")</f>
        <v>Check</v>
      </c>
      <c r="O11" s="19" t="str">
        <f>LEFT(Table14513141516171819[[#This Row],[Customer Info]],FIND("|",Table14513141516171819[[#This Row],[Customer Info]])-2)</f>
        <v>Meena</v>
      </c>
      <c r="P11" s="20" t="str">
        <f>RIGHT(Table14513141516171819[[#This Row],[Customer Info]],LEN(Table14513141516171819[[#This Row],[Customer Info]])-FIND("|",Table14513141516171819[[#This Row],[Customer Info]])-1)</f>
        <v>9765432109</v>
      </c>
      <c r="Q11" s="20" t="str">
        <f>TRIM(Table14513141516171819[[#This Row],[Customer Info]])</f>
        <v>Meena | 9765432109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Table14513141516171819[[#This Row],[Quantity]]*Table14513141516171819[[#This Row],[Price]]</f>
        <v>100</v>
      </c>
      <c r="M12" s="19" t="str">
        <f>IF(Table14513141516171819[[#This Row],[Sales]]&gt;800,"High",IF(Table14513141516171819[[#This Row],[Sales]]&gt;=500,"Medium","Low"))</f>
        <v>Low</v>
      </c>
      <c r="N12" s="19" t="str" cm="1">
        <f t="array" ref="N12">_xlfn.IFS(AND(Table14513141516171819[Status]="Delivered",Table14513141516171819[Sales]&gt;500),"Valid",TRUE,"Check")</f>
        <v>Check</v>
      </c>
      <c r="O12" s="19" t="str">
        <f>LEFT(Table14513141516171819[[#This Row],[Customer Info]],FIND("|",Table14513141516171819[[#This Row],[Customer Info]])-2)</f>
        <v>Vikram</v>
      </c>
      <c r="P12" s="20" t="str">
        <f>RIGHT(Table14513141516171819[[#This Row],[Customer Info]],LEN(Table14513141516171819[[#This Row],[Customer Info]])-FIND("|",Table14513141516171819[[#This Row],[Customer Info]])-1)</f>
        <v>9123001122</v>
      </c>
      <c r="Q12" s="20" t="str">
        <f>TRIM(Table14513141516171819[[#This Row],[Customer Info]])</f>
        <v>Vikram | 9123001122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Table14513141516171819[[#This Row],[Quantity]]*Table14513141516171819[[#This Row],[Price]]</f>
        <v>100</v>
      </c>
      <c r="M13" s="19" t="str">
        <f>IF(Table14513141516171819[[#This Row],[Sales]]&gt;800,"High",IF(Table14513141516171819[[#This Row],[Sales]]&gt;=500,"Medium","Low"))</f>
        <v>Low</v>
      </c>
      <c r="N13" s="19" t="str" cm="1">
        <f t="array" ref="N13">_xlfn.IFS(AND(Table14513141516171819[Status]="Delivered",Table14513141516171819[Sales]&gt;500),"Valid",TRUE,"Check")</f>
        <v>Check</v>
      </c>
      <c r="O13" s="19" t="str">
        <f>LEFT(Table14513141516171819[[#This Row],[Customer Info]],FIND("|",Table14513141516171819[[#This Row],[Customer Info]])-2)</f>
        <v>Pooja</v>
      </c>
      <c r="P13" s="20" t="str">
        <f>RIGHT(Table14513141516171819[[#This Row],[Customer Info]],LEN(Table14513141516171819[[#This Row],[Customer Info]])-FIND("|",Table14513141516171819[[#This Row],[Customer Info]])-1)</f>
        <v>9345001123</v>
      </c>
      <c r="Q13" s="20" t="str">
        <f>TRIM(Table14513141516171819[[#This Row],[Customer Info]])</f>
        <v>Pooja | 9345001123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Table14513141516171819[[#This Row],[Quantity]]*Table14513141516171819[[#This Row],[Price]]</f>
        <v>45</v>
      </c>
      <c r="M14" s="19" t="str">
        <f>IF(Table14513141516171819[[#This Row],[Sales]]&gt;800,"High",IF(Table14513141516171819[[#This Row],[Sales]]&gt;=500,"Medium","Low"))</f>
        <v>Low</v>
      </c>
      <c r="N14" s="19" t="str" cm="1">
        <f t="array" ref="N14">_xlfn.IFS(AND(Table14513141516171819[Status]="Delivered",Table14513141516171819[Sales]&gt;500),"Valid",TRUE,"Check")</f>
        <v>Check</v>
      </c>
      <c r="O14" s="19" t="str">
        <f>LEFT(Table14513141516171819[[#This Row],[Customer Info]],FIND("|",Table14513141516171819[[#This Row],[Customer Info]])-2)</f>
        <v>Kiran</v>
      </c>
      <c r="P14" s="20" t="str">
        <f>RIGHT(Table14513141516171819[[#This Row],[Customer Info]],LEN(Table14513141516171819[[#This Row],[Customer Info]])-FIND("|",Table14513141516171819[[#This Row],[Customer Info]])-1)</f>
        <v>9000011122</v>
      </c>
      <c r="Q14" s="20" t="str">
        <f>TRIM(Table14513141516171819[[#This Row],[Customer Info]])</f>
        <v>Kiran | 9000011122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Table14513141516171819[[#This Row],[Quantity]]*Table14513141516171819[[#This Row],[Price]]</f>
        <v>10</v>
      </c>
      <c r="M15" s="19" t="str">
        <f>IF(Table14513141516171819[[#This Row],[Sales]]&gt;800,"High",IF(Table14513141516171819[[#This Row],[Sales]]&gt;=500,"Medium","Low"))</f>
        <v>Low</v>
      </c>
      <c r="N15" s="19" t="str" cm="1">
        <f t="array" ref="N15">_xlfn.IFS(AND(Table14513141516171819[Status]="Delivered",Table14513141516171819[Sales]&gt;500),"Valid",TRUE,"Check")</f>
        <v>Check</v>
      </c>
      <c r="O15" s="19" t="str">
        <f>LEFT(Table14513141516171819[[#This Row],[Customer Info]],FIND("|",Table14513141516171819[[#This Row],[Customer Info]])-2)</f>
        <v>Anil</v>
      </c>
      <c r="P15" s="20" t="str">
        <f>RIGHT(Table14513141516171819[[#This Row],[Customer Info]],LEN(Table14513141516171819[[#This Row],[Customer Info]])-FIND("|",Table14513141516171819[[#This Row],[Customer Info]])-1)</f>
        <v>9888800011</v>
      </c>
      <c r="Q15" s="20" t="str">
        <f>TRIM(Table14513141516171819[[#This Row],[Customer Info]])</f>
        <v>Anil | 9888800011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Table14513141516171819[[#This Row],[Quantity]]*Table14513141516171819[[#This Row],[Price]]</f>
        <v>200</v>
      </c>
      <c r="M16" s="19" t="str">
        <f>IF(Table14513141516171819[[#This Row],[Sales]]&gt;800,"High",IF(Table14513141516171819[[#This Row],[Sales]]&gt;=500,"Medium","Low"))</f>
        <v>Low</v>
      </c>
      <c r="N16" s="19" t="str" cm="1">
        <f t="array" ref="N16">_xlfn.IFS(AND(Table14513141516171819[Status]="Delivered",Table14513141516171819[Sales]&gt;500),"Valid",TRUE,"Check")</f>
        <v>Check</v>
      </c>
      <c r="O16" s="19" t="str">
        <f>LEFT(Table14513141516171819[[#This Row],[Customer Info]],FIND("|",Table14513141516171819[[#This Row],[Customer Info]])-2)</f>
        <v>Divya</v>
      </c>
      <c r="P16" s="20" t="str">
        <f>RIGHT(Table14513141516171819[[#This Row],[Customer Info]],LEN(Table14513141516171819[[#This Row],[Customer Info]])-FIND("|",Table14513141516171819[[#This Row],[Customer Info]])-1)</f>
        <v>9777700011</v>
      </c>
      <c r="Q16" s="20" t="str">
        <f>TRIM(Table14513141516171819[[#This Row],[Customer Info]])</f>
        <v>Divya | 9777700011</v>
      </c>
    </row>
    <row r="17" spans="1:17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Table14513141516171819[[#This Row],[Quantity]]*Table14513141516171819[[#This Row],[Price]]</f>
        <v>140</v>
      </c>
      <c r="M17" s="19" t="str">
        <f>IF(Table14513141516171819[[#This Row],[Sales]]&gt;800,"High",IF(Table14513141516171819[[#This Row],[Sales]]&gt;=500,"Medium","Low"))</f>
        <v>Low</v>
      </c>
      <c r="N17" s="19" t="str" cm="1">
        <f t="array" ref="N17">_xlfn.IFS(AND(Table14513141516171819[Status]="Delivered",Table14513141516171819[Sales]&gt;500),"Valid",TRUE,"Check")</f>
        <v>Check</v>
      </c>
      <c r="O17" s="19" t="str">
        <f>LEFT(Table14513141516171819[[#This Row],[Customer Info]],FIND("|",Table14513141516171819[[#This Row],[Customer Info]])-2)</f>
        <v>Rahul</v>
      </c>
      <c r="P17" s="20" t="str">
        <f>RIGHT(Table14513141516171819[[#This Row],[Customer Info]],LEN(Table14513141516171819[[#This Row],[Customer Info]])-FIND("|",Table14513141516171819[[#This Row],[Customer Info]])-1)</f>
        <v>9666600011</v>
      </c>
      <c r="Q17" s="20" t="str">
        <f>TRIM(Table14513141516171819[[#This Row],[Customer Info]])</f>
        <v>Rahul | 9666600011</v>
      </c>
    </row>
    <row r="18" spans="1:17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Table14513141516171819[[#This Row],[Quantity]]*Table14513141516171819[[#This Row],[Price]]</f>
        <v>30</v>
      </c>
      <c r="M18" s="19" t="str">
        <f>IF(Table14513141516171819[[#This Row],[Sales]]&gt;800,"High",IF(Table14513141516171819[[#This Row],[Sales]]&gt;=500,"Medium","Low"))</f>
        <v>Low</v>
      </c>
      <c r="N18" s="19" t="str" cm="1">
        <f t="array" ref="N18">_xlfn.IFS(AND(Table14513141516171819[Status]="Delivered",Table14513141516171819[Sales]&gt;500),"Valid",TRUE,"Check")</f>
        <v>Check</v>
      </c>
      <c r="O18" s="19" t="str">
        <f>LEFT(Table14513141516171819[[#This Row],[Customer Info]],FIND("|",Table14513141516171819[[#This Row],[Customer Info]])-2)</f>
        <v>Sneha</v>
      </c>
      <c r="P18" s="20" t="str">
        <f>RIGHT(Table14513141516171819[[#This Row],[Customer Info]],LEN(Table14513141516171819[[#This Row],[Customer Info]])-FIND("|",Table14513141516171819[[#This Row],[Customer Info]])-1)</f>
        <v>9555500011</v>
      </c>
      <c r="Q18" s="20" t="str">
        <f>TRIM(Table14513141516171819[[#This Row],[Customer Info]])</f>
        <v>Sneha | 9555500011</v>
      </c>
    </row>
    <row r="19" spans="1:17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Table14513141516171819[[#This Row],[Quantity]]*Table14513141516171819[[#This Row],[Price]]</f>
        <v>120</v>
      </c>
      <c r="M19" s="19" t="str">
        <f>IF(Table14513141516171819[[#This Row],[Sales]]&gt;800,"High",IF(Table14513141516171819[[#This Row],[Sales]]&gt;=500,"Medium","Low"))</f>
        <v>Low</v>
      </c>
      <c r="N19" s="19" t="str" cm="1">
        <f t="array" ref="N19">_xlfn.IFS(AND(Table14513141516171819[Status]="Delivered",Table14513141516171819[Sales]&gt;500),"Valid",TRUE,"Check")</f>
        <v>Check</v>
      </c>
      <c r="O19" s="19" t="str">
        <f>LEFT(Table14513141516171819[[#This Row],[Customer Info]],FIND("|",Table14513141516171819[[#This Row],[Customer Info]])-2)</f>
        <v>Karthik</v>
      </c>
      <c r="P19" s="20" t="str">
        <f>RIGHT(Table14513141516171819[[#This Row],[Customer Info]],LEN(Table14513141516171819[[#This Row],[Customer Info]])-FIND("|",Table14513141516171819[[#This Row],[Customer Info]])-1)</f>
        <v>9001122334</v>
      </c>
      <c r="Q19" s="20" t="str">
        <f>TRIM(Table14513141516171819[[#This Row],[Customer Info]])</f>
        <v>Karthik | 9001122334</v>
      </c>
    </row>
    <row r="20" spans="1:17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Table14513141516171819[[#This Row],[Quantity]]*Table14513141516171819[[#This Row],[Price]]</f>
        <v>350</v>
      </c>
      <c r="M20" s="19" t="str">
        <f>IF(Table14513141516171819[[#This Row],[Sales]]&gt;800,"High",IF(Table14513141516171819[[#This Row],[Sales]]&gt;=500,"Medium","Low"))</f>
        <v>Low</v>
      </c>
      <c r="N20" s="19" t="str" cm="1">
        <f t="array" ref="N20">_xlfn.IFS(AND(Table14513141516171819[Status]="Delivered",Table14513141516171819[Sales]&gt;500),"Valid",TRUE,"Check")</f>
        <v>Check</v>
      </c>
      <c r="O20" s="19" t="str">
        <f>LEFT(Table14513141516171819[[#This Row],[Customer Info]],FIND("|",Table14513141516171819[[#This Row],[Customer Info]])-2)</f>
        <v>Lavanya</v>
      </c>
      <c r="P20" s="20" t="str">
        <f>RIGHT(Table14513141516171819[[#This Row],[Customer Info]],LEN(Table14513141516171819[[#This Row],[Customer Info]])-FIND("|",Table14513141516171819[[#This Row],[Customer Info]])-1)</f>
        <v>9011223344</v>
      </c>
      <c r="Q20" s="20" t="str">
        <f>TRIM(Table14513141516171819[[#This Row],[Customer Info]])</f>
        <v>Lavanya | 9011223344</v>
      </c>
    </row>
    <row r="21" spans="1:17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Table14513141516171819[[#This Row],[Quantity]]*Table14513141516171819[[#This Row],[Price]]</f>
        <v>30</v>
      </c>
      <c r="M21" s="19" t="str">
        <f>IF(Table14513141516171819[[#This Row],[Sales]]&gt;800,"High",IF(Table14513141516171819[[#This Row],[Sales]]&gt;=500,"Medium","Low"))</f>
        <v>Low</v>
      </c>
      <c r="N21" s="19" t="str" cm="1">
        <f t="array" ref="N21">_xlfn.IFS(AND(Table14513141516171819[Status]="Delivered",Table14513141516171819[Sales]&gt;500),"Valid",TRUE,"Check")</f>
        <v>Check</v>
      </c>
      <c r="O21" s="19" t="str">
        <f>LEFT(Table14513141516171819[[#This Row],[Customer Info]],FIND("|",Table14513141516171819[[#This Row],[Customer Info]])-2)</f>
        <v>Manoj</v>
      </c>
      <c r="P21" s="20" t="str">
        <f>RIGHT(Table14513141516171819[[#This Row],[Customer Info]],LEN(Table14513141516171819[[#This Row],[Customer Info]])-FIND("|",Table14513141516171819[[#This Row],[Customer Info]])-1)</f>
        <v>9022334455</v>
      </c>
      <c r="Q21" s="20" t="str">
        <f>TRIM(Table14513141516171819[[#This Row],[Customer Info]])</f>
        <v>Manoj | 9022334455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2286-0EF9-4AC0-9D65-D68C85676318}">
  <dimension ref="A1:V21"/>
  <sheetViews>
    <sheetView topLeftCell="P1" zoomScale="69" workbookViewId="0">
      <selection activeCell="AK29" sqref="AK29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Table1451314151617181920[[#This Row],[Quantity]]*Table1451314151617181920[[#This Row],[Price]]</f>
        <v>200</v>
      </c>
      <c r="M2" s="19" t="str">
        <f>IF(Table1451314151617181920[[#This Row],[Sales]]&gt;800,"High",IF(Table1451314151617181920[[#This Row],[Sales]]&gt;=500,"Medium","Low"))</f>
        <v>Low</v>
      </c>
      <c r="N2" s="19" t="str" cm="1">
        <f t="array" ref="N2">_xlfn.IFS(AND(Table1451314151617181920[Status]="Delivered",Table1451314151617181920[Sales]&gt;500),"Valid",TRUE,"Check")</f>
        <v>Check</v>
      </c>
      <c r="O2" s="19" t="str">
        <f>LEFT(Table1451314151617181920[[#This Row],[Customer Info]],FIND("|",Table1451314151617181920[[#This Row],[Customer Info]])-2)</f>
        <v>Arjun</v>
      </c>
      <c r="P2" s="20" t="str">
        <f>RIGHT(Table1451314151617181920[[#This Row],[Customer Info]],LEN(Table1451314151617181920[[#This Row],[Customer Info]])-FIND("|",Table1451314151617181920[[#This Row],[Customer Info]])-1)</f>
        <v>9876543210</v>
      </c>
      <c r="Q2" s="20" t="str">
        <f>TRIM(Table1451314151617181920[[#This Row],[Customer Info]])</f>
        <v>Arjun | 9876543210</v>
      </c>
      <c r="R2" s="20" t="str">
        <f>UPPER(Table1451314151617181920[[#This Row],[Region]])</f>
        <v>INDIA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Table1451314151617181920[[#This Row],[Quantity]]*Table1451314151617181920[[#This Row],[Price]]</f>
        <v>250</v>
      </c>
      <c r="M3" s="19" t="str">
        <f>IF(Table1451314151617181920[[#This Row],[Sales]]&gt;800,"High",IF(Table1451314151617181920[[#This Row],[Sales]]&gt;=500,"Medium","Low"))</f>
        <v>Low</v>
      </c>
      <c r="N3" s="19" t="str" cm="1">
        <f t="array" ref="N3">_xlfn.IFS(AND(Table1451314151617181920[Status]="Delivered",Table1451314151617181920[Sales]&gt;500),"Valid",TRUE,"Check")</f>
        <v>Check</v>
      </c>
      <c r="O3" s="19" t="str">
        <f>LEFT(Table1451314151617181920[[#This Row],[Customer Info]],FIND("|",Table1451314151617181920[[#This Row],[Customer Info]])-2)</f>
        <v>Neha</v>
      </c>
      <c r="P3" s="20" t="str">
        <f>RIGHT(Table1451314151617181920[[#This Row],[Customer Info]],LEN(Table1451314151617181920[[#This Row],[Customer Info]])-FIND("|",Table1451314151617181920[[#This Row],[Customer Info]])-1)</f>
        <v>9123456780</v>
      </c>
      <c r="Q3" s="20" t="str">
        <f>TRIM(Table1451314151617181920[[#This Row],[Customer Info]])</f>
        <v>Neha | 9123456780</v>
      </c>
      <c r="R3" s="20" t="str">
        <f>UPPER(Table1451314151617181920[[#This Row],[Region]])</f>
        <v>US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Table1451314151617181920[[#This Row],[Quantity]]*Table1451314151617181920[[#This Row],[Price]]</f>
        <v>80</v>
      </c>
      <c r="M4" s="19" t="str">
        <f>IF(Table1451314151617181920[[#This Row],[Sales]]&gt;800,"High",IF(Table1451314151617181920[[#This Row],[Sales]]&gt;=500,"Medium","Low"))</f>
        <v>Low</v>
      </c>
      <c r="N4" s="19" t="str" cm="1">
        <f t="array" ref="N4">_xlfn.IFS(AND(Table1451314151617181920[Status]="Delivered",Table1451314151617181920[Sales]&gt;500),"Valid",TRUE,"Check")</f>
        <v>Check</v>
      </c>
      <c r="O4" s="19" t="str">
        <f>LEFT(Table1451314151617181920[[#This Row],[Customer Info]],FIND("|",Table1451314151617181920[[#This Row],[Customer Info]])-2)</f>
        <v>Rohit</v>
      </c>
      <c r="P4" s="20" t="str">
        <f>RIGHT(Table1451314151617181920[[#This Row],[Customer Info]],LEN(Table1451314151617181920[[#This Row],[Customer Info]])-FIND("|",Table1451314151617181920[[#This Row],[Customer Info]])-1)</f>
        <v>9988776655</v>
      </c>
      <c r="Q4" s="20" t="str">
        <f>TRIM(Table1451314151617181920[[#This Row],[Customer Info]])</f>
        <v>Rohit | 9988776655</v>
      </c>
      <c r="R4" s="20" t="str">
        <f>UPPER(Table1451314151617181920[[#This Row],[Region]])</f>
        <v>UK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Table1451314151617181920[[#This Row],[Quantity]]*Table1451314151617181920[[#This Row],[Price]]</f>
        <v>45</v>
      </c>
      <c r="M5" s="19" t="str">
        <f>IF(Table1451314151617181920[[#This Row],[Sales]]&gt;800,"High",IF(Table1451314151617181920[[#This Row],[Sales]]&gt;=500,"Medium","Low"))</f>
        <v>Low</v>
      </c>
      <c r="N5" s="19" t="str" cm="1">
        <f t="array" ref="N5">_xlfn.IFS(AND(Table1451314151617181920[Status]="Delivered",Table1451314151617181920[Sales]&gt;500),"Valid",TRUE,"Check")</f>
        <v>Check</v>
      </c>
      <c r="O5" s="19" t="str">
        <f>LEFT(Table1451314151617181920[[#This Row],[Customer Info]],FIND("|",Table1451314151617181920[[#This Row],[Customer Info]])-2)</f>
        <v>Simran</v>
      </c>
      <c r="P5" s="20" t="str">
        <f>RIGHT(Table1451314151617181920[[#This Row],[Customer Info]],LEN(Table1451314151617181920[[#This Row],[Customer Info]])-FIND("|",Table1451314151617181920[[#This Row],[Customer Info]])-1)</f>
        <v>9012345678</v>
      </c>
      <c r="Q5" s="20" t="str">
        <f>TRIM(Table1451314151617181920[[#This Row],[Customer Info]])</f>
        <v>Simran | 9012345678</v>
      </c>
      <c r="R5" s="20" t="str">
        <f>UPPER(Table1451314151617181920[[#This Row],[Region]])</f>
        <v>UAE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Table1451314151617181920[[#This Row],[Quantity]]*Table1451314151617181920[[#This Row],[Price]]</f>
        <v>120</v>
      </c>
      <c r="M6" s="19" t="str">
        <f>IF(Table1451314151617181920[[#This Row],[Sales]]&gt;800,"High",IF(Table1451314151617181920[[#This Row],[Sales]]&gt;=500,"Medium","Low"))</f>
        <v>Low</v>
      </c>
      <c r="N6" s="19" t="str" cm="1">
        <f t="array" ref="N6">_xlfn.IFS(AND(Table1451314151617181920[Status]="Delivered",Table1451314151617181920[Sales]&gt;500),"Valid",TRUE,"Check")</f>
        <v>Check</v>
      </c>
      <c r="O6" s="19" t="str">
        <f>LEFT(Table1451314151617181920[[#This Row],[Customer Info]],FIND("|",Table1451314151617181920[[#This Row],[Customer Info]])-2)</f>
        <v>Karan</v>
      </c>
      <c r="P6" s="20" t="str">
        <f>RIGHT(Table1451314151617181920[[#This Row],[Customer Info]],LEN(Table1451314151617181920[[#This Row],[Customer Info]])-FIND("|",Table1451314151617181920[[#This Row],[Customer Info]])-1)</f>
        <v>9090909090</v>
      </c>
      <c r="Q6" s="20" t="str">
        <f>TRIM(Table1451314151617181920[[#This Row],[Customer Info]])</f>
        <v>Karan | 9090909090</v>
      </c>
      <c r="R6" s="20" t="str">
        <f>UPPER(Table1451314151617181920[[#This Row],[Region]])</f>
        <v>INDIA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Table1451314151617181920[[#This Row],[Quantity]]*Table1451314151617181920[[#This Row],[Price]]</f>
        <v>150</v>
      </c>
      <c r="M7" s="19" t="str">
        <f>IF(Table1451314151617181920[[#This Row],[Sales]]&gt;800,"High",IF(Table1451314151617181920[[#This Row],[Sales]]&gt;=500,"Medium","Low"))</f>
        <v>Low</v>
      </c>
      <c r="N7" s="19" t="str" cm="1">
        <f t="array" ref="N7">_xlfn.IFS(AND(Table1451314151617181920[Status]="Delivered",Table1451314151617181920[Sales]&gt;500),"Valid",TRUE,"Check")</f>
        <v>Check</v>
      </c>
      <c r="O7" s="19" t="str">
        <f>LEFT(Table1451314151617181920[[#This Row],[Customer Info]],FIND("|",Table1451314151617181920[[#This Row],[Customer Info]])-2)</f>
        <v>Riya</v>
      </c>
      <c r="P7" s="20" t="str">
        <f>RIGHT(Table1451314151617181920[[#This Row],[Customer Info]],LEN(Table1451314151617181920[[#This Row],[Customer Info]])-FIND("|",Table1451314151617181920[[#This Row],[Customer Info]])-1)</f>
        <v>9345678901</v>
      </c>
      <c r="Q7" s="20" t="str">
        <f>TRIM(Table1451314151617181920[[#This Row],[Customer Info]])</f>
        <v>Riya | 9345678901</v>
      </c>
      <c r="R7" s="20" t="str">
        <f>UPPER(Table1451314151617181920[[#This Row],[Region]])</f>
        <v>US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Table1451314151617181920[[#This Row],[Quantity]]*Table1451314151617181920[[#This Row],[Price]]</f>
        <v>20</v>
      </c>
      <c r="M8" s="19" t="str">
        <f>IF(Table1451314151617181920[[#This Row],[Sales]]&gt;800,"High",IF(Table1451314151617181920[[#This Row],[Sales]]&gt;=500,"Medium","Low"))</f>
        <v>Low</v>
      </c>
      <c r="N8" s="19" t="str" cm="1">
        <f t="array" ref="N8">_xlfn.IFS(AND(Table1451314151617181920[Status]="Delivered",Table1451314151617181920[Sales]&gt;500),"Valid",TRUE,"Check")</f>
        <v>Check</v>
      </c>
      <c r="O8" s="19" t="str">
        <f>LEFT(Table1451314151617181920[[#This Row],[Customer Info]],FIND("|",Table1451314151617181920[[#This Row],[Customer Info]])-2)</f>
        <v>Amit</v>
      </c>
      <c r="P8" s="20" t="str">
        <f>RIGHT(Table1451314151617181920[[#This Row],[Customer Info]],LEN(Table1451314151617181920[[#This Row],[Customer Info]])-FIND("|",Table1451314151617181920[[#This Row],[Customer Info]])-1)</f>
        <v>9234567890</v>
      </c>
      <c r="Q8" s="20" t="str">
        <f>TRIM(Table1451314151617181920[[#This Row],[Customer Info]])</f>
        <v>Amit | 9234567890</v>
      </c>
      <c r="R8" s="20" t="str">
        <f>UPPER(Table1451314151617181920[[#This Row],[Region]])</f>
        <v>INDIA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Table1451314151617181920[[#This Row],[Quantity]]*Table1451314151617181920[[#This Row],[Price]]</f>
        <v>0</v>
      </c>
      <c r="M9" s="19" t="str">
        <f>IF(Table1451314151617181920[[#This Row],[Sales]]&gt;800,"High",IF(Table1451314151617181920[[#This Row],[Sales]]&gt;=500,"Medium","Low"))</f>
        <v>Low</v>
      </c>
      <c r="N9" s="19" t="str" cm="1">
        <f t="array" ref="N9">_xlfn.IFS(AND(Table1451314151617181920[Status]="Delivered",Table1451314151617181920[Sales]&gt;500),"Valid",TRUE,"Check")</f>
        <v>Check</v>
      </c>
      <c r="O9" s="19" t="str">
        <f>LEFT(Table1451314151617181920[[#This Row],[Customer Info]],FIND("|",Table1451314151617181920[[#This Row],[Customer Info]])-2)</f>
        <v>Sara</v>
      </c>
      <c r="P9" s="20" t="str">
        <f>RIGHT(Table1451314151617181920[[#This Row],[Customer Info]],LEN(Table1451314151617181920[[#This Row],[Customer Info]])-FIND("|",Table1451314151617181920[[#This Row],[Customer Info]])-1)</f>
        <v>9876501234</v>
      </c>
      <c r="Q9" s="20" t="str">
        <f>TRIM(Table1451314151617181920[[#This Row],[Customer Info]])</f>
        <v>Sara | 9876501234</v>
      </c>
      <c r="R9" s="20" t="str">
        <f>UPPER(Table1451314151617181920[[#This Row],[Region]])</f>
        <v>UK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Table1451314151617181920[[#This Row],[Quantity]]*Table1451314151617181920[[#This Row],[Price]]</f>
        <v>160</v>
      </c>
      <c r="M10" s="19" t="str">
        <f>IF(Table1451314151617181920[[#This Row],[Sales]]&gt;800,"High",IF(Table1451314151617181920[[#This Row],[Sales]]&gt;=500,"Medium","Low"))</f>
        <v>Low</v>
      </c>
      <c r="N10" s="19" t="str" cm="1">
        <f t="array" ref="N10">_xlfn.IFS(AND(Table1451314151617181920[Status]="Delivered",Table1451314151617181920[Sales]&gt;500),"Valid",TRUE,"Check")</f>
        <v>Check</v>
      </c>
      <c r="O10" s="19" t="str">
        <f>LEFT(Table1451314151617181920[[#This Row],[Customer Info]],FIND("|",Table1451314151617181920[[#This Row],[Customer Info]])-2)</f>
        <v>John</v>
      </c>
      <c r="P10" s="20" t="str">
        <f>RIGHT(Table1451314151617181920[[#This Row],[Customer Info]],LEN(Table1451314151617181920[[#This Row],[Customer Info]])-FIND("|",Table1451314151617181920[[#This Row],[Customer Info]])-1)</f>
        <v>9988001122</v>
      </c>
      <c r="Q10" s="20" t="str">
        <f>TRIM(Table1451314151617181920[[#This Row],[Customer Info]])</f>
        <v>John | 9988001122</v>
      </c>
      <c r="R10" s="20" t="str">
        <f>UPPER(Table1451314151617181920[[#This Row],[Region]])</f>
        <v>UK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Table1451314151617181920[[#This Row],[Quantity]]*Table1451314151617181920[[#This Row],[Price]]</f>
        <v>300</v>
      </c>
      <c r="M11" s="19" t="str">
        <f>IF(Table1451314151617181920[[#This Row],[Sales]]&gt;800,"High",IF(Table1451314151617181920[[#This Row],[Sales]]&gt;=500,"Medium","Low"))</f>
        <v>Low</v>
      </c>
      <c r="N11" s="19" t="str" cm="1">
        <f t="array" ref="N11">_xlfn.IFS(AND(Table1451314151617181920[Status]="Delivered",Table1451314151617181920[Sales]&gt;500),"Valid",TRUE,"Check")</f>
        <v>Check</v>
      </c>
      <c r="O11" s="19" t="str">
        <f>LEFT(Table1451314151617181920[[#This Row],[Customer Info]],FIND("|",Table1451314151617181920[[#This Row],[Customer Info]])-2)</f>
        <v>Meena</v>
      </c>
      <c r="P11" s="20" t="str">
        <f>RIGHT(Table1451314151617181920[[#This Row],[Customer Info]],LEN(Table1451314151617181920[[#This Row],[Customer Info]])-FIND("|",Table1451314151617181920[[#This Row],[Customer Info]])-1)</f>
        <v>9765432109</v>
      </c>
      <c r="Q11" s="20" t="str">
        <f>TRIM(Table1451314151617181920[[#This Row],[Customer Info]])</f>
        <v>Meena | 9765432109</v>
      </c>
      <c r="R11" s="20" t="str">
        <f>UPPER(Table1451314151617181920[[#This Row],[Region]])</f>
        <v>INDIA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Table1451314151617181920[[#This Row],[Quantity]]*Table1451314151617181920[[#This Row],[Price]]</f>
        <v>100</v>
      </c>
      <c r="M12" s="19" t="str">
        <f>IF(Table1451314151617181920[[#This Row],[Sales]]&gt;800,"High",IF(Table1451314151617181920[[#This Row],[Sales]]&gt;=500,"Medium","Low"))</f>
        <v>Low</v>
      </c>
      <c r="N12" s="19" t="str" cm="1">
        <f t="array" ref="N12">_xlfn.IFS(AND(Table1451314151617181920[Status]="Delivered",Table1451314151617181920[Sales]&gt;500),"Valid",TRUE,"Check")</f>
        <v>Check</v>
      </c>
      <c r="O12" s="19" t="str">
        <f>LEFT(Table1451314151617181920[[#This Row],[Customer Info]],FIND("|",Table1451314151617181920[[#This Row],[Customer Info]])-2)</f>
        <v>Vikram</v>
      </c>
      <c r="P12" s="20" t="str">
        <f>RIGHT(Table1451314151617181920[[#This Row],[Customer Info]],LEN(Table1451314151617181920[[#This Row],[Customer Info]])-FIND("|",Table1451314151617181920[[#This Row],[Customer Info]])-1)</f>
        <v>9123001122</v>
      </c>
      <c r="Q12" s="20" t="str">
        <f>TRIM(Table1451314151617181920[[#This Row],[Customer Info]])</f>
        <v>Vikram | 9123001122</v>
      </c>
      <c r="R12" s="20" t="str">
        <f>UPPER(Table1451314151617181920[[#This Row],[Region]])</f>
        <v>INDIA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Table1451314151617181920[[#This Row],[Quantity]]*Table1451314151617181920[[#This Row],[Price]]</f>
        <v>100</v>
      </c>
      <c r="M13" s="19" t="str">
        <f>IF(Table1451314151617181920[[#This Row],[Sales]]&gt;800,"High",IF(Table1451314151617181920[[#This Row],[Sales]]&gt;=500,"Medium","Low"))</f>
        <v>Low</v>
      </c>
      <c r="N13" s="19" t="str" cm="1">
        <f t="array" ref="N13">_xlfn.IFS(AND(Table1451314151617181920[Status]="Delivered",Table1451314151617181920[Sales]&gt;500),"Valid",TRUE,"Check")</f>
        <v>Check</v>
      </c>
      <c r="O13" s="19" t="str">
        <f>LEFT(Table1451314151617181920[[#This Row],[Customer Info]],FIND("|",Table1451314151617181920[[#This Row],[Customer Info]])-2)</f>
        <v>Pooja</v>
      </c>
      <c r="P13" s="20" t="str">
        <f>RIGHT(Table1451314151617181920[[#This Row],[Customer Info]],LEN(Table1451314151617181920[[#This Row],[Customer Info]])-FIND("|",Table1451314151617181920[[#This Row],[Customer Info]])-1)</f>
        <v>9345001123</v>
      </c>
      <c r="Q13" s="20" t="str">
        <f>TRIM(Table1451314151617181920[[#This Row],[Customer Info]])</f>
        <v>Pooja | 9345001123</v>
      </c>
      <c r="R13" s="20" t="str">
        <f>UPPER(Table1451314151617181920[[#This Row],[Region]])</f>
        <v>US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Table1451314151617181920[[#This Row],[Quantity]]*Table1451314151617181920[[#This Row],[Price]]</f>
        <v>45</v>
      </c>
      <c r="M14" s="19" t="str">
        <f>IF(Table1451314151617181920[[#This Row],[Sales]]&gt;800,"High",IF(Table1451314151617181920[[#This Row],[Sales]]&gt;=500,"Medium","Low"))</f>
        <v>Low</v>
      </c>
      <c r="N14" s="19" t="str" cm="1">
        <f t="array" ref="N14">_xlfn.IFS(AND(Table1451314151617181920[Status]="Delivered",Table1451314151617181920[Sales]&gt;500),"Valid",TRUE,"Check")</f>
        <v>Check</v>
      </c>
      <c r="O14" s="19" t="str">
        <f>LEFT(Table1451314151617181920[[#This Row],[Customer Info]],FIND("|",Table1451314151617181920[[#This Row],[Customer Info]])-2)</f>
        <v>Kiran</v>
      </c>
      <c r="P14" s="20" t="str">
        <f>RIGHT(Table1451314151617181920[[#This Row],[Customer Info]],LEN(Table1451314151617181920[[#This Row],[Customer Info]])-FIND("|",Table1451314151617181920[[#This Row],[Customer Info]])-1)</f>
        <v>9000011122</v>
      </c>
      <c r="Q14" s="20" t="str">
        <f>TRIM(Table1451314151617181920[[#This Row],[Customer Info]])</f>
        <v>Kiran | 9000011122</v>
      </c>
      <c r="R14" s="20" t="str">
        <f>UPPER(Table1451314151617181920[[#This Row],[Region]])</f>
        <v>UAE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Table1451314151617181920[[#This Row],[Quantity]]*Table1451314151617181920[[#This Row],[Price]]</f>
        <v>10</v>
      </c>
      <c r="M15" s="19" t="str">
        <f>IF(Table1451314151617181920[[#This Row],[Sales]]&gt;800,"High",IF(Table1451314151617181920[[#This Row],[Sales]]&gt;=500,"Medium","Low"))</f>
        <v>Low</v>
      </c>
      <c r="N15" s="19" t="str" cm="1">
        <f t="array" ref="N15">_xlfn.IFS(AND(Table1451314151617181920[Status]="Delivered",Table1451314151617181920[Sales]&gt;500),"Valid",TRUE,"Check")</f>
        <v>Check</v>
      </c>
      <c r="O15" s="19" t="str">
        <f>LEFT(Table1451314151617181920[[#This Row],[Customer Info]],FIND("|",Table1451314151617181920[[#This Row],[Customer Info]])-2)</f>
        <v>Anil</v>
      </c>
      <c r="P15" s="20" t="str">
        <f>RIGHT(Table1451314151617181920[[#This Row],[Customer Info]],LEN(Table1451314151617181920[[#This Row],[Customer Info]])-FIND("|",Table1451314151617181920[[#This Row],[Customer Info]])-1)</f>
        <v>9888800011</v>
      </c>
      <c r="Q15" s="20" t="str">
        <f>TRIM(Table1451314151617181920[[#This Row],[Customer Info]])</f>
        <v>Anil | 9888800011</v>
      </c>
      <c r="R15" s="20" t="str">
        <f>UPPER(Table1451314151617181920[[#This Row],[Region]])</f>
        <v>INDIA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Table1451314151617181920[[#This Row],[Quantity]]*Table1451314151617181920[[#This Row],[Price]]</f>
        <v>200</v>
      </c>
      <c r="M16" s="19" t="str">
        <f>IF(Table1451314151617181920[[#This Row],[Sales]]&gt;800,"High",IF(Table1451314151617181920[[#This Row],[Sales]]&gt;=500,"Medium","Low"))</f>
        <v>Low</v>
      </c>
      <c r="N16" s="19" t="str" cm="1">
        <f t="array" ref="N16">_xlfn.IFS(AND(Table1451314151617181920[Status]="Delivered",Table1451314151617181920[Sales]&gt;500),"Valid",TRUE,"Check")</f>
        <v>Check</v>
      </c>
      <c r="O16" s="19" t="str">
        <f>LEFT(Table1451314151617181920[[#This Row],[Customer Info]],FIND("|",Table1451314151617181920[[#This Row],[Customer Info]])-2)</f>
        <v>Divya</v>
      </c>
      <c r="P16" s="20" t="str">
        <f>RIGHT(Table1451314151617181920[[#This Row],[Customer Info]],LEN(Table1451314151617181920[[#This Row],[Customer Info]])-FIND("|",Table1451314151617181920[[#This Row],[Customer Info]])-1)</f>
        <v>9777700011</v>
      </c>
      <c r="Q16" s="20" t="str">
        <f>TRIM(Table1451314151617181920[[#This Row],[Customer Info]])</f>
        <v>Divya | 9777700011</v>
      </c>
      <c r="R16" s="20" t="str">
        <f>UPPER(Table1451314151617181920[[#This Row],[Region]])</f>
        <v>UK</v>
      </c>
    </row>
    <row r="17" spans="1:18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Table1451314151617181920[[#This Row],[Quantity]]*Table1451314151617181920[[#This Row],[Price]]</f>
        <v>140</v>
      </c>
      <c r="M17" s="19" t="str">
        <f>IF(Table1451314151617181920[[#This Row],[Sales]]&gt;800,"High",IF(Table1451314151617181920[[#This Row],[Sales]]&gt;=500,"Medium","Low"))</f>
        <v>Low</v>
      </c>
      <c r="N17" s="19" t="str" cm="1">
        <f t="array" ref="N17">_xlfn.IFS(AND(Table1451314151617181920[Status]="Delivered",Table1451314151617181920[Sales]&gt;500),"Valid",TRUE,"Check")</f>
        <v>Check</v>
      </c>
      <c r="O17" s="19" t="str">
        <f>LEFT(Table1451314151617181920[[#This Row],[Customer Info]],FIND("|",Table1451314151617181920[[#This Row],[Customer Info]])-2)</f>
        <v>Rahul</v>
      </c>
      <c r="P17" s="20" t="str">
        <f>RIGHT(Table1451314151617181920[[#This Row],[Customer Info]],LEN(Table1451314151617181920[[#This Row],[Customer Info]])-FIND("|",Table1451314151617181920[[#This Row],[Customer Info]])-1)</f>
        <v>9666600011</v>
      </c>
      <c r="Q17" s="20" t="str">
        <f>TRIM(Table1451314151617181920[[#This Row],[Customer Info]])</f>
        <v>Rahul | 9666600011</v>
      </c>
      <c r="R17" s="20" t="str">
        <f>UPPER(Table1451314151617181920[[#This Row],[Region]])</f>
        <v>INDIA</v>
      </c>
    </row>
    <row r="18" spans="1:18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Table1451314151617181920[[#This Row],[Quantity]]*Table1451314151617181920[[#This Row],[Price]]</f>
        <v>30</v>
      </c>
      <c r="M18" s="19" t="str">
        <f>IF(Table1451314151617181920[[#This Row],[Sales]]&gt;800,"High",IF(Table1451314151617181920[[#This Row],[Sales]]&gt;=500,"Medium","Low"))</f>
        <v>Low</v>
      </c>
      <c r="N18" s="19" t="str" cm="1">
        <f t="array" ref="N18">_xlfn.IFS(AND(Table1451314151617181920[Status]="Delivered",Table1451314151617181920[Sales]&gt;500),"Valid",TRUE,"Check")</f>
        <v>Check</v>
      </c>
      <c r="O18" s="19" t="str">
        <f>LEFT(Table1451314151617181920[[#This Row],[Customer Info]],FIND("|",Table1451314151617181920[[#This Row],[Customer Info]])-2)</f>
        <v>Sneha</v>
      </c>
      <c r="P18" s="20" t="str">
        <f>RIGHT(Table1451314151617181920[[#This Row],[Customer Info]],LEN(Table1451314151617181920[[#This Row],[Customer Info]])-FIND("|",Table1451314151617181920[[#This Row],[Customer Info]])-1)</f>
        <v>9555500011</v>
      </c>
      <c r="Q18" s="20" t="str">
        <f>TRIM(Table1451314151617181920[[#This Row],[Customer Info]])</f>
        <v>Sneha | 9555500011</v>
      </c>
      <c r="R18" s="20" t="str">
        <f>UPPER(Table1451314151617181920[[#This Row],[Region]])</f>
        <v>UAE</v>
      </c>
    </row>
    <row r="19" spans="1:18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Table1451314151617181920[[#This Row],[Quantity]]*Table1451314151617181920[[#This Row],[Price]]</f>
        <v>120</v>
      </c>
      <c r="M19" s="19" t="str">
        <f>IF(Table1451314151617181920[[#This Row],[Sales]]&gt;800,"High",IF(Table1451314151617181920[[#This Row],[Sales]]&gt;=500,"Medium","Low"))</f>
        <v>Low</v>
      </c>
      <c r="N19" s="19" t="str" cm="1">
        <f t="array" ref="N19">_xlfn.IFS(AND(Table1451314151617181920[Status]="Delivered",Table1451314151617181920[Sales]&gt;500),"Valid",TRUE,"Check")</f>
        <v>Check</v>
      </c>
      <c r="O19" s="19" t="str">
        <f>LEFT(Table1451314151617181920[[#This Row],[Customer Info]],FIND("|",Table1451314151617181920[[#This Row],[Customer Info]])-2)</f>
        <v>Karthik</v>
      </c>
      <c r="P19" s="20" t="str">
        <f>RIGHT(Table1451314151617181920[[#This Row],[Customer Info]],LEN(Table1451314151617181920[[#This Row],[Customer Info]])-FIND("|",Table1451314151617181920[[#This Row],[Customer Info]])-1)</f>
        <v>9001122334</v>
      </c>
      <c r="Q19" s="20" t="str">
        <f>TRIM(Table1451314151617181920[[#This Row],[Customer Info]])</f>
        <v>Karthik | 9001122334</v>
      </c>
      <c r="R19" s="20" t="str">
        <f>UPPER(Table1451314151617181920[[#This Row],[Region]])</f>
        <v>INDIA</v>
      </c>
    </row>
    <row r="20" spans="1:18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Table1451314151617181920[[#This Row],[Quantity]]*Table1451314151617181920[[#This Row],[Price]]</f>
        <v>350</v>
      </c>
      <c r="M20" s="19" t="str">
        <f>IF(Table1451314151617181920[[#This Row],[Sales]]&gt;800,"High",IF(Table1451314151617181920[[#This Row],[Sales]]&gt;=500,"Medium","Low"))</f>
        <v>Low</v>
      </c>
      <c r="N20" s="19" t="str" cm="1">
        <f t="array" ref="N20">_xlfn.IFS(AND(Table1451314151617181920[Status]="Delivered",Table1451314151617181920[Sales]&gt;500),"Valid",TRUE,"Check")</f>
        <v>Check</v>
      </c>
      <c r="O20" s="19" t="str">
        <f>LEFT(Table1451314151617181920[[#This Row],[Customer Info]],FIND("|",Table1451314151617181920[[#This Row],[Customer Info]])-2)</f>
        <v>Lavanya</v>
      </c>
      <c r="P20" s="20" t="str">
        <f>RIGHT(Table1451314151617181920[[#This Row],[Customer Info]],LEN(Table1451314151617181920[[#This Row],[Customer Info]])-FIND("|",Table1451314151617181920[[#This Row],[Customer Info]])-1)</f>
        <v>9011223344</v>
      </c>
      <c r="Q20" s="20" t="str">
        <f>TRIM(Table1451314151617181920[[#This Row],[Customer Info]])</f>
        <v>Lavanya | 9011223344</v>
      </c>
      <c r="R20" s="20" t="str">
        <f>UPPER(Table1451314151617181920[[#This Row],[Region]])</f>
        <v>US</v>
      </c>
    </row>
    <row r="21" spans="1:18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Table1451314151617181920[[#This Row],[Quantity]]*Table1451314151617181920[[#This Row],[Price]]</f>
        <v>30</v>
      </c>
      <c r="M21" s="19" t="str">
        <f>IF(Table1451314151617181920[[#This Row],[Sales]]&gt;800,"High",IF(Table1451314151617181920[[#This Row],[Sales]]&gt;=500,"Medium","Low"))</f>
        <v>Low</v>
      </c>
      <c r="N21" s="19" t="str" cm="1">
        <f t="array" ref="N21">_xlfn.IFS(AND(Table1451314151617181920[Status]="Delivered",Table1451314151617181920[Sales]&gt;500),"Valid",TRUE,"Check")</f>
        <v>Check</v>
      </c>
      <c r="O21" s="19" t="str">
        <f>LEFT(Table1451314151617181920[[#This Row],[Customer Info]],FIND("|",Table1451314151617181920[[#This Row],[Customer Info]])-2)</f>
        <v>Manoj</v>
      </c>
      <c r="P21" s="20" t="str">
        <f>RIGHT(Table1451314151617181920[[#This Row],[Customer Info]],LEN(Table1451314151617181920[[#This Row],[Customer Info]])-FIND("|",Table1451314151617181920[[#This Row],[Customer Info]])-1)</f>
        <v>9022334455</v>
      </c>
      <c r="Q21" s="20" t="str">
        <f>TRIM(Table1451314151617181920[[#This Row],[Customer Info]])</f>
        <v>Manoj | 9022334455</v>
      </c>
      <c r="R21" s="20" t="str">
        <f>UPPER(Table1451314151617181920[[#This Row],[Region]])</f>
        <v>UK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6695-400F-47D0-B565-405CB9A8E11E}">
  <dimension ref="A1:V21"/>
  <sheetViews>
    <sheetView topLeftCell="S1" zoomScale="69" workbookViewId="0">
      <selection activeCell="AV20" sqref="AV20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Table145131415161718192021[[#This Row],[Quantity]]*Table145131415161718192021[[#This Row],[Price]]</f>
        <v>200</v>
      </c>
      <c r="M2" s="19" t="str">
        <f>IF(Table145131415161718192021[[#This Row],[Sales]]&gt;800,"High",IF(Table145131415161718192021[[#This Row],[Sales]]&gt;=500,"Medium","Low"))</f>
        <v>Low</v>
      </c>
      <c r="N2" s="19" t="str" cm="1">
        <f t="array" ref="N2">_xlfn.IFS(AND(Table145131415161718192021[Status]="Delivered",Table145131415161718192021[Sales]&gt;500),"Valid",TRUE,"Check")</f>
        <v>Check</v>
      </c>
      <c r="O2" s="19" t="str">
        <f>LEFT(Table145131415161718192021[[#This Row],[Customer Info]],FIND("|",Table145131415161718192021[[#This Row],[Customer Info]])-2)</f>
        <v>Arjun</v>
      </c>
      <c r="P2" s="20" t="str">
        <f>RIGHT(Table145131415161718192021[[#This Row],[Customer Info]],LEN(Table145131415161718192021[[#This Row],[Customer Info]])-FIND("|",Table145131415161718192021[[#This Row],[Customer Info]])-1)</f>
        <v>9876543210</v>
      </c>
      <c r="Q2" s="20" t="str">
        <f>TRIM(Table145131415161718192021[[#This Row],[Customer Info]])</f>
        <v>Arjun | 9876543210</v>
      </c>
      <c r="R2" s="20" t="str">
        <f>UPPER(Table145131415161718192021[[#This Row],[Region]])</f>
        <v>INDIA</v>
      </c>
      <c r="S2" s="20">
        <f>VALUE(SUBSTITUTE(Table145131415161718192021[[#This Row],[Quantity]],"pcs",""))</f>
        <v>10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Table145131415161718192021[[#This Row],[Quantity]]*Table145131415161718192021[[#This Row],[Price]]</f>
        <v>250</v>
      </c>
      <c r="M3" s="19" t="str">
        <f>IF(Table145131415161718192021[[#This Row],[Sales]]&gt;800,"High",IF(Table145131415161718192021[[#This Row],[Sales]]&gt;=500,"Medium","Low"))</f>
        <v>Low</v>
      </c>
      <c r="N3" s="19" t="str" cm="1">
        <f t="array" ref="N3">_xlfn.IFS(AND(Table145131415161718192021[Status]="Delivered",Table145131415161718192021[Sales]&gt;500),"Valid",TRUE,"Check")</f>
        <v>Check</v>
      </c>
      <c r="O3" s="19" t="str">
        <f>LEFT(Table145131415161718192021[[#This Row],[Customer Info]],FIND("|",Table145131415161718192021[[#This Row],[Customer Info]])-2)</f>
        <v>Neha</v>
      </c>
      <c r="P3" s="20" t="str">
        <f>RIGHT(Table145131415161718192021[[#This Row],[Customer Info]],LEN(Table145131415161718192021[[#This Row],[Customer Info]])-FIND("|",Table145131415161718192021[[#This Row],[Customer Info]])-1)</f>
        <v>9123456780</v>
      </c>
      <c r="Q3" s="20" t="str">
        <f>TRIM(Table145131415161718192021[[#This Row],[Customer Info]])</f>
        <v>Neha | 9123456780</v>
      </c>
      <c r="R3" s="20" t="str">
        <f>UPPER(Table145131415161718192021[[#This Row],[Region]])</f>
        <v>US</v>
      </c>
      <c r="S3" s="20">
        <f>VALUE(SUBSTITUTE(Table145131415161718192021[[#This Row],[Quantity]],"pcs",""))</f>
        <v>5</v>
      </c>
      <c r="T3" s="15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Table145131415161718192021[[#This Row],[Quantity]]*Table145131415161718192021[[#This Row],[Price]]</f>
        <v>80</v>
      </c>
      <c r="M4" s="19" t="str">
        <f>IF(Table145131415161718192021[[#This Row],[Sales]]&gt;800,"High",IF(Table145131415161718192021[[#This Row],[Sales]]&gt;=500,"Medium","Low"))</f>
        <v>Low</v>
      </c>
      <c r="N4" s="19" t="str" cm="1">
        <f t="array" ref="N4">_xlfn.IFS(AND(Table145131415161718192021[Status]="Delivered",Table145131415161718192021[Sales]&gt;500),"Valid",TRUE,"Check")</f>
        <v>Check</v>
      </c>
      <c r="O4" s="19" t="str">
        <f>LEFT(Table145131415161718192021[[#This Row],[Customer Info]],FIND("|",Table145131415161718192021[[#This Row],[Customer Info]])-2)</f>
        <v>Rohit</v>
      </c>
      <c r="P4" s="20" t="str">
        <f>RIGHT(Table145131415161718192021[[#This Row],[Customer Info]],LEN(Table145131415161718192021[[#This Row],[Customer Info]])-FIND("|",Table145131415161718192021[[#This Row],[Customer Info]])-1)</f>
        <v>9988776655</v>
      </c>
      <c r="Q4" s="20" t="str">
        <f>TRIM(Table145131415161718192021[[#This Row],[Customer Info]])</f>
        <v>Rohit | 9988776655</v>
      </c>
      <c r="R4" s="20" t="str">
        <f>UPPER(Table145131415161718192021[[#This Row],[Region]])</f>
        <v>UK</v>
      </c>
      <c r="S4" s="20">
        <f>VALUE(SUBSTITUTE(Table145131415161718192021[[#This Row],[Quantity]],"pcs",""))</f>
        <v>8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Table145131415161718192021[[#This Row],[Quantity]]*Table145131415161718192021[[#This Row],[Price]]</f>
        <v>45</v>
      </c>
      <c r="M5" s="19" t="str">
        <f>IF(Table145131415161718192021[[#This Row],[Sales]]&gt;800,"High",IF(Table145131415161718192021[[#This Row],[Sales]]&gt;=500,"Medium","Low"))</f>
        <v>Low</v>
      </c>
      <c r="N5" s="19" t="str" cm="1">
        <f t="array" ref="N5">_xlfn.IFS(AND(Table145131415161718192021[Status]="Delivered",Table145131415161718192021[Sales]&gt;500),"Valid",TRUE,"Check")</f>
        <v>Check</v>
      </c>
      <c r="O5" s="19" t="str">
        <f>LEFT(Table145131415161718192021[[#This Row],[Customer Info]],FIND("|",Table145131415161718192021[[#This Row],[Customer Info]])-2)</f>
        <v>Simran</v>
      </c>
      <c r="P5" s="20" t="str">
        <f>RIGHT(Table145131415161718192021[[#This Row],[Customer Info]],LEN(Table145131415161718192021[[#This Row],[Customer Info]])-FIND("|",Table145131415161718192021[[#This Row],[Customer Info]])-1)</f>
        <v>9012345678</v>
      </c>
      <c r="Q5" s="20" t="str">
        <f>TRIM(Table145131415161718192021[[#This Row],[Customer Info]])</f>
        <v>Simran | 9012345678</v>
      </c>
      <c r="R5" s="20" t="str">
        <f>UPPER(Table145131415161718192021[[#This Row],[Region]])</f>
        <v>UAE</v>
      </c>
      <c r="S5" s="20">
        <f>VALUE(SUBSTITUTE(Table145131415161718192021[[#This Row],[Quantity]],"pcs",""))</f>
        <v>3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Table145131415161718192021[[#This Row],[Quantity]]*Table145131415161718192021[[#This Row],[Price]]</f>
        <v>120</v>
      </c>
      <c r="M6" s="19" t="str">
        <f>IF(Table145131415161718192021[[#This Row],[Sales]]&gt;800,"High",IF(Table145131415161718192021[[#This Row],[Sales]]&gt;=500,"Medium","Low"))</f>
        <v>Low</v>
      </c>
      <c r="N6" s="19" t="str" cm="1">
        <f t="array" ref="N6">_xlfn.IFS(AND(Table145131415161718192021[Status]="Delivered",Table145131415161718192021[Sales]&gt;500),"Valid",TRUE,"Check")</f>
        <v>Check</v>
      </c>
      <c r="O6" s="19" t="str">
        <f>LEFT(Table145131415161718192021[[#This Row],[Customer Info]],FIND("|",Table145131415161718192021[[#This Row],[Customer Info]])-2)</f>
        <v>Karan</v>
      </c>
      <c r="P6" s="20" t="str">
        <f>RIGHT(Table145131415161718192021[[#This Row],[Customer Info]],LEN(Table145131415161718192021[[#This Row],[Customer Info]])-FIND("|",Table145131415161718192021[[#This Row],[Customer Info]])-1)</f>
        <v>9090909090</v>
      </c>
      <c r="Q6" s="20" t="str">
        <f>TRIM(Table145131415161718192021[[#This Row],[Customer Info]])</f>
        <v>Karan | 9090909090</v>
      </c>
      <c r="R6" s="20" t="str">
        <f>UPPER(Table145131415161718192021[[#This Row],[Region]])</f>
        <v>INDIA</v>
      </c>
      <c r="S6" s="20">
        <f>VALUE(SUBSTITUTE(Table145131415161718192021[[#This Row],[Quantity]],"pcs",""))</f>
        <v>6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Table145131415161718192021[[#This Row],[Quantity]]*Table145131415161718192021[[#This Row],[Price]]</f>
        <v>150</v>
      </c>
      <c r="M7" s="19" t="str">
        <f>IF(Table145131415161718192021[[#This Row],[Sales]]&gt;800,"High",IF(Table145131415161718192021[[#This Row],[Sales]]&gt;=500,"Medium","Low"))</f>
        <v>Low</v>
      </c>
      <c r="N7" s="19" t="str" cm="1">
        <f t="array" ref="N7">_xlfn.IFS(AND(Table145131415161718192021[Status]="Delivered",Table145131415161718192021[Sales]&gt;500),"Valid",TRUE,"Check")</f>
        <v>Check</v>
      </c>
      <c r="O7" s="19" t="str">
        <f>LEFT(Table145131415161718192021[[#This Row],[Customer Info]],FIND("|",Table145131415161718192021[[#This Row],[Customer Info]])-2)</f>
        <v>Riya</v>
      </c>
      <c r="P7" s="20" t="str">
        <f>RIGHT(Table145131415161718192021[[#This Row],[Customer Info]],LEN(Table145131415161718192021[[#This Row],[Customer Info]])-FIND("|",Table145131415161718192021[[#This Row],[Customer Info]])-1)</f>
        <v>9345678901</v>
      </c>
      <c r="Q7" s="20" t="str">
        <f>TRIM(Table145131415161718192021[[#This Row],[Customer Info]])</f>
        <v>Riya | 9345678901</v>
      </c>
      <c r="R7" s="20" t="str">
        <f>UPPER(Table145131415161718192021[[#This Row],[Region]])</f>
        <v>US</v>
      </c>
      <c r="S7" s="20">
        <f>VALUE(SUBSTITUTE(Table145131415161718192021[[#This Row],[Quantity]],"pcs",""))</f>
        <v>3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Table145131415161718192021[[#This Row],[Quantity]]*Table145131415161718192021[[#This Row],[Price]]</f>
        <v>20</v>
      </c>
      <c r="M8" s="19" t="str">
        <f>IF(Table145131415161718192021[[#This Row],[Sales]]&gt;800,"High",IF(Table145131415161718192021[[#This Row],[Sales]]&gt;=500,"Medium","Low"))</f>
        <v>Low</v>
      </c>
      <c r="N8" s="19" t="str" cm="1">
        <f t="array" ref="N8">_xlfn.IFS(AND(Table145131415161718192021[Status]="Delivered",Table145131415161718192021[Sales]&gt;500),"Valid",TRUE,"Check")</f>
        <v>Check</v>
      </c>
      <c r="O8" s="19" t="str">
        <f>LEFT(Table145131415161718192021[[#This Row],[Customer Info]],FIND("|",Table145131415161718192021[[#This Row],[Customer Info]])-2)</f>
        <v>Amit</v>
      </c>
      <c r="P8" s="20" t="str">
        <f>RIGHT(Table145131415161718192021[[#This Row],[Customer Info]],LEN(Table145131415161718192021[[#This Row],[Customer Info]])-FIND("|",Table145131415161718192021[[#This Row],[Customer Info]])-1)</f>
        <v>9234567890</v>
      </c>
      <c r="Q8" s="20" t="str">
        <f>TRIM(Table145131415161718192021[[#This Row],[Customer Info]])</f>
        <v>Amit | 9234567890</v>
      </c>
      <c r="R8" s="20" t="str">
        <f>UPPER(Table145131415161718192021[[#This Row],[Region]])</f>
        <v>INDIA</v>
      </c>
      <c r="S8" s="20">
        <f>VALUE(SUBSTITUTE(Table145131415161718192021[[#This Row],[Quantity]],"pcs",""))</f>
        <v>2</v>
      </c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Table145131415161718192021[[#This Row],[Quantity]]*Table145131415161718192021[[#This Row],[Price]]</f>
        <v>0</v>
      </c>
      <c r="M9" s="19" t="str">
        <f>IF(Table145131415161718192021[[#This Row],[Sales]]&gt;800,"High",IF(Table145131415161718192021[[#This Row],[Sales]]&gt;=500,"Medium","Low"))</f>
        <v>Low</v>
      </c>
      <c r="N9" s="19" t="str" cm="1">
        <f t="array" ref="N9">_xlfn.IFS(AND(Table145131415161718192021[Status]="Delivered",Table145131415161718192021[Sales]&gt;500),"Valid",TRUE,"Check")</f>
        <v>Check</v>
      </c>
      <c r="O9" s="19" t="str">
        <f>LEFT(Table145131415161718192021[[#This Row],[Customer Info]],FIND("|",Table145131415161718192021[[#This Row],[Customer Info]])-2)</f>
        <v>Sara</v>
      </c>
      <c r="P9" s="20" t="str">
        <f>RIGHT(Table145131415161718192021[[#This Row],[Customer Info]],LEN(Table145131415161718192021[[#This Row],[Customer Info]])-FIND("|",Table145131415161718192021[[#This Row],[Customer Info]])-1)</f>
        <v>9876501234</v>
      </c>
      <c r="Q9" s="20" t="str">
        <f>TRIM(Table145131415161718192021[[#This Row],[Customer Info]])</f>
        <v>Sara | 9876501234</v>
      </c>
      <c r="R9" s="20" t="str">
        <f>UPPER(Table145131415161718192021[[#This Row],[Region]])</f>
        <v>UK</v>
      </c>
      <c r="S9" s="20">
        <f>VALUE(SUBSTITUTE(Table145131415161718192021[[#This Row],[Quantity]],"pcs",""))</f>
        <v>0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Table145131415161718192021[[#This Row],[Quantity]]*Table145131415161718192021[[#This Row],[Price]]</f>
        <v>160</v>
      </c>
      <c r="M10" s="19" t="str">
        <f>IF(Table145131415161718192021[[#This Row],[Sales]]&gt;800,"High",IF(Table145131415161718192021[[#This Row],[Sales]]&gt;=500,"Medium","Low"))</f>
        <v>Low</v>
      </c>
      <c r="N10" s="19" t="str" cm="1">
        <f t="array" ref="N10">_xlfn.IFS(AND(Table145131415161718192021[Status]="Delivered",Table145131415161718192021[Sales]&gt;500),"Valid",TRUE,"Check")</f>
        <v>Check</v>
      </c>
      <c r="O10" s="19" t="str">
        <f>LEFT(Table145131415161718192021[[#This Row],[Customer Info]],FIND("|",Table145131415161718192021[[#This Row],[Customer Info]])-2)</f>
        <v>John</v>
      </c>
      <c r="P10" s="20" t="str">
        <f>RIGHT(Table145131415161718192021[[#This Row],[Customer Info]],LEN(Table145131415161718192021[[#This Row],[Customer Info]])-FIND("|",Table145131415161718192021[[#This Row],[Customer Info]])-1)</f>
        <v>9988001122</v>
      </c>
      <c r="Q10" s="20" t="str">
        <f>TRIM(Table145131415161718192021[[#This Row],[Customer Info]])</f>
        <v>John | 9988001122</v>
      </c>
      <c r="R10" s="20" t="str">
        <f>UPPER(Table145131415161718192021[[#This Row],[Region]])</f>
        <v>UK</v>
      </c>
      <c r="S10" s="20">
        <f>VALUE(SUBSTITUTE(Table145131415161718192021[[#This Row],[Quantity]],"pcs",""))</f>
        <v>8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Table145131415161718192021[[#This Row],[Quantity]]*Table145131415161718192021[[#This Row],[Price]]</f>
        <v>300</v>
      </c>
      <c r="M11" s="19" t="str">
        <f>IF(Table145131415161718192021[[#This Row],[Sales]]&gt;800,"High",IF(Table145131415161718192021[[#This Row],[Sales]]&gt;=500,"Medium","Low"))</f>
        <v>Low</v>
      </c>
      <c r="N11" s="19" t="str" cm="1">
        <f t="array" ref="N11">_xlfn.IFS(AND(Table145131415161718192021[Status]="Delivered",Table145131415161718192021[Sales]&gt;500),"Valid",TRUE,"Check")</f>
        <v>Check</v>
      </c>
      <c r="O11" s="19" t="str">
        <f>LEFT(Table145131415161718192021[[#This Row],[Customer Info]],FIND("|",Table145131415161718192021[[#This Row],[Customer Info]])-2)</f>
        <v>Meena</v>
      </c>
      <c r="P11" s="20" t="str">
        <f>RIGHT(Table145131415161718192021[[#This Row],[Customer Info]],LEN(Table145131415161718192021[[#This Row],[Customer Info]])-FIND("|",Table145131415161718192021[[#This Row],[Customer Info]])-1)</f>
        <v>9765432109</v>
      </c>
      <c r="Q11" s="20" t="str">
        <f>TRIM(Table145131415161718192021[[#This Row],[Customer Info]])</f>
        <v>Meena | 9765432109</v>
      </c>
      <c r="R11" s="20" t="str">
        <f>UPPER(Table145131415161718192021[[#This Row],[Region]])</f>
        <v>INDIA</v>
      </c>
      <c r="S11" s="20">
        <f>VALUE(SUBSTITUTE(Table145131415161718192021[[#This Row],[Quantity]],"pcs",""))</f>
        <v>6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Table145131415161718192021[[#This Row],[Quantity]]*Table145131415161718192021[[#This Row],[Price]]</f>
        <v>100</v>
      </c>
      <c r="M12" s="19" t="str">
        <f>IF(Table145131415161718192021[[#This Row],[Sales]]&gt;800,"High",IF(Table145131415161718192021[[#This Row],[Sales]]&gt;=500,"Medium","Low"))</f>
        <v>Low</v>
      </c>
      <c r="N12" s="19" t="str" cm="1">
        <f t="array" ref="N12">_xlfn.IFS(AND(Table145131415161718192021[Status]="Delivered",Table145131415161718192021[Sales]&gt;500),"Valid",TRUE,"Check")</f>
        <v>Check</v>
      </c>
      <c r="O12" s="19" t="str">
        <f>LEFT(Table145131415161718192021[[#This Row],[Customer Info]],FIND("|",Table145131415161718192021[[#This Row],[Customer Info]])-2)</f>
        <v>Vikram</v>
      </c>
      <c r="P12" s="20" t="str">
        <f>RIGHT(Table145131415161718192021[[#This Row],[Customer Info]],LEN(Table145131415161718192021[[#This Row],[Customer Info]])-FIND("|",Table145131415161718192021[[#This Row],[Customer Info]])-1)</f>
        <v>9123001122</v>
      </c>
      <c r="Q12" s="20" t="str">
        <f>TRIM(Table145131415161718192021[[#This Row],[Customer Info]])</f>
        <v>Vikram | 9123001122</v>
      </c>
      <c r="R12" s="20" t="str">
        <f>UPPER(Table145131415161718192021[[#This Row],[Region]])</f>
        <v>INDIA</v>
      </c>
      <c r="S12" s="20">
        <f>VALUE(SUBSTITUTE(Table145131415161718192021[[#This Row],[Quantity]],"pcs",""))</f>
        <v>5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Table145131415161718192021[[#This Row],[Quantity]]*Table145131415161718192021[[#This Row],[Price]]</f>
        <v>100</v>
      </c>
      <c r="M13" s="19" t="str">
        <f>IF(Table145131415161718192021[[#This Row],[Sales]]&gt;800,"High",IF(Table145131415161718192021[[#This Row],[Sales]]&gt;=500,"Medium","Low"))</f>
        <v>Low</v>
      </c>
      <c r="N13" s="19" t="str" cm="1">
        <f t="array" ref="N13">_xlfn.IFS(AND(Table145131415161718192021[Status]="Delivered",Table145131415161718192021[Sales]&gt;500),"Valid",TRUE,"Check")</f>
        <v>Check</v>
      </c>
      <c r="O13" s="19" t="str">
        <f>LEFT(Table145131415161718192021[[#This Row],[Customer Info]],FIND("|",Table145131415161718192021[[#This Row],[Customer Info]])-2)</f>
        <v>Pooja</v>
      </c>
      <c r="P13" s="20" t="str">
        <f>RIGHT(Table145131415161718192021[[#This Row],[Customer Info]],LEN(Table145131415161718192021[[#This Row],[Customer Info]])-FIND("|",Table145131415161718192021[[#This Row],[Customer Info]])-1)</f>
        <v>9345001123</v>
      </c>
      <c r="Q13" s="20" t="str">
        <f>TRIM(Table145131415161718192021[[#This Row],[Customer Info]])</f>
        <v>Pooja | 9345001123</v>
      </c>
      <c r="R13" s="20" t="str">
        <f>UPPER(Table145131415161718192021[[#This Row],[Region]])</f>
        <v>US</v>
      </c>
      <c r="S13" s="20">
        <f>VALUE(SUBSTITUTE(Table145131415161718192021[[#This Row],[Quantity]],"pcs",""))</f>
        <v>2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Table145131415161718192021[[#This Row],[Quantity]]*Table145131415161718192021[[#This Row],[Price]]</f>
        <v>45</v>
      </c>
      <c r="M14" s="19" t="str">
        <f>IF(Table145131415161718192021[[#This Row],[Sales]]&gt;800,"High",IF(Table145131415161718192021[[#This Row],[Sales]]&gt;=500,"Medium","Low"))</f>
        <v>Low</v>
      </c>
      <c r="N14" s="19" t="str" cm="1">
        <f t="array" ref="N14">_xlfn.IFS(AND(Table145131415161718192021[Status]="Delivered",Table145131415161718192021[Sales]&gt;500),"Valid",TRUE,"Check")</f>
        <v>Check</v>
      </c>
      <c r="O14" s="19" t="str">
        <f>LEFT(Table145131415161718192021[[#This Row],[Customer Info]],FIND("|",Table145131415161718192021[[#This Row],[Customer Info]])-2)</f>
        <v>Kiran</v>
      </c>
      <c r="P14" s="20" t="str">
        <f>RIGHT(Table145131415161718192021[[#This Row],[Customer Info]],LEN(Table145131415161718192021[[#This Row],[Customer Info]])-FIND("|",Table145131415161718192021[[#This Row],[Customer Info]])-1)</f>
        <v>9000011122</v>
      </c>
      <c r="Q14" s="20" t="str">
        <f>TRIM(Table145131415161718192021[[#This Row],[Customer Info]])</f>
        <v>Kiran | 9000011122</v>
      </c>
      <c r="R14" s="20" t="str">
        <f>UPPER(Table145131415161718192021[[#This Row],[Region]])</f>
        <v>UAE</v>
      </c>
      <c r="S14" s="20">
        <f>VALUE(SUBSTITUTE(Table145131415161718192021[[#This Row],[Quantity]],"pcs",""))</f>
        <v>3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Table145131415161718192021[[#This Row],[Quantity]]*Table145131415161718192021[[#This Row],[Price]]</f>
        <v>10</v>
      </c>
      <c r="M15" s="19" t="str">
        <f>IF(Table145131415161718192021[[#This Row],[Sales]]&gt;800,"High",IF(Table145131415161718192021[[#This Row],[Sales]]&gt;=500,"Medium","Low"))</f>
        <v>Low</v>
      </c>
      <c r="N15" s="19" t="str" cm="1">
        <f t="array" ref="N15">_xlfn.IFS(AND(Table145131415161718192021[Status]="Delivered",Table145131415161718192021[Sales]&gt;500),"Valid",TRUE,"Check")</f>
        <v>Check</v>
      </c>
      <c r="O15" s="19" t="str">
        <f>LEFT(Table145131415161718192021[[#This Row],[Customer Info]],FIND("|",Table145131415161718192021[[#This Row],[Customer Info]])-2)</f>
        <v>Anil</v>
      </c>
      <c r="P15" s="20" t="str">
        <f>RIGHT(Table145131415161718192021[[#This Row],[Customer Info]],LEN(Table145131415161718192021[[#This Row],[Customer Info]])-FIND("|",Table145131415161718192021[[#This Row],[Customer Info]])-1)</f>
        <v>9888800011</v>
      </c>
      <c r="Q15" s="20" t="str">
        <f>TRIM(Table145131415161718192021[[#This Row],[Customer Info]])</f>
        <v>Anil | 9888800011</v>
      </c>
      <c r="R15" s="20" t="str">
        <f>UPPER(Table145131415161718192021[[#This Row],[Region]])</f>
        <v>INDIA</v>
      </c>
      <c r="S15" s="20">
        <f>VALUE(SUBSTITUTE(Table145131415161718192021[[#This Row],[Quantity]],"pcs",""))</f>
        <v>1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Table145131415161718192021[[#This Row],[Quantity]]*Table145131415161718192021[[#This Row],[Price]]</f>
        <v>200</v>
      </c>
      <c r="M16" s="19" t="str">
        <f>IF(Table145131415161718192021[[#This Row],[Sales]]&gt;800,"High",IF(Table145131415161718192021[[#This Row],[Sales]]&gt;=500,"Medium","Low"))</f>
        <v>Low</v>
      </c>
      <c r="N16" s="19" t="str" cm="1">
        <f t="array" ref="N16">_xlfn.IFS(AND(Table145131415161718192021[Status]="Delivered",Table145131415161718192021[Sales]&gt;500),"Valid",TRUE,"Check")</f>
        <v>Check</v>
      </c>
      <c r="O16" s="19" t="str">
        <f>LEFT(Table145131415161718192021[[#This Row],[Customer Info]],FIND("|",Table145131415161718192021[[#This Row],[Customer Info]])-2)</f>
        <v>Divya</v>
      </c>
      <c r="P16" s="20" t="str">
        <f>RIGHT(Table145131415161718192021[[#This Row],[Customer Info]],LEN(Table145131415161718192021[[#This Row],[Customer Info]])-FIND("|",Table145131415161718192021[[#This Row],[Customer Info]])-1)</f>
        <v>9777700011</v>
      </c>
      <c r="Q16" s="20" t="str">
        <f>TRIM(Table145131415161718192021[[#This Row],[Customer Info]])</f>
        <v>Divya | 9777700011</v>
      </c>
      <c r="R16" s="20" t="str">
        <f>UPPER(Table145131415161718192021[[#This Row],[Region]])</f>
        <v>UK</v>
      </c>
      <c r="S16" s="20">
        <f>VALUE(SUBSTITUTE(Table145131415161718192021[[#This Row],[Quantity]],"pcs",""))</f>
        <v>4</v>
      </c>
    </row>
    <row r="17" spans="1:19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Table145131415161718192021[[#This Row],[Quantity]]*Table145131415161718192021[[#This Row],[Price]]</f>
        <v>140</v>
      </c>
      <c r="M17" s="19" t="str">
        <f>IF(Table145131415161718192021[[#This Row],[Sales]]&gt;800,"High",IF(Table145131415161718192021[[#This Row],[Sales]]&gt;=500,"Medium","Low"))</f>
        <v>Low</v>
      </c>
      <c r="N17" s="19" t="str" cm="1">
        <f t="array" ref="N17">_xlfn.IFS(AND(Table145131415161718192021[Status]="Delivered",Table145131415161718192021[Sales]&gt;500),"Valid",TRUE,"Check")</f>
        <v>Check</v>
      </c>
      <c r="O17" s="19" t="str">
        <f>LEFT(Table145131415161718192021[[#This Row],[Customer Info]],FIND("|",Table145131415161718192021[[#This Row],[Customer Info]])-2)</f>
        <v>Rahul</v>
      </c>
      <c r="P17" s="20" t="str">
        <f>RIGHT(Table145131415161718192021[[#This Row],[Customer Info]],LEN(Table145131415161718192021[[#This Row],[Customer Info]])-FIND("|",Table145131415161718192021[[#This Row],[Customer Info]])-1)</f>
        <v>9666600011</v>
      </c>
      <c r="Q17" s="20" t="str">
        <f>TRIM(Table145131415161718192021[[#This Row],[Customer Info]])</f>
        <v>Rahul | 9666600011</v>
      </c>
      <c r="R17" s="20" t="str">
        <f>UPPER(Table145131415161718192021[[#This Row],[Region]])</f>
        <v>INDIA</v>
      </c>
      <c r="S17" s="20">
        <f>VALUE(SUBSTITUTE(Table145131415161718192021[[#This Row],[Quantity]],"pcs",""))</f>
        <v>7</v>
      </c>
    </row>
    <row r="18" spans="1:19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Table145131415161718192021[[#This Row],[Quantity]]*Table145131415161718192021[[#This Row],[Price]]</f>
        <v>30</v>
      </c>
      <c r="M18" s="19" t="str">
        <f>IF(Table145131415161718192021[[#This Row],[Sales]]&gt;800,"High",IF(Table145131415161718192021[[#This Row],[Sales]]&gt;=500,"Medium","Low"))</f>
        <v>Low</v>
      </c>
      <c r="N18" s="19" t="str" cm="1">
        <f t="array" ref="N18">_xlfn.IFS(AND(Table145131415161718192021[Status]="Delivered",Table145131415161718192021[Sales]&gt;500),"Valid",TRUE,"Check")</f>
        <v>Check</v>
      </c>
      <c r="O18" s="19" t="str">
        <f>LEFT(Table145131415161718192021[[#This Row],[Customer Info]],FIND("|",Table145131415161718192021[[#This Row],[Customer Info]])-2)</f>
        <v>Sneha</v>
      </c>
      <c r="P18" s="20" t="str">
        <f>RIGHT(Table145131415161718192021[[#This Row],[Customer Info]],LEN(Table145131415161718192021[[#This Row],[Customer Info]])-FIND("|",Table145131415161718192021[[#This Row],[Customer Info]])-1)</f>
        <v>9555500011</v>
      </c>
      <c r="Q18" s="20" t="str">
        <f>TRIM(Table145131415161718192021[[#This Row],[Customer Info]])</f>
        <v>Sneha | 9555500011</v>
      </c>
      <c r="R18" s="20" t="str">
        <f>UPPER(Table145131415161718192021[[#This Row],[Region]])</f>
        <v>UAE</v>
      </c>
      <c r="S18" s="20">
        <f>VALUE(SUBSTITUTE(Table145131415161718192021[[#This Row],[Quantity]],"pcs",""))</f>
        <v>2</v>
      </c>
    </row>
    <row r="19" spans="1:19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Table145131415161718192021[[#This Row],[Quantity]]*Table145131415161718192021[[#This Row],[Price]]</f>
        <v>120</v>
      </c>
      <c r="M19" s="19" t="str">
        <f>IF(Table145131415161718192021[[#This Row],[Sales]]&gt;800,"High",IF(Table145131415161718192021[[#This Row],[Sales]]&gt;=500,"Medium","Low"))</f>
        <v>Low</v>
      </c>
      <c r="N19" s="19" t="str" cm="1">
        <f t="array" ref="N19">_xlfn.IFS(AND(Table145131415161718192021[Status]="Delivered",Table145131415161718192021[Sales]&gt;500),"Valid",TRUE,"Check")</f>
        <v>Check</v>
      </c>
      <c r="O19" s="19" t="str">
        <f>LEFT(Table145131415161718192021[[#This Row],[Customer Info]],FIND("|",Table145131415161718192021[[#This Row],[Customer Info]])-2)</f>
        <v>Karthik</v>
      </c>
      <c r="P19" s="20" t="str">
        <f>RIGHT(Table145131415161718192021[[#This Row],[Customer Info]],LEN(Table145131415161718192021[[#This Row],[Customer Info]])-FIND("|",Table145131415161718192021[[#This Row],[Customer Info]])-1)</f>
        <v>9001122334</v>
      </c>
      <c r="Q19" s="20" t="str">
        <f>TRIM(Table145131415161718192021[[#This Row],[Customer Info]])</f>
        <v>Karthik | 9001122334</v>
      </c>
      <c r="R19" s="20" t="str">
        <f>UPPER(Table145131415161718192021[[#This Row],[Region]])</f>
        <v>INDIA</v>
      </c>
      <c r="S19" s="20">
        <f>VALUE(SUBSTITUTE(Table145131415161718192021[[#This Row],[Quantity]],"pcs",""))</f>
        <v>6</v>
      </c>
    </row>
    <row r="20" spans="1:19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Table145131415161718192021[[#This Row],[Quantity]]*Table145131415161718192021[[#This Row],[Price]]</f>
        <v>350</v>
      </c>
      <c r="M20" s="19" t="str">
        <f>IF(Table145131415161718192021[[#This Row],[Sales]]&gt;800,"High",IF(Table145131415161718192021[[#This Row],[Sales]]&gt;=500,"Medium","Low"))</f>
        <v>Low</v>
      </c>
      <c r="N20" s="19" t="str" cm="1">
        <f t="array" ref="N20">_xlfn.IFS(AND(Table145131415161718192021[Status]="Delivered",Table145131415161718192021[Sales]&gt;500),"Valid",TRUE,"Check")</f>
        <v>Check</v>
      </c>
      <c r="O20" s="19" t="str">
        <f>LEFT(Table145131415161718192021[[#This Row],[Customer Info]],FIND("|",Table145131415161718192021[[#This Row],[Customer Info]])-2)</f>
        <v>Lavanya</v>
      </c>
      <c r="P20" s="20" t="str">
        <f>RIGHT(Table145131415161718192021[[#This Row],[Customer Info]],LEN(Table145131415161718192021[[#This Row],[Customer Info]])-FIND("|",Table145131415161718192021[[#This Row],[Customer Info]])-1)</f>
        <v>9011223344</v>
      </c>
      <c r="Q20" s="20" t="str">
        <f>TRIM(Table145131415161718192021[[#This Row],[Customer Info]])</f>
        <v>Lavanya | 9011223344</v>
      </c>
      <c r="R20" s="20" t="str">
        <f>UPPER(Table145131415161718192021[[#This Row],[Region]])</f>
        <v>US</v>
      </c>
      <c r="S20" s="20">
        <f>VALUE(SUBSTITUTE(Table145131415161718192021[[#This Row],[Quantity]],"pcs",""))</f>
        <v>7</v>
      </c>
    </row>
    <row r="21" spans="1:19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Table145131415161718192021[[#This Row],[Quantity]]*Table145131415161718192021[[#This Row],[Price]]</f>
        <v>30</v>
      </c>
      <c r="M21" s="19" t="str">
        <f>IF(Table145131415161718192021[[#This Row],[Sales]]&gt;800,"High",IF(Table145131415161718192021[[#This Row],[Sales]]&gt;=500,"Medium","Low"))</f>
        <v>Low</v>
      </c>
      <c r="N21" s="19" t="str" cm="1">
        <f t="array" ref="N21">_xlfn.IFS(AND(Table145131415161718192021[Status]="Delivered",Table145131415161718192021[Sales]&gt;500),"Valid",TRUE,"Check")</f>
        <v>Check</v>
      </c>
      <c r="O21" s="19" t="str">
        <f>LEFT(Table145131415161718192021[[#This Row],[Customer Info]],FIND("|",Table145131415161718192021[[#This Row],[Customer Info]])-2)</f>
        <v>Manoj</v>
      </c>
      <c r="P21" s="20" t="str">
        <f>RIGHT(Table145131415161718192021[[#This Row],[Customer Info]],LEN(Table145131415161718192021[[#This Row],[Customer Info]])-FIND("|",Table145131415161718192021[[#This Row],[Customer Info]])-1)</f>
        <v>9022334455</v>
      </c>
      <c r="Q21" s="20" t="str">
        <f>TRIM(Table145131415161718192021[[#This Row],[Customer Info]])</f>
        <v>Manoj | 9022334455</v>
      </c>
      <c r="R21" s="20" t="str">
        <f>UPPER(Table145131415161718192021[[#This Row],[Region]])</f>
        <v>UK</v>
      </c>
      <c r="S21" s="20">
        <f>VALUE(SUBSTITUTE(Table145131415161718192021[[#This Row],[Quantity]],"pcs",""))</f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2BD7-31A9-4F61-BCD8-8A0B95BCD7CE}">
  <dimension ref="A1:V21"/>
  <sheetViews>
    <sheetView topLeftCell="Q1" zoomScale="69" workbookViewId="0">
      <selection activeCell="T3" sqref="T3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Table14513141516171819202122[[#This Row],[Quantity]]*Table14513141516171819202122[[#This Row],[Price]]</f>
        <v>200</v>
      </c>
      <c r="M2" s="19" t="str">
        <f>IF(Table14513141516171819202122[[#This Row],[Sales]]&gt;800,"High",IF(Table14513141516171819202122[[#This Row],[Sales]]&gt;=500,"Medium","Low"))</f>
        <v>Low</v>
      </c>
      <c r="N2" s="19" t="str" cm="1">
        <f t="array" ref="N2">_xlfn.IFS(AND(Table14513141516171819202122[Status]="Delivered",Table14513141516171819202122[Sales]&gt;500),"Valid",TRUE,"Check")</f>
        <v>Check</v>
      </c>
      <c r="O2" s="19" t="str">
        <f>LEFT(Table14513141516171819202122[[#This Row],[Customer Info]],FIND("|",Table14513141516171819202122[[#This Row],[Customer Info]])-2)</f>
        <v>Arjun</v>
      </c>
      <c r="P2" s="20" t="str">
        <f>RIGHT(Table14513141516171819202122[[#This Row],[Customer Info]],LEN(Table14513141516171819202122[[#This Row],[Customer Info]])-FIND("|",Table14513141516171819202122[[#This Row],[Customer Info]])-1)</f>
        <v>9876543210</v>
      </c>
      <c r="Q2" s="20" t="str">
        <f>TRIM(Table14513141516171819202122[[#This Row],[Customer Info]])</f>
        <v>Arjun | 9876543210</v>
      </c>
      <c r="R2" s="20" t="str">
        <f>UPPER(Table14513141516171819202122[[#This Row],[Region]])</f>
        <v>INDIA</v>
      </c>
      <c r="S2" s="20">
        <f>VALUE(SUBSTITUTE(Table14513141516171819202122[[#This Row],[Quantity]],"pcs",""))</f>
        <v>10</v>
      </c>
      <c r="T2" s="20">
        <f>YEAR(Table14513141516171819202122[[#This Row],[Order Date]])</f>
        <v>2024</v>
      </c>
    </row>
    <row r="3" spans="1:22" ht="21.6" customHeight="1" thickBot="1" x14ac:dyDescent="0.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Table14513141516171819202122[[#This Row],[Quantity]]*Table14513141516171819202122[[#This Row],[Price]]</f>
        <v>250</v>
      </c>
      <c r="M3" s="19" t="str">
        <f>IF(Table14513141516171819202122[[#This Row],[Sales]]&gt;800,"High",IF(Table14513141516171819202122[[#This Row],[Sales]]&gt;=500,"Medium","Low"))</f>
        <v>Low</v>
      </c>
      <c r="N3" s="19" t="str" cm="1">
        <f t="array" ref="N3">_xlfn.IFS(AND(Table14513141516171819202122[Status]="Delivered",Table14513141516171819202122[Sales]&gt;500),"Valid",TRUE,"Check")</f>
        <v>Check</v>
      </c>
      <c r="O3" s="19" t="str">
        <f>LEFT(Table14513141516171819202122[[#This Row],[Customer Info]],FIND("|",Table14513141516171819202122[[#This Row],[Customer Info]])-2)</f>
        <v>Neha</v>
      </c>
      <c r="P3" s="20" t="str">
        <f>RIGHT(Table14513141516171819202122[[#This Row],[Customer Info]],LEN(Table14513141516171819202122[[#This Row],[Customer Info]])-FIND("|",Table14513141516171819202122[[#This Row],[Customer Info]])-1)</f>
        <v>9123456780</v>
      </c>
      <c r="Q3" s="20" t="str">
        <f>TRIM(Table14513141516171819202122[[#This Row],[Customer Info]])</f>
        <v>Neha | 9123456780</v>
      </c>
      <c r="R3" s="20" t="str">
        <f>UPPER(Table14513141516171819202122[[#This Row],[Region]])</f>
        <v>US</v>
      </c>
      <c r="S3" s="20">
        <f>VALUE(SUBSTITUTE(Table14513141516171819202122[[#This Row],[Quantity]],"pcs",""))</f>
        <v>5</v>
      </c>
      <c r="T3" s="20"/>
      <c r="U3" s="15"/>
      <c r="V3" s="15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Table14513141516171819202122[[#This Row],[Quantity]]*Table14513141516171819202122[[#This Row],[Price]]</f>
        <v>80</v>
      </c>
      <c r="M4" s="19" t="str">
        <f>IF(Table14513141516171819202122[[#This Row],[Sales]]&gt;800,"High",IF(Table14513141516171819202122[[#This Row],[Sales]]&gt;=500,"Medium","Low"))</f>
        <v>Low</v>
      </c>
      <c r="N4" s="19" t="str" cm="1">
        <f t="array" ref="N4">_xlfn.IFS(AND(Table14513141516171819202122[Status]="Delivered",Table14513141516171819202122[Sales]&gt;500),"Valid",TRUE,"Check")</f>
        <v>Check</v>
      </c>
      <c r="O4" s="19" t="str">
        <f>LEFT(Table14513141516171819202122[[#This Row],[Customer Info]],FIND("|",Table14513141516171819202122[[#This Row],[Customer Info]])-2)</f>
        <v>Rohit</v>
      </c>
      <c r="P4" s="20" t="str">
        <f>RIGHT(Table14513141516171819202122[[#This Row],[Customer Info]],LEN(Table14513141516171819202122[[#This Row],[Customer Info]])-FIND("|",Table14513141516171819202122[[#This Row],[Customer Info]])-1)</f>
        <v>9988776655</v>
      </c>
      <c r="Q4" s="20" t="str">
        <f>TRIM(Table14513141516171819202122[[#This Row],[Customer Info]])</f>
        <v>Rohit | 9988776655</v>
      </c>
      <c r="R4" s="20" t="str">
        <f>UPPER(Table14513141516171819202122[[#This Row],[Region]])</f>
        <v>UK</v>
      </c>
      <c r="S4" s="20">
        <f>VALUE(SUBSTITUTE(Table14513141516171819202122[[#This Row],[Quantity]],"pcs",""))</f>
        <v>8</v>
      </c>
      <c r="T4" s="20">
        <f>YEAR(Table14513141516171819202122[[#This Row],[Order Date]])</f>
        <v>2024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Table14513141516171819202122[[#This Row],[Quantity]]*Table14513141516171819202122[[#This Row],[Price]]</f>
        <v>45</v>
      </c>
      <c r="M5" s="19" t="str">
        <f>IF(Table14513141516171819202122[[#This Row],[Sales]]&gt;800,"High",IF(Table14513141516171819202122[[#This Row],[Sales]]&gt;=500,"Medium","Low"))</f>
        <v>Low</v>
      </c>
      <c r="N5" s="19" t="str" cm="1">
        <f t="array" ref="N5">_xlfn.IFS(AND(Table14513141516171819202122[Status]="Delivered",Table14513141516171819202122[Sales]&gt;500),"Valid",TRUE,"Check")</f>
        <v>Check</v>
      </c>
      <c r="O5" s="19" t="str">
        <f>LEFT(Table14513141516171819202122[[#This Row],[Customer Info]],FIND("|",Table14513141516171819202122[[#This Row],[Customer Info]])-2)</f>
        <v>Simran</v>
      </c>
      <c r="P5" s="20" t="str">
        <f>RIGHT(Table14513141516171819202122[[#This Row],[Customer Info]],LEN(Table14513141516171819202122[[#This Row],[Customer Info]])-FIND("|",Table14513141516171819202122[[#This Row],[Customer Info]])-1)</f>
        <v>9012345678</v>
      </c>
      <c r="Q5" s="20" t="str">
        <f>TRIM(Table14513141516171819202122[[#This Row],[Customer Info]])</f>
        <v>Simran | 9012345678</v>
      </c>
      <c r="R5" s="20" t="str">
        <f>UPPER(Table14513141516171819202122[[#This Row],[Region]])</f>
        <v>UAE</v>
      </c>
      <c r="S5" s="20">
        <f>VALUE(SUBSTITUTE(Table14513141516171819202122[[#This Row],[Quantity]],"pcs",""))</f>
        <v>3</v>
      </c>
      <c r="T5" s="20">
        <f>YEAR(Table14513141516171819202122[[#This Row],[Order Date]])</f>
        <v>2024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Table14513141516171819202122[[#This Row],[Quantity]]*Table14513141516171819202122[[#This Row],[Price]]</f>
        <v>120</v>
      </c>
      <c r="M6" s="19" t="str">
        <f>IF(Table14513141516171819202122[[#This Row],[Sales]]&gt;800,"High",IF(Table14513141516171819202122[[#This Row],[Sales]]&gt;=500,"Medium","Low"))</f>
        <v>Low</v>
      </c>
      <c r="N6" s="19" t="str" cm="1">
        <f t="array" ref="N6">_xlfn.IFS(AND(Table14513141516171819202122[Status]="Delivered",Table14513141516171819202122[Sales]&gt;500),"Valid",TRUE,"Check")</f>
        <v>Check</v>
      </c>
      <c r="O6" s="19" t="str">
        <f>LEFT(Table14513141516171819202122[[#This Row],[Customer Info]],FIND("|",Table14513141516171819202122[[#This Row],[Customer Info]])-2)</f>
        <v>Karan</v>
      </c>
      <c r="P6" s="20" t="str">
        <f>RIGHT(Table14513141516171819202122[[#This Row],[Customer Info]],LEN(Table14513141516171819202122[[#This Row],[Customer Info]])-FIND("|",Table14513141516171819202122[[#This Row],[Customer Info]])-1)</f>
        <v>9090909090</v>
      </c>
      <c r="Q6" s="20" t="str">
        <f>TRIM(Table14513141516171819202122[[#This Row],[Customer Info]])</f>
        <v>Karan | 9090909090</v>
      </c>
      <c r="R6" s="20" t="str">
        <f>UPPER(Table14513141516171819202122[[#This Row],[Region]])</f>
        <v>INDIA</v>
      </c>
      <c r="S6" s="20">
        <f>VALUE(SUBSTITUTE(Table14513141516171819202122[[#This Row],[Quantity]],"pcs",""))</f>
        <v>6</v>
      </c>
      <c r="T6" s="20">
        <f>YEAR(Table14513141516171819202122[[#This Row],[Order Date]])</f>
        <v>2024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Table14513141516171819202122[[#This Row],[Quantity]]*Table14513141516171819202122[[#This Row],[Price]]</f>
        <v>150</v>
      </c>
      <c r="M7" s="19" t="str">
        <f>IF(Table14513141516171819202122[[#This Row],[Sales]]&gt;800,"High",IF(Table14513141516171819202122[[#This Row],[Sales]]&gt;=500,"Medium","Low"))</f>
        <v>Low</v>
      </c>
      <c r="N7" s="19" t="str" cm="1">
        <f t="array" ref="N7">_xlfn.IFS(AND(Table14513141516171819202122[Status]="Delivered",Table14513141516171819202122[Sales]&gt;500),"Valid",TRUE,"Check")</f>
        <v>Check</v>
      </c>
      <c r="O7" s="19" t="str">
        <f>LEFT(Table14513141516171819202122[[#This Row],[Customer Info]],FIND("|",Table14513141516171819202122[[#This Row],[Customer Info]])-2)</f>
        <v>Riya</v>
      </c>
      <c r="P7" s="20" t="str">
        <f>RIGHT(Table14513141516171819202122[[#This Row],[Customer Info]],LEN(Table14513141516171819202122[[#This Row],[Customer Info]])-FIND("|",Table14513141516171819202122[[#This Row],[Customer Info]])-1)</f>
        <v>9345678901</v>
      </c>
      <c r="Q7" s="20" t="str">
        <f>TRIM(Table14513141516171819202122[[#This Row],[Customer Info]])</f>
        <v>Riya | 9345678901</v>
      </c>
      <c r="R7" s="20" t="str">
        <f>UPPER(Table14513141516171819202122[[#This Row],[Region]])</f>
        <v>US</v>
      </c>
      <c r="S7" s="20">
        <f>VALUE(SUBSTITUTE(Table14513141516171819202122[[#This Row],[Quantity]],"pcs",""))</f>
        <v>3</v>
      </c>
      <c r="T7" s="20">
        <f>YEAR(Table14513141516171819202122[[#This Row],[Order Date]])</f>
        <v>2024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Table14513141516171819202122[[#This Row],[Quantity]]*Table14513141516171819202122[[#This Row],[Price]]</f>
        <v>20</v>
      </c>
      <c r="M8" s="19" t="str">
        <f>IF(Table14513141516171819202122[[#This Row],[Sales]]&gt;800,"High",IF(Table14513141516171819202122[[#This Row],[Sales]]&gt;=500,"Medium","Low"))</f>
        <v>Low</v>
      </c>
      <c r="N8" s="19" t="str" cm="1">
        <f t="array" ref="N8">_xlfn.IFS(AND(Table14513141516171819202122[Status]="Delivered",Table14513141516171819202122[Sales]&gt;500),"Valid",TRUE,"Check")</f>
        <v>Check</v>
      </c>
      <c r="O8" s="19" t="str">
        <f>LEFT(Table14513141516171819202122[[#This Row],[Customer Info]],FIND("|",Table14513141516171819202122[[#This Row],[Customer Info]])-2)</f>
        <v>Amit</v>
      </c>
      <c r="P8" s="20" t="str">
        <f>RIGHT(Table14513141516171819202122[[#This Row],[Customer Info]],LEN(Table14513141516171819202122[[#This Row],[Customer Info]])-FIND("|",Table14513141516171819202122[[#This Row],[Customer Info]])-1)</f>
        <v>9234567890</v>
      </c>
      <c r="Q8" s="20" t="str">
        <f>TRIM(Table14513141516171819202122[[#This Row],[Customer Info]])</f>
        <v>Amit | 9234567890</v>
      </c>
      <c r="R8" s="20" t="str">
        <f>UPPER(Table14513141516171819202122[[#This Row],[Region]])</f>
        <v>INDIA</v>
      </c>
      <c r="S8" s="20">
        <f>VALUE(SUBSTITUTE(Table14513141516171819202122[[#This Row],[Quantity]],"pcs",""))</f>
        <v>2</v>
      </c>
      <c r="T8" s="20"/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Table14513141516171819202122[[#This Row],[Quantity]]*Table14513141516171819202122[[#This Row],[Price]]</f>
        <v>0</v>
      </c>
      <c r="M9" s="19" t="str">
        <f>IF(Table14513141516171819202122[[#This Row],[Sales]]&gt;800,"High",IF(Table14513141516171819202122[[#This Row],[Sales]]&gt;=500,"Medium","Low"))</f>
        <v>Low</v>
      </c>
      <c r="N9" s="19" t="str" cm="1">
        <f t="array" ref="N9">_xlfn.IFS(AND(Table14513141516171819202122[Status]="Delivered",Table14513141516171819202122[Sales]&gt;500),"Valid",TRUE,"Check")</f>
        <v>Check</v>
      </c>
      <c r="O9" s="19" t="str">
        <f>LEFT(Table14513141516171819202122[[#This Row],[Customer Info]],FIND("|",Table14513141516171819202122[[#This Row],[Customer Info]])-2)</f>
        <v>Sara</v>
      </c>
      <c r="P9" s="20" t="str">
        <f>RIGHT(Table14513141516171819202122[[#This Row],[Customer Info]],LEN(Table14513141516171819202122[[#This Row],[Customer Info]])-FIND("|",Table14513141516171819202122[[#This Row],[Customer Info]])-1)</f>
        <v>9876501234</v>
      </c>
      <c r="Q9" s="20" t="str">
        <f>TRIM(Table14513141516171819202122[[#This Row],[Customer Info]])</f>
        <v>Sara | 9876501234</v>
      </c>
      <c r="R9" s="20" t="str">
        <f>UPPER(Table14513141516171819202122[[#This Row],[Region]])</f>
        <v>UK</v>
      </c>
      <c r="S9" s="20">
        <f>VALUE(SUBSTITUTE(Table14513141516171819202122[[#This Row],[Quantity]],"pcs",""))</f>
        <v>0</v>
      </c>
      <c r="T9" s="20">
        <f>YEAR(Table14513141516171819202122[[#This Row],[Order Date]])</f>
        <v>2024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Table14513141516171819202122[[#This Row],[Quantity]]*Table14513141516171819202122[[#This Row],[Price]]</f>
        <v>160</v>
      </c>
      <c r="M10" s="19" t="str">
        <f>IF(Table14513141516171819202122[[#This Row],[Sales]]&gt;800,"High",IF(Table14513141516171819202122[[#This Row],[Sales]]&gt;=500,"Medium","Low"))</f>
        <v>Low</v>
      </c>
      <c r="N10" s="19" t="str" cm="1">
        <f t="array" ref="N10">_xlfn.IFS(AND(Table14513141516171819202122[Status]="Delivered",Table14513141516171819202122[Sales]&gt;500),"Valid",TRUE,"Check")</f>
        <v>Check</v>
      </c>
      <c r="O10" s="19" t="str">
        <f>LEFT(Table14513141516171819202122[[#This Row],[Customer Info]],FIND("|",Table14513141516171819202122[[#This Row],[Customer Info]])-2)</f>
        <v>John</v>
      </c>
      <c r="P10" s="20" t="str">
        <f>RIGHT(Table14513141516171819202122[[#This Row],[Customer Info]],LEN(Table14513141516171819202122[[#This Row],[Customer Info]])-FIND("|",Table14513141516171819202122[[#This Row],[Customer Info]])-1)</f>
        <v>9988001122</v>
      </c>
      <c r="Q10" s="20" t="str">
        <f>TRIM(Table14513141516171819202122[[#This Row],[Customer Info]])</f>
        <v>John | 9988001122</v>
      </c>
      <c r="R10" s="20" t="str">
        <f>UPPER(Table14513141516171819202122[[#This Row],[Region]])</f>
        <v>UK</v>
      </c>
      <c r="S10" s="20">
        <f>VALUE(SUBSTITUTE(Table14513141516171819202122[[#This Row],[Quantity]],"pcs",""))</f>
        <v>8</v>
      </c>
      <c r="T10" s="20">
        <f>YEAR(Table14513141516171819202122[[#This Row],[Order Date]])</f>
        <v>2024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Table14513141516171819202122[[#This Row],[Quantity]]*Table14513141516171819202122[[#This Row],[Price]]</f>
        <v>300</v>
      </c>
      <c r="M11" s="19" t="str">
        <f>IF(Table14513141516171819202122[[#This Row],[Sales]]&gt;800,"High",IF(Table14513141516171819202122[[#This Row],[Sales]]&gt;=500,"Medium","Low"))</f>
        <v>Low</v>
      </c>
      <c r="N11" s="19" t="str" cm="1">
        <f t="array" ref="N11">_xlfn.IFS(AND(Table14513141516171819202122[Status]="Delivered",Table14513141516171819202122[Sales]&gt;500),"Valid",TRUE,"Check")</f>
        <v>Check</v>
      </c>
      <c r="O11" s="19" t="str">
        <f>LEFT(Table14513141516171819202122[[#This Row],[Customer Info]],FIND("|",Table14513141516171819202122[[#This Row],[Customer Info]])-2)</f>
        <v>Meena</v>
      </c>
      <c r="P11" s="20" t="str">
        <f>RIGHT(Table14513141516171819202122[[#This Row],[Customer Info]],LEN(Table14513141516171819202122[[#This Row],[Customer Info]])-FIND("|",Table14513141516171819202122[[#This Row],[Customer Info]])-1)</f>
        <v>9765432109</v>
      </c>
      <c r="Q11" s="20" t="str">
        <f>TRIM(Table14513141516171819202122[[#This Row],[Customer Info]])</f>
        <v>Meena | 9765432109</v>
      </c>
      <c r="R11" s="20" t="str">
        <f>UPPER(Table14513141516171819202122[[#This Row],[Region]])</f>
        <v>INDIA</v>
      </c>
      <c r="S11" s="20">
        <f>VALUE(SUBSTITUTE(Table14513141516171819202122[[#This Row],[Quantity]],"pcs",""))</f>
        <v>6</v>
      </c>
      <c r="T11" s="20">
        <f>YEAR(Table14513141516171819202122[[#This Row],[Order Date]])</f>
        <v>2024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Table14513141516171819202122[[#This Row],[Quantity]]*Table14513141516171819202122[[#This Row],[Price]]</f>
        <v>100</v>
      </c>
      <c r="M12" s="19" t="str">
        <f>IF(Table14513141516171819202122[[#This Row],[Sales]]&gt;800,"High",IF(Table14513141516171819202122[[#This Row],[Sales]]&gt;=500,"Medium","Low"))</f>
        <v>Low</v>
      </c>
      <c r="N12" s="19" t="str" cm="1">
        <f t="array" ref="N12">_xlfn.IFS(AND(Table14513141516171819202122[Status]="Delivered",Table14513141516171819202122[Sales]&gt;500),"Valid",TRUE,"Check")</f>
        <v>Check</v>
      </c>
      <c r="O12" s="19" t="str">
        <f>LEFT(Table14513141516171819202122[[#This Row],[Customer Info]],FIND("|",Table14513141516171819202122[[#This Row],[Customer Info]])-2)</f>
        <v>Vikram</v>
      </c>
      <c r="P12" s="20" t="str">
        <f>RIGHT(Table14513141516171819202122[[#This Row],[Customer Info]],LEN(Table14513141516171819202122[[#This Row],[Customer Info]])-FIND("|",Table14513141516171819202122[[#This Row],[Customer Info]])-1)</f>
        <v>9123001122</v>
      </c>
      <c r="Q12" s="20" t="str">
        <f>TRIM(Table14513141516171819202122[[#This Row],[Customer Info]])</f>
        <v>Vikram | 9123001122</v>
      </c>
      <c r="R12" s="20" t="str">
        <f>UPPER(Table14513141516171819202122[[#This Row],[Region]])</f>
        <v>INDIA</v>
      </c>
      <c r="S12" s="20">
        <f>VALUE(SUBSTITUTE(Table14513141516171819202122[[#This Row],[Quantity]],"pcs",""))</f>
        <v>5</v>
      </c>
      <c r="T12" s="20">
        <f>YEAR(Table14513141516171819202122[[#This Row],[Order Date]])</f>
        <v>2024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Table14513141516171819202122[[#This Row],[Quantity]]*Table14513141516171819202122[[#This Row],[Price]]</f>
        <v>100</v>
      </c>
      <c r="M13" s="19" t="str">
        <f>IF(Table14513141516171819202122[[#This Row],[Sales]]&gt;800,"High",IF(Table14513141516171819202122[[#This Row],[Sales]]&gt;=500,"Medium","Low"))</f>
        <v>Low</v>
      </c>
      <c r="N13" s="19" t="str" cm="1">
        <f t="array" ref="N13">_xlfn.IFS(AND(Table14513141516171819202122[Status]="Delivered",Table14513141516171819202122[Sales]&gt;500),"Valid",TRUE,"Check")</f>
        <v>Check</v>
      </c>
      <c r="O13" s="19" t="str">
        <f>LEFT(Table14513141516171819202122[[#This Row],[Customer Info]],FIND("|",Table14513141516171819202122[[#This Row],[Customer Info]])-2)</f>
        <v>Pooja</v>
      </c>
      <c r="P13" s="20" t="str">
        <f>RIGHT(Table14513141516171819202122[[#This Row],[Customer Info]],LEN(Table14513141516171819202122[[#This Row],[Customer Info]])-FIND("|",Table14513141516171819202122[[#This Row],[Customer Info]])-1)</f>
        <v>9345001123</v>
      </c>
      <c r="Q13" s="20" t="str">
        <f>TRIM(Table14513141516171819202122[[#This Row],[Customer Info]])</f>
        <v>Pooja | 9345001123</v>
      </c>
      <c r="R13" s="20" t="str">
        <f>UPPER(Table14513141516171819202122[[#This Row],[Region]])</f>
        <v>US</v>
      </c>
      <c r="S13" s="20">
        <f>VALUE(SUBSTITUTE(Table14513141516171819202122[[#This Row],[Quantity]],"pcs",""))</f>
        <v>2</v>
      </c>
      <c r="T13" s="20">
        <f>YEAR(Table14513141516171819202122[[#This Row],[Order Date]])</f>
        <v>2024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Table14513141516171819202122[[#This Row],[Quantity]]*Table14513141516171819202122[[#This Row],[Price]]</f>
        <v>45</v>
      </c>
      <c r="M14" s="19" t="str">
        <f>IF(Table14513141516171819202122[[#This Row],[Sales]]&gt;800,"High",IF(Table14513141516171819202122[[#This Row],[Sales]]&gt;=500,"Medium","Low"))</f>
        <v>Low</v>
      </c>
      <c r="N14" s="19" t="str" cm="1">
        <f t="array" ref="N14">_xlfn.IFS(AND(Table14513141516171819202122[Status]="Delivered",Table14513141516171819202122[Sales]&gt;500),"Valid",TRUE,"Check")</f>
        <v>Check</v>
      </c>
      <c r="O14" s="19" t="str">
        <f>LEFT(Table14513141516171819202122[[#This Row],[Customer Info]],FIND("|",Table14513141516171819202122[[#This Row],[Customer Info]])-2)</f>
        <v>Kiran</v>
      </c>
      <c r="P14" s="20" t="str">
        <f>RIGHT(Table14513141516171819202122[[#This Row],[Customer Info]],LEN(Table14513141516171819202122[[#This Row],[Customer Info]])-FIND("|",Table14513141516171819202122[[#This Row],[Customer Info]])-1)</f>
        <v>9000011122</v>
      </c>
      <c r="Q14" s="20" t="str">
        <f>TRIM(Table14513141516171819202122[[#This Row],[Customer Info]])</f>
        <v>Kiran | 9000011122</v>
      </c>
      <c r="R14" s="20" t="str">
        <f>UPPER(Table14513141516171819202122[[#This Row],[Region]])</f>
        <v>UAE</v>
      </c>
      <c r="S14" s="20">
        <f>VALUE(SUBSTITUTE(Table14513141516171819202122[[#This Row],[Quantity]],"pcs",""))</f>
        <v>3</v>
      </c>
      <c r="T14" s="20">
        <f>YEAR(Table14513141516171819202122[[#This Row],[Order Date]])</f>
        <v>2024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Table14513141516171819202122[[#This Row],[Quantity]]*Table14513141516171819202122[[#This Row],[Price]]</f>
        <v>10</v>
      </c>
      <c r="M15" s="19" t="str">
        <f>IF(Table14513141516171819202122[[#This Row],[Sales]]&gt;800,"High",IF(Table14513141516171819202122[[#This Row],[Sales]]&gt;=500,"Medium","Low"))</f>
        <v>Low</v>
      </c>
      <c r="N15" s="19" t="str" cm="1">
        <f t="array" ref="N15">_xlfn.IFS(AND(Table14513141516171819202122[Status]="Delivered",Table14513141516171819202122[Sales]&gt;500),"Valid",TRUE,"Check")</f>
        <v>Check</v>
      </c>
      <c r="O15" s="19" t="str">
        <f>LEFT(Table14513141516171819202122[[#This Row],[Customer Info]],FIND("|",Table14513141516171819202122[[#This Row],[Customer Info]])-2)</f>
        <v>Anil</v>
      </c>
      <c r="P15" s="20" t="str">
        <f>RIGHT(Table14513141516171819202122[[#This Row],[Customer Info]],LEN(Table14513141516171819202122[[#This Row],[Customer Info]])-FIND("|",Table14513141516171819202122[[#This Row],[Customer Info]])-1)</f>
        <v>9888800011</v>
      </c>
      <c r="Q15" s="20" t="str">
        <f>TRIM(Table14513141516171819202122[[#This Row],[Customer Info]])</f>
        <v>Anil | 9888800011</v>
      </c>
      <c r="R15" s="20" t="str">
        <f>UPPER(Table14513141516171819202122[[#This Row],[Region]])</f>
        <v>INDIA</v>
      </c>
      <c r="S15" s="20">
        <f>VALUE(SUBSTITUTE(Table14513141516171819202122[[#This Row],[Quantity]],"pcs",""))</f>
        <v>1</v>
      </c>
      <c r="T15" s="20">
        <f>YEAR(Table14513141516171819202122[[#This Row],[Order Date]])</f>
        <v>2024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Table14513141516171819202122[[#This Row],[Quantity]]*Table14513141516171819202122[[#This Row],[Price]]</f>
        <v>200</v>
      </c>
      <c r="M16" s="19" t="str">
        <f>IF(Table14513141516171819202122[[#This Row],[Sales]]&gt;800,"High",IF(Table14513141516171819202122[[#This Row],[Sales]]&gt;=500,"Medium","Low"))</f>
        <v>Low</v>
      </c>
      <c r="N16" s="19" t="str" cm="1">
        <f t="array" ref="N16">_xlfn.IFS(AND(Table14513141516171819202122[Status]="Delivered",Table14513141516171819202122[Sales]&gt;500),"Valid",TRUE,"Check")</f>
        <v>Check</v>
      </c>
      <c r="O16" s="19" t="str">
        <f>LEFT(Table14513141516171819202122[[#This Row],[Customer Info]],FIND("|",Table14513141516171819202122[[#This Row],[Customer Info]])-2)</f>
        <v>Divya</v>
      </c>
      <c r="P16" s="20" t="str">
        <f>RIGHT(Table14513141516171819202122[[#This Row],[Customer Info]],LEN(Table14513141516171819202122[[#This Row],[Customer Info]])-FIND("|",Table14513141516171819202122[[#This Row],[Customer Info]])-1)</f>
        <v>9777700011</v>
      </c>
      <c r="Q16" s="20" t="str">
        <f>TRIM(Table14513141516171819202122[[#This Row],[Customer Info]])</f>
        <v>Divya | 9777700011</v>
      </c>
      <c r="R16" s="20" t="str">
        <f>UPPER(Table14513141516171819202122[[#This Row],[Region]])</f>
        <v>UK</v>
      </c>
      <c r="S16" s="20">
        <f>VALUE(SUBSTITUTE(Table14513141516171819202122[[#This Row],[Quantity]],"pcs",""))</f>
        <v>4</v>
      </c>
      <c r="T16" s="20">
        <f>YEAR(Table14513141516171819202122[[#This Row],[Order Date]])</f>
        <v>2024</v>
      </c>
    </row>
    <row r="17" spans="1:20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Table14513141516171819202122[[#This Row],[Quantity]]*Table14513141516171819202122[[#This Row],[Price]]</f>
        <v>140</v>
      </c>
      <c r="M17" s="19" t="str">
        <f>IF(Table14513141516171819202122[[#This Row],[Sales]]&gt;800,"High",IF(Table14513141516171819202122[[#This Row],[Sales]]&gt;=500,"Medium","Low"))</f>
        <v>Low</v>
      </c>
      <c r="N17" s="19" t="str" cm="1">
        <f t="array" ref="N17">_xlfn.IFS(AND(Table14513141516171819202122[Status]="Delivered",Table14513141516171819202122[Sales]&gt;500),"Valid",TRUE,"Check")</f>
        <v>Check</v>
      </c>
      <c r="O17" s="19" t="str">
        <f>LEFT(Table14513141516171819202122[[#This Row],[Customer Info]],FIND("|",Table14513141516171819202122[[#This Row],[Customer Info]])-2)</f>
        <v>Rahul</v>
      </c>
      <c r="P17" s="20" t="str">
        <f>RIGHT(Table14513141516171819202122[[#This Row],[Customer Info]],LEN(Table14513141516171819202122[[#This Row],[Customer Info]])-FIND("|",Table14513141516171819202122[[#This Row],[Customer Info]])-1)</f>
        <v>9666600011</v>
      </c>
      <c r="Q17" s="20" t="str">
        <f>TRIM(Table14513141516171819202122[[#This Row],[Customer Info]])</f>
        <v>Rahul | 9666600011</v>
      </c>
      <c r="R17" s="20" t="str">
        <f>UPPER(Table14513141516171819202122[[#This Row],[Region]])</f>
        <v>INDIA</v>
      </c>
      <c r="S17" s="20">
        <f>VALUE(SUBSTITUTE(Table14513141516171819202122[[#This Row],[Quantity]],"pcs",""))</f>
        <v>7</v>
      </c>
      <c r="T17" s="20">
        <f>YEAR(Table14513141516171819202122[[#This Row],[Order Date]])</f>
        <v>2024</v>
      </c>
    </row>
    <row r="18" spans="1:20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Table14513141516171819202122[[#This Row],[Quantity]]*Table14513141516171819202122[[#This Row],[Price]]</f>
        <v>30</v>
      </c>
      <c r="M18" s="19" t="str">
        <f>IF(Table14513141516171819202122[[#This Row],[Sales]]&gt;800,"High",IF(Table14513141516171819202122[[#This Row],[Sales]]&gt;=500,"Medium","Low"))</f>
        <v>Low</v>
      </c>
      <c r="N18" s="19" t="str" cm="1">
        <f t="array" ref="N18">_xlfn.IFS(AND(Table14513141516171819202122[Status]="Delivered",Table14513141516171819202122[Sales]&gt;500),"Valid",TRUE,"Check")</f>
        <v>Check</v>
      </c>
      <c r="O18" s="19" t="str">
        <f>LEFT(Table14513141516171819202122[[#This Row],[Customer Info]],FIND("|",Table14513141516171819202122[[#This Row],[Customer Info]])-2)</f>
        <v>Sneha</v>
      </c>
      <c r="P18" s="20" t="str">
        <f>RIGHT(Table14513141516171819202122[[#This Row],[Customer Info]],LEN(Table14513141516171819202122[[#This Row],[Customer Info]])-FIND("|",Table14513141516171819202122[[#This Row],[Customer Info]])-1)</f>
        <v>9555500011</v>
      </c>
      <c r="Q18" s="20" t="str">
        <f>TRIM(Table14513141516171819202122[[#This Row],[Customer Info]])</f>
        <v>Sneha | 9555500011</v>
      </c>
      <c r="R18" s="20" t="str">
        <f>UPPER(Table14513141516171819202122[[#This Row],[Region]])</f>
        <v>UAE</v>
      </c>
      <c r="S18" s="20">
        <f>VALUE(SUBSTITUTE(Table14513141516171819202122[[#This Row],[Quantity]],"pcs",""))</f>
        <v>2</v>
      </c>
      <c r="T18" s="20">
        <f>YEAR(Table14513141516171819202122[[#This Row],[Order Date]])</f>
        <v>2024</v>
      </c>
    </row>
    <row r="19" spans="1:20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Table14513141516171819202122[[#This Row],[Quantity]]*Table14513141516171819202122[[#This Row],[Price]]</f>
        <v>120</v>
      </c>
      <c r="M19" s="19" t="str">
        <f>IF(Table14513141516171819202122[[#This Row],[Sales]]&gt;800,"High",IF(Table14513141516171819202122[[#This Row],[Sales]]&gt;=500,"Medium","Low"))</f>
        <v>Low</v>
      </c>
      <c r="N19" s="19" t="str" cm="1">
        <f t="array" ref="N19">_xlfn.IFS(AND(Table14513141516171819202122[Status]="Delivered",Table14513141516171819202122[Sales]&gt;500),"Valid",TRUE,"Check")</f>
        <v>Check</v>
      </c>
      <c r="O19" s="19" t="str">
        <f>LEFT(Table14513141516171819202122[[#This Row],[Customer Info]],FIND("|",Table14513141516171819202122[[#This Row],[Customer Info]])-2)</f>
        <v>Karthik</v>
      </c>
      <c r="P19" s="20" t="str">
        <f>RIGHT(Table14513141516171819202122[[#This Row],[Customer Info]],LEN(Table14513141516171819202122[[#This Row],[Customer Info]])-FIND("|",Table14513141516171819202122[[#This Row],[Customer Info]])-1)</f>
        <v>9001122334</v>
      </c>
      <c r="Q19" s="20" t="str">
        <f>TRIM(Table14513141516171819202122[[#This Row],[Customer Info]])</f>
        <v>Karthik | 9001122334</v>
      </c>
      <c r="R19" s="20" t="str">
        <f>UPPER(Table14513141516171819202122[[#This Row],[Region]])</f>
        <v>INDIA</v>
      </c>
      <c r="S19" s="20">
        <f>VALUE(SUBSTITUTE(Table14513141516171819202122[[#This Row],[Quantity]],"pcs",""))</f>
        <v>6</v>
      </c>
      <c r="T19" s="20">
        <f>YEAR(Table14513141516171819202122[[#This Row],[Order Date]])</f>
        <v>2024</v>
      </c>
    </row>
    <row r="20" spans="1:20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Table14513141516171819202122[[#This Row],[Quantity]]*Table14513141516171819202122[[#This Row],[Price]]</f>
        <v>350</v>
      </c>
      <c r="M20" s="19" t="str">
        <f>IF(Table14513141516171819202122[[#This Row],[Sales]]&gt;800,"High",IF(Table14513141516171819202122[[#This Row],[Sales]]&gt;=500,"Medium","Low"))</f>
        <v>Low</v>
      </c>
      <c r="N20" s="19" t="str" cm="1">
        <f t="array" ref="N20">_xlfn.IFS(AND(Table14513141516171819202122[Status]="Delivered",Table14513141516171819202122[Sales]&gt;500),"Valid",TRUE,"Check")</f>
        <v>Check</v>
      </c>
      <c r="O20" s="19" t="str">
        <f>LEFT(Table14513141516171819202122[[#This Row],[Customer Info]],FIND("|",Table14513141516171819202122[[#This Row],[Customer Info]])-2)</f>
        <v>Lavanya</v>
      </c>
      <c r="P20" s="20" t="str">
        <f>RIGHT(Table14513141516171819202122[[#This Row],[Customer Info]],LEN(Table14513141516171819202122[[#This Row],[Customer Info]])-FIND("|",Table14513141516171819202122[[#This Row],[Customer Info]])-1)</f>
        <v>9011223344</v>
      </c>
      <c r="Q20" s="20" t="str">
        <f>TRIM(Table14513141516171819202122[[#This Row],[Customer Info]])</f>
        <v>Lavanya | 9011223344</v>
      </c>
      <c r="R20" s="20" t="str">
        <f>UPPER(Table14513141516171819202122[[#This Row],[Region]])</f>
        <v>US</v>
      </c>
      <c r="S20" s="20">
        <f>VALUE(SUBSTITUTE(Table14513141516171819202122[[#This Row],[Quantity]],"pcs",""))</f>
        <v>7</v>
      </c>
      <c r="T20" s="20">
        <f>YEAR(Table14513141516171819202122[[#This Row],[Order Date]])</f>
        <v>2024</v>
      </c>
    </row>
    <row r="21" spans="1:20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Table14513141516171819202122[[#This Row],[Quantity]]*Table14513141516171819202122[[#This Row],[Price]]</f>
        <v>30</v>
      </c>
      <c r="M21" s="19" t="str">
        <f>IF(Table14513141516171819202122[[#This Row],[Sales]]&gt;800,"High",IF(Table14513141516171819202122[[#This Row],[Sales]]&gt;=500,"Medium","Low"))</f>
        <v>Low</v>
      </c>
      <c r="N21" s="19" t="str" cm="1">
        <f t="array" ref="N21">_xlfn.IFS(AND(Table14513141516171819202122[Status]="Delivered",Table14513141516171819202122[Sales]&gt;500),"Valid",TRUE,"Check")</f>
        <v>Check</v>
      </c>
      <c r="O21" s="19" t="str">
        <f>LEFT(Table14513141516171819202122[[#This Row],[Customer Info]],FIND("|",Table14513141516171819202122[[#This Row],[Customer Info]])-2)</f>
        <v>Manoj</v>
      </c>
      <c r="P21" s="20" t="str">
        <f>RIGHT(Table14513141516171819202122[[#This Row],[Customer Info]],LEN(Table14513141516171819202122[[#This Row],[Customer Info]])-FIND("|",Table14513141516171819202122[[#This Row],[Customer Info]])-1)</f>
        <v>9022334455</v>
      </c>
      <c r="Q21" s="20" t="str">
        <f>TRIM(Table14513141516171819202122[[#This Row],[Customer Info]])</f>
        <v>Manoj | 9022334455</v>
      </c>
      <c r="R21" s="20" t="str">
        <f>UPPER(Table14513141516171819202122[[#This Row],[Region]])</f>
        <v>UK</v>
      </c>
      <c r="S21" s="20">
        <f>VALUE(SUBSTITUTE(Table14513141516171819202122[[#This Row],[Quantity]],"pcs",""))</f>
        <v>3</v>
      </c>
      <c r="T21" s="20"/>
    </row>
  </sheetData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CB94-9909-4B87-8B45-9CC024F7FFE1}">
  <dimension ref="A1:V21"/>
  <sheetViews>
    <sheetView topLeftCell="C1" zoomScale="69" workbookViewId="0">
      <selection activeCell="V21" sqref="V21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</cols>
  <sheetData>
    <row r="1" spans="1:22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</row>
    <row r="2" spans="1:22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Table1451314151617181920212223[[#This Row],[Quantity]]*Table1451314151617181920212223[[#This Row],[Price]]</f>
        <v>200</v>
      </c>
      <c r="M2" s="19" t="str">
        <f>IF(Table1451314151617181920212223[[#This Row],[Sales]]&gt;800,"High",IF(Table1451314151617181920212223[[#This Row],[Sales]]&gt;=500,"Medium","Low"))</f>
        <v>Low</v>
      </c>
      <c r="N2" s="19" t="str" cm="1">
        <f t="array" ref="N2">_xlfn.IFS(AND(Table1451314151617181920212223[Status]="Delivered",Table1451314151617181920212223[Sales]&gt;500),"Valid",TRUE,"Check")</f>
        <v>Check</v>
      </c>
      <c r="O2" s="19" t="str">
        <f>LEFT(Table1451314151617181920212223[[#This Row],[Customer Info]],FIND("|",Table1451314151617181920212223[[#This Row],[Customer Info]])-2)</f>
        <v>Arjun</v>
      </c>
      <c r="P2" s="20" t="str">
        <f>RIGHT(Table1451314151617181920212223[[#This Row],[Customer Info]],LEN(Table1451314151617181920212223[[#This Row],[Customer Info]])-FIND("|",Table1451314151617181920212223[[#This Row],[Customer Info]])-1)</f>
        <v>9876543210</v>
      </c>
      <c r="Q2" s="20" t="str">
        <f>TRIM(Table1451314151617181920212223[[#This Row],[Customer Info]])</f>
        <v>Arjun | 9876543210</v>
      </c>
      <c r="R2" s="20" t="str">
        <f>UPPER(Table1451314151617181920212223[[#This Row],[Region]])</f>
        <v>INDIA</v>
      </c>
      <c r="S2" s="20">
        <f>VALUE(SUBSTITUTE(Table1451314151617181920212223[[#This Row],[Quantity]],"pcs",""))</f>
        <v>10</v>
      </c>
      <c r="T2" s="20">
        <f>YEAR(Table1451314151617181920212223[[#This Row],[Order Date]])</f>
        <v>2024</v>
      </c>
      <c r="U2" s="20">
        <f>MONTH(Table1451314151617181920212223[[#This Row],[Order Date]])</f>
        <v>4</v>
      </c>
      <c r="V2" s="20" t="str">
        <f>TEXT(Table1451314151617181920212223[[#This Row],[Order Date]],"mmm")</f>
        <v>Apr</v>
      </c>
    </row>
    <row r="3" spans="1:22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Table1451314151617181920212223[[#This Row],[Quantity]]*Table1451314151617181920212223[[#This Row],[Price]]</f>
        <v>250</v>
      </c>
      <c r="M3" s="19" t="str">
        <f>IF(Table1451314151617181920212223[[#This Row],[Sales]]&gt;800,"High",IF(Table1451314151617181920212223[[#This Row],[Sales]]&gt;=500,"Medium","Low"))</f>
        <v>Low</v>
      </c>
      <c r="N3" s="19" t="str" cm="1">
        <f t="array" ref="N3">_xlfn.IFS(AND(Table1451314151617181920212223[Status]="Delivered",Table1451314151617181920212223[Sales]&gt;500),"Valid",TRUE,"Check")</f>
        <v>Check</v>
      </c>
      <c r="O3" s="19" t="str">
        <f>LEFT(Table1451314151617181920212223[[#This Row],[Customer Info]],FIND("|",Table1451314151617181920212223[[#This Row],[Customer Info]])-2)</f>
        <v>Neha</v>
      </c>
      <c r="P3" s="20" t="str">
        <f>RIGHT(Table1451314151617181920212223[[#This Row],[Customer Info]],LEN(Table1451314151617181920212223[[#This Row],[Customer Info]])-FIND("|",Table1451314151617181920212223[[#This Row],[Customer Info]])-1)</f>
        <v>9123456780</v>
      </c>
      <c r="Q3" s="20" t="str">
        <f>TRIM(Table1451314151617181920212223[[#This Row],[Customer Info]])</f>
        <v>Neha | 9123456780</v>
      </c>
      <c r="R3" s="20" t="str">
        <f>UPPER(Table1451314151617181920212223[[#This Row],[Region]])</f>
        <v>US</v>
      </c>
      <c r="S3" s="20">
        <f>VALUE(SUBSTITUTE(Table1451314151617181920212223[[#This Row],[Quantity]],"pcs",""))</f>
        <v>5</v>
      </c>
      <c r="T3" s="20"/>
      <c r="U3" s="20"/>
      <c r="V3" s="20"/>
    </row>
    <row r="4" spans="1:22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Table1451314151617181920212223[[#This Row],[Quantity]]*Table1451314151617181920212223[[#This Row],[Price]]</f>
        <v>80</v>
      </c>
      <c r="M4" s="19" t="str">
        <f>IF(Table1451314151617181920212223[[#This Row],[Sales]]&gt;800,"High",IF(Table1451314151617181920212223[[#This Row],[Sales]]&gt;=500,"Medium","Low"))</f>
        <v>Low</v>
      </c>
      <c r="N4" s="19" t="str" cm="1">
        <f t="array" ref="N4">_xlfn.IFS(AND(Table1451314151617181920212223[Status]="Delivered",Table1451314151617181920212223[Sales]&gt;500),"Valid",TRUE,"Check")</f>
        <v>Check</v>
      </c>
      <c r="O4" s="19" t="str">
        <f>LEFT(Table1451314151617181920212223[[#This Row],[Customer Info]],FIND("|",Table1451314151617181920212223[[#This Row],[Customer Info]])-2)</f>
        <v>Rohit</v>
      </c>
      <c r="P4" s="20" t="str">
        <f>RIGHT(Table1451314151617181920212223[[#This Row],[Customer Info]],LEN(Table1451314151617181920212223[[#This Row],[Customer Info]])-FIND("|",Table1451314151617181920212223[[#This Row],[Customer Info]])-1)</f>
        <v>9988776655</v>
      </c>
      <c r="Q4" s="20" t="str">
        <f>TRIM(Table1451314151617181920212223[[#This Row],[Customer Info]])</f>
        <v>Rohit | 9988776655</v>
      </c>
      <c r="R4" s="20" t="str">
        <f>UPPER(Table1451314151617181920212223[[#This Row],[Region]])</f>
        <v>UK</v>
      </c>
      <c r="S4" s="20">
        <f>VALUE(SUBSTITUTE(Table1451314151617181920212223[[#This Row],[Quantity]],"pcs",""))</f>
        <v>8</v>
      </c>
      <c r="T4" s="20">
        <f>YEAR(Table1451314151617181920212223[[#This Row],[Order Date]])</f>
        <v>2024</v>
      </c>
      <c r="U4" s="20">
        <f>MONTH(Table1451314151617181920212223[[#This Row],[Order Date]])</f>
        <v>3</v>
      </c>
      <c r="V4" s="20" t="str">
        <f>TEXT(Table1451314151617181920212223[[#This Row],[Order Date]],"mmm")</f>
        <v>Mar</v>
      </c>
    </row>
    <row r="5" spans="1:22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Table1451314151617181920212223[[#This Row],[Quantity]]*Table1451314151617181920212223[[#This Row],[Price]]</f>
        <v>45</v>
      </c>
      <c r="M5" s="19" t="str">
        <f>IF(Table1451314151617181920212223[[#This Row],[Sales]]&gt;800,"High",IF(Table1451314151617181920212223[[#This Row],[Sales]]&gt;=500,"Medium","Low"))</f>
        <v>Low</v>
      </c>
      <c r="N5" s="19" t="str" cm="1">
        <f t="array" ref="N5">_xlfn.IFS(AND(Table1451314151617181920212223[Status]="Delivered",Table1451314151617181920212223[Sales]&gt;500),"Valid",TRUE,"Check")</f>
        <v>Check</v>
      </c>
      <c r="O5" s="19" t="str">
        <f>LEFT(Table1451314151617181920212223[[#This Row],[Customer Info]],FIND("|",Table1451314151617181920212223[[#This Row],[Customer Info]])-2)</f>
        <v>Simran</v>
      </c>
      <c r="P5" s="20" t="str">
        <f>RIGHT(Table1451314151617181920212223[[#This Row],[Customer Info]],LEN(Table1451314151617181920212223[[#This Row],[Customer Info]])-FIND("|",Table1451314151617181920212223[[#This Row],[Customer Info]])-1)</f>
        <v>9012345678</v>
      </c>
      <c r="Q5" s="20" t="str">
        <f>TRIM(Table1451314151617181920212223[[#This Row],[Customer Info]])</f>
        <v>Simran | 9012345678</v>
      </c>
      <c r="R5" s="20" t="str">
        <f>UPPER(Table1451314151617181920212223[[#This Row],[Region]])</f>
        <v>UAE</v>
      </c>
      <c r="S5" s="20">
        <f>VALUE(SUBSTITUTE(Table1451314151617181920212223[[#This Row],[Quantity]],"pcs",""))</f>
        <v>3</v>
      </c>
      <c r="T5" s="20">
        <f>YEAR(Table1451314151617181920212223[[#This Row],[Order Date]])</f>
        <v>2024</v>
      </c>
      <c r="U5" s="20">
        <f>MONTH(Table1451314151617181920212223[[#This Row],[Order Date]])</f>
        <v>2</v>
      </c>
      <c r="V5" s="20" t="str">
        <f>TEXT(Table1451314151617181920212223[[#This Row],[Order Date]],"mmm")</f>
        <v>Feb</v>
      </c>
    </row>
    <row r="6" spans="1:22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Table1451314151617181920212223[[#This Row],[Quantity]]*Table1451314151617181920212223[[#This Row],[Price]]</f>
        <v>120</v>
      </c>
      <c r="M6" s="19" t="str">
        <f>IF(Table1451314151617181920212223[[#This Row],[Sales]]&gt;800,"High",IF(Table1451314151617181920212223[[#This Row],[Sales]]&gt;=500,"Medium","Low"))</f>
        <v>Low</v>
      </c>
      <c r="N6" s="19" t="str" cm="1">
        <f t="array" ref="N6">_xlfn.IFS(AND(Table1451314151617181920212223[Status]="Delivered",Table1451314151617181920212223[Sales]&gt;500),"Valid",TRUE,"Check")</f>
        <v>Check</v>
      </c>
      <c r="O6" s="19" t="str">
        <f>LEFT(Table1451314151617181920212223[[#This Row],[Customer Info]],FIND("|",Table1451314151617181920212223[[#This Row],[Customer Info]])-2)</f>
        <v>Karan</v>
      </c>
      <c r="P6" s="20" t="str">
        <f>RIGHT(Table1451314151617181920212223[[#This Row],[Customer Info]],LEN(Table1451314151617181920212223[[#This Row],[Customer Info]])-FIND("|",Table1451314151617181920212223[[#This Row],[Customer Info]])-1)</f>
        <v>9090909090</v>
      </c>
      <c r="Q6" s="20" t="str">
        <f>TRIM(Table1451314151617181920212223[[#This Row],[Customer Info]])</f>
        <v>Karan | 9090909090</v>
      </c>
      <c r="R6" s="20" t="str">
        <f>UPPER(Table1451314151617181920212223[[#This Row],[Region]])</f>
        <v>INDIA</v>
      </c>
      <c r="S6" s="20">
        <f>VALUE(SUBSTITUTE(Table1451314151617181920212223[[#This Row],[Quantity]],"pcs",""))</f>
        <v>6</v>
      </c>
      <c r="T6" s="20">
        <f>YEAR(Table1451314151617181920212223[[#This Row],[Order Date]])</f>
        <v>2024</v>
      </c>
      <c r="U6" s="20">
        <f>MONTH(Table1451314151617181920212223[[#This Row],[Order Date]])</f>
        <v>5</v>
      </c>
      <c r="V6" s="20" t="str">
        <f>TEXT(Table1451314151617181920212223[[#This Row],[Order Date]],"mmm")</f>
        <v>May</v>
      </c>
    </row>
    <row r="7" spans="1:22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Table1451314151617181920212223[[#This Row],[Quantity]]*Table1451314151617181920212223[[#This Row],[Price]]</f>
        <v>150</v>
      </c>
      <c r="M7" s="19" t="str">
        <f>IF(Table1451314151617181920212223[[#This Row],[Sales]]&gt;800,"High",IF(Table1451314151617181920212223[[#This Row],[Sales]]&gt;=500,"Medium","Low"))</f>
        <v>Low</v>
      </c>
      <c r="N7" s="19" t="str" cm="1">
        <f t="array" ref="N7">_xlfn.IFS(AND(Table1451314151617181920212223[Status]="Delivered",Table1451314151617181920212223[Sales]&gt;500),"Valid",TRUE,"Check")</f>
        <v>Check</v>
      </c>
      <c r="O7" s="19" t="str">
        <f>LEFT(Table1451314151617181920212223[[#This Row],[Customer Info]],FIND("|",Table1451314151617181920212223[[#This Row],[Customer Info]])-2)</f>
        <v>Riya</v>
      </c>
      <c r="P7" s="20" t="str">
        <f>RIGHT(Table1451314151617181920212223[[#This Row],[Customer Info]],LEN(Table1451314151617181920212223[[#This Row],[Customer Info]])-FIND("|",Table1451314151617181920212223[[#This Row],[Customer Info]])-1)</f>
        <v>9345678901</v>
      </c>
      <c r="Q7" s="20" t="str">
        <f>TRIM(Table1451314151617181920212223[[#This Row],[Customer Info]])</f>
        <v>Riya | 9345678901</v>
      </c>
      <c r="R7" s="20" t="str">
        <f>UPPER(Table1451314151617181920212223[[#This Row],[Region]])</f>
        <v>US</v>
      </c>
      <c r="S7" s="20">
        <f>VALUE(SUBSTITUTE(Table1451314151617181920212223[[#This Row],[Quantity]],"pcs",""))</f>
        <v>3</v>
      </c>
      <c r="T7" s="20">
        <f>YEAR(Table1451314151617181920212223[[#This Row],[Order Date]])</f>
        <v>2024</v>
      </c>
      <c r="U7" s="20">
        <f>MONTH(Table1451314151617181920212223[[#This Row],[Order Date]])</f>
        <v>6</v>
      </c>
      <c r="V7" s="20" t="str">
        <f>TEXT(Table1451314151617181920212223[[#This Row],[Order Date]],"mmm")</f>
        <v>Jun</v>
      </c>
    </row>
    <row r="8" spans="1:22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Table1451314151617181920212223[[#This Row],[Quantity]]*Table1451314151617181920212223[[#This Row],[Price]]</f>
        <v>20</v>
      </c>
      <c r="M8" s="19" t="str">
        <f>IF(Table1451314151617181920212223[[#This Row],[Sales]]&gt;800,"High",IF(Table1451314151617181920212223[[#This Row],[Sales]]&gt;=500,"Medium","Low"))</f>
        <v>Low</v>
      </c>
      <c r="N8" s="19" t="str" cm="1">
        <f t="array" ref="N8">_xlfn.IFS(AND(Table1451314151617181920212223[Status]="Delivered",Table1451314151617181920212223[Sales]&gt;500),"Valid",TRUE,"Check")</f>
        <v>Check</v>
      </c>
      <c r="O8" s="19" t="str">
        <f>LEFT(Table1451314151617181920212223[[#This Row],[Customer Info]],FIND("|",Table1451314151617181920212223[[#This Row],[Customer Info]])-2)</f>
        <v>Amit</v>
      </c>
      <c r="P8" s="20" t="str">
        <f>RIGHT(Table1451314151617181920212223[[#This Row],[Customer Info]],LEN(Table1451314151617181920212223[[#This Row],[Customer Info]])-FIND("|",Table1451314151617181920212223[[#This Row],[Customer Info]])-1)</f>
        <v>9234567890</v>
      </c>
      <c r="Q8" s="20" t="str">
        <f>TRIM(Table1451314151617181920212223[[#This Row],[Customer Info]])</f>
        <v>Amit | 9234567890</v>
      </c>
      <c r="R8" s="20" t="str">
        <f>UPPER(Table1451314151617181920212223[[#This Row],[Region]])</f>
        <v>INDIA</v>
      </c>
      <c r="S8" s="20">
        <f>VALUE(SUBSTITUTE(Table1451314151617181920212223[[#This Row],[Quantity]],"pcs",""))</f>
        <v>2</v>
      </c>
      <c r="T8" s="20"/>
      <c r="U8" s="20"/>
      <c r="V8" s="20"/>
    </row>
    <row r="9" spans="1:22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Table1451314151617181920212223[[#This Row],[Quantity]]*Table1451314151617181920212223[[#This Row],[Price]]</f>
        <v>0</v>
      </c>
      <c r="M9" s="19" t="str">
        <f>IF(Table1451314151617181920212223[[#This Row],[Sales]]&gt;800,"High",IF(Table1451314151617181920212223[[#This Row],[Sales]]&gt;=500,"Medium","Low"))</f>
        <v>Low</v>
      </c>
      <c r="N9" s="19" t="str" cm="1">
        <f t="array" ref="N9">_xlfn.IFS(AND(Table1451314151617181920212223[Status]="Delivered",Table1451314151617181920212223[Sales]&gt;500),"Valid",TRUE,"Check")</f>
        <v>Check</v>
      </c>
      <c r="O9" s="19" t="str">
        <f>LEFT(Table1451314151617181920212223[[#This Row],[Customer Info]],FIND("|",Table1451314151617181920212223[[#This Row],[Customer Info]])-2)</f>
        <v>Sara</v>
      </c>
      <c r="P9" s="20" t="str">
        <f>RIGHT(Table1451314151617181920212223[[#This Row],[Customer Info]],LEN(Table1451314151617181920212223[[#This Row],[Customer Info]])-FIND("|",Table1451314151617181920212223[[#This Row],[Customer Info]])-1)</f>
        <v>9876501234</v>
      </c>
      <c r="Q9" s="20" t="str">
        <f>TRIM(Table1451314151617181920212223[[#This Row],[Customer Info]])</f>
        <v>Sara | 9876501234</v>
      </c>
      <c r="R9" s="20" t="str">
        <f>UPPER(Table1451314151617181920212223[[#This Row],[Region]])</f>
        <v>UK</v>
      </c>
      <c r="S9" s="20">
        <f>VALUE(SUBSTITUTE(Table1451314151617181920212223[[#This Row],[Quantity]],"pcs",""))</f>
        <v>0</v>
      </c>
      <c r="T9" s="20">
        <f>YEAR(Table1451314151617181920212223[[#This Row],[Order Date]])</f>
        <v>2024</v>
      </c>
      <c r="U9" s="20">
        <f>MONTH(Table1451314151617181920212223[[#This Row],[Order Date]])</f>
        <v>4</v>
      </c>
      <c r="V9" s="20" t="str">
        <f>TEXT(Table1451314151617181920212223[[#This Row],[Order Date]],"mmm")</f>
        <v>Apr</v>
      </c>
    </row>
    <row r="10" spans="1:22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Table1451314151617181920212223[[#This Row],[Quantity]]*Table1451314151617181920212223[[#This Row],[Price]]</f>
        <v>160</v>
      </c>
      <c r="M10" s="19" t="str">
        <f>IF(Table1451314151617181920212223[[#This Row],[Sales]]&gt;800,"High",IF(Table1451314151617181920212223[[#This Row],[Sales]]&gt;=500,"Medium","Low"))</f>
        <v>Low</v>
      </c>
      <c r="N10" s="19" t="str" cm="1">
        <f t="array" ref="N10">_xlfn.IFS(AND(Table1451314151617181920212223[Status]="Delivered",Table1451314151617181920212223[Sales]&gt;500),"Valid",TRUE,"Check")</f>
        <v>Check</v>
      </c>
      <c r="O10" s="19" t="str">
        <f>LEFT(Table1451314151617181920212223[[#This Row],[Customer Info]],FIND("|",Table1451314151617181920212223[[#This Row],[Customer Info]])-2)</f>
        <v>John</v>
      </c>
      <c r="P10" s="20" t="str">
        <f>RIGHT(Table1451314151617181920212223[[#This Row],[Customer Info]],LEN(Table1451314151617181920212223[[#This Row],[Customer Info]])-FIND("|",Table1451314151617181920212223[[#This Row],[Customer Info]])-1)</f>
        <v>9988001122</v>
      </c>
      <c r="Q10" s="20" t="str">
        <f>TRIM(Table1451314151617181920212223[[#This Row],[Customer Info]])</f>
        <v>John | 9988001122</v>
      </c>
      <c r="R10" s="20" t="str">
        <f>UPPER(Table1451314151617181920212223[[#This Row],[Region]])</f>
        <v>UK</v>
      </c>
      <c r="S10" s="20">
        <f>VALUE(SUBSTITUTE(Table1451314151617181920212223[[#This Row],[Quantity]],"pcs",""))</f>
        <v>8</v>
      </c>
      <c r="T10" s="20">
        <f>YEAR(Table1451314151617181920212223[[#This Row],[Order Date]])</f>
        <v>2024</v>
      </c>
      <c r="U10" s="20">
        <f>MONTH(Table1451314151617181920212223[[#This Row],[Order Date]])</f>
        <v>3</v>
      </c>
      <c r="V10" s="20" t="str">
        <f>TEXT(Table1451314151617181920212223[[#This Row],[Order Date]],"mmm")</f>
        <v>Mar</v>
      </c>
    </row>
    <row r="11" spans="1:22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Table1451314151617181920212223[[#This Row],[Quantity]]*Table1451314151617181920212223[[#This Row],[Price]]</f>
        <v>300</v>
      </c>
      <c r="M11" s="19" t="str">
        <f>IF(Table1451314151617181920212223[[#This Row],[Sales]]&gt;800,"High",IF(Table1451314151617181920212223[[#This Row],[Sales]]&gt;=500,"Medium","Low"))</f>
        <v>Low</v>
      </c>
      <c r="N11" s="19" t="str" cm="1">
        <f t="array" ref="N11">_xlfn.IFS(AND(Table1451314151617181920212223[Status]="Delivered",Table1451314151617181920212223[Sales]&gt;500),"Valid",TRUE,"Check")</f>
        <v>Check</v>
      </c>
      <c r="O11" s="19" t="str">
        <f>LEFT(Table1451314151617181920212223[[#This Row],[Customer Info]],FIND("|",Table1451314151617181920212223[[#This Row],[Customer Info]])-2)</f>
        <v>Meena</v>
      </c>
      <c r="P11" s="20" t="str">
        <f>RIGHT(Table1451314151617181920212223[[#This Row],[Customer Info]],LEN(Table1451314151617181920212223[[#This Row],[Customer Info]])-FIND("|",Table1451314151617181920212223[[#This Row],[Customer Info]])-1)</f>
        <v>9765432109</v>
      </c>
      <c r="Q11" s="20" t="str">
        <f>TRIM(Table1451314151617181920212223[[#This Row],[Customer Info]])</f>
        <v>Meena | 9765432109</v>
      </c>
      <c r="R11" s="20" t="str">
        <f>UPPER(Table1451314151617181920212223[[#This Row],[Region]])</f>
        <v>INDIA</v>
      </c>
      <c r="S11" s="20">
        <f>VALUE(SUBSTITUTE(Table1451314151617181920212223[[#This Row],[Quantity]],"pcs",""))</f>
        <v>6</v>
      </c>
      <c r="T11" s="20">
        <f>YEAR(Table1451314151617181920212223[[#This Row],[Order Date]])</f>
        <v>2024</v>
      </c>
      <c r="U11" s="20">
        <f>MONTH(Table1451314151617181920212223[[#This Row],[Order Date]])</f>
        <v>4</v>
      </c>
      <c r="V11" s="20" t="str">
        <f>TEXT(Table1451314151617181920212223[[#This Row],[Order Date]],"mmm")</f>
        <v>Apr</v>
      </c>
    </row>
    <row r="12" spans="1:22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Table1451314151617181920212223[[#This Row],[Quantity]]*Table1451314151617181920212223[[#This Row],[Price]]</f>
        <v>100</v>
      </c>
      <c r="M12" s="19" t="str">
        <f>IF(Table1451314151617181920212223[[#This Row],[Sales]]&gt;800,"High",IF(Table1451314151617181920212223[[#This Row],[Sales]]&gt;=500,"Medium","Low"))</f>
        <v>Low</v>
      </c>
      <c r="N12" s="19" t="str" cm="1">
        <f t="array" ref="N12">_xlfn.IFS(AND(Table1451314151617181920212223[Status]="Delivered",Table1451314151617181920212223[Sales]&gt;500),"Valid",TRUE,"Check")</f>
        <v>Check</v>
      </c>
      <c r="O12" s="19" t="str">
        <f>LEFT(Table1451314151617181920212223[[#This Row],[Customer Info]],FIND("|",Table1451314151617181920212223[[#This Row],[Customer Info]])-2)</f>
        <v>Vikram</v>
      </c>
      <c r="P12" s="20" t="str">
        <f>RIGHT(Table1451314151617181920212223[[#This Row],[Customer Info]],LEN(Table1451314151617181920212223[[#This Row],[Customer Info]])-FIND("|",Table1451314151617181920212223[[#This Row],[Customer Info]])-1)</f>
        <v>9123001122</v>
      </c>
      <c r="Q12" s="20" t="str">
        <f>TRIM(Table1451314151617181920212223[[#This Row],[Customer Info]])</f>
        <v>Vikram | 9123001122</v>
      </c>
      <c r="R12" s="20" t="str">
        <f>UPPER(Table1451314151617181920212223[[#This Row],[Region]])</f>
        <v>INDIA</v>
      </c>
      <c r="S12" s="20">
        <f>VALUE(SUBSTITUTE(Table1451314151617181920212223[[#This Row],[Quantity]],"pcs",""))</f>
        <v>5</v>
      </c>
      <c r="T12" s="20">
        <f>YEAR(Table1451314151617181920212223[[#This Row],[Order Date]])</f>
        <v>2024</v>
      </c>
      <c r="U12" s="20">
        <f>MONTH(Table1451314151617181920212223[[#This Row],[Order Date]])</f>
        <v>2</v>
      </c>
      <c r="V12" s="20" t="str">
        <f>TEXT(Table1451314151617181920212223[[#This Row],[Order Date]],"mmm")</f>
        <v>Feb</v>
      </c>
    </row>
    <row r="13" spans="1:22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Table1451314151617181920212223[[#This Row],[Quantity]]*Table1451314151617181920212223[[#This Row],[Price]]</f>
        <v>100</v>
      </c>
      <c r="M13" s="19" t="str">
        <f>IF(Table1451314151617181920212223[[#This Row],[Sales]]&gt;800,"High",IF(Table1451314151617181920212223[[#This Row],[Sales]]&gt;=500,"Medium","Low"))</f>
        <v>Low</v>
      </c>
      <c r="N13" s="19" t="str" cm="1">
        <f t="array" ref="N13">_xlfn.IFS(AND(Table1451314151617181920212223[Status]="Delivered",Table1451314151617181920212223[Sales]&gt;500),"Valid",TRUE,"Check")</f>
        <v>Check</v>
      </c>
      <c r="O13" s="19" t="str">
        <f>LEFT(Table1451314151617181920212223[[#This Row],[Customer Info]],FIND("|",Table1451314151617181920212223[[#This Row],[Customer Info]])-2)</f>
        <v>Pooja</v>
      </c>
      <c r="P13" s="20" t="str">
        <f>RIGHT(Table1451314151617181920212223[[#This Row],[Customer Info]],LEN(Table1451314151617181920212223[[#This Row],[Customer Info]])-FIND("|",Table1451314151617181920212223[[#This Row],[Customer Info]])-1)</f>
        <v>9345001123</v>
      </c>
      <c r="Q13" s="20" t="str">
        <f>TRIM(Table1451314151617181920212223[[#This Row],[Customer Info]])</f>
        <v>Pooja | 9345001123</v>
      </c>
      <c r="R13" s="20" t="str">
        <f>UPPER(Table1451314151617181920212223[[#This Row],[Region]])</f>
        <v>US</v>
      </c>
      <c r="S13" s="20">
        <f>VALUE(SUBSTITUTE(Table1451314151617181920212223[[#This Row],[Quantity]],"pcs",""))</f>
        <v>2</v>
      </c>
      <c r="T13" s="20">
        <f>YEAR(Table1451314151617181920212223[[#This Row],[Order Date]])</f>
        <v>2024</v>
      </c>
      <c r="U13" s="20">
        <f>MONTH(Table1451314151617181920212223[[#This Row],[Order Date]])</f>
        <v>3</v>
      </c>
      <c r="V13" s="20" t="str">
        <f>TEXT(Table1451314151617181920212223[[#This Row],[Order Date]],"mmm")</f>
        <v>Mar</v>
      </c>
    </row>
    <row r="14" spans="1:22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Table1451314151617181920212223[[#This Row],[Quantity]]*Table1451314151617181920212223[[#This Row],[Price]]</f>
        <v>45</v>
      </c>
      <c r="M14" s="19" t="str">
        <f>IF(Table1451314151617181920212223[[#This Row],[Sales]]&gt;800,"High",IF(Table1451314151617181920212223[[#This Row],[Sales]]&gt;=500,"Medium","Low"))</f>
        <v>Low</v>
      </c>
      <c r="N14" s="19" t="str" cm="1">
        <f t="array" ref="N14">_xlfn.IFS(AND(Table1451314151617181920212223[Status]="Delivered",Table1451314151617181920212223[Sales]&gt;500),"Valid",TRUE,"Check")</f>
        <v>Check</v>
      </c>
      <c r="O14" s="19" t="str">
        <f>LEFT(Table1451314151617181920212223[[#This Row],[Customer Info]],FIND("|",Table1451314151617181920212223[[#This Row],[Customer Info]])-2)</f>
        <v>Kiran</v>
      </c>
      <c r="P14" s="20" t="str">
        <f>RIGHT(Table1451314151617181920212223[[#This Row],[Customer Info]],LEN(Table1451314151617181920212223[[#This Row],[Customer Info]])-FIND("|",Table1451314151617181920212223[[#This Row],[Customer Info]])-1)</f>
        <v>9000011122</v>
      </c>
      <c r="Q14" s="20" t="str">
        <f>TRIM(Table1451314151617181920212223[[#This Row],[Customer Info]])</f>
        <v>Kiran | 9000011122</v>
      </c>
      <c r="R14" s="20" t="str">
        <f>UPPER(Table1451314151617181920212223[[#This Row],[Region]])</f>
        <v>UAE</v>
      </c>
      <c r="S14" s="20">
        <f>VALUE(SUBSTITUTE(Table1451314151617181920212223[[#This Row],[Quantity]],"pcs",""))</f>
        <v>3</v>
      </c>
      <c r="T14" s="20">
        <f>YEAR(Table1451314151617181920212223[[#This Row],[Order Date]])</f>
        <v>2024</v>
      </c>
      <c r="U14" s="20">
        <f>MONTH(Table1451314151617181920212223[[#This Row],[Order Date]])</f>
        <v>1</v>
      </c>
      <c r="V14" s="20" t="str">
        <f>TEXT(Table1451314151617181920212223[[#This Row],[Order Date]],"mmm")</f>
        <v>Jan</v>
      </c>
    </row>
    <row r="15" spans="1:22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Table1451314151617181920212223[[#This Row],[Quantity]]*Table1451314151617181920212223[[#This Row],[Price]]</f>
        <v>10</v>
      </c>
      <c r="M15" s="19" t="str">
        <f>IF(Table1451314151617181920212223[[#This Row],[Sales]]&gt;800,"High",IF(Table1451314151617181920212223[[#This Row],[Sales]]&gt;=500,"Medium","Low"))</f>
        <v>Low</v>
      </c>
      <c r="N15" s="19" t="str" cm="1">
        <f t="array" ref="N15">_xlfn.IFS(AND(Table1451314151617181920212223[Status]="Delivered",Table1451314151617181920212223[Sales]&gt;500),"Valid",TRUE,"Check")</f>
        <v>Check</v>
      </c>
      <c r="O15" s="19" t="str">
        <f>LEFT(Table1451314151617181920212223[[#This Row],[Customer Info]],FIND("|",Table1451314151617181920212223[[#This Row],[Customer Info]])-2)</f>
        <v>Anil</v>
      </c>
      <c r="P15" s="20" t="str">
        <f>RIGHT(Table1451314151617181920212223[[#This Row],[Customer Info]],LEN(Table1451314151617181920212223[[#This Row],[Customer Info]])-FIND("|",Table1451314151617181920212223[[#This Row],[Customer Info]])-1)</f>
        <v>9888800011</v>
      </c>
      <c r="Q15" s="20" t="str">
        <f>TRIM(Table1451314151617181920212223[[#This Row],[Customer Info]])</f>
        <v>Anil | 9888800011</v>
      </c>
      <c r="R15" s="20" t="str">
        <f>UPPER(Table1451314151617181920212223[[#This Row],[Region]])</f>
        <v>INDIA</v>
      </c>
      <c r="S15" s="20">
        <f>VALUE(SUBSTITUTE(Table1451314151617181920212223[[#This Row],[Quantity]],"pcs",""))</f>
        <v>1</v>
      </c>
      <c r="T15" s="20">
        <f>YEAR(Table1451314151617181920212223[[#This Row],[Order Date]])</f>
        <v>2024</v>
      </c>
      <c r="U15" s="20">
        <f>MONTH(Table1451314151617181920212223[[#This Row],[Order Date]])</f>
        <v>5</v>
      </c>
      <c r="V15" s="20" t="str">
        <f>TEXT(Table1451314151617181920212223[[#This Row],[Order Date]],"mmm")</f>
        <v>May</v>
      </c>
    </row>
    <row r="16" spans="1:22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Table1451314151617181920212223[[#This Row],[Quantity]]*Table1451314151617181920212223[[#This Row],[Price]]</f>
        <v>200</v>
      </c>
      <c r="M16" s="19" t="str">
        <f>IF(Table1451314151617181920212223[[#This Row],[Sales]]&gt;800,"High",IF(Table1451314151617181920212223[[#This Row],[Sales]]&gt;=500,"Medium","Low"))</f>
        <v>Low</v>
      </c>
      <c r="N16" s="19" t="str" cm="1">
        <f t="array" ref="N16">_xlfn.IFS(AND(Table1451314151617181920212223[Status]="Delivered",Table1451314151617181920212223[Sales]&gt;500),"Valid",TRUE,"Check")</f>
        <v>Check</v>
      </c>
      <c r="O16" s="19" t="str">
        <f>LEFT(Table1451314151617181920212223[[#This Row],[Customer Info]],FIND("|",Table1451314151617181920212223[[#This Row],[Customer Info]])-2)</f>
        <v>Divya</v>
      </c>
      <c r="P16" s="20" t="str">
        <f>RIGHT(Table1451314151617181920212223[[#This Row],[Customer Info]],LEN(Table1451314151617181920212223[[#This Row],[Customer Info]])-FIND("|",Table1451314151617181920212223[[#This Row],[Customer Info]])-1)</f>
        <v>9777700011</v>
      </c>
      <c r="Q16" s="20" t="str">
        <f>TRIM(Table1451314151617181920212223[[#This Row],[Customer Info]])</f>
        <v>Divya | 9777700011</v>
      </c>
      <c r="R16" s="20" t="str">
        <f>UPPER(Table1451314151617181920212223[[#This Row],[Region]])</f>
        <v>UK</v>
      </c>
      <c r="S16" s="20">
        <f>VALUE(SUBSTITUTE(Table1451314151617181920212223[[#This Row],[Quantity]],"pcs",""))</f>
        <v>4</v>
      </c>
      <c r="T16" s="20">
        <f>YEAR(Table1451314151617181920212223[[#This Row],[Order Date]])</f>
        <v>2024</v>
      </c>
      <c r="U16" s="20">
        <f>MONTH(Table1451314151617181920212223[[#This Row],[Order Date]])</f>
        <v>6</v>
      </c>
      <c r="V16" s="20" t="str">
        <f>TEXT(Table1451314151617181920212223[[#This Row],[Order Date]],"mmm")</f>
        <v>Jun</v>
      </c>
    </row>
    <row r="17" spans="1:22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Table1451314151617181920212223[[#This Row],[Quantity]]*Table1451314151617181920212223[[#This Row],[Price]]</f>
        <v>140</v>
      </c>
      <c r="M17" s="19" t="str">
        <f>IF(Table1451314151617181920212223[[#This Row],[Sales]]&gt;800,"High",IF(Table1451314151617181920212223[[#This Row],[Sales]]&gt;=500,"Medium","Low"))</f>
        <v>Low</v>
      </c>
      <c r="N17" s="19" t="str" cm="1">
        <f t="array" ref="N17">_xlfn.IFS(AND(Table1451314151617181920212223[Status]="Delivered",Table1451314151617181920212223[Sales]&gt;500),"Valid",TRUE,"Check")</f>
        <v>Check</v>
      </c>
      <c r="O17" s="19" t="str">
        <f>LEFT(Table1451314151617181920212223[[#This Row],[Customer Info]],FIND("|",Table1451314151617181920212223[[#This Row],[Customer Info]])-2)</f>
        <v>Rahul</v>
      </c>
      <c r="P17" s="20" t="str">
        <f>RIGHT(Table1451314151617181920212223[[#This Row],[Customer Info]],LEN(Table1451314151617181920212223[[#This Row],[Customer Info]])-FIND("|",Table1451314151617181920212223[[#This Row],[Customer Info]])-1)</f>
        <v>9666600011</v>
      </c>
      <c r="Q17" s="20" t="str">
        <f>TRIM(Table1451314151617181920212223[[#This Row],[Customer Info]])</f>
        <v>Rahul | 9666600011</v>
      </c>
      <c r="R17" s="20" t="str">
        <f>UPPER(Table1451314151617181920212223[[#This Row],[Region]])</f>
        <v>INDIA</v>
      </c>
      <c r="S17" s="20">
        <f>VALUE(SUBSTITUTE(Table1451314151617181920212223[[#This Row],[Quantity]],"pcs",""))</f>
        <v>7</v>
      </c>
      <c r="T17" s="20">
        <f>YEAR(Table1451314151617181920212223[[#This Row],[Order Date]])</f>
        <v>2024</v>
      </c>
      <c r="U17" s="20">
        <f>MONTH(Table1451314151617181920212223[[#This Row],[Order Date]])</f>
        <v>4</v>
      </c>
      <c r="V17" s="20" t="str">
        <f>TEXT(Table1451314151617181920212223[[#This Row],[Order Date]],"mmm")</f>
        <v>Apr</v>
      </c>
    </row>
    <row r="18" spans="1:22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Table1451314151617181920212223[[#This Row],[Quantity]]*Table1451314151617181920212223[[#This Row],[Price]]</f>
        <v>30</v>
      </c>
      <c r="M18" s="19" t="str">
        <f>IF(Table1451314151617181920212223[[#This Row],[Sales]]&gt;800,"High",IF(Table1451314151617181920212223[[#This Row],[Sales]]&gt;=500,"Medium","Low"))</f>
        <v>Low</v>
      </c>
      <c r="N18" s="19" t="str" cm="1">
        <f t="array" ref="N18">_xlfn.IFS(AND(Table1451314151617181920212223[Status]="Delivered",Table1451314151617181920212223[Sales]&gt;500),"Valid",TRUE,"Check")</f>
        <v>Check</v>
      </c>
      <c r="O18" s="19" t="str">
        <f>LEFT(Table1451314151617181920212223[[#This Row],[Customer Info]],FIND("|",Table1451314151617181920212223[[#This Row],[Customer Info]])-2)</f>
        <v>Sneha</v>
      </c>
      <c r="P18" s="20" t="str">
        <f>RIGHT(Table1451314151617181920212223[[#This Row],[Customer Info]],LEN(Table1451314151617181920212223[[#This Row],[Customer Info]])-FIND("|",Table1451314151617181920212223[[#This Row],[Customer Info]])-1)</f>
        <v>9555500011</v>
      </c>
      <c r="Q18" s="20" t="str">
        <f>TRIM(Table1451314151617181920212223[[#This Row],[Customer Info]])</f>
        <v>Sneha | 9555500011</v>
      </c>
      <c r="R18" s="20" t="str">
        <f>UPPER(Table1451314151617181920212223[[#This Row],[Region]])</f>
        <v>UAE</v>
      </c>
      <c r="S18" s="20">
        <f>VALUE(SUBSTITUTE(Table1451314151617181920212223[[#This Row],[Quantity]],"pcs",""))</f>
        <v>2</v>
      </c>
      <c r="T18" s="20">
        <f>YEAR(Table1451314151617181920212223[[#This Row],[Order Date]])</f>
        <v>2024</v>
      </c>
      <c r="U18" s="20">
        <f>MONTH(Table1451314151617181920212223[[#This Row],[Order Date]])</f>
        <v>2</v>
      </c>
      <c r="V18" s="20" t="str">
        <f>TEXT(Table1451314151617181920212223[[#This Row],[Order Date]],"mmm")</f>
        <v>Feb</v>
      </c>
    </row>
    <row r="19" spans="1:22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Table1451314151617181920212223[[#This Row],[Quantity]]*Table1451314151617181920212223[[#This Row],[Price]]</f>
        <v>120</v>
      </c>
      <c r="M19" s="19" t="str">
        <f>IF(Table1451314151617181920212223[[#This Row],[Sales]]&gt;800,"High",IF(Table1451314151617181920212223[[#This Row],[Sales]]&gt;=500,"Medium","Low"))</f>
        <v>Low</v>
      </c>
      <c r="N19" s="19" t="str" cm="1">
        <f t="array" ref="N19">_xlfn.IFS(AND(Table1451314151617181920212223[Status]="Delivered",Table1451314151617181920212223[Sales]&gt;500),"Valid",TRUE,"Check")</f>
        <v>Check</v>
      </c>
      <c r="O19" s="19" t="str">
        <f>LEFT(Table1451314151617181920212223[[#This Row],[Customer Info]],FIND("|",Table1451314151617181920212223[[#This Row],[Customer Info]])-2)</f>
        <v>Karthik</v>
      </c>
      <c r="P19" s="20" t="str">
        <f>RIGHT(Table1451314151617181920212223[[#This Row],[Customer Info]],LEN(Table1451314151617181920212223[[#This Row],[Customer Info]])-FIND("|",Table1451314151617181920212223[[#This Row],[Customer Info]])-1)</f>
        <v>9001122334</v>
      </c>
      <c r="Q19" s="20" t="str">
        <f>TRIM(Table1451314151617181920212223[[#This Row],[Customer Info]])</f>
        <v>Karthik | 9001122334</v>
      </c>
      <c r="R19" s="20" t="str">
        <f>UPPER(Table1451314151617181920212223[[#This Row],[Region]])</f>
        <v>INDIA</v>
      </c>
      <c r="S19" s="20">
        <f>VALUE(SUBSTITUTE(Table1451314151617181920212223[[#This Row],[Quantity]],"pcs",""))</f>
        <v>6</v>
      </c>
      <c r="T19" s="20">
        <f>YEAR(Table1451314151617181920212223[[#This Row],[Order Date]])</f>
        <v>2024</v>
      </c>
      <c r="U19" s="20">
        <f>MONTH(Table1451314151617181920212223[[#This Row],[Order Date]])</f>
        <v>4</v>
      </c>
      <c r="V19" s="20" t="str">
        <f>TEXT(Table1451314151617181920212223[[#This Row],[Order Date]],"mmm")</f>
        <v>Apr</v>
      </c>
    </row>
    <row r="20" spans="1:22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Table1451314151617181920212223[[#This Row],[Quantity]]*Table1451314151617181920212223[[#This Row],[Price]]</f>
        <v>350</v>
      </c>
      <c r="M20" s="19" t="str">
        <f>IF(Table1451314151617181920212223[[#This Row],[Sales]]&gt;800,"High",IF(Table1451314151617181920212223[[#This Row],[Sales]]&gt;=500,"Medium","Low"))</f>
        <v>Low</v>
      </c>
      <c r="N20" s="19" t="str" cm="1">
        <f t="array" ref="N20">_xlfn.IFS(AND(Table1451314151617181920212223[Status]="Delivered",Table1451314151617181920212223[Sales]&gt;500),"Valid",TRUE,"Check")</f>
        <v>Check</v>
      </c>
      <c r="O20" s="19" t="str">
        <f>LEFT(Table1451314151617181920212223[[#This Row],[Customer Info]],FIND("|",Table1451314151617181920212223[[#This Row],[Customer Info]])-2)</f>
        <v>Lavanya</v>
      </c>
      <c r="P20" s="20" t="str">
        <f>RIGHT(Table1451314151617181920212223[[#This Row],[Customer Info]],LEN(Table1451314151617181920212223[[#This Row],[Customer Info]])-FIND("|",Table1451314151617181920212223[[#This Row],[Customer Info]])-1)</f>
        <v>9011223344</v>
      </c>
      <c r="Q20" s="20" t="str">
        <f>TRIM(Table1451314151617181920212223[[#This Row],[Customer Info]])</f>
        <v>Lavanya | 9011223344</v>
      </c>
      <c r="R20" s="20" t="str">
        <f>UPPER(Table1451314151617181920212223[[#This Row],[Region]])</f>
        <v>US</v>
      </c>
      <c r="S20" s="20">
        <f>VALUE(SUBSTITUTE(Table1451314151617181920212223[[#This Row],[Quantity]],"pcs",""))</f>
        <v>7</v>
      </c>
      <c r="T20" s="20">
        <f>YEAR(Table1451314151617181920212223[[#This Row],[Order Date]])</f>
        <v>2024</v>
      </c>
      <c r="U20" s="20">
        <f>MONTH(Table1451314151617181920212223[[#This Row],[Order Date]])</f>
        <v>5</v>
      </c>
      <c r="V20" s="20" t="str">
        <f>TEXT(Table1451314151617181920212223[[#This Row],[Order Date]],"mmm")</f>
        <v>May</v>
      </c>
    </row>
    <row r="21" spans="1:22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Table1451314151617181920212223[[#This Row],[Quantity]]*Table1451314151617181920212223[[#This Row],[Price]]</f>
        <v>30</v>
      </c>
      <c r="M21" s="19" t="str">
        <f>IF(Table1451314151617181920212223[[#This Row],[Sales]]&gt;800,"High",IF(Table1451314151617181920212223[[#This Row],[Sales]]&gt;=500,"Medium","Low"))</f>
        <v>Low</v>
      </c>
      <c r="N21" s="19" t="str" cm="1">
        <f t="array" ref="N21">_xlfn.IFS(AND(Table1451314151617181920212223[Status]="Delivered",Table1451314151617181920212223[Sales]&gt;500),"Valid",TRUE,"Check")</f>
        <v>Check</v>
      </c>
      <c r="O21" s="19" t="str">
        <f>LEFT(Table1451314151617181920212223[[#This Row],[Customer Info]],FIND("|",Table1451314151617181920212223[[#This Row],[Customer Info]])-2)</f>
        <v>Manoj</v>
      </c>
      <c r="P21" s="20" t="str">
        <f>RIGHT(Table1451314151617181920212223[[#This Row],[Customer Info]],LEN(Table1451314151617181920212223[[#This Row],[Customer Info]])-FIND("|",Table1451314151617181920212223[[#This Row],[Customer Info]])-1)</f>
        <v>9022334455</v>
      </c>
      <c r="Q21" s="20" t="str">
        <f>TRIM(Table1451314151617181920212223[[#This Row],[Customer Info]])</f>
        <v>Manoj | 9022334455</v>
      </c>
      <c r="R21" s="20" t="str">
        <f>UPPER(Table1451314151617181920212223[[#This Row],[Region]])</f>
        <v>UK</v>
      </c>
      <c r="S21" s="20">
        <f>VALUE(SUBSTITUTE(Table1451314151617181920212223[[#This Row],[Quantity]],"pcs",""))</f>
        <v>3</v>
      </c>
      <c r="T21" s="20"/>
      <c r="U21" s="20"/>
      <c r="V21" s="20"/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B073-B3B6-4E70-BDF0-E9B7BB2F9864}">
  <dimension ref="A1:W21"/>
  <sheetViews>
    <sheetView topLeftCell="R1" zoomScale="69" workbookViewId="0">
      <selection activeCell="AT25" sqref="AT25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</cols>
  <sheetData>
    <row r="1" spans="1:23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</row>
    <row r="2" spans="1:23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Table145131415161718192021222324[[#This Row],[Quantity]]*Table145131415161718192021222324[[#This Row],[Price]]</f>
        <v>200</v>
      </c>
      <c r="M2" s="19" t="str">
        <f>IF(Table145131415161718192021222324[[#This Row],[Sales]]&gt;800,"High",IF(Table145131415161718192021222324[[#This Row],[Sales]]&gt;=500,"Medium","Low"))</f>
        <v>Low</v>
      </c>
      <c r="N2" s="19" t="str" cm="1">
        <f t="array" ref="N2">_xlfn.IFS(AND(Table145131415161718192021222324[Status]="Delivered",Table145131415161718192021222324[Sales]&gt;500),"Valid",TRUE,"Check")</f>
        <v>Check</v>
      </c>
      <c r="O2" s="19" t="str">
        <f>LEFT(Table145131415161718192021222324[[#This Row],[Customer Info]],FIND("|",Table145131415161718192021222324[[#This Row],[Customer Info]])-2)</f>
        <v>Arjun</v>
      </c>
      <c r="P2" s="20" t="str">
        <f>RIGHT(Table145131415161718192021222324[[#This Row],[Customer Info]],LEN(Table145131415161718192021222324[[#This Row],[Customer Info]])-FIND("|",Table145131415161718192021222324[[#This Row],[Customer Info]])-1)</f>
        <v>9876543210</v>
      </c>
      <c r="Q2" s="20" t="str">
        <f>TRIM(Table145131415161718192021222324[[#This Row],[Customer Info]])</f>
        <v>Arjun | 9876543210</v>
      </c>
      <c r="R2" s="20" t="str">
        <f>UPPER(Table145131415161718192021222324[[#This Row],[Region]])</f>
        <v>INDIA</v>
      </c>
      <c r="S2" s="20">
        <f>VALUE(SUBSTITUTE(Table145131415161718192021222324[[#This Row],[Quantity]],"pcs",""))</f>
        <v>10</v>
      </c>
      <c r="T2" s="20">
        <f>YEAR(Table145131415161718192021222324[[#This Row],[Order Date]])</f>
        <v>2024</v>
      </c>
      <c r="U2" s="20">
        <f>MONTH(Table145131415161718192021222324[[#This Row],[Order Date]])</f>
        <v>4</v>
      </c>
      <c r="V2" s="20" t="str">
        <f>TEXT(Table145131415161718192021222324[[#This Row],[Order Date]],"mmm")</f>
        <v>Apr</v>
      </c>
      <c r="W2" s="20">
        <f ca="1">IF(Table145131415161718192021222324[[#This Row],[Order Date]]="","",TODAY()-Table145131415161718192021222324[[#This Row],[Order Date]])</f>
        <v>741</v>
      </c>
    </row>
    <row r="3" spans="1:23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Table145131415161718192021222324[[#This Row],[Quantity]]*Table145131415161718192021222324[[#This Row],[Price]]</f>
        <v>250</v>
      </c>
      <c r="M3" s="19" t="str">
        <f>IF(Table145131415161718192021222324[[#This Row],[Sales]]&gt;800,"High",IF(Table145131415161718192021222324[[#This Row],[Sales]]&gt;=500,"Medium","Low"))</f>
        <v>Low</v>
      </c>
      <c r="N3" s="19" t="str" cm="1">
        <f t="array" ref="N3">_xlfn.IFS(AND(Table145131415161718192021222324[Status]="Delivered",Table145131415161718192021222324[Sales]&gt;500),"Valid",TRUE,"Check")</f>
        <v>Check</v>
      </c>
      <c r="O3" s="19" t="str">
        <f>LEFT(Table145131415161718192021222324[[#This Row],[Customer Info]],FIND("|",Table145131415161718192021222324[[#This Row],[Customer Info]])-2)</f>
        <v>Neha</v>
      </c>
      <c r="P3" s="20" t="str">
        <f>RIGHT(Table145131415161718192021222324[[#This Row],[Customer Info]],LEN(Table145131415161718192021222324[[#This Row],[Customer Info]])-FIND("|",Table145131415161718192021222324[[#This Row],[Customer Info]])-1)</f>
        <v>9123456780</v>
      </c>
      <c r="Q3" s="20" t="str">
        <f>TRIM(Table145131415161718192021222324[[#This Row],[Customer Info]])</f>
        <v>Neha | 9123456780</v>
      </c>
      <c r="R3" s="20" t="str">
        <f>UPPER(Table145131415161718192021222324[[#This Row],[Region]])</f>
        <v>US</v>
      </c>
      <c r="S3" s="20">
        <f>VALUE(SUBSTITUTE(Table145131415161718192021222324[[#This Row],[Quantity]],"pcs",""))</f>
        <v>5</v>
      </c>
      <c r="T3" s="20"/>
      <c r="U3" s="20"/>
      <c r="V3" s="20"/>
      <c r="W3" s="20" t="str">
        <f ca="1">IF(Table145131415161718192021222324[[#This Row],[Order Date]]="","",TODAY()-Table145131415161718192021222324[[#This Row],[Order Date]])</f>
        <v/>
      </c>
    </row>
    <row r="4" spans="1:23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Table145131415161718192021222324[[#This Row],[Quantity]]*Table145131415161718192021222324[[#This Row],[Price]]</f>
        <v>80</v>
      </c>
      <c r="M4" s="19" t="str">
        <f>IF(Table145131415161718192021222324[[#This Row],[Sales]]&gt;800,"High",IF(Table145131415161718192021222324[[#This Row],[Sales]]&gt;=500,"Medium","Low"))</f>
        <v>Low</v>
      </c>
      <c r="N4" s="19" t="str" cm="1">
        <f t="array" ref="N4">_xlfn.IFS(AND(Table145131415161718192021222324[Status]="Delivered",Table145131415161718192021222324[Sales]&gt;500),"Valid",TRUE,"Check")</f>
        <v>Check</v>
      </c>
      <c r="O4" s="19" t="str">
        <f>LEFT(Table145131415161718192021222324[[#This Row],[Customer Info]],FIND("|",Table145131415161718192021222324[[#This Row],[Customer Info]])-2)</f>
        <v>Rohit</v>
      </c>
      <c r="P4" s="20" t="str">
        <f>RIGHT(Table145131415161718192021222324[[#This Row],[Customer Info]],LEN(Table145131415161718192021222324[[#This Row],[Customer Info]])-FIND("|",Table145131415161718192021222324[[#This Row],[Customer Info]])-1)</f>
        <v>9988776655</v>
      </c>
      <c r="Q4" s="20" t="str">
        <f>TRIM(Table145131415161718192021222324[[#This Row],[Customer Info]])</f>
        <v>Rohit | 9988776655</v>
      </c>
      <c r="R4" s="20" t="str">
        <f>UPPER(Table145131415161718192021222324[[#This Row],[Region]])</f>
        <v>UK</v>
      </c>
      <c r="S4" s="20">
        <f>VALUE(SUBSTITUTE(Table145131415161718192021222324[[#This Row],[Quantity]],"pcs",""))</f>
        <v>8</v>
      </c>
      <c r="T4" s="20">
        <f>YEAR(Table145131415161718192021222324[[#This Row],[Order Date]])</f>
        <v>2024</v>
      </c>
      <c r="U4" s="20">
        <f>MONTH(Table145131415161718192021222324[[#This Row],[Order Date]])</f>
        <v>3</v>
      </c>
      <c r="V4" s="20" t="str">
        <f>TEXT(Table145131415161718192021222324[[#This Row],[Order Date]],"mmm")</f>
        <v>Mar</v>
      </c>
      <c r="W4" s="20">
        <f ca="1">IF(Table145131415161718192021222324[[#This Row],[Order Date]]="","",TODAY()-Table145131415161718192021222324[[#This Row],[Order Date]])</f>
        <v>769</v>
      </c>
    </row>
    <row r="5" spans="1:23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Table145131415161718192021222324[[#This Row],[Quantity]]*Table145131415161718192021222324[[#This Row],[Price]]</f>
        <v>45</v>
      </c>
      <c r="M5" s="19" t="str">
        <f>IF(Table145131415161718192021222324[[#This Row],[Sales]]&gt;800,"High",IF(Table145131415161718192021222324[[#This Row],[Sales]]&gt;=500,"Medium","Low"))</f>
        <v>Low</v>
      </c>
      <c r="N5" s="19" t="str" cm="1">
        <f t="array" ref="N5">_xlfn.IFS(AND(Table145131415161718192021222324[Status]="Delivered",Table145131415161718192021222324[Sales]&gt;500),"Valid",TRUE,"Check")</f>
        <v>Check</v>
      </c>
      <c r="O5" s="19" t="str">
        <f>LEFT(Table145131415161718192021222324[[#This Row],[Customer Info]],FIND("|",Table145131415161718192021222324[[#This Row],[Customer Info]])-2)</f>
        <v>Simran</v>
      </c>
      <c r="P5" s="20" t="str">
        <f>RIGHT(Table145131415161718192021222324[[#This Row],[Customer Info]],LEN(Table145131415161718192021222324[[#This Row],[Customer Info]])-FIND("|",Table145131415161718192021222324[[#This Row],[Customer Info]])-1)</f>
        <v>9012345678</v>
      </c>
      <c r="Q5" s="20" t="str">
        <f>TRIM(Table145131415161718192021222324[[#This Row],[Customer Info]])</f>
        <v>Simran | 9012345678</v>
      </c>
      <c r="R5" s="20" t="str">
        <f>UPPER(Table145131415161718192021222324[[#This Row],[Region]])</f>
        <v>UAE</v>
      </c>
      <c r="S5" s="20">
        <f>VALUE(SUBSTITUTE(Table145131415161718192021222324[[#This Row],[Quantity]],"pcs",""))</f>
        <v>3</v>
      </c>
      <c r="T5" s="20">
        <f>YEAR(Table145131415161718192021222324[[#This Row],[Order Date]])</f>
        <v>2024</v>
      </c>
      <c r="U5" s="20">
        <f>MONTH(Table145131415161718192021222324[[#This Row],[Order Date]])</f>
        <v>2</v>
      </c>
      <c r="V5" s="20" t="str">
        <f>TEXT(Table145131415161718192021222324[[#This Row],[Order Date]],"mmm")</f>
        <v>Feb</v>
      </c>
      <c r="W5" s="20">
        <f ca="1">IF(Table145131415161718192021222324[[#This Row],[Order Date]]="","",TODAY()-Table145131415161718192021222324[[#This Row],[Order Date]])</f>
        <v>803</v>
      </c>
    </row>
    <row r="6" spans="1:23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Table145131415161718192021222324[[#This Row],[Quantity]]*Table145131415161718192021222324[[#This Row],[Price]]</f>
        <v>120</v>
      </c>
      <c r="M6" s="19" t="str">
        <f>IF(Table145131415161718192021222324[[#This Row],[Sales]]&gt;800,"High",IF(Table145131415161718192021222324[[#This Row],[Sales]]&gt;=500,"Medium","Low"))</f>
        <v>Low</v>
      </c>
      <c r="N6" s="19" t="str" cm="1">
        <f t="array" ref="N6">_xlfn.IFS(AND(Table145131415161718192021222324[Status]="Delivered",Table145131415161718192021222324[Sales]&gt;500),"Valid",TRUE,"Check")</f>
        <v>Check</v>
      </c>
      <c r="O6" s="19" t="str">
        <f>LEFT(Table145131415161718192021222324[[#This Row],[Customer Info]],FIND("|",Table145131415161718192021222324[[#This Row],[Customer Info]])-2)</f>
        <v>Karan</v>
      </c>
      <c r="P6" s="20" t="str">
        <f>RIGHT(Table145131415161718192021222324[[#This Row],[Customer Info]],LEN(Table145131415161718192021222324[[#This Row],[Customer Info]])-FIND("|",Table145131415161718192021222324[[#This Row],[Customer Info]])-1)</f>
        <v>9090909090</v>
      </c>
      <c r="Q6" s="20" t="str">
        <f>TRIM(Table145131415161718192021222324[[#This Row],[Customer Info]])</f>
        <v>Karan | 9090909090</v>
      </c>
      <c r="R6" s="20" t="str">
        <f>UPPER(Table145131415161718192021222324[[#This Row],[Region]])</f>
        <v>INDIA</v>
      </c>
      <c r="S6" s="20">
        <f>VALUE(SUBSTITUTE(Table145131415161718192021222324[[#This Row],[Quantity]],"pcs",""))</f>
        <v>6</v>
      </c>
      <c r="T6" s="20">
        <f>YEAR(Table145131415161718192021222324[[#This Row],[Order Date]])</f>
        <v>2024</v>
      </c>
      <c r="U6" s="20">
        <f>MONTH(Table145131415161718192021222324[[#This Row],[Order Date]])</f>
        <v>5</v>
      </c>
      <c r="V6" s="20" t="str">
        <f>TEXT(Table145131415161718192021222324[[#This Row],[Order Date]],"mmm")</f>
        <v>May</v>
      </c>
      <c r="W6" s="20">
        <f ca="1">IF(Table145131415161718192021222324[[#This Row],[Order Date]]="","",TODAY()-Table145131415161718192021222324[[#This Row],[Order Date]])</f>
        <v>712</v>
      </c>
    </row>
    <row r="7" spans="1:23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Table145131415161718192021222324[[#This Row],[Quantity]]*Table145131415161718192021222324[[#This Row],[Price]]</f>
        <v>150</v>
      </c>
      <c r="M7" s="19" t="str">
        <f>IF(Table145131415161718192021222324[[#This Row],[Sales]]&gt;800,"High",IF(Table145131415161718192021222324[[#This Row],[Sales]]&gt;=500,"Medium","Low"))</f>
        <v>Low</v>
      </c>
      <c r="N7" s="19" t="str" cm="1">
        <f t="array" ref="N7">_xlfn.IFS(AND(Table145131415161718192021222324[Status]="Delivered",Table145131415161718192021222324[Sales]&gt;500),"Valid",TRUE,"Check")</f>
        <v>Check</v>
      </c>
      <c r="O7" s="19" t="str">
        <f>LEFT(Table145131415161718192021222324[[#This Row],[Customer Info]],FIND("|",Table145131415161718192021222324[[#This Row],[Customer Info]])-2)</f>
        <v>Riya</v>
      </c>
      <c r="P7" s="20" t="str">
        <f>RIGHT(Table145131415161718192021222324[[#This Row],[Customer Info]],LEN(Table145131415161718192021222324[[#This Row],[Customer Info]])-FIND("|",Table145131415161718192021222324[[#This Row],[Customer Info]])-1)</f>
        <v>9345678901</v>
      </c>
      <c r="Q7" s="20" t="str">
        <f>TRIM(Table145131415161718192021222324[[#This Row],[Customer Info]])</f>
        <v>Riya | 9345678901</v>
      </c>
      <c r="R7" s="20" t="str">
        <f>UPPER(Table145131415161718192021222324[[#This Row],[Region]])</f>
        <v>US</v>
      </c>
      <c r="S7" s="20">
        <f>VALUE(SUBSTITUTE(Table145131415161718192021222324[[#This Row],[Quantity]],"pcs",""))</f>
        <v>3</v>
      </c>
      <c r="T7" s="20">
        <f>YEAR(Table145131415161718192021222324[[#This Row],[Order Date]])</f>
        <v>2024</v>
      </c>
      <c r="U7" s="20">
        <f>MONTH(Table145131415161718192021222324[[#This Row],[Order Date]])</f>
        <v>6</v>
      </c>
      <c r="V7" s="20" t="str">
        <f>TEXT(Table145131415161718192021222324[[#This Row],[Order Date]],"mmm")</f>
        <v>Jun</v>
      </c>
      <c r="W7" s="20">
        <f ca="1">IF(Table145131415161718192021222324[[#This Row],[Order Date]]="","",TODAY()-Table145131415161718192021222324[[#This Row],[Order Date]])</f>
        <v>685</v>
      </c>
    </row>
    <row r="8" spans="1:23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Table145131415161718192021222324[[#This Row],[Quantity]]*Table145131415161718192021222324[[#This Row],[Price]]</f>
        <v>20</v>
      </c>
      <c r="M8" s="19" t="str">
        <f>IF(Table145131415161718192021222324[[#This Row],[Sales]]&gt;800,"High",IF(Table145131415161718192021222324[[#This Row],[Sales]]&gt;=500,"Medium","Low"))</f>
        <v>Low</v>
      </c>
      <c r="N8" s="19" t="str" cm="1">
        <f t="array" ref="N8">_xlfn.IFS(AND(Table145131415161718192021222324[Status]="Delivered",Table145131415161718192021222324[Sales]&gt;500),"Valid",TRUE,"Check")</f>
        <v>Check</v>
      </c>
      <c r="O8" s="19" t="str">
        <f>LEFT(Table145131415161718192021222324[[#This Row],[Customer Info]],FIND("|",Table145131415161718192021222324[[#This Row],[Customer Info]])-2)</f>
        <v>Amit</v>
      </c>
      <c r="P8" s="20" t="str">
        <f>RIGHT(Table145131415161718192021222324[[#This Row],[Customer Info]],LEN(Table145131415161718192021222324[[#This Row],[Customer Info]])-FIND("|",Table145131415161718192021222324[[#This Row],[Customer Info]])-1)</f>
        <v>9234567890</v>
      </c>
      <c r="Q8" s="20" t="str">
        <f>TRIM(Table145131415161718192021222324[[#This Row],[Customer Info]])</f>
        <v>Amit | 9234567890</v>
      </c>
      <c r="R8" s="20" t="str">
        <f>UPPER(Table145131415161718192021222324[[#This Row],[Region]])</f>
        <v>INDIA</v>
      </c>
      <c r="S8" s="20">
        <f>VALUE(SUBSTITUTE(Table145131415161718192021222324[[#This Row],[Quantity]],"pcs",""))</f>
        <v>2</v>
      </c>
      <c r="T8" s="20"/>
      <c r="U8" s="20"/>
      <c r="V8" s="20"/>
      <c r="W8" s="20" t="str">
        <f ca="1">IF(Table145131415161718192021222324[[#This Row],[Order Date]]="","",TODAY()-Table145131415161718192021222324[[#This Row],[Order Date]])</f>
        <v/>
      </c>
    </row>
    <row r="9" spans="1:23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Table145131415161718192021222324[[#This Row],[Quantity]]*Table145131415161718192021222324[[#This Row],[Price]]</f>
        <v>0</v>
      </c>
      <c r="M9" s="19" t="str">
        <f>IF(Table145131415161718192021222324[[#This Row],[Sales]]&gt;800,"High",IF(Table145131415161718192021222324[[#This Row],[Sales]]&gt;=500,"Medium","Low"))</f>
        <v>Low</v>
      </c>
      <c r="N9" s="19" t="str" cm="1">
        <f t="array" ref="N9">_xlfn.IFS(AND(Table145131415161718192021222324[Status]="Delivered",Table145131415161718192021222324[Sales]&gt;500),"Valid",TRUE,"Check")</f>
        <v>Check</v>
      </c>
      <c r="O9" s="19" t="str">
        <f>LEFT(Table145131415161718192021222324[[#This Row],[Customer Info]],FIND("|",Table145131415161718192021222324[[#This Row],[Customer Info]])-2)</f>
        <v>Sara</v>
      </c>
      <c r="P9" s="20" t="str">
        <f>RIGHT(Table145131415161718192021222324[[#This Row],[Customer Info]],LEN(Table145131415161718192021222324[[#This Row],[Customer Info]])-FIND("|",Table145131415161718192021222324[[#This Row],[Customer Info]])-1)</f>
        <v>9876501234</v>
      </c>
      <c r="Q9" s="20" t="str">
        <f>TRIM(Table145131415161718192021222324[[#This Row],[Customer Info]])</f>
        <v>Sara | 9876501234</v>
      </c>
      <c r="R9" s="20" t="str">
        <f>UPPER(Table145131415161718192021222324[[#This Row],[Region]])</f>
        <v>UK</v>
      </c>
      <c r="S9" s="20">
        <f>VALUE(SUBSTITUTE(Table145131415161718192021222324[[#This Row],[Quantity]],"pcs",""))</f>
        <v>0</v>
      </c>
      <c r="T9" s="20">
        <f>YEAR(Table145131415161718192021222324[[#This Row],[Order Date]])</f>
        <v>2024</v>
      </c>
      <c r="U9" s="20">
        <f>MONTH(Table145131415161718192021222324[[#This Row],[Order Date]])</f>
        <v>4</v>
      </c>
      <c r="V9" s="20" t="str">
        <f>TEXT(Table145131415161718192021222324[[#This Row],[Order Date]],"mmm")</f>
        <v>Apr</v>
      </c>
      <c r="W9" s="20">
        <f ca="1">IF(Table145131415161718192021222324[[#This Row],[Order Date]]="","",TODAY()-Table145131415161718192021222324[[#This Row],[Order Date]])</f>
        <v>728</v>
      </c>
    </row>
    <row r="10" spans="1:23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Table145131415161718192021222324[[#This Row],[Quantity]]*Table145131415161718192021222324[[#This Row],[Price]]</f>
        <v>160</v>
      </c>
      <c r="M10" s="19" t="str">
        <f>IF(Table145131415161718192021222324[[#This Row],[Sales]]&gt;800,"High",IF(Table145131415161718192021222324[[#This Row],[Sales]]&gt;=500,"Medium","Low"))</f>
        <v>Low</v>
      </c>
      <c r="N10" s="19" t="str" cm="1">
        <f t="array" ref="N10">_xlfn.IFS(AND(Table145131415161718192021222324[Status]="Delivered",Table145131415161718192021222324[Sales]&gt;500),"Valid",TRUE,"Check")</f>
        <v>Check</v>
      </c>
      <c r="O10" s="19" t="str">
        <f>LEFT(Table145131415161718192021222324[[#This Row],[Customer Info]],FIND("|",Table145131415161718192021222324[[#This Row],[Customer Info]])-2)</f>
        <v>John</v>
      </c>
      <c r="P10" s="20" t="str">
        <f>RIGHT(Table145131415161718192021222324[[#This Row],[Customer Info]],LEN(Table145131415161718192021222324[[#This Row],[Customer Info]])-FIND("|",Table145131415161718192021222324[[#This Row],[Customer Info]])-1)</f>
        <v>9988001122</v>
      </c>
      <c r="Q10" s="20" t="str">
        <f>TRIM(Table145131415161718192021222324[[#This Row],[Customer Info]])</f>
        <v>John | 9988001122</v>
      </c>
      <c r="R10" s="20" t="str">
        <f>UPPER(Table145131415161718192021222324[[#This Row],[Region]])</f>
        <v>UK</v>
      </c>
      <c r="S10" s="20">
        <f>VALUE(SUBSTITUTE(Table145131415161718192021222324[[#This Row],[Quantity]],"pcs",""))</f>
        <v>8</v>
      </c>
      <c r="T10" s="20">
        <f>YEAR(Table145131415161718192021222324[[#This Row],[Order Date]])</f>
        <v>2024</v>
      </c>
      <c r="U10" s="20">
        <f>MONTH(Table145131415161718192021222324[[#This Row],[Order Date]])</f>
        <v>3</v>
      </c>
      <c r="V10" s="20" t="str">
        <f>TEXT(Table145131415161718192021222324[[#This Row],[Order Date]],"mmm")</f>
        <v>Mar</v>
      </c>
      <c r="W10" s="20">
        <f ca="1">IF(Table145131415161718192021222324[[#This Row],[Order Date]]="","",TODAY()-Table145131415161718192021222324[[#This Row],[Order Date]])</f>
        <v>771</v>
      </c>
    </row>
    <row r="11" spans="1:23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Table145131415161718192021222324[[#This Row],[Quantity]]*Table145131415161718192021222324[[#This Row],[Price]]</f>
        <v>300</v>
      </c>
      <c r="M11" s="19" t="str">
        <f>IF(Table145131415161718192021222324[[#This Row],[Sales]]&gt;800,"High",IF(Table145131415161718192021222324[[#This Row],[Sales]]&gt;=500,"Medium","Low"))</f>
        <v>Low</v>
      </c>
      <c r="N11" s="19" t="str" cm="1">
        <f t="array" ref="N11">_xlfn.IFS(AND(Table145131415161718192021222324[Status]="Delivered",Table145131415161718192021222324[Sales]&gt;500),"Valid",TRUE,"Check")</f>
        <v>Check</v>
      </c>
      <c r="O11" s="19" t="str">
        <f>LEFT(Table145131415161718192021222324[[#This Row],[Customer Info]],FIND("|",Table145131415161718192021222324[[#This Row],[Customer Info]])-2)</f>
        <v>Meena</v>
      </c>
      <c r="P11" s="20" t="str">
        <f>RIGHT(Table145131415161718192021222324[[#This Row],[Customer Info]],LEN(Table145131415161718192021222324[[#This Row],[Customer Info]])-FIND("|",Table145131415161718192021222324[[#This Row],[Customer Info]])-1)</f>
        <v>9765432109</v>
      </c>
      <c r="Q11" s="20" t="str">
        <f>TRIM(Table145131415161718192021222324[[#This Row],[Customer Info]])</f>
        <v>Meena | 9765432109</v>
      </c>
      <c r="R11" s="20" t="str">
        <f>UPPER(Table145131415161718192021222324[[#This Row],[Region]])</f>
        <v>INDIA</v>
      </c>
      <c r="S11" s="20">
        <f>VALUE(SUBSTITUTE(Table145131415161718192021222324[[#This Row],[Quantity]],"pcs",""))</f>
        <v>6</v>
      </c>
      <c r="T11" s="20">
        <f>YEAR(Table145131415161718192021222324[[#This Row],[Order Date]])</f>
        <v>2024</v>
      </c>
      <c r="U11" s="20">
        <f>MONTH(Table145131415161718192021222324[[#This Row],[Order Date]])</f>
        <v>4</v>
      </c>
      <c r="V11" s="20" t="str">
        <f>TEXT(Table145131415161718192021222324[[#This Row],[Order Date]],"mmm")</f>
        <v>Apr</v>
      </c>
      <c r="W11" s="20">
        <f ca="1">IF(Table145131415161718192021222324[[#This Row],[Order Date]]="","",TODAY()-Table145131415161718192021222324[[#This Row],[Order Date]])</f>
        <v>731</v>
      </c>
    </row>
    <row r="12" spans="1:23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Table145131415161718192021222324[[#This Row],[Quantity]]*Table145131415161718192021222324[[#This Row],[Price]]</f>
        <v>100</v>
      </c>
      <c r="M12" s="19" t="str">
        <f>IF(Table145131415161718192021222324[[#This Row],[Sales]]&gt;800,"High",IF(Table145131415161718192021222324[[#This Row],[Sales]]&gt;=500,"Medium","Low"))</f>
        <v>Low</v>
      </c>
      <c r="N12" s="19" t="str" cm="1">
        <f t="array" ref="N12">_xlfn.IFS(AND(Table145131415161718192021222324[Status]="Delivered",Table145131415161718192021222324[Sales]&gt;500),"Valid",TRUE,"Check")</f>
        <v>Check</v>
      </c>
      <c r="O12" s="19" t="str">
        <f>LEFT(Table145131415161718192021222324[[#This Row],[Customer Info]],FIND("|",Table145131415161718192021222324[[#This Row],[Customer Info]])-2)</f>
        <v>Vikram</v>
      </c>
      <c r="P12" s="20" t="str">
        <f>RIGHT(Table145131415161718192021222324[[#This Row],[Customer Info]],LEN(Table145131415161718192021222324[[#This Row],[Customer Info]])-FIND("|",Table145131415161718192021222324[[#This Row],[Customer Info]])-1)</f>
        <v>9123001122</v>
      </c>
      <c r="Q12" s="20" t="str">
        <f>TRIM(Table145131415161718192021222324[[#This Row],[Customer Info]])</f>
        <v>Vikram | 9123001122</v>
      </c>
      <c r="R12" s="20" t="str">
        <f>UPPER(Table145131415161718192021222324[[#This Row],[Region]])</f>
        <v>INDIA</v>
      </c>
      <c r="S12" s="20">
        <f>VALUE(SUBSTITUTE(Table145131415161718192021222324[[#This Row],[Quantity]],"pcs",""))</f>
        <v>5</v>
      </c>
      <c r="T12" s="20">
        <f>YEAR(Table145131415161718192021222324[[#This Row],[Order Date]])</f>
        <v>2024</v>
      </c>
      <c r="U12" s="20">
        <f>MONTH(Table145131415161718192021222324[[#This Row],[Order Date]])</f>
        <v>2</v>
      </c>
      <c r="V12" s="20" t="str">
        <f>TEXT(Table145131415161718192021222324[[#This Row],[Order Date]],"mmm")</f>
        <v>Feb</v>
      </c>
      <c r="W12" s="20">
        <f ca="1">IF(Table145131415161718192021222324[[#This Row],[Order Date]]="","",TODAY()-Table145131415161718192021222324[[#This Row],[Order Date]])</f>
        <v>795</v>
      </c>
    </row>
    <row r="13" spans="1:23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Table145131415161718192021222324[[#This Row],[Quantity]]*Table145131415161718192021222324[[#This Row],[Price]]</f>
        <v>100</v>
      </c>
      <c r="M13" s="19" t="str">
        <f>IF(Table145131415161718192021222324[[#This Row],[Sales]]&gt;800,"High",IF(Table145131415161718192021222324[[#This Row],[Sales]]&gt;=500,"Medium","Low"))</f>
        <v>Low</v>
      </c>
      <c r="N13" s="19" t="str" cm="1">
        <f t="array" ref="N13">_xlfn.IFS(AND(Table145131415161718192021222324[Status]="Delivered",Table145131415161718192021222324[Sales]&gt;500),"Valid",TRUE,"Check")</f>
        <v>Check</v>
      </c>
      <c r="O13" s="19" t="str">
        <f>LEFT(Table145131415161718192021222324[[#This Row],[Customer Info]],FIND("|",Table145131415161718192021222324[[#This Row],[Customer Info]])-2)</f>
        <v>Pooja</v>
      </c>
      <c r="P13" s="20" t="str">
        <f>RIGHT(Table145131415161718192021222324[[#This Row],[Customer Info]],LEN(Table145131415161718192021222324[[#This Row],[Customer Info]])-FIND("|",Table145131415161718192021222324[[#This Row],[Customer Info]])-1)</f>
        <v>9345001123</v>
      </c>
      <c r="Q13" s="20" t="str">
        <f>TRIM(Table145131415161718192021222324[[#This Row],[Customer Info]])</f>
        <v>Pooja | 9345001123</v>
      </c>
      <c r="R13" s="20" t="str">
        <f>UPPER(Table145131415161718192021222324[[#This Row],[Region]])</f>
        <v>US</v>
      </c>
      <c r="S13" s="20">
        <f>VALUE(SUBSTITUTE(Table145131415161718192021222324[[#This Row],[Quantity]],"pcs",""))</f>
        <v>2</v>
      </c>
      <c r="T13" s="20">
        <f>YEAR(Table145131415161718192021222324[[#This Row],[Order Date]])</f>
        <v>2024</v>
      </c>
      <c r="U13" s="20">
        <f>MONTH(Table145131415161718192021222324[[#This Row],[Order Date]])</f>
        <v>3</v>
      </c>
      <c r="V13" s="20" t="str">
        <f>TEXT(Table145131415161718192021222324[[#This Row],[Order Date]],"mmm")</f>
        <v>Mar</v>
      </c>
      <c r="W13" s="20">
        <f ca="1">IF(Table145131415161718192021222324[[#This Row],[Order Date]]="","",TODAY()-Table145131415161718192021222324[[#This Row],[Order Date]])</f>
        <v>765</v>
      </c>
    </row>
    <row r="14" spans="1:23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Table145131415161718192021222324[[#This Row],[Quantity]]*Table145131415161718192021222324[[#This Row],[Price]]</f>
        <v>45</v>
      </c>
      <c r="M14" s="19" t="str">
        <f>IF(Table145131415161718192021222324[[#This Row],[Sales]]&gt;800,"High",IF(Table145131415161718192021222324[[#This Row],[Sales]]&gt;=500,"Medium","Low"))</f>
        <v>Low</v>
      </c>
      <c r="N14" s="19" t="str" cm="1">
        <f t="array" ref="N14">_xlfn.IFS(AND(Table145131415161718192021222324[Status]="Delivered",Table145131415161718192021222324[Sales]&gt;500),"Valid",TRUE,"Check")</f>
        <v>Check</v>
      </c>
      <c r="O14" s="19" t="str">
        <f>LEFT(Table145131415161718192021222324[[#This Row],[Customer Info]],FIND("|",Table145131415161718192021222324[[#This Row],[Customer Info]])-2)</f>
        <v>Kiran</v>
      </c>
      <c r="P14" s="20" t="str">
        <f>RIGHT(Table145131415161718192021222324[[#This Row],[Customer Info]],LEN(Table145131415161718192021222324[[#This Row],[Customer Info]])-FIND("|",Table145131415161718192021222324[[#This Row],[Customer Info]])-1)</f>
        <v>9000011122</v>
      </c>
      <c r="Q14" s="20" t="str">
        <f>TRIM(Table145131415161718192021222324[[#This Row],[Customer Info]])</f>
        <v>Kiran | 9000011122</v>
      </c>
      <c r="R14" s="20" t="str">
        <f>UPPER(Table145131415161718192021222324[[#This Row],[Region]])</f>
        <v>UAE</v>
      </c>
      <c r="S14" s="20">
        <f>VALUE(SUBSTITUTE(Table145131415161718192021222324[[#This Row],[Quantity]],"pcs",""))</f>
        <v>3</v>
      </c>
      <c r="T14" s="20">
        <f>YEAR(Table145131415161718192021222324[[#This Row],[Order Date]])</f>
        <v>2024</v>
      </c>
      <c r="U14" s="20">
        <f>MONTH(Table145131415161718192021222324[[#This Row],[Order Date]])</f>
        <v>1</v>
      </c>
      <c r="V14" s="20" t="str">
        <f>TEXT(Table145131415161718192021222324[[#This Row],[Order Date]],"mmm")</f>
        <v>Jan</v>
      </c>
      <c r="W14" s="20">
        <f ca="1">IF(Table145131415161718192021222324[[#This Row],[Order Date]]="","",TODAY()-Table145131415161718192021222324[[#This Row],[Order Date]])</f>
        <v>823</v>
      </c>
    </row>
    <row r="15" spans="1:23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Table145131415161718192021222324[[#This Row],[Quantity]]*Table145131415161718192021222324[[#This Row],[Price]]</f>
        <v>10</v>
      </c>
      <c r="M15" s="19" t="str">
        <f>IF(Table145131415161718192021222324[[#This Row],[Sales]]&gt;800,"High",IF(Table145131415161718192021222324[[#This Row],[Sales]]&gt;=500,"Medium","Low"))</f>
        <v>Low</v>
      </c>
      <c r="N15" s="19" t="str" cm="1">
        <f t="array" ref="N15">_xlfn.IFS(AND(Table145131415161718192021222324[Status]="Delivered",Table145131415161718192021222324[Sales]&gt;500),"Valid",TRUE,"Check")</f>
        <v>Check</v>
      </c>
      <c r="O15" s="19" t="str">
        <f>LEFT(Table145131415161718192021222324[[#This Row],[Customer Info]],FIND("|",Table145131415161718192021222324[[#This Row],[Customer Info]])-2)</f>
        <v>Anil</v>
      </c>
      <c r="P15" s="20" t="str">
        <f>RIGHT(Table145131415161718192021222324[[#This Row],[Customer Info]],LEN(Table145131415161718192021222324[[#This Row],[Customer Info]])-FIND("|",Table145131415161718192021222324[[#This Row],[Customer Info]])-1)</f>
        <v>9888800011</v>
      </c>
      <c r="Q15" s="20" t="str">
        <f>TRIM(Table145131415161718192021222324[[#This Row],[Customer Info]])</f>
        <v>Anil | 9888800011</v>
      </c>
      <c r="R15" s="20" t="str">
        <f>UPPER(Table145131415161718192021222324[[#This Row],[Region]])</f>
        <v>INDIA</v>
      </c>
      <c r="S15" s="20">
        <f>VALUE(SUBSTITUTE(Table145131415161718192021222324[[#This Row],[Quantity]],"pcs",""))</f>
        <v>1</v>
      </c>
      <c r="T15" s="20">
        <f>YEAR(Table145131415161718192021222324[[#This Row],[Order Date]])</f>
        <v>2024</v>
      </c>
      <c r="U15" s="20">
        <f>MONTH(Table145131415161718192021222324[[#This Row],[Order Date]])</f>
        <v>5</v>
      </c>
      <c r="V15" s="20" t="str">
        <f>TEXT(Table145131415161718192021222324[[#This Row],[Order Date]],"mmm")</f>
        <v>May</v>
      </c>
      <c r="W15" s="20">
        <f ca="1">IF(Table145131415161718192021222324[[#This Row],[Order Date]]="","",TODAY()-Table145131415161718192021222324[[#This Row],[Order Date]])</f>
        <v>718</v>
      </c>
    </row>
    <row r="16" spans="1:23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Table145131415161718192021222324[[#This Row],[Quantity]]*Table145131415161718192021222324[[#This Row],[Price]]</f>
        <v>200</v>
      </c>
      <c r="M16" s="19" t="str">
        <f>IF(Table145131415161718192021222324[[#This Row],[Sales]]&gt;800,"High",IF(Table145131415161718192021222324[[#This Row],[Sales]]&gt;=500,"Medium","Low"))</f>
        <v>Low</v>
      </c>
      <c r="N16" s="19" t="str" cm="1">
        <f t="array" ref="N16">_xlfn.IFS(AND(Table145131415161718192021222324[Status]="Delivered",Table145131415161718192021222324[Sales]&gt;500),"Valid",TRUE,"Check")</f>
        <v>Check</v>
      </c>
      <c r="O16" s="19" t="str">
        <f>LEFT(Table145131415161718192021222324[[#This Row],[Customer Info]],FIND("|",Table145131415161718192021222324[[#This Row],[Customer Info]])-2)</f>
        <v>Divya</v>
      </c>
      <c r="P16" s="20" t="str">
        <f>RIGHT(Table145131415161718192021222324[[#This Row],[Customer Info]],LEN(Table145131415161718192021222324[[#This Row],[Customer Info]])-FIND("|",Table145131415161718192021222324[[#This Row],[Customer Info]])-1)</f>
        <v>9777700011</v>
      </c>
      <c r="Q16" s="20" t="str">
        <f>TRIM(Table145131415161718192021222324[[#This Row],[Customer Info]])</f>
        <v>Divya | 9777700011</v>
      </c>
      <c r="R16" s="20" t="str">
        <f>UPPER(Table145131415161718192021222324[[#This Row],[Region]])</f>
        <v>UK</v>
      </c>
      <c r="S16" s="20">
        <f>VALUE(SUBSTITUTE(Table145131415161718192021222324[[#This Row],[Quantity]],"pcs",""))</f>
        <v>4</v>
      </c>
      <c r="T16" s="20">
        <f>YEAR(Table145131415161718192021222324[[#This Row],[Order Date]])</f>
        <v>2024</v>
      </c>
      <c r="U16" s="20">
        <f>MONTH(Table145131415161718192021222324[[#This Row],[Order Date]])</f>
        <v>6</v>
      </c>
      <c r="V16" s="20" t="str">
        <f>TEXT(Table145131415161718192021222324[[#This Row],[Order Date]],"mmm")</f>
        <v>Jun</v>
      </c>
      <c r="W16" s="20">
        <f ca="1">IF(Table145131415161718192021222324[[#This Row],[Order Date]]="","",TODAY()-Table145131415161718192021222324[[#This Row],[Order Date]])</f>
        <v>680</v>
      </c>
    </row>
    <row r="17" spans="1:23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Table145131415161718192021222324[[#This Row],[Quantity]]*Table145131415161718192021222324[[#This Row],[Price]]</f>
        <v>140</v>
      </c>
      <c r="M17" s="19" t="str">
        <f>IF(Table145131415161718192021222324[[#This Row],[Sales]]&gt;800,"High",IF(Table145131415161718192021222324[[#This Row],[Sales]]&gt;=500,"Medium","Low"))</f>
        <v>Low</v>
      </c>
      <c r="N17" s="19" t="str" cm="1">
        <f t="array" ref="N17">_xlfn.IFS(AND(Table145131415161718192021222324[Status]="Delivered",Table145131415161718192021222324[Sales]&gt;500),"Valid",TRUE,"Check")</f>
        <v>Check</v>
      </c>
      <c r="O17" s="19" t="str">
        <f>LEFT(Table145131415161718192021222324[[#This Row],[Customer Info]],FIND("|",Table145131415161718192021222324[[#This Row],[Customer Info]])-2)</f>
        <v>Rahul</v>
      </c>
      <c r="P17" s="20" t="str">
        <f>RIGHT(Table145131415161718192021222324[[#This Row],[Customer Info]],LEN(Table145131415161718192021222324[[#This Row],[Customer Info]])-FIND("|",Table145131415161718192021222324[[#This Row],[Customer Info]])-1)</f>
        <v>9666600011</v>
      </c>
      <c r="Q17" s="20" t="str">
        <f>TRIM(Table145131415161718192021222324[[#This Row],[Customer Info]])</f>
        <v>Rahul | 9666600011</v>
      </c>
      <c r="R17" s="20" t="str">
        <f>UPPER(Table145131415161718192021222324[[#This Row],[Region]])</f>
        <v>INDIA</v>
      </c>
      <c r="S17" s="20">
        <f>VALUE(SUBSTITUTE(Table145131415161718192021222324[[#This Row],[Quantity]],"pcs",""))</f>
        <v>7</v>
      </c>
      <c r="T17" s="20">
        <f>YEAR(Table145131415161718192021222324[[#This Row],[Order Date]])</f>
        <v>2024</v>
      </c>
      <c r="U17" s="20">
        <f>MONTH(Table145131415161718192021222324[[#This Row],[Order Date]])</f>
        <v>4</v>
      </c>
      <c r="V17" s="20" t="str">
        <f>TEXT(Table145131415161718192021222324[[#This Row],[Order Date]],"mmm")</f>
        <v>Apr</v>
      </c>
      <c r="W17" s="20">
        <f ca="1">IF(Table145131415161718192021222324[[#This Row],[Order Date]]="","",TODAY()-Table145131415161718192021222324[[#This Row],[Order Date]])</f>
        <v>746</v>
      </c>
    </row>
    <row r="18" spans="1:23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Table145131415161718192021222324[[#This Row],[Quantity]]*Table145131415161718192021222324[[#This Row],[Price]]</f>
        <v>30</v>
      </c>
      <c r="M18" s="19" t="str">
        <f>IF(Table145131415161718192021222324[[#This Row],[Sales]]&gt;800,"High",IF(Table145131415161718192021222324[[#This Row],[Sales]]&gt;=500,"Medium","Low"))</f>
        <v>Low</v>
      </c>
      <c r="N18" s="19" t="str" cm="1">
        <f t="array" ref="N18">_xlfn.IFS(AND(Table145131415161718192021222324[Status]="Delivered",Table145131415161718192021222324[Sales]&gt;500),"Valid",TRUE,"Check")</f>
        <v>Check</v>
      </c>
      <c r="O18" s="19" t="str">
        <f>LEFT(Table145131415161718192021222324[[#This Row],[Customer Info]],FIND("|",Table145131415161718192021222324[[#This Row],[Customer Info]])-2)</f>
        <v>Sneha</v>
      </c>
      <c r="P18" s="20" t="str">
        <f>RIGHT(Table145131415161718192021222324[[#This Row],[Customer Info]],LEN(Table145131415161718192021222324[[#This Row],[Customer Info]])-FIND("|",Table145131415161718192021222324[[#This Row],[Customer Info]])-1)</f>
        <v>9555500011</v>
      </c>
      <c r="Q18" s="20" t="str">
        <f>TRIM(Table145131415161718192021222324[[#This Row],[Customer Info]])</f>
        <v>Sneha | 9555500011</v>
      </c>
      <c r="R18" s="20" t="str">
        <f>UPPER(Table145131415161718192021222324[[#This Row],[Region]])</f>
        <v>UAE</v>
      </c>
      <c r="S18" s="20">
        <f>VALUE(SUBSTITUTE(Table145131415161718192021222324[[#This Row],[Quantity]],"pcs",""))</f>
        <v>2</v>
      </c>
      <c r="T18" s="20">
        <f>YEAR(Table145131415161718192021222324[[#This Row],[Order Date]])</f>
        <v>2024</v>
      </c>
      <c r="U18" s="20">
        <f>MONTH(Table145131415161718192021222324[[#This Row],[Order Date]])</f>
        <v>2</v>
      </c>
      <c r="V18" s="20" t="str">
        <f>TEXT(Table145131415161718192021222324[[#This Row],[Order Date]],"mmm")</f>
        <v>Feb</v>
      </c>
      <c r="W18" s="20">
        <f ca="1">IF(Table145131415161718192021222324[[#This Row],[Order Date]]="","",TODAY()-Table145131415161718192021222324[[#This Row],[Order Date]])</f>
        <v>802</v>
      </c>
    </row>
    <row r="19" spans="1:23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Table145131415161718192021222324[[#This Row],[Quantity]]*Table145131415161718192021222324[[#This Row],[Price]]</f>
        <v>120</v>
      </c>
      <c r="M19" s="19" t="str">
        <f>IF(Table145131415161718192021222324[[#This Row],[Sales]]&gt;800,"High",IF(Table145131415161718192021222324[[#This Row],[Sales]]&gt;=500,"Medium","Low"))</f>
        <v>Low</v>
      </c>
      <c r="N19" s="19" t="str" cm="1">
        <f t="array" ref="N19">_xlfn.IFS(AND(Table145131415161718192021222324[Status]="Delivered",Table145131415161718192021222324[Sales]&gt;500),"Valid",TRUE,"Check")</f>
        <v>Check</v>
      </c>
      <c r="O19" s="19" t="str">
        <f>LEFT(Table145131415161718192021222324[[#This Row],[Customer Info]],FIND("|",Table145131415161718192021222324[[#This Row],[Customer Info]])-2)</f>
        <v>Karthik</v>
      </c>
      <c r="P19" s="20" t="str">
        <f>RIGHT(Table145131415161718192021222324[[#This Row],[Customer Info]],LEN(Table145131415161718192021222324[[#This Row],[Customer Info]])-FIND("|",Table145131415161718192021222324[[#This Row],[Customer Info]])-1)</f>
        <v>9001122334</v>
      </c>
      <c r="Q19" s="20" t="str">
        <f>TRIM(Table145131415161718192021222324[[#This Row],[Customer Info]])</f>
        <v>Karthik | 9001122334</v>
      </c>
      <c r="R19" s="20" t="str">
        <f>UPPER(Table145131415161718192021222324[[#This Row],[Region]])</f>
        <v>INDIA</v>
      </c>
      <c r="S19" s="20">
        <f>VALUE(SUBSTITUTE(Table145131415161718192021222324[[#This Row],[Quantity]],"pcs",""))</f>
        <v>6</v>
      </c>
      <c r="T19" s="20">
        <f>YEAR(Table145131415161718192021222324[[#This Row],[Order Date]])</f>
        <v>2024</v>
      </c>
      <c r="U19" s="20">
        <f>MONTH(Table145131415161718192021222324[[#This Row],[Order Date]])</f>
        <v>4</v>
      </c>
      <c r="V19" s="20" t="str">
        <f>TEXT(Table145131415161718192021222324[[#This Row],[Order Date]],"mmm")</f>
        <v>Apr</v>
      </c>
      <c r="W19" s="20">
        <f ca="1">IF(Table145131415161718192021222324[[#This Row],[Order Date]]="","",TODAY()-Table145131415161718192021222324[[#This Row],[Order Date]])</f>
        <v>743</v>
      </c>
    </row>
    <row r="20" spans="1:23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Table145131415161718192021222324[[#This Row],[Quantity]]*Table145131415161718192021222324[[#This Row],[Price]]</f>
        <v>350</v>
      </c>
      <c r="M20" s="19" t="str">
        <f>IF(Table145131415161718192021222324[[#This Row],[Sales]]&gt;800,"High",IF(Table145131415161718192021222324[[#This Row],[Sales]]&gt;=500,"Medium","Low"))</f>
        <v>Low</v>
      </c>
      <c r="N20" s="19" t="str" cm="1">
        <f t="array" ref="N20">_xlfn.IFS(AND(Table145131415161718192021222324[Status]="Delivered",Table145131415161718192021222324[Sales]&gt;500),"Valid",TRUE,"Check")</f>
        <v>Check</v>
      </c>
      <c r="O20" s="19" t="str">
        <f>LEFT(Table145131415161718192021222324[[#This Row],[Customer Info]],FIND("|",Table145131415161718192021222324[[#This Row],[Customer Info]])-2)</f>
        <v>Lavanya</v>
      </c>
      <c r="P20" s="20" t="str">
        <f>RIGHT(Table145131415161718192021222324[[#This Row],[Customer Info]],LEN(Table145131415161718192021222324[[#This Row],[Customer Info]])-FIND("|",Table145131415161718192021222324[[#This Row],[Customer Info]])-1)</f>
        <v>9011223344</v>
      </c>
      <c r="Q20" s="20" t="str">
        <f>TRIM(Table145131415161718192021222324[[#This Row],[Customer Info]])</f>
        <v>Lavanya | 9011223344</v>
      </c>
      <c r="R20" s="20" t="str">
        <f>UPPER(Table145131415161718192021222324[[#This Row],[Region]])</f>
        <v>US</v>
      </c>
      <c r="S20" s="20">
        <f>VALUE(SUBSTITUTE(Table145131415161718192021222324[[#This Row],[Quantity]],"pcs",""))</f>
        <v>7</v>
      </c>
      <c r="T20" s="20">
        <f>YEAR(Table145131415161718192021222324[[#This Row],[Order Date]])</f>
        <v>2024</v>
      </c>
      <c r="U20" s="20">
        <f>MONTH(Table145131415161718192021222324[[#This Row],[Order Date]])</f>
        <v>5</v>
      </c>
      <c r="V20" s="20" t="str">
        <f>TEXT(Table145131415161718192021222324[[#This Row],[Order Date]],"mmm")</f>
        <v>May</v>
      </c>
      <c r="W20" s="20">
        <f ca="1">IF(Table145131415161718192021222324[[#This Row],[Order Date]]="","",TODAY()-Table145131415161718192021222324[[#This Row],[Order Date]])</f>
        <v>715</v>
      </c>
    </row>
    <row r="21" spans="1:23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Table145131415161718192021222324[[#This Row],[Quantity]]*Table145131415161718192021222324[[#This Row],[Price]]</f>
        <v>30</v>
      </c>
      <c r="M21" s="19" t="str">
        <f>IF(Table145131415161718192021222324[[#This Row],[Sales]]&gt;800,"High",IF(Table145131415161718192021222324[[#This Row],[Sales]]&gt;=500,"Medium","Low"))</f>
        <v>Low</v>
      </c>
      <c r="N21" s="19" t="str" cm="1">
        <f t="array" ref="N21">_xlfn.IFS(AND(Table145131415161718192021222324[Status]="Delivered",Table145131415161718192021222324[Sales]&gt;500),"Valid",TRUE,"Check")</f>
        <v>Check</v>
      </c>
      <c r="O21" s="19" t="str">
        <f>LEFT(Table145131415161718192021222324[[#This Row],[Customer Info]],FIND("|",Table145131415161718192021222324[[#This Row],[Customer Info]])-2)</f>
        <v>Manoj</v>
      </c>
      <c r="P21" s="20" t="str">
        <f>RIGHT(Table145131415161718192021222324[[#This Row],[Customer Info]],LEN(Table145131415161718192021222324[[#This Row],[Customer Info]])-FIND("|",Table145131415161718192021222324[[#This Row],[Customer Info]])-1)</f>
        <v>9022334455</v>
      </c>
      <c r="Q21" s="20" t="str">
        <f>TRIM(Table145131415161718192021222324[[#This Row],[Customer Info]])</f>
        <v>Manoj | 9022334455</v>
      </c>
      <c r="R21" s="20" t="str">
        <f>UPPER(Table145131415161718192021222324[[#This Row],[Region]])</f>
        <v>UK</v>
      </c>
      <c r="S21" s="20">
        <f>VALUE(SUBSTITUTE(Table145131415161718192021222324[[#This Row],[Quantity]],"pcs",""))</f>
        <v>3</v>
      </c>
      <c r="T21" s="20"/>
      <c r="U21" s="20"/>
      <c r="V21" s="20"/>
      <c r="W21" s="20" t="str">
        <f ca="1">IF(Table145131415161718192021222324[[#This Row],[Order Date]]="","",TODAY()-Table145131415161718192021222324[[#This Row],[Order Date]])</f>
        <v/>
      </c>
    </row>
  </sheetData>
  <phoneticPr fontId="6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06BB-2BC7-4E7A-BF62-11FEB09A6046}">
  <dimension ref="A1:X21"/>
  <sheetViews>
    <sheetView topLeftCell="AA1" zoomScale="69" workbookViewId="0">
      <selection activeCell="X21" sqref="X21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  <col min="24" max="24" width="16.33203125" customWidth="1"/>
  </cols>
  <sheetData>
    <row r="1" spans="1:24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</row>
    <row r="2" spans="1:24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Table14513141516171819202122232425[[#This Row],[Quantity]]*Table14513141516171819202122232425[[#This Row],[Price]]</f>
        <v>200</v>
      </c>
      <c r="M2" s="19" t="str">
        <f>IF(Table14513141516171819202122232425[[#This Row],[Sales]]&gt;800,"High",IF(Table14513141516171819202122232425[[#This Row],[Sales]]&gt;=500,"Medium","Low"))</f>
        <v>Low</v>
      </c>
      <c r="N2" s="19" t="str" cm="1">
        <f t="array" ref="N2">_xlfn.IFS(AND(Table14513141516171819202122232425[Status]="Delivered",Table14513141516171819202122232425[Sales]&gt;500),"Valid",TRUE,"Check")</f>
        <v>Check</v>
      </c>
      <c r="O2" s="19" t="str">
        <f>LEFT(Table14513141516171819202122232425[[#This Row],[Customer Info]],FIND("|",Table14513141516171819202122232425[[#This Row],[Customer Info]])-2)</f>
        <v>Arjun</v>
      </c>
      <c r="P2" s="20" t="str">
        <f>RIGHT(Table14513141516171819202122232425[[#This Row],[Customer Info]],LEN(Table14513141516171819202122232425[[#This Row],[Customer Info]])-FIND("|",Table14513141516171819202122232425[[#This Row],[Customer Info]])-1)</f>
        <v>9876543210</v>
      </c>
      <c r="Q2" s="20" t="str">
        <f>TRIM(Table14513141516171819202122232425[[#This Row],[Customer Info]])</f>
        <v>Arjun | 9876543210</v>
      </c>
      <c r="R2" s="20" t="str">
        <f>UPPER(Table14513141516171819202122232425[[#This Row],[Region]])</f>
        <v>INDIA</v>
      </c>
      <c r="S2" s="20">
        <f>VALUE(SUBSTITUTE(Table14513141516171819202122232425[[#This Row],[Quantity]],"pcs",""))</f>
        <v>10</v>
      </c>
      <c r="T2" s="20">
        <f>YEAR(Table14513141516171819202122232425[[#This Row],[Order Date]])</f>
        <v>2024</v>
      </c>
      <c r="U2" s="20">
        <f>MONTH(Table14513141516171819202122232425[[#This Row],[Order Date]])</f>
        <v>4</v>
      </c>
      <c r="V2" s="20" t="str">
        <f>TEXT(Table14513141516171819202122232425[[#This Row],[Order Date]],"mmm")</f>
        <v>Apr</v>
      </c>
      <c r="W2" s="20">
        <f ca="1">IF(Table14513141516171819202122232425[[#This Row],[Order Date]]="","",TODAY()-Table14513141516171819202122232425[[#This Row],[Order Date]])</f>
        <v>741</v>
      </c>
      <c r="X2" s="20" t="str">
        <f ca="1">IF(TODAY()-Table14513141516171819202122232425[[#This Row],[Order Date]]&gt;30,"Old","Recent")</f>
        <v>Old</v>
      </c>
    </row>
    <row r="3" spans="1:24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Table14513141516171819202122232425[[#This Row],[Quantity]]*Table14513141516171819202122232425[[#This Row],[Price]]</f>
        <v>250</v>
      </c>
      <c r="M3" s="19" t="str">
        <f>IF(Table14513141516171819202122232425[[#This Row],[Sales]]&gt;800,"High",IF(Table14513141516171819202122232425[[#This Row],[Sales]]&gt;=500,"Medium","Low"))</f>
        <v>Low</v>
      </c>
      <c r="N3" s="19" t="str" cm="1">
        <f t="array" ref="N3">_xlfn.IFS(AND(Table14513141516171819202122232425[Status]="Delivered",Table14513141516171819202122232425[Sales]&gt;500),"Valid",TRUE,"Check")</f>
        <v>Check</v>
      </c>
      <c r="O3" s="19" t="str">
        <f>LEFT(Table14513141516171819202122232425[[#This Row],[Customer Info]],FIND("|",Table14513141516171819202122232425[[#This Row],[Customer Info]])-2)</f>
        <v>Neha</v>
      </c>
      <c r="P3" s="20" t="str">
        <f>RIGHT(Table14513141516171819202122232425[[#This Row],[Customer Info]],LEN(Table14513141516171819202122232425[[#This Row],[Customer Info]])-FIND("|",Table14513141516171819202122232425[[#This Row],[Customer Info]])-1)</f>
        <v>9123456780</v>
      </c>
      <c r="Q3" s="20" t="str">
        <f>TRIM(Table14513141516171819202122232425[[#This Row],[Customer Info]])</f>
        <v>Neha | 9123456780</v>
      </c>
      <c r="R3" s="20" t="str">
        <f>UPPER(Table14513141516171819202122232425[[#This Row],[Region]])</f>
        <v>US</v>
      </c>
      <c r="S3" s="20">
        <f>VALUE(SUBSTITUTE(Table14513141516171819202122232425[[#This Row],[Quantity]],"pcs",""))</f>
        <v>5</v>
      </c>
      <c r="T3" s="20"/>
      <c r="U3" s="20"/>
      <c r="V3" s="20"/>
      <c r="W3" s="20" t="str">
        <f ca="1">IF(Table14513141516171819202122232425[[#This Row],[Order Date]]="","",TODAY()-Table14513141516171819202122232425[[#This Row],[Order Date]])</f>
        <v/>
      </c>
      <c r="X3" s="20"/>
    </row>
    <row r="4" spans="1:24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Table14513141516171819202122232425[[#This Row],[Quantity]]*Table14513141516171819202122232425[[#This Row],[Price]]</f>
        <v>80</v>
      </c>
      <c r="M4" s="19" t="str">
        <f>IF(Table14513141516171819202122232425[[#This Row],[Sales]]&gt;800,"High",IF(Table14513141516171819202122232425[[#This Row],[Sales]]&gt;=500,"Medium","Low"))</f>
        <v>Low</v>
      </c>
      <c r="N4" s="19" t="str" cm="1">
        <f t="array" ref="N4">_xlfn.IFS(AND(Table14513141516171819202122232425[Status]="Delivered",Table14513141516171819202122232425[Sales]&gt;500),"Valid",TRUE,"Check")</f>
        <v>Check</v>
      </c>
      <c r="O4" s="19" t="str">
        <f>LEFT(Table14513141516171819202122232425[[#This Row],[Customer Info]],FIND("|",Table14513141516171819202122232425[[#This Row],[Customer Info]])-2)</f>
        <v>Rohit</v>
      </c>
      <c r="P4" s="20" t="str">
        <f>RIGHT(Table14513141516171819202122232425[[#This Row],[Customer Info]],LEN(Table14513141516171819202122232425[[#This Row],[Customer Info]])-FIND("|",Table14513141516171819202122232425[[#This Row],[Customer Info]])-1)</f>
        <v>9988776655</v>
      </c>
      <c r="Q4" s="20" t="str">
        <f>TRIM(Table14513141516171819202122232425[[#This Row],[Customer Info]])</f>
        <v>Rohit | 9988776655</v>
      </c>
      <c r="R4" s="20" t="str">
        <f>UPPER(Table14513141516171819202122232425[[#This Row],[Region]])</f>
        <v>UK</v>
      </c>
      <c r="S4" s="20">
        <f>VALUE(SUBSTITUTE(Table14513141516171819202122232425[[#This Row],[Quantity]],"pcs",""))</f>
        <v>8</v>
      </c>
      <c r="T4" s="20">
        <f>YEAR(Table14513141516171819202122232425[[#This Row],[Order Date]])</f>
        <v>2024</v>
      </c>
      <c r="U4" s="20">
        <f>MONTH(Table14513141516171819202122232425[[#This Row],[Order Date]])</f>
        <v>3</v>
      </c>
      <c r="V4" s="20" t="str">
        <f>TEXT(Table14513141516171819202122232425[[#This Row],[Order Date]],"mmm")</f>
        <v>Mar</v>
      </c>
      <c r="W4" s="20">
        <f ca="1">IF(Table14513141516171819202122232425[[#This Row],[Order Date]]="","",TODAY()-Table14513141516171819202122232425[[#This Row],[Order Date]])</f>
        <v>769</v>
      </c>
      <c r="X4" s="20" t="str">
        <f ca="1">IF(TODAY()-Table14513141516171819202122232425[[#This Row],[Order Date]]&gt;30,"Old","Recent")</f>
        <v>Old</v>
      </c>
    </row>
    <row r="5" spans="1:24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Table14513141516171819202122232425[[#This Row],[Quantity]]*Table14513141516171819202122232425[[#This Row],[Price]]</f>
        <v>45</v>
      </c>
      <c r="M5" s="19" t="str">
        <f>IF(Table14513141516171819202122232425[[#This Row],[Sales]]&gt;800,"High",IF(Table14513141516171819202122232425[[#This Row],[Sales]]&gt;=500,"Medium","Low"))</f>
        <v>Low</v>
      </c>
      <c r="N5" s="19" t="str" cm="1">
        <f t="array" ref="N5">_xlfn.IFS(AND(Table14513141516171819202122232425[Status]="Delivered",Table14513141516171819202122232425[Sales]&gt;500),"Valid",TRUE,"Check")</f>
        <v>Check</v>
      </c>
      <c r="O5" s="19" t="str">
        <f>LEFT(Table14513141516171819202122232425[[#This Row],[Customer Info]],FIND("|",Table14513141516171819202122232425[[#This Row],[Customer Info]])-2)</f>
        <v>Simran</v>
      </c>
      <c r="P5" s="20" t="str">
        <f>RIGHT(Table14513141516171819202122232425[[#This Row],[Customer Info]],LEN(Table14513141516171819202122232425[[#This Row],[Customer Info]])-FIND("|",Table14513141516171819202122232425[[#This Row],[Customer Info]])-1)</f>
        <v>9012345678</v>
      </c>
      <c r="Q5" s="20" t="str">
        <f>TRIM(Table14513141516171819202122232425[[#This Row],[Customer Info]])</f>
        <v>Simran | 9012345678</v>
      </c>
      <c r="R5" s="20" t="str">
        <f>UPPER(Table14513141516171819202122232425[[#This Row],[Region]])</f>
        <v>UAE</v>
      </c>
      <c r="S5" s="20">
        <f>VALUE(SUBSTITUTE(Table14513141516171819202122232425[[#This Row],[Quantity]],"pcs",""))</f>
        <v>3</v>
      </c>
      <c r="T5" s="20">
        <f>YEAR(Table14513141516171819202122232425[[#This Row],[Order Date]])</f>
        <v>2024</v>
      </c>
      <c r="U5" s="20">
        <f>MONTH(Table14513141516171819202122232425[[#This Row],[Order Date]])</f>
        <v>2</v>
      </c>
      <c r="V5" s="20" t="str">
        <f>TEXT(Table14513141516171819202122232425[[#This Row],[Order Date]],"mmm")</f>
        <v>Feb</v>
      </c>
      <c r="W5" s="20">
        <f ca="1">IF(Table14513141516171819202122232425[[#This Row],[Order Date]]="","",TODAY()-Table14513141516171819202122232425[[#This Row],[Order Date]])</f>
        <v>803</v>
      </c>
      <c r="X5" s="20" t="str">
        <f ca="1">IF(TODAY()-Table14513141516171819202122232425[[#This Row],[Order Date]]&gt;30,"Old","Recent")</f>
        <v>Old</v>
      </c>
    </row>
    <row r="6" spans="1:24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Table14513141516171819202122232425[[#This Row],[Quantity]]*Table14513141516171819202122232425[[#This Row],[Price]]</f>
        <v>120</v>
      </c>
      <c r="M6" s="19" t="str">
        <f>IF(Table14513141516171819202122232425[[#This Row],[Sales]]&gt;800,"High",IF(Table14513141516171819202122232425[[#This Row],[Sales]]&gt;=500,"Medium","Low"))</f>
        <v>Low</v>
      </c>
      <c r="N6" s="19" t="str" cm="1">
        <f t="array" ref="N6">_xlfn.IFS(AND(Table14513141516171819202122232425[Status]="Delivered",Table14513141516171819202122232425[Sales]&gt;500),"Valid",TRUE,"Check")</f>
        <v>Check</v>
      </c>
      <c r="O6" s="19" t="str">
        <f>LEFT(Table14513141516171819202122232425[[#This Row],[Customer Info]],FIND("|",Table14513141516171819202122232425[[#This Row],[Customer Info]])-2)</f>
        <v>Karan</v>
      </c>
      <c r="P6" s="20" t="str">
        <f>RIGHT(Table14513141516171819202122232425[[#This Row],[Customer Info]],LEN(Table14513141516171819202122232425[[#This Row],[Customer Info]])-FIND("|",Table14513141516171819202122232425[[#This Row],[Customer Info]])-1)</f>
        <v>9090909090</v>
      </c>
      <c r="Q6" s="20" t="str">
        <f>TRIM(Table14513141516171819202122232425[[#This Row],[Customer Info]])</f>
        <v>Karan | 9090909090</v>
      </c>
      <c r="R6" s="20" t="str">
        <f>UPPER(Table14513141516171819202122232425[[#This Row],[Region]])</f>
        <v>INDIA</v>
      </c>
      <c r="S6" s="20">
        <f>VALUE(SUBSTITUTE(Table14513141516171819202122232425[[#This Row],[Quantity]],"pcs",""))</f>
        <v>6</v>
      </c>
      <c r="T6" s="20">
        <f>YEAR(Table14513141516171819202122232425[[#This Row],[Order Date]])</f>
        <v>2024</v>
      </c>
      <c r="U6" s="20">
        <f>MONTH(Table14513141516171819202122232425[[#This Row],[Order Date]])</f>
        <v>5</v>
      </c>
      <c r="V6" s="20" t="str">
        <f>TEXT(Table14513141516171819202122232425[[#This Row],[Order Date]],"mmm")</f>
        <v>May</v>
      </c>
      <c r="W6" s="20">
        <f ca="1">IF(Table14513141516171819202122232425[[#This Row],[Order Date]]="","",TODAY()-Table14513141516171819202122232425[[#This Row],[Order Date]])</f>
        <v>712</v>
      </c>
      <c r="X6" s="20" t="str">
        <f ca="1">IF(TODAY()-Table14513141516171819202122232425[[#This Row],[Order Date]]&gt;30,"Old","Recent")</f>
        <v>Old</v>
      </c>
    </row>
    <row r="7" spans="1:24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Table14513141516171819202122232425[[#This Row],[Quantity]]*Table14513141516171819202122232425[[#This Row],[Price]]</f>
        <v>150</v>
      </c>
      <c r="M7" s="19" t="str">
        <f>IF(Table14513141516171819202122232425[[#This Row],[Sales]]&gt;800,"High",IF(Table14513141516171819202122232425[[#This Row],[Sales]]&gt;=500,"Medium","Low"))</f>
        <v>Low</v>
      </c>
      <c r="N7" s="19" t="str" cm="1">
        <f t="array" ref="N7">_xlfn.IFS(AND(Table14513141516171819202122232425[Status]="Delivered",Table14513141516171819202122232425[Sales]&gt;500),"Valid",TRUE,"Check")</f>
        <v>Check</v>
      </c>
      <c r="O7" s="19" t="str">
        <f>LEFT(Table14513141516171819202122232425[[#This Row],[Customer Info]],FIND("|",Table14513141516171819202122232425[[#This Row],[Customer Info]])-2)</f>
        <v>Riya</v>
      </c>
      <c r="P7" s="20" t="str">
        <f>RIGHT(Table14513141516171819202122232425[[#This Row],[Customer Info]],LEN(Table14513141516171819202122232425[[#This Row],[Customer Info]])-FIND("|",Table14513141516171819202122232425[[#This Row],[Customer Info]])-1)</f>
        <v>9345678901</v>
      </c>
      <c r="Q7" s="20" t="str">
        <f>TRIM(Table14513141516171819202122232425[[#This Row],[Customer Info]])</f>
        <v>Riya | 9345678901</v>
      </c>
      <c r="R7" s="20" t="str">
        <f>UPPER(Table14513141516171819202122232425[[#This Row],[Region]])</f>
        <v>US</v>
      </c>
      <c r="S7" s="20">
        <f>VALUE(SUBSTITUTE(Table14513141516171819202122232425[[#This Row],[Quantity]],"pcs",""))</f>
        <v>3</v>
      </c>
      <c r="T7" s="20">
        <f>YEAR(Table14513141516171819202122232425[[#This Row],[Order Date]])</f>
        <v>2024</v>
      </c>
      <c r="U7" s="20">
        <f>MONTH(Table14513141516171819202122232425[[#This Row],[Order Date]])</f>
        <v>6</v>
      </c>
      <c r="V7" s="20" t="str">
        <f>TEXT(Table14513141516171819202122232425[[#This Row],[Order Date]],"mmm")</f>
        <v>Jun</v>
      </c>
      <c r="W7" s="20">
        <f ca="1">IF(Table14513141516171819202122232425[[#This Row],[Order Date]]="","",TODAY()-Table14513141516171819202122232425[[#This Row],[Order Date]])</f>
        <v>685</v>
      </c>
      <c r="X7" s="20" t="str">
        <f ca="1">IF(TODAY()-Table14513141516171819202122232425[[#This Row],[Order Date]]&gt;30,"Old","Recent")</f>
        <v>Old</v>
      </c>
    </row>
    <row r="8" spans="1:24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Table14513141516171819202122232425[[#This Row],[Quantity]]*Table14513141516171819202122232425[[#This Row],[Price]]</f>
        <v>20</v>
      </c>
      <c r="M8" s="19" t="str">
        <f>IF(Table14513141516171819202122232425[[#This Row],[Sales]]&gt;800,"High",IF(Table14513141516171819202122232425[[#This Row],[Sales]]&gt;=500,"Medium","Low"))</f>
        <v>Low</v>
      </c>
      <c r="N8" s="19" t="str" cm="1">
        <f t="array" ref="N8">_xlfn.IFS(AND(Table14513141516171819202122232425[Status]="Delivered",Table14513141516171819202122232425[Sales]&gt;500),"Valid",TRUE,"Check")</f>
        <v>Check</v>
      </c>
      <c r="O8" s="19" t="str">
        <f>LEFT(Table14513141516171819202122232425[[#This Row],[Customer Info]],FIND("|",Table14513141516171819202122232425[[#This Row],[Customer Info]])-2)</f>
        <v>Amit</v>
      </c>
      <c r="P8" s="20" t="str">
        <f>RIGHT(Table14513141516171819202122232425[[#This Row],[Customer Info]],LEN(Table14513141516171819202122232425[[#This Row],[Customer Info]])-FIND("|",Table14513141516171819202122232425[[#This Row],[Customer Info]])-1)</f>
        <v>9234567890</v>
      </c>
      <c r="Q8" s="20" t="str">
        <f>TRIM(Table14513141516171819202122232425[[#This Row],[Customer Info]])</f>
        <v>Amit | 9234567890</v>
      </c>
      <c r="R8" s="20" t="str">
        <f>UPPER(Table14513141516171819202122232425[[#This Row],[Region]])</f>
        <v>INDIA</v>
      </c>
      <c r="S8" s="20">
        <f>VALUE(SUBSTITUTE(Table14513141516171819202122232425[[#This Row],[Quantity]],"pcs",""))</f>
        <v>2</v>
      </c>
      <c r="T8" s="20"/>
      <c r="U8" s="20"/>
      <c r="V8" s="20"/>
      <c r="W8" s="20" t="str">
        <f ca="1">IF(Table14513141516171819202122232425[[#This Row],[Order Date]]="","",TODAY()-Table14513141516171819202122232425[[#This Row],[Order Date]])</f>
        <v/>
      </c>
      <c r="X8" s="20"/>
    </row>
    <row r="9" spans="1:24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Table14513141516171819202122232425[[#This Row],[Quantity]]*Table14513141516171819202122232425[[#This Row],[Price]]</f>
        <v>0</v>
      </c>
      <c r="M9" s="19" t="str">
        <f>IF(Table14513141516171819202122232425[[#This Row],[Sales]]&gt;800,"High",IF(Table14513141516171819202122232425[[#This Row],[Sales]]&gt;=500,"Medium","Low"))</f>
        <v>Low</v>
      </c>
      <c r="N9" s="19" t="str" cm="1">
        <f t="array" ref="N9">_xlfn.IFS(AND(Table14513141516171819202122232425[Status]="Delivered",Table14513141516171819202122232425[Sales]&gt;500),"Valid",TRUE,"Check")</f>
        <v>Check</v>
      </c>
      <c r="O9" s="19" t="str">
        <f>LEFT(Table14513141516171819202122232425[[#This Row],[Customer Info]],FIND("|",Table14513141516171819202122232425[[#This Row],[Customer Info]])-2)</f>
        <v>Sara</v>
      </c>
      <c r="P9" s="20" t="str">
        <f>RIGHT(Table14513141516171819202122232425[[#This Row],[Customer Info]],LEN(Table14513141516171819202122232425[[#This Row],[Customer Info]])-FIND("|",Table14513141516171819202122232425[[#This Row],[Customer Info]])-1)</f>
        <v>9876501234</v>
      </c>
      <c r="Q9" s="20" t="str">
        <f>TRIM(Table14513141516171819202122232425[[#This Row],[Customer Info]])</f>
        <v>Sara | 9876501234</v>
      </c>
      <c r="R9" s="20" t="str">
        <f>UPPER(Table14513141516171819202122232425[[#This Row],[Region]])</f>
        <v>UK</v>
      </c>
      <c r="S9" s="20">
        <f>VALUE(SUBSTITUTE(Table14513141516171819202122232425[[#This Row],[Quantity]],"pcs",""))</f>
        <v>0</v>
      </c>
      <c r="T9" s="20">
        <f>YEAR(Table14513141516171819202122232425[[#This Row],[Order Date]])</f>
        <v>2024</v>
      </c>
      <c r="U9" s="20">
        <f>MONTH(Table14513141516171819202122232425[[#This Row],[Order Date]])</f>
        <v>4</v>
      </c>
      <c r="V9" s="20" t="str">
        <f>TEXT(Table14513141516171819202122232425[[#This Row],[Order Date]],"mmm")</f>
        <v>Apr</v>
      </c>
      <c r="W9" s="20">
        <f ca="1">IF(Table14513141516171819202122232425[[#This Row],[Order Date]]="","",TODAY()-Table14513141516171819202122232425[[#This Row],[Order Date]])</f>
        <v>728</v>
      </c>
      <c r="X9" s="20" t="str">
        <f ca="1">IF(TODAY()-Table14513141516171819202122232425[[#This Row],[Order Date]]&gt;30,"Old","Recent")</f>
        <v>Old</v>
      </c>
    </row>
    <row r="10" spans="1:24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Table14513141516171819202122232425[[#This Row],[Quantity]]*Table14513141516171819202122232425[[#This Row],[Price]]</f>
        <v>160</v>
      </c>
      <c r="M10" s="19" t="str">
        <f>IF(Table14513141516171819202122232425[[#This Row],[Sales]]&gt;800,"High",IF(Table14513141516171819202122232425[[#This Row],[Sales]]&gt;=500,"Medium","Low"))</f>
        <v>Low</v>
      </c>
      <c r="N10" s="19" t="str" cm="1">
        <f t="array" ref="N10">_xlfn.IFS(AND(Table14513141516171819202122232425[Status]="Delivered",Table14513141516171819202122232425[Sales]&gt;500),"Valid",TRUE,"Check")</f>
        <v>Check</v>
      </c>
      <c r="O10" s="19" t="str">
        <f>LEFT(Table14513141516171819202122232425[[#This Row],[Customer Info]],FIND("|",Table14513141516171819202122232425[[#This Row],[Customer Info]])-2)</f>
        <v>John</v>
      </c>
      <c r="P10" s="20" t="str">
        <f>RIGHT(Table14513141516171819202122232425[[#This Row],[Customer Info]],LEN(Table14513141516171819202122232425[[#This Row],[Customer Info]])-FIND("|",Table14513141516171819202122232425[[#This Row],[Customer Info]])-1)</f>
        <v>9988001122</v>
      </c>
      <c r="Q10" s="20" t="str">
        <f>TRIM(Table14513141516171819202122232425[[#This Row],[Customer Info]])</f>
        <v>John | 9988001122</v>
      </c>
      <c r="R10" s="20" t="str">
        <f>UPPER(Table14513141516171819202122232425[[#This Row],[Region]])</f>
        <v>UK</v>
      </c>
      <c r="S10" s="20">
        <f>VALUE(SUBSTITUTE(Table14513141516171819202122232425[[#This Row],[Quantity]],"pcs",""))</f>
        <v>8</v>
      </c>
      <c r="T10" s="20">
        <f>YEAR(Table14513141516171819202122232425[[#This Row],[Order Date]])</f>
        <v>2024</v>
      </c>
      <c r="U10" s="20">
        <f>MONTH(Table14513141516171819202122232425[[#This Row],[Order Date]])</f>
        <v>3</v>
      </c>
      <c r="V10" s="20" t="str">
        <f>TEXT(Table14513141516171819202122232425[[#This Row],[Order Date]],"mmm")</f>
        <v>Mar</v>
      </c>
      <c r="W10" s="20">
        <f ca="1">IF(Table14513141516171819202122232425[[#This Row],[Order Date]]="","",TODAY()-Table14513141516171819202122232425[[#This Row],[Order Date]])</f>
        <v>771</v>
      </c>
      <c r="X10" s="20" t="str">
        <f ca="1">IF(TODAY()-Table14513141516171819202122232425[[#This Row],[Order Date]]&gt;30,"Old","Recent")</f>
        <v>Old</v>
      </c>
    </row>
    <row r="11" spans="1:24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Table14513141516171819202122232425[[#This Row],[Quantity]]*Table14513141516171819202122232425[[#This Row],[Price]]</f>
        <v>300</v>
      </c>
      <c r="M11" s="19" t="str">
        <f>IF(Table14513141516171819202122232425[[#This Row],[Sales]]&gt;800,"High",IF(Table14513141516171819202122232425[[#This Row],[Sales]]&gt;=500,"Medium","Low"))</f>
        <v>Low</v>
      </c>
      <c r="N11" s="19" t="str" cm="1">
        <f t="array" ref="N11">_xlfn.IFS(AND(Table14513141516171819202122232425[Status]="Delivered",Table14513141516171819202122232425[Sales]&gt;500),"Valid",TRUE,"Check")</f>
        <v>Check</v>
      </c>
      <c r="O11" s="19" t="str">
        <f>LEFT(Table14513141516171819202122232425[[#This Row],[Customer Info]],FIND("|",Table14513141516171819202122232425[[#This Row],[Customer Info]])-2)</f>
        <v>Meena</v>
      </c>
      <c r="P11" s="20" t="str">
        <f>RIGHT(Table14513141516171819202122232425[[#This Row],[Customer Info]],LEN(Table14513141516171819202122232425[[#This Row],[Customer Info]])-FIND("|",Table14513141516171819202122232425[[#This Row],[Customer Info]])-1)</f>
        <v>9765432109</v>
      </c>
      <c r="Q11" s="20" t="str">
        <f>TRIM(Table14513141516171819202122232425[[#This Row],[Customer Info]])</f>
        <v>Meena | 9765432109</v>
      </c>
      <c r="R11" s="20" t="str">
        <f>UPPER(Table14513141516171819202122232425[[#This Row],[Region]])</f>
        <v>INDIA</v>
      </c>
      <c r="S11" s="20">
        <f>VALUE(SUBSTITUTE(Table14513141516171819202122232425[[#This Row],[Quantity]],"pcs",""))</f>
        <v>6</v>
      </c>
      <c r="T11" s="20">
        <f>YEAR(Table14513141516171819202122232425[[#This Row],[Order Date]])</f>
        <v>2024</v>
      </c>
      <c r="U11" s="20">
        <f>MONTH(Table14513141516171819202122232425[[#This Row],[Order Date]])</f>
        <v>4</v>
      </c>
      <c r="V11" s="20" t="str">
        <f>TEXT(Table14513141516171819202122232425[[#This Row],[Order Date]],"mmm")</f>
        <v>Apr</v>
      </c>
      <c r="W11" s="20">
        <f ca="1">IF(Table14513141516171819202122232425[[#This Row],[Order Date]]="","",TODAY()-Table14513141516171819202122232425[[#This Row],[Order Date]])</f>
        <v>731</v>
      </c>
      <c r="X11" s="20" t="str">
        <f ca="1">IF(TODAY()-Table14513141516171819202122232425[[#This Row],[Order Date]]&gt;30,"Old","Recent")</f>
        <v>Old</v>
      </c>
    </row>
    <row r="12" spans="1:24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Table14513141516171819202122232425[[#This Row],[Quantity]]*Table14513141516171819202122232425[[#This Row],[Price]]</f>
        <v>100</v>
      </c>
      <c r="M12" s="19" t="str">
        <f>IF(Table14513141516171819202122232425[[#This Row],[Sales]]&gt;800,"High",IF(Table14513141516171819202122232425[[#This Row],[Sales]]&gt;=500,"Medium","Low"))</f>
        <v>Low</v>
      </c>
      <c r="N12" s="19" t="str" cm="1">
        <f t="array" ref="N12">_xlfn.IFS(AND(Table14513141516171819202122232425[Status]="Delivered",Table14513141516171819202122232425[Sales]&gt;500),"Valid",TRUE,"Check")</f>
        <v>Check</v>
      </c>
      <c r="O12" s="19" t="str">
        <f>LEFT(Table14513141516171819202122232425[[#This Row],[Customer Info]],FIND("|",Table14513141516171819202122232425[[#This Row],[Customer Info]])-2)</f>
        <v>Vikram</v>
      </c>
      <c r="P12" s="20" t="str">
        <f>RIGHT(Table14513141516171819202122232425[[#This Row],[Customer Info]],LEN(Table14513141516171819202122232425[[#This Row],[Customer Info]])-FIND("|",Table14513141516171819202122232425[[#This Row],[Customer Info]])-1)</f>
        <v>9123001122</v>
      </c>
      <c r="Q12" s="20" t="str">
        <f>TRIM(Table14513141516171819202122232425[[#This Row],[Customer Info]])</f>
        <v>Vikram | 9123001122</v>
      </c>
      <c r="R12" s="20" t="str">
        <f>UPPER(Table14513141516171819202122232425[[#This Row],[Region]])</f>
        <v>INDIA</v>
      </c>
      <c r="S12" s="20">
        <f>VALUE(SUBSTITUTE(Table14513141516171819202122232425[[#This Row],[Quantity]],"pcs",""))</f>
        <v>5</v>
      </c>
      <c r="T12" s="20">
        <f>YEAR(Table14513141516171819202122232425[[#This Row],[Order Date]])</f>
        <v>2024</v>
      </c>
      <c r="U12" s="20">
        <f>MONTH(Table14513141516171819202122232425[[#This Row],[Order Date]])</f>
        <v>2</v>
      </c>
      <c r="V12" s="20" t="str">
        <f>TEXT(Table14513141516171819202122232425[[#This Row],[Order Date]],"mmm")</f>
        <v>Feb</v>
      </c>
      <c r="W12" s="20">
        <f ca="1">IF(Table14513141516171819202122232425[[#This Row],[Order Date]]="","",TODAY()-Table14513141516171819202122232425[[#This Row],[Order Date]])</f>
        <v>795</v>
      </c>
      <c r="X12" s="20" t="str">
        <f ca="1">IF(TODAY()-Table14513141516171819202122232425[[#This Row],[Order Date]]&gt;30,"Old","Recent")</f>
        <v>Old</v>
      </c>
    </row>
    <row r="13" spans="1:24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Table14513141516171819202122232425[[#This Row],[Quantity]]*Table14513141516171819202122232425[[#This Row],[Price]]</f>
        <v>100</v>
      </c>
      <c r="M13" s="19" t="str">
        <f>IF(Table14513141516171819202122232425[[#This Row],[Sales]]&gt;800,"High",IF(Table14513141516171819202122232425[[#This Row],[Sales]]&gt;=500,"Medium","Low"))</f>
        <v>Low</v>
      </c>
      <c r="N13" s="19" t="str" cm="1">
        <f t="array" ref="N13">_xlfn.IFS(AND(Table14513141516171819202122232425[Status]="Delivered",Table14513141516171819202122232425[Sales]&gt;500),"Valid",TRUE,"Check")</f>
        <v>Check</v>
      </c>
      <c r="O13" s="19" t="str">
        <f>LEFT(Table14513141516171819202122232425[[#This Row],[Customer Info]],FIND("|",Table14513141516171819202122232425[[#This Row],[Customer Info]])-2)</f>
        <v>Pooja</v>
      </c>
      <c r="P13" s="20" t="str">
        <f>RIGHT(Table14513141516171819202122232425[[#This Row],[Customer Info]],LEN(Table14513141516171819202122232425[[#This Row],[Customer Info]])-FIND("|",Table14513141516171819202122232425[[#This Row],[Customer Info]])-1)</f>
        <v>9345001123</v>
      </c>
      <c r="Q13" s="20" t="str">
        <f>TRIM(Table14513141516171819202122232425[[#This Row],[Customer Info]])</f>
        <v>Pooja | 9345001123</v>
      </c>
      <c r="R13" s="20" t="str">
        <f>UPPER(Table14513141516171819202122232425[[#This Row],[Region]])</f>
        <v>US</v>
      </c>
      <c r="S13" s="20">
        <f>VALUE(SUBSTITUTE(Table14513141516171819202122232425[[#This Row],[Quantity]],"pcs",""))</f>
        <v>2</v>
      </c>
      <c r="T13" s="20">
        <f>YEAR(Table14513141516171819202122232425[[#This Row],[Order Date]])</f>
        <v>2024</v>
      </c>
      <c r="U13" s="20">
        <f>MONTH(Table14513141516171819202122232425[[#This Row],[Order Date]])</f>
        <v>3</v>
      </c>
      <c r="V13" s="20" t="str">
        <f>TEXT(Table14513141516171819202122232425[[#This Row],[Order Date]],"mmm")</f>
        <v>Mar</v>
      </c>
      <c r="W13" s="20">
        <f ca="1">IF(Table14513141516171819202122232425[[#This Row],[Order Date]]="","",TODAY()-Table14513141516171819202122232425[[#This Row],[Order Date]])</f>
        <v>765</v>
      </c>
      <c r="X13" s="20" t="str">
        <f ca="1">IF(TODAY()-Table14513141516171819202122232425[[#This Row],[Order Date]]&gt;30,"Old","Recent")</f>
        <v>Old</v>
      </c>
    </row>
    <row r="14" spans="1:24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Table14513141516171819202122232425[[#This Row],[Quantity]]*Table14513141516171819202122232425[[#This Row],[Price]]</f>
        <v>45</v>
      </c>
      <c r="M14" s="19" t="str">
        <f>IF(Table14513141516171819202122232425[[#This Row],[Sales]]&gt;800,"High",IF(Table14513141516171819202122232425[[#This Row],[Sales]]&gt;=500,"Medium","Low"))</f>
        <v>Low</v>
      </c>
      <c r="N14" s="19" t="str" cm="1">
        <f t="array" ref="N14">_xlfn.IFS(AND(Table14513141516171819202122232425[Status]="Delivered",Table14513141516171819202122232425[Sales]&gt;500),"Valid",TRUE,"Check")</f>
        <v>Check</v>
      </c>
      <c r="O14" s="19" t="str">
        <f>LEFT(Table14513141516171819202122232425[[#This Row],[Customer Info]],FIND("|",Table14513141516171819202122232425[[#This Row],[Customer Info]])-2)</f>
        <v>Kiran</v>
      </c>
      <c r="P14" s="20" t="str">
        <f>RIGHT(Table14513141516171819202122232425[[#This Row],[Customer Info]],LEN(Table14513141516171819202122232425[[#This Row],[Customer Info]])-FIND("|",Table14513141516171819202122232425[[#This Row],[Customer Info]])-1)</f>
        <v>9000011122</v>
      </c>
      <c r="Q14" s="20" t="str">
        <f>TRIM(Table14513141516171819202122232425[[#This Row],[Customer Info]])</f>
        <v>Kiran | 9000011122</v>
      </c>
      <c r="R14" s="20" t="str">
        <f>UPPER(Table14513141516171819202122232425[[#This Row],[Region]])</f>
        <v>UAE</v>
      </c>
      <c r="S14" s="20">
        <f>VALUE(SUBSTITUTE(Table14513141516171819202122232425[[#This Row],[Quantity]],"pcs",""))</f>
        <v>3</v>
      </c>
      <c r="T14" s="20">
        <f>YEAR(Table14513141516171819202122232425[[#This Row],[Order Date]])</f>
        <v>2024</v>
      </c>
      <c r="U14" s="20">
        <f>MONTH(Table14513141516171819202122232425[[#This Row],[Order Date]])</f>
        <v>1</v>
      </c>
      <c r="V14" s="20" t="str">
        <f>TEXT(Table14513141516171819202122232425[[#This Row],[Order Date]],"mmm")</f>
        <v>Jan</v>
      </c>
      <c r="W14" s="20">
        <f ca="1">IF(Table14513141516171819202122232425[[#This Row],[Order Date]]="","",TODAY()-Table14513141516171819202122232425[[#This Row],[Order Date]])</f>
        <v>823</v>
      </c>
      <c r="X14" s="20" t="str">
        <f ca="1">IF(TODAY()-Table14513141516171819202122232425[[#This Row],[Order Date]]&gt;30,"Old","Recent")</f>
        <v>Old</v>
      </c>
    </row>
    <row r="15" spans="1:24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Table14513141516171819202122232425[[#This Row],[Quantity]]*Table14513141516171819202122232425[[#This Row],[Price]]</f>
        <v>10</v>
      </c>
      <c r="M15" s="19" t="str">
        <f>IF(Table14513141516171819202122232425[[#This Row],[Sales]]&gt;800,"High",IF(Table14513141516171819202122232425[[#This Row],[Sales]]&gt;=500,"Medium","Low"))</f>
        <v>Low</v>
      </c>
      <c r="N15" s="19" t="str" cm="1">
        <f t="array" ref="N15">_xlfn.IFS(AND(Table14513141516171819202122232425[Status]="Delivered",Table14513141516171819202122232425[Sales]&gt;500),"Valid",TRUE,"Check")</f>
        <v>Check</v>
      </c>
      <c r="O15" s="19" t="str">
        <f>LEFT(Table14513141516171819202122232425[[#This Row],[Customer Info]],FIND("|",Table14513141516171819202122232425[[#This Row],[Customer Info]])-2)</f>
        <v>Anil</v>
      </c>
      <c r="P15" s="20" t="str">
        <f>RIGHT(Table14513141516171819202122232425[[#This Row],[Customer Info]],LEN(Table14513141516171819202122232425[[#This Row],[Customer Info]])-FIND("|",Table14513141516171819202122232425[[#This Row],[Customer Info]])-1)</f>
        <v>9888800011</v>
      </c>
      <c r="Q15" s="20" t="str">
        <f>TRIM(Table14513141516171819202122232425[[#This Row],[Customer Info]])</f>
        <v>Anil | 9888800011</v>
      </c>
      <c r="R15" s="20" t="str">
        <f>UPPER(Table14513141516171819202122232425[[#This Row],[Region]])</f>
        <v>INDIA</v>
      </c>
      <c r="S15" s="20">
        <f>VALUE(SUBSTITUTE(Table14513141516171819202122232425[[#This Row],[Quantity]],"pcs",""))</f>
        <v>1</v>
      </c>
      <c r="T15" s="20">
        <f>YEAR(Table14513141516171819202122232425[[#This Row],[Order Date]])</f>
        <v>2024</v>
      </c>
      <c r="U15" s="20">
        <f>MONTH(Table14513141516171819202122232425[[#This Row],[Order Date]])</f>
        <v>5</v>
      </c>
      <c r="V15" s="20" t="str">
        <f>TEXT(Table14513141516171819202122232425[[#This Row],[Order Date]],"mmm")</f>
        <v>May</v>
      </c>
      <c r="W15" s="20">
        <f ca="1">IF(Table14513141516171819202122232425[[#This Row],[Order Date]]="","",TODAY()-Table14513141516171819202122232425[[#This Row],[Order Date]])</f>
        <v>718</v>
      </c>
      <c r="X15" s="20" t="str">
        <f ca="1">IF(TODAY()-Table14513141516171819202122232425[[#This Row],[Order Date]]&gt;30,"Old","Recent")</f>
        <v>Old</v>
      </c>
    </row>
    <row r="16" spans="1:24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Table14513141516171819202122232425[[#This Row],[Quantity]]*Table14513141516171819202122232425[[#This Row],[Price]]</f>
        <v>200</v>
      </c>
      <c r="M16" s="19" t="str">
        <f>IF(Table14513141516171819202122232425[[#This Row],[Sales]]&gt;800,"High",IF(Table14513141516171819202122232425[[#This Row],[Sales]]&gt;=500,"Medium","Low"))</f>
        <v>Low</v>
      </c>
      <c r="N16" s="19" t="str" cm="1">
        <f t="array" ref="N16">_xlfn.IFS(AND(Table14513141516171819202122232425[Status]="Delivered",Table14513141516171819202122232425[Sales]&gt;500),"Valid",TRUE,"Check")</f>
        <v>Check</v>
      </c>
      <c r="O16" s="19" t="str">
        <f>LEFT(Table14513141516171819202122232425[[#This Row],[Customer Info]],FIND("|",Table14513141516171819202122232425[[#This Row],[Customer Info]])-2)</f>
        <v>Divya</v>
      </c>
      <c r="P16" s="20" t="str">
        <f>RIGHT(Table14513141516171819202122232425[[#This Row],[Customer Info]],LEN(Table14513141516171819202122232425[[#This Row],[Customer Info]])-FIND("|",Table14513141516171819202122232425[[#This Row],[Customer Info]])-1)</f>
        <v>9777700011</v>
      </c>
      <c r="Q16" s="20" t="str">
        <f>TRIM(Table14513141516171819202122232425[[#This Row],[Customer Info]])</f>
        <v>Divya | 9777700011</v>
      </c>
      <c r="R16" s="20" t="str">
        <f>UPPER(Table14513141516171819202122232425[[#This Row],[Region]])</f>
        <v>UK</v>
      </c>
      <c r="S16" s="20">
        <f>VALUE(SUBSTITUTE(Table14513141516171819202122232425[[#This Row],[Quantity]],"pcs",""))</f>
        <v>4</v>
      </c>
      <c r="T16" s="20">
        <f>YEAR(Table14513141516171819202122232425[[#This Row],[Order Date]])</f>
        <v>2024</v>
      </c>
      <c r="U16" s="20">
        <f>MONTH(Table14513141516171819202122232425[[#This Row],[Order Date]])</f>
        <v>6</v>
      </c>
      <c r="V16" s="20" t="str">
        <f>TEXT(Table14513141516171819202122232425[[#This Row],[Order Date]],"mmm")</f>
        <v>Jun</v>
      </c>
      <c r="W16" s="20">
        <f ca="1">IF(Table14513141516171819202122232425[[#This Row],[Order Date]]="","",TODAY()-Table14513141516171819202122232425[[#This Row],[Order Date]])</f>
        <v>680</v>
      </c>
      <c r="X16" s="20" t="str">
        <f ca="1">IF(TODAY()-Table14513141516171819202122232425[[#This Row],[Order Date]]&gt;30,"Old","Recent")</f>
        <v>Old</v>
      </c>
    </row>
    <row r="17" spans="1:24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Table14513141516171819202122232425[[#This Row],[Quantity]]*Table14513141516171819202122232425[[#This Row],[Price]]</f>
        <v>140</v>
      </c>
      <c r="M17" s="19" t="str">
        <f>IF(Table14513141516171819202122232425[[#This Row],[Sales]]&gt;800,"High",IF(Table14513141516171819202122232425[[#This Row],[Sales]]&gt;=500,"Medium","Low"))</f>
        <v>Low</v>
      </c>
      <c r="N17" s="19" t="str" cm="1">
        <f t="array" ref="N17">_xlfn.IFS(AND(Table14513141516171819202122232425[Status]="Delivered",Table14513141516171819202122232425[Sales]&gt;500),"Valid",TRUE,"Check")</f>
        <v>Check</v>
      </c>
      <c r="O17" s="19" t="str">
        <f>LEFT(Table14513141516171819202122232425[[#This Row],[Customer Info]],FIND("|",Table14513141516171819202122232425[[#This Row],[Customer Info]])-2)</f>
        <v>Rahul</v>
      </c>
      <c r="P17" s="20" t="str">
        <f>RIGHT(Table14513141516171819202122232425[[#This Row],[Customer Info]],LEN(Table14513141516171819202122232425[[#This Row],[Customer Info]])-FIND("|",Table14513141516171819202122232425[[#This Row],[Customer Info]])-1)</f>
        <v>9666600011</v>
      </c>
      <c r="Q17" s="20" t="str">
        <f>TRIM(Table14513141516171819202122232425[[#This Row],[Customer Info]])</f>
        <v>Rahul | 9666600011</v>
      </c>
      <c r="R17" s="20" t="str">
        <f>UPPER(Table14513141516171819202122232425[[#This Row],[Region]])</f>
        <v>INDIA</v>
      </c>
      <c r="S17" s="20">
        <f>VALUE(SUBSTITUTE(Table14513141516171819202122232425[[#This Row],[Quantity]],"pcs",""))</f>
        <v>7</v>
      </c>
      <c r="T17" s="20">
        <f>YEAR(Table14513141516171819202122232425[[#This Row],[Order Date]])</f>
        <v>2024</v>
      </c>
      <c r="U17" s="20">
        <f>MONTH(Table14513141516171819202122232425[[#This Row],[Order Date]])</f>
        <v>4</v>
      </c>
      <c r="V17" s="20" t="str">
        <f>TEXT(Table14513141516171819202122232425[[#This Row],[Order Date]],"mmm")</f>
        <v>Apr</v>
      </c>
      <c r="W17" s="20">
        <f ca="1">IF(Table14513141516171819202122232425[[#This Row],[Order Date]]="","",TODAY()-Table14513141516171819202122232425[[#This Row],[Order Date]])</f>
        <v>746</v>
      </c>
      <c r="X17" s="20" t="str">
        <f ca="1">IF(TODAY()-Table14513141516171819202122232425[[#This Row],[Order Date]]&gt;30,"Old","Recent")</f>
        <v>Old</v>
      </c>
    </row>
    <row r="18" spans="1:24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Table14513141516171819202122232425[[#This Row],[Quantity]]*Table14513141516171819202122232425[[#This Row],[Price]]</f>
        <v>30</v>
      </c>
      <c r="M18" s="19" t="str">
        <f>IF(Table14513141516171819202122232425[[#This Row],[Sales]]&gt;800,"High",IF(Table14513141516171819202122232425[[#This Row],[Sales]]&gt;=500,"Medium","Low"))</f>
        <v>Low</v>
      </c>
      <c r="N18" s="19" t="str" cm="1">
        <f t="array" ref="N18">_xlfn.IFS(AND(Table14513141516171819202122232425[Status]="Delivered",Table14513141516171819202122232425[Sales]&gt;500),"Valid",TRUE,"Check")</f>
        <v>Check</v>
      </c>
      <c r="O18" s="19" t="str">
        <f>LEFT(Table14513141516171819202122232425[[#This Row],[Customer Info]],FIND("|",Table14513141516171819202122232425[[#This Row],[Customer Info]])-2)</f>
        <v>Sneha</v>
      </c>
      <c r="P18" s="20" t="str">
        <f>RIGHT(Table14513141516171819202122232425[[#This Row],[Customer Info]],LEN(Table14513141516171819202122232425[[#This Row],[Customer Info]])-FIND("|",Table14513141516171819202122232425[[#This Row],[Customer Info]])-1)</f>
        <v>9555500011</v>
      </c>
      <c r="Q18" s="20" t="str">
        <f>TRIM(Table14513141516171819202122232425[[#This Row],[Customer Info]])</f>
        <v>Sneha | 9555500011</v>
      </c>
      <c r="R18" s="20" t="str">
        <f>UPPER(Table14513141516171819202122232425[[#This Row],[Region]])</f>
        <v>UAE</v>
      </c>
      <c r="S18" s="20">
        <f>VALUE(SUBSTITUTE(Table14513141516171819202122232425[[#This Row],[Quantity]],"pcs",""))</f>
        <v>2</v>
      </c>
      <c r="T18" s="20">
        <f>YEAR(Table14513141516171819202122232425[[#This Row],[Order Date]])</f>
        <v>2024</v>
      </c>
      <c r="U18" s="20">
        <f>MONTH(Table14513141516171819202122232425[[#This Row],[Order Date]])</f>
        <v>2</v>
      </c>
      <c r="V18" s="20" t="str">
        <f>TEXT(Table14513141516171819202122232425[[#This Row],[Order Date]],"mmm")</f>
        <v>Feb</v>
      </c>
      <c r="W18" s="20">
        <f ca="1">IF(Table14513141516171819202122232425[[#This Row],[Order Date]]="","",TODAY()-Table14513141516171819202122232425[[#This Row],[Order Date]])</f>
        <v>802</v>
      </c>
      <c r="X18" s="20" t="str">
        <f ca="1">IF(TODAY()-Table14513141516171819202122232425[[#This Row],[Order Date]]&gt;30,"Old","Recent")</f>
        <v>Old</v>
      </c>
    </row>
    <row r="19" spans="1:24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Table14513141516171819202122232425[[#This Row],[Quantity]]*Table14513141516171819202122232425[[#This Row],[Price]]</f>
        <v>120</v>
      </c>
      <c r="M19" s="19" t="str">
        <f>IF(Table14513141516171819202122232425[[#This Row],[Sales]]&gt;800,"High",IF(Table14513141516171819202122232425[[#This Row],[Sales]]&gt;=500,"Medium","Low"))</f>
        <v>Low</v>
      </c>
      <c r="N19" s="19" t="str" cm="1">
        <f t="array" ref="N19">_xlfn.IFS(AND(Table14513141516171819202122232425[Status]="Delivered",Table14513141516171819202122232425[Sales]&gt;500),"Valid",TRUE,"Check")</f>
        <v>Check</v>
      </c>
      <c r="O19" s="19" t="str">
        <f>LEFT(Table14513141516171819202122232425[[#This Row],[Customer Info]],FIND("|",Table14513141516171819202122232425[[#This Row],[Customer Info]])-2)</f>
        <v>Karthik</v>
      </c>
      <c r="P19" s="20" t="str">
        <f>RIGHT(Table14513141516171819202122232425[[#This Row],[Customer Info]],LEN(Table14513141516171819202122232425[[#This Row],[Customer Info]])-FIND("|",Table14513141516171819202122232425[[#This Row],[Customer Info]])-1)</f>
        <v>9001122334</v>
      </c>
      <c r="Q19" s="20" t="str">
        <f>TRIM(Table14513141516171819202122232425[[#This Row],[Customer Info]])</f>
        <v>Karthik | 9001122334</v>
      </c>
      <c r="R19" s="20" t="str">
        <f>UPPER(Table14513141516171819202122232425[[#This Row],[Region]])</f>
        <v>INDIA</v>
      </c>
      <c r="S19" s="20">
        <f>VALUE(SUBSTITUTE(Table14513141516171819202122232425[[#This Row],[Quantity]],"pcs",""))</f>
        <v>6</v>
      </c>
      <c r="T19" s="20">
        <f>YEAR(Table14513141516171819202122232425[[#This Row],[Order Date]])</f>
        <v>2024</v>
      </c>
      <c r="U19" s="20">
        <f>MONTH(Table14513141516171819202122232425[[#This Row],[Order Date]])</f>
        <v>4</v>
      </c>
      <c r="V19" s="20" t="str">
        <f>TEXT(Table14513141516171819202122232425[[#This Row],[Order Date]],"mmm")</f>
        <v>Apr</v>
      </c>
      <c r="W19" s="20">
        <f ca="1">IF(Table14513141516171819202122232425[[#This Row],[Order Date]]="","",TODAY()-Table14513141516171819202122232425[[#This Row],[Order Date]])</f>
        <v>743</v>
      </c>
      <c r="X19" s="20" t="str">
        <f ca="1">IF(TODAY()-Table14513141516171819202122232425[[#This Row],[Order Date]]&gt;30,"Old","Recent")</f>
        <v>Old</v>
      </c>
    </row>
    <row r="20" spans="1:24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Table14513141516171819202122232425[[#This Row],[Quantity]]*Table14513141516171819202122232425[[#This Row],[Price]]</f>
        <v>350</v>
      </c>
      <c r="M20" s="19" t="str">
        <f>IF(Table14513141516171819202122232425[[#This Row],[Sales]]&gt;800,"High",IF(Table14513141516171819202122232425[[#This Row],[Sales]]&gt;=500,"Medium","Low"))</f>
        <v>Low</v>
      </c>
      <c r="N20" s="19" t="str" cm="1">
        <f t="array" ref="N20">_xlfn.IFS(AND(Table14513141516171819202122232425[Status]="Delivered",Table14513141516171819202122232425[Sales]&gt;500),"Valid",TRUE,"Check")</f>
        <v>Check</v>
      </c>
      <c r="O20" s="19" t="str">
        <f>LEFT(Table14513141516171819202122232425[[#This Row],[Customer Info]],FIND("|",Table14513141516171819202122232425[[#This Row],[Customer Info]])-2)</f>
        <v>Lavanya</v>
      </c>
      <c r="P20" s="20" t="str">
        <f>RIGHT(Table14513141516171819202122232425[[#This Row],[Customer Info]],LEN(Table14513141516171819202122232425[[#This Row],[Customer Info]])-FIND("|",Table14513141516171819202122232425[[#This Row],[Customer Info]])-1)</f>
        <v>9011223344</v>
      </c>
      <c r="Q20" s="20" t="str">
        <f>TRIM(Table14513141516171819202122232425[[#This Row],[Customer Info]])</f>
        <v>Lavanya | 9011223344</v>
      </c>
      <c r="R20" s="20" t="str">
        <f>UPPER(Table14513141516171819202122232425[[#This Row],[Region]])</f>
        <v>US</v>
      </c>
      <c r="S20" s="20">
        <f>VALUE(SUBSTITUTE(Table14513141516171819202122232425[[#This Row],[Quantity]],"pcs",""))</f>
        <v>7</v>
      </c>
      <c r="T20" s="20">
        <f>YEAR(Table14513141516171819202122232425[[#This Row],[Order Date]])</f>
        <v>2024</v>
      </c>
      <c r="U20" s="20">
        <f>MONTH(Table14513141516171819202122232425[[#This Row],[Order Date]])</f>
        <v>5</v>
      </c>
      <c r="V20" s="20" t="str">
        <f>TEXT(Table14513141516171819202122232425[[#This Row],[Order Date]],"mmm")</f>
        <v>May</v>
      </c>
      <c r="W20" s="20">
        <f ca="1">IF(Table14513141516171819202122232425[[#This Row],[Order Date]]="","",TODAY()-Table14513141516171819202122232425[[#This Row],[Order Date]])</f>
        <v>715</v>
      </c>
      <c r="X20" s="20" t="str">
        <f ca="1">IF(TODAY()-Table14513141516171819202122232425[[#This Row],[Order Date]]&gt;30,"Old","Recent")</f>
        <v>Old</v>
      </c>
    </row>
    <row r="21" spans="1:24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Table14513141516171819202122232425[[#This Row],[Quantity]]*Table14513141516171819202122232425[[#This Row],[Price]]</f>
        <v>30</v>
      </c>
      <c r="M21" s="19" t="str">
        <f>IF(Table14513141516171819202122232425[[#This Row],[Sales]]&gt;800,"High",IF(Table14513141516171819202122232425[[#This Row],[Sales]]&gt;=500,"Medium","Low"))</f>
        <v>Low</v>
      </c>
      <c r="N21" s="19" t="str" cm="1">
        <f t="array" ref="N21">_xlfn.IFS(AND(Table14513141516171819202122232425[Status]="Delivered",Table14513141516171819202122232425[Sales]&gt;500),"Valid",TRUE,"Check")</f>
        <v>Check</v>
      </c>
      <c r="O21" s="19" t="str">
        <f>LEFT(Table14513141516171819202122232425[[#This Row],[Customer Info]],FIND("|",Table14513141516171819202122232425[[#This Row],[Customer Info]])-2)</f>
        <v>Manoj</v>
      </c>
      <c r="P21" s="20" t="str">
        <f>RIGHT(Table14513141516171819202122232425[[#This Row],[Customer Info]],LEN(Table14513141516171819202122232425[[#This Row],[Customer Info]])-FIND("|",Table14513141516171819202122232425[[#This Row],[Customer Info]])-1)</f>
        <v>9022334455</v>
      </c>
      <c r="Q21" s="20" t="str">
        <f>TRIM(Table14513141516171819202122232425[[#This Row],[Customer Info]])</f>
        <v>Manoj | 9022334455</v>
      </c>
      <c r="R21" s="20" t="str">
        <f>UPPER(Table14513141516171819202122232425[[#This Row],[Region]])</f>
        <v>UK</v>
      </c>
      <c r="S21" s="20">
        <f>VALUE(SUBSTITUTE(Table14513141516171819202122232425[[#This Row],[Quantity]],"pcs",""))</f>
        <v>3</v>
      </c>
      <c r="T21" s="20"/>
      <c r="U21" s="20"/>
      <c r="V21" s="20"/>
      <c r="W21" s="20" t="str">
        <f ca="1">IF(Table14513141516171819202122232425[[#This Row],[Order Date]]="","",TODAY()-Table14513141516171819202122232425[[#This Row],[Order Date]])</f>
        <v/>
      </c>
      <c r="X21" s="20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3351-9BEA-49A7-A9AF-F25AB5971388}">
  <dimension ref="A1:AG21"/>
  <sheetViews>
    <sheetView topLeftCell="S1" zoomScale="69" zoomScaleNormal="69" workbookViewId="0">
      <selection activeCell="AI3" sqref="AI3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  <col min="24" max="24" width="16.33203125" customWidth="1"/>
  </cols>
  <sheetData>
    <row r="1" spans="1:33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</row>
    <row r="2" spans="1:33" ht="24" customHeight="1" thickBot="1" x14ac:dyDescent="0.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Table1451314151617181920212223242526[[#This Row],[Quantity]]*Table1451314151617181920212223242526[[#This Row],[Price]]</f>
        <v>200</v>
      </c>
      <c r="M2" s="19" t="str">
        <f>IF(Table1451314151617181920212223242526[[#This Row],[Sales]]&gt;800,"High",IF(Table1451314151617181920212223242526[[#This Row],[Sales]]&gt;=500,"Medium","Low"))</f>
        <v>Low</v>
      </c>
      <c r="N2" s="19" t="str" cm="1">
        <f t="array" ref="N2">_xlfn.IFS(AND(Table1451314151617181920212223242526[Status]="Delivered",Table1451314151617181920212223242526[Sales]&gt;500),"Valid",TRUE,"Check")</f>
        <v>Check</v>
      </c>
      <c r="O2" s="19" t="str">
        <f>LEFT(Table1451314151617181920212223242526[[#This Row],[Customer Info]],FIND("|",Table1451314151617181920212223242526[[#This Row],[Customer Info]])-2)</f>
        <v>Arjun</v>
      </c>
      <c r="P2" s="20" t="str">
        <f>RIGHT(Table1451314151617181920212223242526[[#This Row],[Customer Info]],LEN(Table1451314151617181920212223242526[[#This Row],[Customer Info]])-FIND("|",Table1451314151617181920212223242526[[#This Row],[Customer Info]])-1)</f>
        <v>9876543210</v>
      </c>
      <c r="Q2" s="20" t="str">
        <f>TRIM(Table1451314151617181920212223242526[[#This Row],[Customer Info]])</f>
        <v>Arjun | 9876543210</v>
      </c>
      <c r="R2" s="20" t="str">
        <f>UPPER(Table1451314151617181920212223242526[[#This Row],[Region]])</f>
        <v>INDIA</v>
      </c>
      <c r="S2" s="20">
        <f>VALUE(SUBSTITUTE(Table1451314151617181920212223242526[[#This Row],[Quantity]],"pcs",""))</f>
        <v>10</v>
      </c>
      <c r="T2" s="20">
        <f>YEAR(Table1451314151617181920212223242526[[#This Row],[Order Date]])</f>
        <v>2024</v>
      </c>
      <c r="U2" s="20">
        <f>MONTH(Table1451314151617181920212223242526[[#This Row],[Order Date]])</f>
        <v>4</v>
      </c>
      <c r="V2" s="20" t="str">
        <f>TEXT(Table1451314151617181920212223242526[[#This Row],[Order Date]],"mmm")</f>
        <v>Apr</v>
      </c>
      <c r="W2" s="20">
        <f ca="1">IF(Table1451314151617181920212223242526[[#This Row],[Order Date]]="","",TODAY()-Table1451314151617181920212223242526[[#This Row],[Order Date]])</f>
        <v>741</v>
      </c>
      <c r="X2" s="20" t="str">
        <f ca="1">IF(TODAY()-Table1451314151617181920212223242526[[#This Row],[Order Date]]&gt;30,"Old","Recent")</f>
        <v>Old</v>
      </c>
      <c r="AF2" s="15" t="s">
        <v>75</v>
      </c>
      <c r="AG2" s="15"/>
    </row>
    <row r="3" spans="1:33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Table1451314151617181920212223242526[[#This Row],[Quantity]]*Table1451314151617181920212223242526[[#This Row],[Price]]</f>
        <v>250</v>
      </c>
      <c r="M3" s="19" t="str">
        <f>IF(Table1451314151617181920212223242526[[#This Row],[Sales]]&gt;800,"High",IF(Table1451314151617181920212223242526[[#This Row],[Sales]]&gt;=500,"Medium","Low"))</f>
        <v>Low</v>
      </c>
      <c r="N3" s="19" t="str" cm="1">
        <f t="array" ref="N3">_xlfn.IFS(AND(Table1451314151617181920212223242526[Status]="Delivered",Table1451314151617181920212223242526[Sales]&gt;500),"Valid",TRUE,"Check")</f>
        <v>Check</v>
      </c>
      <c r="O3" s="19" t="str">
        <f>LEFT(Table1451314151617181920212223242526[[#This Row],[Customer Info]],FIND("|",Table1451314151617181920212223242526[[#This Row],[Customer Info]])-2)</f>
        <v>Neha</v>
      </c>
      <c r="P3" s="20" t="str">
        <f>RIGHT(Table1451314151617181920212223242526[[#This Row],[Customer Info]],LEN(Table1451314151617181920212223242526[[#This Row],[Customer Info]])-FIND("|",Table1451314151617181920212223242526[[#This Row],[Customer Info]])-1)</f>
        <v>9123456780</v>
      </c>
      <c r="Q3" s="20" t="str">
        <f>TRIM(Table1451314151617181920212223242526[[#This Row],[Customer Info]])</f>
        <v>Neha | 9123456780</v>
      </c>
      <c r="R3" s="20" t="str">
        <f>UPPER(Table1451314151617181920212223242526[[#This Row],[Region]])</f>
        <v>US</v>
      </c>
      <c r="S3" s="20">
        <f>VALUE(SUBSTITUTE(Table1451314151617181920212223242526[[#This Row],[Quantity]],"pcs",""))</f>
        <v>5</v>
      </c>
      <c r="T3" s="20"/>
      <c r="U3" s="20"/>
      <c r="V3" s="20"/>
      <c r="W3" s="20" t="str">
        <f ca="1">IF(Table1451314151617181920212223242526[[#This Row],[Order Date]]="","",TODAY()-Table1451314151617181920212223242526[[#This Row],[Order Date]])</f>
        <v/>
      </c>
      <c r="X3" s="20"/>
    </row>
    <row r="4" spans="1:33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Table1451314151617181920212223242526[[#This Row],[Quantity]]*Table1451314151617181920212223242526[[#This Row],[Price]]</f>
        <v>80</v>
      </c>
      <c r="M4" s="19" t="str">
        <f>IF(Table1451314151617181920212223242526[[#This Row],[Sales]]&gt;800,"High",IF(Table1451314151617181920212223242526[[#This Row],[Sales]]&gt;=500,"Medium","Low"))</f>
        <v>Low</v>
      </c>
      <c r="N4" s="19" t="str" cm="1">
        <f t="array" ref="N4">_xlfn.IFS(AND(Table1451314151617181920212223242526[Status]="Delivered",Table1451314151617181920212223242526[Sales]&gt;500),"Valid",TRUE,"Check")</f>
        <v>Check</v>
      </c>
      <c r="O4" s="19" t="str">
        <f>LEFT(Table1451314151617181920212223242526[[#This Row],[Customer Info]],FIND("|",Table1451314151617181920212223242526[[#This Row],[Customer Info]])-2)</f>
        <v>Rohit</v>
      </c>
      <c r="P4" s="20" t="str">
        <f>RIGHT(Table1451314151617181920212223242526[[#This Row],[Customer Info]],LEN(Table1451314151617181920212223242526[[#This Row],[Customer Info]])-FIND("|",Table1451314151617181920212223242526[[#This Row],[Customer Info]])-1)</f>
        <v>9988776655</v>
      </c>
      <c r="Q4" s="20" t="str">
        <f>TRIM(Table1451314151617181920212223242526[[#This Row],[Customer Info]])</f>
        <v>Rohit | 9988776655</v>
      </c>
      <c r="R4" s="20" t="str">
        <f>UPPER(Table1451314151617181920212223242526[[#This Row],[Region]])</f>
        <v>UK</v>
      </c>
      <c r="S4" s="20">
        <f>VALUE(SUBSTITUTE(Table1451314151617181920212223242526[[#This Row],[Quantity]],"pcs",""))</f>
        <v>8</v>
      </c>
      <c r="T4" s="20">
        <f>YEAR(Table1451314151617181920212223242526[[#This Row],[Order Date]])</f>
        <v>2024</v>
      </c>
      <c r="U4" s="20">
        <f>MONTH(Table1451314151617181920212223242526[[#This Row],[Order Date]])</f>
        <v>3</v>
      </c>
      <c r="V4" s="20" t="str">
        <f>TEXT(Table1451314151617181920212223242526[[#This Row],[Order Date]],"mmm")</f>
        <v>Mar</v>
      </c>
      <c r="W4" s="20">
        <f ca="1">IF(Table1451314151617181920212223242526[[#This Row],[Order Date]]="","",TODAY()-Table1451314151617181920212223242526[[#This Row],[Order Date]])</f>
        <v>769</v>
      </c>
      <c r="X4" s="20" t="str">
        <f ca="1">IF(TODAY()-Table1451314151617181920212223242526[[#This Row],[Order Date]]&gt;30,"Old","Recent")</f>
        <v>Old</v>
      </c>
    </row>
    <row r="5" spans="1:33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Table1451314151617181920212223242526[[#This Row],[Quantity]]*Table1451314151617181920212223242526[[#This Row],[Price]]</f>
        <v>45</v>
      </c>
      <c r="M5" s="19" t="str">
        <f>IF(Table1451314151617181920212223242526[[#This Row],[Sales]]&gt;800,"High",IF(Table1451314151617181920212223242526[[#This Row],[Sales]]&gt;=500,"Medium","Low"))</f>
        <v>Low</v>
      </c>
      <c r="N5" s="19" t="str" cm="1">
        <f t="array" ref="N5">_xlfn.IFS(AND(Table1451314151617181920212223242526[Status]="Delivered",Table1451314151617181920212223242526[Sales]&gt;500),"Valid",TRUE,"Check")</f>
        <v>Check</v>
      </c>
      <c r="O5" s="19" t="str">
        <f>LEFT(Table1451314151617181920212223242526[[#This Row],[Customer Info]],FIND("|",Table1451314151617181920212223242526[[#This Row],[Customer Info]])-2)</f>
        <v>Simran</v>
      </c>
      <c r="P5" s="20" t="str">
        <f>RIGHT(Table1451314151617181920212223242526[[#This Row],[Customer Info]],LEN(Table1451314151617181920212223242526[[#This Row],[Customer Info]])-FIND("|",Table1451314151617181920212223242526[[#This Row],[Customer Info]])-1)</f>
        <v>9012345678</v>
      </c>
      <c r="Q5" s="20" t="str">
        <f>TRIM(Table1451314151617181920212223242526[[#This Row],[Customer Info]])</f>
        <v>Simran | 9012345678</v>
      </c>
      <c r="R5" s="20" t="str">
        <f>UPPER(Table1451314151617181920212223242526[[#This Row],[Region]])</f>
        <v>UAE</v>
      </c>
      <c r="S5" s="20">
        <f>VALUE(SUBSTITUTE(Table1451314151617181920212223242526[[#This Row],[Quantity]],"pcs",""))</f>
        <v>3</v>
      </c>
      <c r="T5" s="20">
        <f>YEAR(Table1451314151617181920212223242526[[#This Row],[Order Date]])</f>
        <v>2024</v>
      </c>
      <c r="U5" s="20">
        <f>MONTH(Table1451314151617181920212223242526[[#This Row],[Order Date]])</f>
        <v>2</v>
      </c>
      <c r="V5" s="20" t="str">
        <f>TEXT(Table1451314151617181920212223242526[[#This Row],[Order Date]],"mmm")</f>
        <v>Feb</v>
      </c>
      <c r="W5" s="20">
        <f ca="1">IF(Table1451314151617181920212223242526[[#This Row],[Order Date]]="","",TODAY()-Table1451314151617181920212223242526[[#This Row],[Order Date]])</f>
        <v>803</v>
      </c>
      <c r="X5" s="20" t="str">
        <f ca="1">IF(TODAY()-Table1451314151617181920212223242526[[#This Row],[Order Date]]&gt;30,"Old","Recent")</f>
        <v>Old</v>
      </c>
    </row>
    <row r="6" spans="1:33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Table1451314151617181920212223242526[[#This Row],[Quantity]]*Table1451314151617181920212223242526[[#This Row],[Price]]</f>
        <v>120</v>
      </c>
      <c r="M6" s="19" t="str">
        <f>IF(Table1451314151617181920212223242526[[#This Row],[Sales]]&gt;800,"High",IF(Table1451314151617181920212223242526[[#This Row],[Sales]]&gt;=500,"Medium","Low"))</f>
        <v>Low</v>
      </c>
      <c r="N6" s="19" t="str" cm="1">
        <f t="array" ref="N6">_xlfn.IFS(AND(Table1451314151617181920212223242526[Status]="Delivered",Table1451314151617181920212223242526[Sales]&gt;500),"Valid",TRUE,"Check")</f>
        <v>Check</v>
      </c>
      <c r="O6" s="19" t="str">
        <f>LEFT(Table1451314151617181920212223242526[[#This Row],[Customer Info]],FIND("|",Table1451314151617181920212223242526[[#This Row],[Customer Info]])-2)</f>
        <v>Karan</v>
      </c>
      <c r="P6" s="20" t="str">
        <f>RIGHT(Table1451314151617181920212223242526[[#This Row],[Customer Info]],LEN(Table1451314151617181920212223242526[[#This Row],[Customer Info]])-FIND("|",Table1451314151617181920212223242526[[#This Row],[Customer Info]])-1)</f>
        <v>9090909090</v>
      </c>
      <c r="Q6" s="20" t="str">
        <f>TRIM(Table1451314151617181920212223242526[[#This Row],[Customer Info]])</f>
        <v>Karan | 9090909090</v>
      </c>
      <c r="R6" s="20" t="str">
        <f>UPPER(Table1451314151617181920212223242526[[#This Row],[Region]])</f>
        <v>INDIA</v>
      </c>
      <c r="S6" s="20">
        <f>VALUE(SUBSTITUTE(Table1451314151617181920212223242526[[#This Row],[Quantity]],"pcs",""))</f>
        <v>6</v>
      </c>
      <c r="T6" s="20">
        <f>YEAR(Table1451314151617181920212223242526[[#This Row],[Order Date]])</f>
        <v>2024</v>
      </c>
      <c r="U6" s="20">
        <f>MONTH(Table1451314151617181920212223242526[[#This Row],[Order Date]])</f>
        <v>5</v>
      </c>
      <c r="V6" s="20" t="str">
        <f>TEXT(Table1451314151617181920212223242526[[#This Row],[Order Date]],"mmm")</f>
        <v>May</v>
      </c>
      <c r="W6" s="20">
        <f ca="1">IF(Table1451314151617181920212223242526[[#This Row],[Order Date]]="","",TODAY()-Table1451314151617181920212223242526[[#This Row],[Order Date]])</f>
        <v>712</v>
      </c>
      <c r="X6" s="20" t="str">
        <f ca="1">IF(TODAY()-Table1451314151617181920212223242526[[#This Row],[Order Date]]&gt;30,"Old","Recent")</f>
        <v>Old</v>
      </c>
    </row>
    <row r="7" spans="1:33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Table1451314151617181920212223242526[[#This Row],[Quantity]]*Table1451314151617181920212223242526[[#This Row],[Price]]</f>
        <v>150</v>
      </c>
      <c r="M7" s="19" t="str">
        <f>IF(Table1451314151617181920212223242526[[#This Row],[Sales]]&gt;800,"High",IF(Table1451314151617181920212223242526[[#This Row],[Sales]]&gt;=500,"Medium","Low"))</f>
        <v>Low</v>
      </c>
      <c r="N7" s="19" t="str" cm="1">
        <f t="array" ref="N7">_xlfn.IFS(AND(Table1451314151617181920212223242526[Status]="Delivered",Table1451314151617181920212223242526[Sales]&gt;500),"Valid",TRUE,"Check")</f>
        <v>Check</v>
      </c>
      <c r="O7" s="19" t="str">
        <f>LEFT(Table1451314151617181920212223242526[[#This Row],[Customer Info]],FIND("|",Table1451314151617181920212223242526[[#This Row],[Customer Info]])-2)</f>
        <v>Riya</v>
      </c>
      <c r="P7" s="20" t="str">
        <f>RIGHT(Table1451314151617181920212223242526[[#This Row],[Customer Info]],LEN(Table1451314151617181920212223242526[[#This Row],[Customer Info]])-FIND("|",Table1451314151617181920212223242526[[#This Row],[Customer Info]])-1)</f>
        <v>9345678901</v>
      </c>
      <c r="Q7" s="20" t="str">
        <f>TRIM(Table1451314151617181920212223242526[[#This Row],[Customer Info]])</f>
        <v>Riya | 9345678901</v>
      </c>
      <c r="R7" s="20" t="str">
        <f>UPPER(Table1451314151617181920212223242526[[#This Row],[Region]])</f>
        <v>US</v>
      </c>
      <c r="S7" s="20">
        <f>VALUE(SUBSTITUTE(Table1451314151617181920212223242526[[#This Row],[Quantity]],"pcs",""))</f>
        <v>3</v>
      </c>
      <c r="T7" s="20">
        <f>YEAR(Table1451314151617181920212223242526[[#This Row],[Order Date]])</f>
        <v>2024</v>
      </c>
      <c r="U7" s="20">
        <f>MONTH(Table1451314151617181920212223242526[[#This Row],[Order Date]])</f>
        <v>6</v>
      </c>
      <c r="V7" s="20" t="str">
        <f>TEXT(Table1451314151617181920212223242526[[#This Row],[Order Date]],"mmm")</f>
        <v>Jun</v>
      </c>
      <c r="W7" s="20">
        <f ca="1">IF(Table1451314151617181920212223242526[[#This Row],[Order Date]]="","",TODAY()-Table1451314151617181920212223242526[[#This Row],[Order Date]])</f>
        <v>685</v>
      </c>
      <c r="X7" s="20" t="str">
        <f ca="1">IF(TODAY()-Table1451314151617181920212223242526[[#This Row],[Order Date]]&gt;30,"Old","Recent")</f>
        <v>Old</v>
      </c>
    </row>
    <row r="8" spans="1:33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Table1451314151617181920212223242526[[#This Row],[Quantity]]*Table1451314151617181920212223242526[[#This Row],[Price]]</f>
        <v>20</v>
      </c>
      <c r="M8" s="19" t="str">
        <f>IF(Table1451314151617181920212223242526[[#This Row],[Sales]]&gt;800,"High",IF(Table1451314151617181920212223242526[[#This Row],[Sales]]&gt;=500,"Medium","Low"))</f>
        <v>Low</v>
      </c>
      <c r="N8" s="19" t="str" cm="1">
        <f t="array" ref="N8">_xlfn.IFS(AND(Table1451314151617181920212223242526[Status]="Delivered",Table1451314151617181920212223242526[Sales]&gt;500),"Valid",TRUE,"Check")</f>
        <v>Check</v>
      </c>
      <c r="O8" s="19" t="str">
        <f>LEFT(Table1451314151617181920212223242526[[#This Row],[Customer Info]],FIND("|",Table1451314151617181920212223242526[[#This Row],[Customer Info]])-2)</f>
        <v>Amit</v>
      </c>
      <c r="P8" s="20" t="str">
        <f>RIGHT(Table1451314151617181920212223242526[[#This Row],[Customer Info]],LEN(Table1451314151617181920212223242526[[#This Row],[Customer Info]])-FIND("|",Table1451314151617181920212223242526[[#This Row],[Customer Info]])-1)</f>
        <v>9234567890</v>
      </c>
      <c r="Q8" s="20" t="str">
        <f>TRIM(Table1451314151617181920212223242526[[#This Row],[Customer Info]])</f>
        <v>Amit | 9234567890</v>
      </c>
      <c r="R8" s="20" t="str">
        <f>UPPER(Table1451314151617181920212223242526[[#This Row],[Region]])</f>
        <v>INDIA</v>
      </c>
      <c r="S8" s="20">
        <f>VALUE(SUBSTITUTE(Table1451314151617181920212223242526[[#This Row],[Quantity]],"pcs",""))</f>
        <v>2</v>
      </c>
      <c r="T8" s="20"/>
      <c r="U8" s="20"/>
      <c r="V8" s="20"/>
      <c r="W8" s="20" t="str">
        <f ca="1">IF(Table1451314151617181920212223242526[[#This Row],[Order Date]]="","",TODAY()-Table1451314151617181920212223242526[[#This Row],[Order Date]])</f>
        <v/>
      </c>
      <c r="X8" s="20"/>
    </row>
    <row r="9" spans="1:33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Table1451314151617181920212223242526[[#This Row],[Quantity]]*Table1451314151617181920212223242526[[#This Row],[Price]]</f>
        <v>0</v>
      </c>
      <c r="M9" s="19" t="str">
        <f>IF(Table1451314151617181920212223242526[[#This Row],[Sales]]&gt;800,"High",IF(Table1451314151617181920212223242526[[#This Row],[Sales]]&gt;=500,"Medium","Low"))</f>
        <v>Low</v>
      </c>
      <c r="N9" s="19" t="str" cm="1">
        <f t="array" ref="N9">_xlfn.IFS(AND(Table1451314151617181920212223242526[Status]="Delivered",Table1451314151617181920212223242526[Sales]&gt;500),"Valid",TRUE,"Check")</f>
        <v>Check</v>
      </c>
      <c r="O9" s="19" t="str">
        <f>LEFT(Table1451314151617181920212223242526[[#This Row],[Customer Info]],FIND("|",Table1451314151617181920212223242526[[#This Row],[Customer Info]])-2)</f>
        <v>Sara</v>
      </c>
      <c r="P9" s="20" t="str">
        <f>RIGHT(Table1451314151617181920212223242526[[#This Row],[Customer Info]],LEN(Table1451314151617181920212223242526[[#This Row],[Customer Info]])-FIND("|",Table1451314151617181920212223242526[[#This Row],[Customer Info]])-1)</f>
        <v>9876501234</v>
      </c>
      <c r="Q9" s="20" t="str">
        <f>TRIM(Table1451314151617181920212223242526[[#This Row],[Customer Info]])</f>
        <v>Sara | 9876501234</v>
      </c>
      <c r="R9" s="20" t="str">
        <f>UPPER(Table1451314151617181920212223242526[[#This Row],[Region]])</f>
        <v>UK</v>
      </c>
      <c r="S9" s="20">
        <f>VALUE(SUBSTITUTE(Table1451314151617181920212223242526[[#This Row],[Quantity]],"pcs",""))</f>
        <v>0</v>
      </c>
      <c r="T9" s="20">
        <f>YEAR(Table1451314151617181920212223242526[[#This Row],[Order Date]])</f>
        <v>2024</v>
      </c>
      <c r="U9" s="20">
        <f>MONTH(Table1451314151617181920212223242526[[#This Row],[Order Date]])</f>
        <v>4</v>
      </c>
      <c r="V9" s="20" t="str">
        <f>TEXT(Table1451314151617181920212223242526[[#This Row],[Order Date]],"mmm")</f>
        <v>Apr</v>
      </c>
      <c r="W9" s="20">
        <f ca="1">IF(Table1451314151617181920212223242526[[#This Row],[Order Date]]="","",TODAY()-Table1451314151617181920212223242526[[#This Row],[Order Date]])</f>
        <v>728</v>
      </c>
      <c r="X9" s="20" t="str">
        <f ca="1">IF(TODAY()-Table1451314151617181920212223242526[[#This Row],[Order Date]]&gt;30,"Old","Recent")</f>
        <v>Old</v>
      </c>
    </row>
    <row r="10" spans="1:33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Table1451314151617181920212223242526[[#This Row],[Quantity]]*Table1451314151617181920212223242526[[#This Row],[Price]]</f>
        <v>160</v>
      </c>
      <c r="M10" s="19" t="str">
        <f>IF(Table1451314151617181920212223242526[[#This Row],[Sales]]&gt;800,"High",IF(Table1451314151617181920212223242526[[#This Row],[Sales]]&gt;=500,"Medium","Low"))</f>
        <v>Low</v>
      </c>
      <c r="N10" s="19" t="str" cm="1">
        <f t="array" ref="N10">_xlfn.IFS(AND(Table1451314151617181920212223242526[Status]="Delivered",Table1451314151617181920212223242526[Sales]&gt;500),"Valid",TRUE,"Check")</f>
        <v>Check</v>
      </c>
      <c r="O10" s="19" t="str">
        <f>LEFT(Table1451314151617181920212223242526[[#This Row],[Customer Info]],FIND("|",Table1451314151617181920212223242526[[#This Row],[Customer Info]])-2)</f>
        <v>John</v>
      </c>
      <c r="P10" s="20" t="str">
        <f>RIGHT(Table1451314151617181920212223242526[[#This Row],[Customer Info]],LEN(Table1451314151617181920212223242526[[#This Row],[Customer Info]])-FIND("|",Table1451314151617181920212223242526[[#This Row],[Customer Info]])-1)</f>
        <v>9988001122</v>
      </c>
      <c r="Q10" s="20" t="str">
        <f>TRIM(Table1451314151617181920212223242526[[#This Row],[Customer Info]])</f>
        <v>John | 9988001122</v>
      </c>
      <c r="R10" s="20" t="str">
        <f>UPPER(Table1451314151617181920212223242526[[#This Row],[Region]])</f>
        <v>UK</v>
      </c>
      <c r="S10" s="20">
        <f>VALUE(SUBSTITUTE(Table1451314151617181920212223242526[[#This Row],[Quantity]],"pcs",""))</f>
        <v>8</v>
      </c>
      <c r="T10" s="20">
        <f>YEAR(Table1451314151617181920212223242526[[#This Row],[Order Date]])</f>
        <v>2024</v>
      </c>
      <c r="U10" s="20">
        <f>MONTH(Table1451314151617181920212223242526[[#This Row],[Order Date]])</f>
        <v>3</v>
      </c>
      <c r="V10" s="20" t="str">
        <f>TEXT(Table1451314151617181920212223242526[[#This Row],[Order Date]],"mmm")</f>
        <v>Mar</v>
      </c>
      <c r="W10" s="20">
        <f ca="1">IF(Table1451314151617181920212223242526[[#This Row],[Order Date]]="","",TODAY()-Table1451314151617181920212223242526[[#This Row],[Order Date]])</f>
        <v>771</v>
      </c>
      <c r="X10" s="20" t="str">
        <f ca="1">IF(TODAY()-Table1451314151617181920212223242526[[#This Row],[Order Date]]&gt;30,"Old","Recent")</f>
        <v>Old</v>
      </c>
    </row>
    <row r="11" spans="1:33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Table1451314151617181920212223242526[[#This Row],[Quantity]]*Table1451314151617181920212223242526[[#This Row],[Price]]</f>
        <v>300</v>
      </c>
      <c r="M11" s="19" t="str">
        <f>IF(Table1451314151617181920212223242526[[#This Row],[Sales]]&gt;800,"High",IF(Table1451314151617181920212223242526[[#This Row],[Sales]]&gt;=500,"Medium","Low"))</f>
        <v>Low</v>
      </c>
      <c r="N11" s="19" t="str" cm="1">
        <f t="array" ref="N11">_xlfn.IFS(AND(Table1451314151617181920212223242526[Status]="Delivered",Table1451314151617181920212223242526[Sales]&gt;500),"Valid",TRUE,"Check")</f>
        <v>Check</v>
      </c>
      <c r="O11" s="19" t="str">
        <f>LEFT(Table1451314151617181920212223242526[[#This Row],[Customer Info]],FIND("|",Table1451314151617181920212223242526[[#This Row],[Customer Info]])-2)</f>
        <v>Meena</v>
      </c>
      <c r="P11" s="20" t="str">
        <f>RIGHT(Table1451314151617181920212223242526[[#This Row],[Customer Info]],LEN(Table1451314151617181920212223242526[[#This Row],[Customer Info]])-FIND("|",Table1451314151617181920212223242526[[#This Row],[Customer Info]])-1)</f>
        <v>9765432109</v>
      </c>
      <c r="Q11" s="20" t="str">
        <f>TRIM(Table1451314151617181920212223242526[[#This Row],[Customer Info]])</f>
        <v>Meena | 9765432109</v>
      </c>
      <c r="R11" s="20" t="str">
        <f>UPPER(Table1451314151617181920212223242526[[#This Row],[Region]])</f>
        <v>INDIA</v>
      </c>
      <c r="S11" s="20">
        <f>VALUE(SUBSTITUTE(Table1451314151617181920212223242526[[#This Row],[Quantity]],"pcs",""))</f>
        <v>6</v>
      </c>
      <c r="T11" s="20">
        <f>YEAR(Table1451314151617181920212223242526[[#This Row],[Order Date]])</f>
        <v>2024</v>
      </c>
      <c r="U11" s="20">
        <f>MONTH(Table1451314151617181920212223242526[[#This Row],[Order Date]])</f>
        <v>4</v>
      </c>
      <c r="V11" s="20" t="str">
        <f>TEXT(Table1451314151617181920212223242526[[#This Row],[Order Date]],"mmm")</f>
        <v>Apr</v>
      </c>
      <c r="W11" s="20">
        <f ca="1">IF(Table1451314151617181920212223242526[[#This Row],[Order Date]]="","",TODAY()-Table1451314151617181920212223242526[[#This Row],[Order Date]])</f>
        <v>731</v>
      </c>
      <c r="X11" s="20" t="str">
        <f ca="1">IF(TODAY()-Table1451314151617181920212223242526[[#This Row],[Order Date]]&gt;30,"Old","Recent")</f>
        <v>Old</v>
      </c>
    </row>
    <row r="12" spans="1:33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Table1451314151617181920212223242526[[#This Row],[Quantity]]*Table1451314151617181920212223242526[[#This Row],[Price]]</f>
        <v>100</v>
      </c>
      <c r="M12" s="19" t="str">
        <f>IF(Table1451314151617181920212223242526[[#This Row],[Sales]]&gt;800,"High",IF(Table1451314151617181920212223242526[[#This Row],[Sales]]&gt;=500,"Medium","Low"))</f>
        <v>Low</v>
      </c>
      <c r="N12" s="19" t="str" cm="1">
        <f t="array" ref="N12">_xlfn.IFS(AND(Table1451314151617181920212223242526[Status]="Delivered",Table1451314151617181920212223242526[Sales]&gt;500),"Valid",TRUE,"Check")</f>
        <v>Check</v>
      </c>
      <c r="O12" s="19" t="str">
        <f>LEFT(Table1451314151617181920212223242526[[#This Row],[Customer Info]],FIND("|",Table1451314151617181920212223242526[[#This Row],[Customer Info]])-2)</f>
        <v>Vikram</v>
      </c>
      <c r="P12" s="20" t="str">
        <f>RIGHT(Table1451314151617181920212223242526[[#This Row],[Customer Info]],LEN(Table1451314151617181920212223242526[[#This Row],[Customer Info]])-FIND("|",Table1451314151617181920212223242526[[#This Row],[Customer Info]])-1)</f>
        <v>9123001122</v>
      </c>
      <c r="Q12" s="20" t="str">
        <f>TRIM(Table1451314151617181920212223242526[[#This Row],[Customer Info]])</f>
        <v>Vikram | 9123001122</v>
      </c>
      <c r="R12" s="20" t="str">
        <f>UPPER(Table1451314151617181920212223242526[[#This Row],[Region]])</f>
        <v>INDIA</v>
      </c>
      <c r="S12" s="20">
        <f>VALUE(SUBSTITUTE(Table1451314151617181920212223242526[[#This Row],[Quantity]],"pcs",""))</f>
        <v>5</v>
      </c>
      <c r="T12" s="20">
        <f>YEAR(Table1451314151617181920212223242526[[#This Row],[Order Date]])</f>
        <v>2024</v>
      </c>
      <c r="U12" s="20">
        <f>MONTH(Table1451314151617181920212223242526[[#This Row],[Order Date]])</f>
        <v>2</v>
      </c>
      <c r="V12" s="20" t="str">
        <f>TEXT(Table1451314151617181920212223242526[[#This Row],[Order Date]],"mmm")</f>
        <v>Feb</v>
      </c>
      <c r="W12" s="20">
        <f ca="1">IF(Table1451314151617181920212223242526[[#This Row],[Order Date]]="","",TODAY()-Table1451314151617181920212223242526[[#This Row],[Order Date]])</f>
        <v>795</v>
      </c>
      <c r="X12" s="20" t="str">
        <f ca="1">IF(TODAY()-Table1451314151617181920212223242526[[#This Row],[Order Date]]&gt;30,"Old","Recent")</f>
        <v>Old</v>
      </c>
    </row>
    <row r="13" spans="1:33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Table1451314151617181920212223242526[[#This Row],[Quantity]]*Table1451314151617181920212223242526[[#This Row],[Price]]</f>
        <v>100</v>
      </c>
      <c r="M13" s="19" t="str">
        <f>IF(Table1451314151617181920212223242526[[#This Row],[Sales]]&gt;800,"High",IF(Table1451314151617181920212223242526[[#This Row],[Sales]]&gt;=500,"Medium","Low"))</f>
        <v>Low</v>
      </c>
      <c r="N13" s="19" t="str" cm="1">
        <f t="array" ref="N13">_xlfn.IFS(AND(Table1451314151617181920212223242526[Status]="Delivered",Table1451314151617181920212223242526[Sales]&gt;500),"Valid",TRUE,"Check")</f>
        <v>Check</v>
      </c>
      <c r="O13" s="19" t="str">
        <f>LEFT(Table1451314151617181920212223242526[[#This Row],[Customer Info]],FIND("|",Table1451314151617181920212223242526[[#This Row],[Customer Info]])-2)</f>
        <v>Pooja</v>
      </c>
      <c r="P13" s="20" t="str">
        <f>RIGHT(Table1451314151617181920212223242526[[#This Row],[Customer Info]],LEN(Table1451314151617181920212223242526[[#This Row],[Customer Info]])-FIND("|",Table1451314151617181920212223242526[[#This Row],[Customer Info]])-1)</f>
        <v>9345001123</v>
      </c>
      <c r="Q13" s="20" t="str">
        <f>TRIM(Table1451314151617181920212223242526[[#This Row],[Customer Info]])</f>
        <v>Pooja | 9345001123</v>
      </c>
      <c r="R13" s="20" t="str">
        <f>UPPER(Table1451314151617181920212223242526[[#This Row],[Region]])</f>
        <v>US</v>
      </c>
      <c r="S13" s="20">
        <f>VALUE(SUBSTITUTE(Table1451314151617181920212223242526[[#This Row],[Quantity]],"pcs",""))</f>
        <v>2</v>
      </c>
      <c r="T13" s="20">
        <f>YEAR(Table1451314151617181920212223242526[[#This Row],[Order Date]])</f>
        <v>2024</v>
      </c>
      <c r="U13" s="20">
        <f>MONTH(Table1451314151617181920212223242526[[#This Row],[Order Date]])</f>
        <v>3</v>
      </c>
      <c r="V13" s="20" t="str">
        <f>TEXT(Table1451314151617181920212223242526[[#This Row],[Order Date]],"mmm")</f>
        <v>Mar</v>
      </c>
      <c r="W13" s="20">
        <f ca="1">IF(Table1451314151617181920212223242526[[#This Row],[Order Date]]="","",TODAY()-Table1451314151617181920212223242526[[#This Row],[Order Date]])</f>
        <v>765</v>
      </c>
      <c r="X13" s="20" t="str">
        <f ca="1">IF(TODAY()-Table1451314151617181920212223242526[[#This Row],[Order Date]]&gt;30,"Old","Recent")</f>
        <v>Old</v>
      </c>
    </row>
    <row r="14" spans="1:33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Table1451314151617181920212223242526[[#This Row],[Quantity]]*Table1451314151617181920212223242526[[#This Row],[Price]]</f>
        <v>45</v>
      </c>
      <c r="M14" s="19" t="str">
        <f>IF(Table1451314151617181920212223242526[[#This Row],[Sales]]&gt;800,"High",IF(Table1451314151617181920212223242526[[#This Row],[Sales]]&gt;=500,"Medium","Low"))</f>
        <v>Low</v>
      </c>
      <c r="N14" s="19" t="str" cm="1">
        <f t="array" ref="N14">_xlfn.IFS(AND(Table1451314151617181920212223242526[Status]="Delivered",Table1451314151617181920212223242526[Sales]&gt;500),"Valid",TRUE,"Check")</f>
        <v>Check</v>
      </c>
      <c r="O14" s="19" t="str">
        <f>LEFT(Table1451314151617181920212223242526[[#This Row],[Customer Info]],FIND("|",Table1451314151617181920212223242526[[#This Row],[Customer Info]])-2)</f>
        <v>Kiran</v>
      </c>
      <c r="P14" s="20" t="str">
        <f>RIGHT(Table1451314151617181920212223242526[[#This Row],[Customer Info]],LEN(Table1451314151617181920212223242526[[#This Row],[Customer Info]])-FIND("|",Table1451314151617181920212223242526[[#This Row],[Customer Info]])-1)</f>
        <v>9000011122</v>
      </c>
      <c r="Q14" s="20" t="str">
        <f>TRIM(Table1451314151617181920212223242526[[#This Row],[Customer Info]])</f>
        <v>Kiran | 9000011122</v>
      </c>
      <c r="R14" s="20" t="str">
        <f>UPPER(Table1451314151617181920212223242526[[#This Row],[Region]])</f>
        <v>UAE</v>
      </c>
      <c r="S14" s="20">
        <f>VALUE(SUBSTITUTE(Table1451314151617181920212223242526[[#This Row],[Quantity]],"pcs",""))</f>
        <v>3</v>
      </c>
      <c r="T14" s="20">
        <f>YEAR(Table1451314151617181920212223242526[[#This Row],[Order Date]])</f>
        <v>2024</v>
      </c>
      <c r="U14" s="20">
        <f>MONTH(Table1451314151617181920212223242526[[#This Row],[Order Date]])</f>
        <v>1</v>
      </c>
      <c r="V14" s="20" t="str">
        <f>TEXT(Table1451314151617181920212223242526[[#This Row],[Order Date]],"mmm")</f>
        <v>Jan</v>
      </c>
      <c r="W14" s="20">
        <f ca="1">IF(Table1451314151617181920212223242526[[#This Row],[Order Date]]="","",TODAY()-Table1451314151617181920212223242526[[#This Row],[Order Date]])</f>
        <v>823</v>
      </c>
      <c r="X14" s="20" t="str">
        <f ca="1">IF(TODAY()-Table1451314151617181920212223242526[[#This Row],[Order Date]]&gt;30,"Old","Recent")</f>
        <v>Old</v>
      </c>
    </row>
    <row r="15" spans="1:33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Table1451314151617181920212223242526[[#This Row],[Quantity]]*Table1451314151617181920212223242526[[#This Row],[Price]]</f>
        <v>10</v>
      </c>
      <c r="M15" s="19" t="str">
        <f>IF(Table1451314151617181920212223242526[[#This Row],[Sales]]&gt;800,"High",IF(Table1451314151617181920212223242526[[#This Row],[Sales]]&gt;=500,"Medium","Low"))</f>
        <v>Low</v>
      </c>
      <c r="N15" s="19" t="str" cm="1">
        <f t="array" ref="N15">_xlfn.IFS(AND(Table1451314151617181920212223242526[Status]="Delivered",Table1451314151617181920212223242526[Sales]&gt;500),"Valid",TRUE,"Check")</f>
        <v>Check</v>
      </c>
      <c r="O15" s="19" t="str">
        <f>LEFT(Table1451314151617181920212223242526[[#This Row],[Customer Info]],FIND("|",Table1451314151617181920212223242526[[#This Row],[Customer Info]])-2)</f>
        <v>Anil</v>
      </c>
      <c r="P15" s="20" t="str">
        <f>RIGHT(Table1451314151617181920212223242526[[#This Row],[Customer Info]],LEN(Table1451314151617181920212223242526[[#This Row],[Customer Info]])-FIND("|",Table1451314151617181920212223242526[[#This Row],[Customer Info]])-1)</f>
        <v>9888800011</v>
      </c>
      <c r="Q15" s="20" t="str">
        <f>TRIM(Table1451314151617181920212223242526[[#This Row],[Customer Info]])</f>
        <v>Anil | 9888800011</v>
      </c>
      <c r="R15" s="20" t="str">
        <f>UPPER(Table1451314151617181920212223242526[[#This Row],[Region]])</f>
        <v>INDIA</v>
      </c>
      <c r="S15" s="20">
        <f>VALUE(SUBSTITUTE(Table1451314151617181920212223242526[[#This Row],[Quantity]],"pcs",""))</f>
        <v>1</v>
      </c>
      <c r="T15" s="20">
        <f>YEAR(Table1451314151617181920212223242526[[#This Row],[Order Date]])</f>
        <v>2024</v>
      </c>
      <c r="U15" s="20">
        <f>MONTH(Table1451314151617181920212223242526[[#This Row],[Order Date]])</f>
        <v>5</v>
      </c>
      <c r="V15" s="20" t="str">
        <f>TEXT(Table1451314151617181920212223242526[[#This Row],[Order Date]],"mmm")</f>
        <v>May</v>
      </c>
      <c r="W15" s="20">
        <f ca="1">IF(Table1451314151617181920212223242526[[#This Row],[Order Date]]="","",TODAY()-Table1451314151617181920212223242526[[#This Row],[Order Date]])</f>
        <v>718</v>
      </c>
      <c r="X15" s="20" t="str">
        <f ca="1">IF(TODAY()-Table1451314151617181920212223242526[[#This Row],[Order Date]]&gt;30,"Old","Recent")</f>
        <v>Old</v>
      </c>
    </row>
    <row r="16" spans="1:33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Table1451314151617181920212223242526[[#This Row],[Quantity]]*Table1451314151617181920212223242526[[#This Row],[Price]]</f>
        <v>200</v>
      </c>
      <c r="M16" s="19" t="str">
        <f>IF(Table1451314151617181920212223242526[[#This Row],[Sales]]&gt;800,"High",IF(Table1451314151617181920212223242526[[#This Row],[Sales]]&gt;=500,"Medium","Low"))</f>
        <v>Low</v>
      </c>
      <c r="N16" s="19" t="str" cm="1">
        <f t="array" ref="N16">_xlfn.IFS(AND(Table1451314151617181920212223242526[Status]="Delivered",Table1451314151617181920212223242526[Sales]&gt;500),"Valid",TRUE,"Check")</f>
        <v>Check</v>
      </c>
      <c r="O16" s="19" t="str">
        <f>LEFT(Table1451314151617181920212223242526[[#This Row],[Customer Info]],FIND("|",Table1451314151617181920212223242526[[#This Row],[Customer Info]])-2)</f>
        <v>Divya</v>
      </c>
      <c r="P16" s="20" t="str">
        <f>RIGHT(Table1451314151617181920212223242526[[#This Row],[Customer Info]],LEN(Table1451314151617181920212223242526[[#This Row],[Customer Info]])-FIND("|",Table1451314151617181920212223242526[[#This Row],[Customer Info]])-1)</f>
        <v>9777700011</v>
      </c>
      <c r="Q16" s="20" t="str">
        <f>TRIM(Table1451314151617181920212223242526[[#This Row],[Customer Info]])</f>
        <v>Divya | 9777700011</v>
      </c>
      <c r="R16" s="20" t="str">
        <f>UPPER(Table1451314151617181920212223242526[[#This Row],[Region]])</f>
        <v>UK</v>
      </c>
      <c r="S16" s="20">
        <f>VALUE(SUBSTITUTE(Table1451314151617181920212223242526[[#This Row],[Quantity]],"pcs",""))</f>
        <v>4</v>
      </c>
      <c r="T16" s="20">
        <f>YEAR(Table1451314151617181920212223242526[[#This Row],[Order Date]])</f>
        <v>2024</v>
      </c>
      <c r="U16" s="20">
        <f>MONTH(Table1451314151617181920212223242526[[#This Row],[Order Date]])</f>
        <v>6</v>
      </c>
      <c r="V16" s="20" t="str">
        <f>TEXT(Table1451314151617181920212223242526[[#This Row],[Order Date]],"mmm")</f>
        <v>Jun</v>
      </c>
      <c r="W16" s="20">
        <f ca="1">IF(Table1451314151617181920212223242526[[#This Row],[Order Date]]="","",TODAY()-Table1451314151617181920212223242526[[#This Row],[Order Date]])</f>
        <v>680</v>
      </c>
      <c r="X16" s="20" t="str">
        <f ca="1">IF(TODAY()-Table1451314151617181920212223242526[[#This Row],[Order Date]]&gt;30,"Old","Recent")</f>
        <v>Old</v>
      </c>
    </row>
    <row r="17" spans="1:24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Table1451314151617181920212223242526[[#This Row],[Quantity]]*Table1451314151617181920212223242526[[#This Row],[Price]]</f>
        <v>140</v>
      </c>
      <c r="M17" s="19" t="str">
        <f>IF(Table1451314151617181920212223242526[[#This Row],[Sales]]&gt;800,"High",IF(Table1451314151617181920212223242526[[#This Row],[Sales]]&gt;=500,"Medium","Low"))</f>
        <v>Low</v>
      </c>
      <c r="N17" s="19" t="str" cm="1">
        <f t="array" ref="N17">_xlfn.IFS(AND(Table1451314151617181920212223242526[Status]="Delivered",Table1451314151617181920212223242526[Sales]&gt;500),"Valid",TRUE,"Check")</f>
        <v>Check</v>
      </c>
      <c r="O17" s="19" t="str">
        <f>LEFT(Table1451314151617181920212223242526[[#This Row],[Customer Info]],FIND("|",Table1451314151617181920212223242526[[#This Row],[Customer Info]])-2)</f>
        <v>Rahul</v>
      </c>
      <c r="P17" s="20" t="str">
        <f>RIGHT(Table1451314151617181920212223242526[[#This Row],[Customer Info]],LEN(Table1451314151617181920212223242526[[#This Row],[Customer Info]])-FIND("|",Table1451314151617181920212223242526[[#This Row],[Customer Info]])-1)</f>
        <v>9666600011</v>
      </c>
      <c r="Q17" s="20" t="str">
        <f>TRIM(Table1451314151617181920212223242526[[#This Row],[Customer Info]])</f>
        <v>Rahul | 9666600011</v>
      </c>
      <c r="R17" s="20" t="str">
        <f>UPPER(Table1451314151617181920212223242526[[#This Row],[Region]])</f>
        <v>INDIA</v>
      </c>
      <c r="S17" s="20">
        <f>VALUE(SUBSTITUTE(Table1451314151617181920212223242526[[#This Row],[Quantity]],"pcs",""))</f>
        <v>7</v>
      </c>
      <c r="T17" s="20">
        <f>YEAR(Table1451314151617181920212223242526[[#This Row],[Order Date]])</f>
        <v>2024</v>
      </c>
      <c r="U17" s="20">
        <f>MONTH(Table1451314151617181920212223242526[[#This Row],[Order Date]])</f>
        <v>4</v>
      </c>
      <c r="V17" s="20" t="str">
        <f>TEXT(Table1451314151617181920212223242526[[#This Row],[Order Date]],"mmm")</f>
        <v>Apr</v>
      </c>
      <c r="W17" s="20">
        <f ca="1">IF(Table1451314151617181920212223242526[[#This Row],[Order Date]]="","",TODAY()-Table1451314151617181920212223242526[[#This Row],[Order Date]])</f>
        <v>746</v>
      </c>
      <c r="X17" s="20" t="str">
        <f ca="1">IF(TODAY()-Table1451314151617181920212223242526[[#This Row],[Order Date]]&gt;30,"Old","Recent")</f>
        <v>Old</v>
      </c>
    </row>
    <row r="18" spans="1:24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Table1451314151617181920212223242526[[#This Row],[Quantity]]*Table1451314151617181920212223242526[[#This Row],[Price]]</f>
        <v>30</v>
      </c>
      <c r="M18" s="19" t="str">
        <f>IF(Table1451314151617181920212223242526[[#This Row],[Sales]]&gt;800,"High",IF(Table1451314151617181920212223242526[[#This Row],[Sales]]&gt;=500,"Medium","Low"))</f>
        <v>Low</v>
      </c>
      <c r="N18" s="19" t="str" cm="1">
        <f t="array" ref="N18">_xlfn.IFS(AND(Table1451314151617181920212223242526[Status]="Delivered",Table1451314151617181920212223242526[Sales]&gt;500),"Valid",TRUE,"Check")</f>
        <v>Check</v>
      </c>
      <c r="O18" s="19" t="str">
        <f>LEFT(Table1451314151617181920212223242526[[#This Row],[Customer Info]],FIND("|",Table1451314151617181920212223242526[[#This Row],[Customer Info]])-2)</f>
        <v>Sneha</v>
      </c>
      <c r="P18" s="20" t="str">
        <f>RIGHT(Table1451314151617181920212223242526[[#This Row],[Customer Info]],LEN(Table1451314151617181920212223242526[[#This Row],[Customer Info]])-FIND("|",Table1451314151617181920212223242526[[#This Row],[Customer Info]])-1)</f>
        <v>9555500011</v>
      </c>
      <c r="Q18" s="20" t="str">
        <f>TRIM(Table1451314151617181920212223242526[[#This Row],[Customer Info]])</f>
        <v>Sneha | 9555500011</v>
      </c>
      <c r="R18" s="20" t="str">
        <f>UPPER(Table1451314151617181920212223242526[[#This Row],[Region]])</f>
        <v>UAE</v>
      </c>
      <c r="S18" s="20">
        <f>VALUE(SUBSTITUTE(Table1451314151617181920212223242526[[#This Row],[Quantity]],"pcs",""))</f>
        <v>2</v>
      </c>
      <c r="T18" s="20">
        <f>YEAR(Table1451314151617181920212223242526[[#This Row],[Order Date]])</f>
        <v>2024</v>
      </c>
      <c r="U18" s="20">
        <f>MONTH(Table1451314151617181920212223242526[[#This Row],[Order Date]])</f>
        <v>2</v>
      </c>
      <c r="V18" s="20" t="str">
        <f>TEXT(Table1451314151617181920212223242526[[#This Row],[Order Date]],"mmm")</f>
        <v>Feb</v>
      </c>
      <c r="W18" s="20">
        <f ca="1">IF(Table1451314151617181920212223242526[[#This Row],[Order Date]]="","",TODAY()-Table1451314151617181920212223242526[[#This Row],[Order Date]])</f>
        <v>802</v>
      </c>
      <c r="X18" s="20" t="str">
        <f ca="1">IF(TODAY()-Table1451314151617181920212223242526[[#This Row],[Order Date]]&gt;30,"Old","Recent")</f>
        <v>Old</v>
      </c>
    </row>
    <row r="19" spans="1:24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Table1451314151617181920212223242526[[#This Row],[Quantity]]*Table1451314151617181920212223242526[[#This Row],[Price]]</f>
        <v>120</v>
      </c>
      <c r="M19" s="19" t="str">
        <f>IF(Table1451314151617181920212223242526[[#This Row],[Sales]]&gt;800,"High",IF(Table1451314151617181920212223242526[[#This Row],[Sales]]&gt;=500,"Medium","Low"))</f>
        <v>Low</v>
      </c>
      <c r="N19" s="19" t="str" cm="1">
        <f t="array" ref="N19">_xlfn.IFS(AND(Table1451314151617181920212223242526[Status]="Delivered",Table1451314151617181920212223242526[Sales]&gt;500),"Valid",TRUE,"Check")</f>
        <v>Check</v>
      </c>
      <c r="O19" s="19" t="str">
        <f>LEFT(Table1451314151617181920212223242526[[#This Row],[Customer Info]],FIND("|",Table1451314151617181920212223242526[[#This Row],[Customer Info]])-2)</f>
        <v>Karthik</v>
      </c>
      <c r="P19" s="20" t="str">
        <f>RIGHT(Table1451314151617181920212223242526[[#This Row],[Customer Info]],LEN(Table1451314151617181920212223242526[[#This Row],[Customer Info]])-FIND("|",Table1451314151617181920212223242526[[#This Row],[Customer Info]])-1)</f>
        <v>9001122334</v>
      </c>
      <c r="Q19" s="20" t="str">
        <f>TRIM(Table1451314151617181920212223242526[[#This Row],[Customer Info]])</f>
        <v>Karthik | 9001122334</v>
      </c>
      <c r="R19" s="20" t="str">
        <f>UPPER(Table1451314151617181920212223242526[[#This Row],[Region]])</f>
        <v>INDIA</v>
      </c>
      <c r="S19" s="20">
        <f>VALUE(SUBSTITUTE(Table1451314151617181920212223242526[[#This Row],[Quantity]],"pcs",""))</f>
        <v>6</v>
      </c>
      <c r="T19" s="20">
        <f>YEAR(Table1451314151617181920212223242526[[#This Row],[Order Date]])</f>
        <v>2024</v>
      </c>
      <c r="U19" s="20">
        <f>MONTH(Table1451314151617181920212223242526[[#This Row],[Order Date]])</f>
        <v>4</v>
      </c>
      <c r="V19" s="20" t="str">
        <f>TEXT(Table1451314151617181920212223242526[[#This Row],[Order Date]],"mmm")</f>
        <v>Apr</v>
      </c>
      <c r="W19" s="20">
        <f ca="1">IF(Table1451314151617181920212223242526[[#This Row],[Order Date]]="","",TODAY()-Table1451314151617181920212223242526[[#This Row],[Order Date]])</f>
        <v>743</v>
      </c>
      <c r="X19" s="20" t="str">
        <f ca="1">IF(TODAY()-Table1451314151617181920212223242526[[#This Row],[Order Date]]&gt;30,"Old","Recent")</f>
        <v>Old</v>
      </c>
    </row>
    <row r="20" spans="1:24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Table1451314151617181920212223242526[[#This Row],[Quantity]]*Table1451314151617181920212223242526[[#This Row],[Price]]</f>
        <v>350</v>
      </c>
      <c r="M20" s="19" t="str">
        <f>IF(Table1451314151617181920212223242526[[#This Row],[Sales]]&gt;800,"High",IF(Table1451314151617181920212223242526[[#This Row],[Sales]]&gt;=500,"Medium","Low"))</f>
        <v>Low</v>
      </c>
      <c r="N20" s="19" t="str" cm="1">
        <f t="array" ref="N20">_xlfn.IFS(AND(Table1451314151617181920212223242526[Status]="Delivered",Table1451314151617181920212223242526[Sales]&gt;500),"Valid",TRUE,"Check")</f>
        <v>Check</v>
      </c>
      <c r="O20" s="19" t="str">
        <f>LEFT(Table1451314151617181920212223242526[[#This Row],[Customer Info]],FIND("|",Table1451314151617181920212223242526[[#This Row],[Customer Info]])-2)</f>
        <v>Lavanya</v>
      </c>
      <c r="P20" s="20" t="str">
        <f>RIGHT(Table1451314151617181920212223242526[[#This Row],[Customer Info]],LEN(Table1451314151617181920212223242526[[#This Row],[Customer Info]])-FIND("|",Table1451314151617181920212223242526[[#This Row],[Customer Info]])-1)</f>
        <v>9011223344</v>
      </c>
      <c r="Q20" s="20" t="str">
        <f>TRIM(Table1451314151617181920212223242526[[#This Row],[Customer Info]])</f>
        <v>Lavanya | 9011223344</v>
      </c>
      <c r="R20" s="20" t="str">
        <f>UPPER(Table1451314151617181920212223242526[[#This Row],[Region]])</f>
        <v>US</v>
      </c>
      <c r="S20" s="20">
        <f>VALUE(SUBSTITUTE(Table1451314151617181920212223242526[[#This Row],[Quantity]],"pcs",""))</f>
        <v>7</v>
      </c>
      <c r="T20" s="20">
        <f>YEAR(Table1451314151617181920212223242526[[#This Row],[Order Date]])</f>
        <v>2024</v>
      </c>
      <c r="U20" s="20">
        <f>MONTH(Table1451314151617181920212223242526[[#This Row],[Order Date]])</f>
        <v>5</v>
      </c>
      <c r="V20" s="20" t="str">
        <f>TEXT(Table1451314151617181920212223242526[[#This Row],[Order Date]],"mmm")</f>
        <v>May</v>
      </c>
      <c r="W20" s="20">
        <f ca="1">IF(Table1451314151617181920212223242526[[#This Row],[Order Date]]="","",TODAY()-Table1451314151617181920212223242526[[#This Row],[Order Date]])</f>
        <v>715</v>
      </c>
      <c r="X20" s="20" t="str">
        <f ca="1">IF(TODAY()-Table1451314151617181920212223242526[[#This Row],[Order Date]]&gt;30,"Old","Recent")</f>
        <v>Old</v>
      </c>
    </row>
    <row r="21" spans="1:24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Table1451314151617181920212223242526[[#This Row],[Quantity]]*Table1451314151617181920212223242526[[#This Row],[Price]]</f>
        <v>30</v>
      </c>
      <c r="M21" s="19" t="str">
        <f>IF(Table1451314151617181920212223242526[[#This Row],[Sales]]&gt;800,"High",IF(Table1451314151617181920212223242526[[#This Row],[Sales]]&gt;=500,"Medium","Low"))</f>
        <v>Low</v>
      </c>
      <c r="N21" s="19" t="str" cm="1">
        <f t="array" ref="N21">_xlfn.IFS(AND(Table1451314151617181920212223242526[Status]="Delivered",Table1451314151617181920212223242526[Sales]&gt;500),"Valid",TRUE,"Check")</f>
        <v>Check</v>
      </c>
      <c r="O21" s="19" t="str">
        <f>LEFT(Table1451314151617181920212223242526[[#This Row],[Customer Info]],FIND("|",Table1451314151617181920212223242526[[#This Row],[Customer Info]])-2)</f>
        <v>Manoj</v>
      </c>
      <c r="P21" s="20" t="str">
        <f>RIGHT(Table1451314151617181920212223242526[[#This Row],[Customer Info]],LEN(Table1451314151617181920212223242526[[#This Row],[Customer Info]])-FIND("|",Table1451314151617181920212223242526[[#This Row],[Customer Info]])-1)</f>
        <v>9022334455</v>
      </c>
      <c r="Q21" s="20" t="str">
        <f>TRIM(Table1451314151617181920212223242526[[#This Row],[Customer Info]])</f>
        <v>Manoj | 9022334455</v>
      </c>
      <c r="R21" s="20" t="str">
        <f>UPPER(Table1451314151617181920212223242526[[#This Row],[Region]])</f>
        <v>UK</v>
      </c>
      <c r="S21" s="20">
        <f>VALUE(SUBSTITUTE(Table1451314151617181920212223242526[[#This Row],[Quantity]],"pcs",""))</f>
        <v>3</v>
      </c>
      <c r="T21" s="20"/>
      <c r="U21" s="20"/>
      <c r="V21" s="20"/>
      <c r="W21" s="20" t="str">
        <f ca="1">IF(Table1451314151617181920212223242526[[#This Row],[Order Date]]="","",TODAY()-Table1451314151617181920212223242526[[#This Row],[Order Date]])</f>
        <v/>
      </c>
      <c r="X21" s="20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D8FE-0E04-4611-B5DD-03DE153D3750}">
  <dimension ref="A1:X21"/>
  <sheetViews>
    <sheetView topLeftCell="H1" zoomScale="69" workbookViewId="0">
      <selection activeCell="X32" sqref="X32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  <col min="24" max="24" width="16.33203125" customWidth="1"/>
  </cols>
  <sheetData>
    <row r="1" spans="1:24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</row>
    <row r="2" spans="1:24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Table1451314151617181920212223242528[[#This Row],[Quantity]]*Table1451314151617181920212223242528[[#This Row],[Price]]</f>
        <v>200</v>
      </c>
      <c r="M2" s="19" t="str">
        <f>IF(Table1451314151617181920212223242528[[#This Row],[Sales]]&gt;800,"High",IF(Table1451314151617181920212223242528[[#This Row],[Sales]]&gt;=500,"Medium","Low"))</f>
        <v>Low</v>
      </c>
      <c r="N2" s="19" t="str" cm="1">
        <f t="array" ref="N2">_xlfn.IFS(AND(Table1451314151617181920212223242528[Status]="Delivered",Table1451314151617181920212223242528[Sales]&gt;500),"Valid",TRUE,"Check")</f>
        <v>Check</v>
      </c>
      <c r="O2" s="19" t="str">
        <f>LEFT(Table1451314151617181920212223242528[[#This Row],[Customer Info]],FIND("|",Table1451314151617181920212223242528[[#This Row],[Customer Info]])-2)</f>
        <v>Arjun</v>
      </c>
      <c r="P2" s="20" t="str">
        <f>RIGHT(Table1451314151617181920212223242528[[#This Row],[Customer Info]],LEN(Table1451314151617181920212223242528[[#This Row],[Customer Info]])-FIND("|",Table1451314151617181920212223242528[[#This Row],[Customer Info]])-1)</f>
        <v>9876543210</v>
      </c>
      <c r="Q2" s="20" t="str">
        <f>TRIM(Table1451314151617181920212223242528[[#This Row],[Customer Info]])</f>
        <v>Arjun | 9876543210</v>
      </c>
      <c r="R2" s="20" t="str">
        <f>UPPER(Table1451314151617181920212223242528[[#This Row],[Region]])</f>
        <v>INDIA</v>
      </c>
      <c r="S2" s="20">
        <f>VALUE(SUBSTITUTE(Table1451314151617181920212223242528[[#This Row],[Quantity]],"pcs",""))</f>
        <v>10</v>
      </c>
      <c r="T2" s="20">
        <f>YEAR(Table1451314151617181920212223242528[[#This Row],[Order Date]])</f>
        <v>2024</v>
      </c>
      <c r="U2" s="20">
        <f>MONTH(Table1451314151617181920212223242528[[#This Row],[Order Date]])</f>
        <v>4</v>
      </c>
      <c r="V2" s="20" t="str">
        <f>TEXT(Table1451314151617181920212223242528[[#This Row],[Order Date]],"mmm")</f>
        <v>Apr</v>
      </c>
      <c r="W2" s="20">
        <f ca="1">IF(Table1451314151617181920212223242528[[#This Row],[Order Date]]="","",TODAY()-Table1451314151617181920212223242528[[#This Row],[Order Date]])</f>
        <v>741</v>
      </c>
      <c r="X2" s="20" t="str">
        <f ca="1">IF(TODAY()-Table1451314151617181920212223242528[[#This Row],[Order Date]]&gt;30,"Old","Recent")</f>
        <v>Old</v>
      </c>
    </row>
    <row r="3" spans="1:24" ht="21.6" hidden="1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Table1451314151617181920212223242528[[#This Row],[Quantity]]*Table1451314151617181920212223242528[[#This Row],[Price]]</f>
        <v>250</v>
      </c>
      <c r="M3" s="19" t="str">
        <f>IF(Table1451314151617181920212223242528[[#This Row],[Sales]]&gt;800,"High",IF(Table1451314151617181920212223242528[[#This Row],[Sales]]&gt;=500,"Medium","Low"))</f>
        <v>Low</v>
      </c>
      <c r="N3" s="19" t="str" cm="1">
        <f t="array" ref="N3">_xlfn.IFS(AND(Table1451314151617181920212223242528[Status]="Delivered",Table1451314151617181920212223242528[Sales]&gt;500),"Valid",TRUE,"Check")</f>
        <v>Check</v>
      </c>
      <c r="O3" s="19" t="str">
        <f>LEFT(Table1451314151617181920212223242528[[#This Row],[Customer Info]],FIND("|",Table1451314151617181920212223242528[[#This Row],[Customer Info]])-2)</f>
        <v>Neha</v>
      </c>
      <c r="P3" s="20" t="str">
        <f>RIGHT(Table1451314151617181920212223242528[[#This Row],[Customer Info]],LEN(Table1451314151617181920212223242528[[#This Row],[Customer Info]])-FIND("|",Table1451314151617181920212223242528[[#This Row],[Customer Info]])-1)</f>
        <v>9123456780</v>
      </c>
      <c r="Q3" s="20" t="str">
        <f>TRIM(Table1451314151617181920212223242528[[#This Row],[Customer Info]])</f>
        <v>Neha | 9123456780</v>
      </c>
      <c r="R3" s="20" t="str">
        <f>UPPER(Table1451314151617181920212223242528[[#This Row],[Region]])</f>
        <v>US</v>
      </c>
      <c r="S3" s="20">
        <f>VALUE(SUBSTITUTE(Table1451314151617181920212223242528[[#This Row],[Quantity]],"pcs",""))</f>
        <v>5</v>
      </c>
      <c r="T3" s="20"/>
      <c r="U3" s="20"/>
      <c r="V3" s="20"/>
      <c r="W3" s="20" t="str">
        <f ca="1">IF(Table1451314151617181920212223242528[[#This Row],[Order Date]]="","",TODAY()-Table1451314151617181920212223242528[[#This Row],[Order Date]])</f>
        <v/>
      </c>
      <c r="X3" s="20"/>
    </row>
    <row r="4" spans="1:24" ht="21" hidden="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Table1451314151617181920212223242528[[#This Row],[Quantity]]*Table1451314151617181920212223242528[[#This Row],[Price]]</f>
        <v>80</v>
      </c>
      <c r="M4" s="19" t="str">
        <f>IF(Table1451314151617181920212223242528[[#This Row],[Sales]]&gt;800,"High",IF(Table1451314151617181920212223242528[[#This Row],[Sales]]&gt;=500,"Medium","Low"))</f>
        <v>Low</v>
      </c>
      <c r="N4" s="19" t="str" cm="1">
        <f t="array" ref="N4">_xlfn.IFS(AND(Table1451314151617181920212223242528[Status]="Delivered",Table1451314151617181920212223242528[Sales]&gt;500),"Valid",TRUE,"Check")</f>
        <v>Check</v>
      </c>
      <c r="O4" s="19" t="str">
        <f>LEFT(Table1451314151617181920212223242528[[#This Row],[Customer Info]],FIND("|",Table1451314151617181920212223242528[[#This Row],[Customer Info]])-2)</f>
        <v>Rohit</v>
      </c>
      <c r="P4" s="20" t="str">
        <f>RIGHT(Table1451314151617181920212223242528[[#This Row],[Customer Info]],LEN(Table1451314151617181920212223242528[[#This Row],[Customer Info]])-FIND("|",Table1451314151617181920212223242528[[#This Row],[Customer Info]])-1)</f>
        <v>9988776655</v>
      </c>
      <c r="Q4" s="20" t="str">
        <f>TRIM(Table1451314151617181920212223242528[[#This Row],[Customer Info]])</f>
        <v>Rohit | 9988776655</v>
      </c>
      <c r="R4" s="20" t="str">
        <f>UPPER(Table1451314151617181920212223242528[[#This Row],[Region]])</f>
        <v>UK</v>
      </c>
      <c r="S4" s="20">
        <f>VALUE(SUBSTITUTE(Table1451314151617181920212223242528[[#This Row],[Quantity]],"pcs",""))</f>
        <v>8</v>
      </c>
      <c r="T4" s="20">
        <f>YEAR(Table1451314151617181920212223242528[[#This Row],[Order Date]])</f>
        <v>2024</v>
      </c>
      <c r="U4" s="20">
        <f>MONTH(Table1451314151617181920212223242528[[#This Row],[Order Date]])</f>
        <v>3</v>
      </c>
      <c r="V4" s="20" t="str">
        <f>TEXT(Table1451314151617181920212223242528[[#This Row],[Order Date]],"mmm")</f>
        <v>Mar</v>
      </c>
      <c r="W4" s="20">
        <f ca="1">IF(Table1451314151617181920212223242528[[#This Row],[Order Date]]="","",TODAY()-Table1451314151617181920212223242528[[#This Row],[Order Date]])</f>
        <v>769</v>
      </c>
      <c r="X4" s="20" t="str">
        <f ca="1">IF(TODAY()-Table1451314151617181920212223242528[[#This Row],[Order Date]]&gt;30,"Old","Recent")</f>
        <v>Old</v>
      </c>
    </row>
    <row r="5" spans="1:24" ht="22.8" hidden="1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Table1451314151617181920212223242528[[#This Row],[Quantity]]*Table1451314151617181920212223242528[[#This Row],[Price]]</f>
        <v>45</v>
      </c>
      <c r="M5" s="19" t="str">
        <f>IF(Table1451314151617181920212223242528[[#This Row],[Sales]]&gt;800,"High",IF(Table1451314151617181920212223242528[[#This Row],[Sales]]&gt;=500,"Medium","Low"))</f>
        <v>Low</v>
      </c>
      <c r="N5" s="19" t="str" cm="1">
        <f t="array" ref="N5">_xlfn.IFS(AND(Table1451314151617181920212223242528[Status]="Delivered",Table1451314151617181920212223242528[Sales]&gt;500),"Valid",TRUE,"Check")</f>
        <v>Check</v>
      </c>
      <c r="O5" s="19" t="str">
        <f>LEFT(Table1451314151617181920212223242528[[#This Row],[Customer Info]],FIND("|",Table1451314151617181920212223242528[[#This Row],[Customer Info]])-2)</f>
        <v>Simran</v>
      </c>
      <c r="P5" s="20" t="str">
        <f>RIGHT(Table1451314151617181920212223242528[[#This Row],[Customer Info]],LEN(Table1451314151617181920212223242528[[#This Row],[Customer Info]])-FIND("|",Table1451314151617181920212223242528[[#This Row],[Customer Info]])-1)</f>
        <v>9012345678</v>
      </c>
      <c r="Q5" s="20" t="str">
        <f>TRIM(Table1451314151617181920212223242528[[#This Row],[Customer Info]])</f>
        <v>Simran | 9012345678</v>
      </c>
      <c r="R5" s="20" t="str">
        <f>UPPER(Table1451314151617181920212223242528[[#This Row],[Region]])</f>
        <v>UAE</v>
      </c>
      <c r="S5" s="20">
        <f>VALUE(SUBSTITUTE(Table1451314151617181920212223242528[[#This Row],[Quantity]],"pcs",""))</f>
        <v>3</v>
      </c>
      <c r="T5" s="20">
        <f>YEAR(Table1451314151617181920212223242528[[#This Row],[Order Date]])</f>
        <v>2024</v>
      </c>
      <c r="U5" s="20">
        <f>MONTH(Table1451314151617181920212223242528[[#This Row],[Order Date]])</f>
        <v>2</v>
      </c>
      <c r="V5" s="20" t="str">
        <f>TEXT(Table1451314151617181920212223242528[[#This Row],[Order Date]],"mmm")</f>
        <v>Feb</v>
      </c>
      <c r="W5" s="20">
        <f ca="1">IF(Table1451314151617181920212223242528[[#This Row],[Order Date]]="","",TODAY()-Table1451314151617181920212223242528[[#This Row],[Order Date]])</f>
        <v>803</v>
      </c>
      <c r="X5" s="20" t="str">
        <f ca="1">IF(TODAY()-Table1451314151617181920212223242528[[#This Row],[Order Date]]&gt;30,"Old","Recent")</f>
        <v>Old</v>
      </c>
    </row>
    <row r="6" spans="1:24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Table1451314151617181920212223242528[[#This Row],[Quantity]]*Table1451314151617181920212223242528[[#This Row],[Price]]</f>
        <v>120</v>
      </c>
      <c r="M6" s="19" t="str">
        <f>IF(Table1451314151617181920212223242528[[#This Row],[Sales]]&gt;800,"High",IF(Table1451314151617181920212223242528[[#This Row],[Sales]]&gt;=500,"Medium","Low"))</f>
        <v>Low</v>
      </c>
      <c r="N6" s="19" t="str" cm="1">
        <f t="array" ref="N6">_xlfn.IFS(AND(Table1451314151617181920212223242528[Status]="Delivered",Table1451314151617181920212223242528[Sales]&gt;500),"Valid",TRUE,"Check")</f>
        <v>Check</v>
      </c>
      <c r="O6" s="19" t="str">
        <f>LEFT(Table1451314151617181920212223242528[[#This Row],[Customer Info]],FIND("|",Table1451314151617181920212223242528[[#This Row],[Customer Info]])-2)</f>
        <v>Karan</v>
      </c>
      <c r="P6" s="20" t="str">
        <f>RIGHT(Table1451314151617181920212223242528[[#This Row],[Customer Info]],LEN(Table1451314151617181920212223242528[[#This Row],[Customer Info]])-FIND("|",Table1451314151617181920212223242528[[#This Row],[Customer Info]])-1)</f>
        <v>9090909090</v>
      </c>
      <c r="Q6" s="20" t="str">
        <f>TRIM(Table1451314151617181920212223242528[[#This Row],[Customer Info]])</f>
        <v>Karan | 9090909090</v>
      </c>
      <c r="R6" s="20" t="str">
        <f>UPPER(Table1451314151617181920212223242528[[#This Row],[Region]])</f>
        <v>INDIA</v>
      </c>
      <c r="S6" s="20">
        <f>VALUE(SUBSTITUTE(Table1451314151617181920212223242528[[#This Row],[Quantity]],"pcs",""))</f>
        <v>6</v>
      </c>
      <c r="T6" s="20">
        <f>YEAR(Table1451314151617181920212223242528[[#This Row],[Order Date]])</f>
        <v>2024</v>
      </c>
      <c r="U6" s="20">
        <f>MONTH(Table1451314151617181920212223242528[[#This Row],[Order Date]])</f>
        <v>5</v>
      </c>
      <c r="V6" s="20" t="str">
        <f>TEXT(Table1451314151617181920212223242528[[#This Row],[Order Date]],"mmm")</f>
        <v>May</v>
      </c>
      <c r="W6" s="20">
        <f ca="1">IF(Table1451314151617181920212223242528[[#This Row],[Order Date]]="","",TODAY()-Table1451314151617181920212223242528[[#This Row],[Order Date]])</f>
        <v>712</v>
      </c>
      <c r="X6" s="20" t="str">
        <f ca="1">IF(TODAY()-Table1451314151617181920212223242528[[#This Row],[Order Date]]&gt;30,"Old","Recent")</f>
        <v>Old</v>
      </c>
    </row>
    <row r="7" spans="1:24" ht="23.4" hidden="1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Table1451314151617181920212223242528[[#This Row],[Quantity]]*Table1451314151617181920212223242528[[#This Row],[Price]]</f>
        <v>150</v>
      </c>
      <c r="M7" s="19" t="str">
        <f>IF(Table1451314151617181920212223242528[[#This Row],[Sales]]&gt;800,"High",IF(Table1451314151617181920212223242528[[#This Row],[Sales]]&gt;=500,"Medium","Low"))</f>
        <v>Low</v>
      </c>
      <c r="N7" s="19" t="str" cm="1">
        <f t="array" ref="N7">_xlfn.IFS(AND(Table1451314151617181920212223242528[Status]="Delivered",Table1451314151617181920212223242528[Sales]&gt;500),"Valid",TRUE,"Check")</f>
        <v>Check</v>
      </c>
      <c r="O7" s="19" t="str">
        <f>LEFT(Table1451314151617181920212223242528[[#This Row],[Customer Info]],FIND("|",Table1451314151617181920212223242528[[#This Row],[Customer Info]])-2)</f>
        <v>Riya</v>
      </c>
      <c r="P7" s="20" t="str">
        <f>RIGHT(Table1451314151617181920212223242528[[#This Row],[Customer Info]],LEN(Table1451314151617181920212223242528[[#This Row],[Customer Info]])-FIND("|",Table1451314151617181920212223242528[[#This Row],[Customer Info]])-1)</f>
        <v>9345678901</v>
      </c>
      <c r="Q7" s="20" t="str">
        <f>TRIM(Table1451314151617181920212223242528[[#This Row],[Customer Info]])</f>
        <v>Riya | 9345678901</v>
      </c>
      <c r="R7" s="20" t="str">
        <f>UPPER(Table1451314151617181920212223242528[[#This Row],[Region]])</f>
        <v>US</v>
      </c>
      <c r="S7" s="20">
        <f>VALUE(SUBSTITUTE(Table1451314151617181920212223242528[[#This Row],[Quantity]],"pcs",""))</f>
        <v>3</v>
      </c>
      <c r="T7" s="20">
        <f>YEAR(Table1451314151617181920212223242528[[#This Row],[Order Date]])</f>
        <v>2024</v>
      </c>
      <c r="U7" s="20">
        <f>MONTH(Table1451314151617181920212223242528[[#This Row],[Order Date]])</f>
        <v>6</v>
      </c>
      <c r="V7" s="20" t="str">
        <f>TEXT(Table1451314151617181920212223242528[[#This Row],[Order Date]],"mmm")</f>
        <v>Jun</v>
      </c>
      <c r="W7" s="20">
        <f ca="1">IF(Table1451314151617181920212223242528[[#This Row],[Order Date]]="","",TODAY()-Table1451314151617181920212223242528[[#This Row],[Order Date]])</f>
        <v>685</v>
      </c>
      <c r="X7" s="20" t="str">
        <f ca="1">IF(TODAY()-Table1451314151617181920212223242528[[#This Row],[Order Date]]&gt;30,"Old","Recent")</f>
        <v>Old</v>
      </c>
    </row>
    <row r="8" spans="1:24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Table1451314151617181920212223242528[[#This Row],[Quantity]]*Table1451314151617181920212223242528[[#This Row],[Price]]</f>
        <v>20</v>
      </c>
      <c r="M8" s="19" t="str">
        <f>IF(Table1451314151617181920212223242528[[#This Row],[Sales]]&gt;800,"High",IF(Table1451314151617181920212223242528[[#This Row],[Sales]]&gt;=500,"Medium","Low"))</f>
        <v>Low</v>
      </c>
      <c r="N8" s="19" t="str" cm="1">
        <f t="array" ref="N8">_xlfn.IFS(AND(Table1451314151617181920212223242528[Status]="Delivered",Table1451314151617181920212223242528[Sales]&gt;500),"Valid",TRUE,"Check")</f>
        <v>Check</v>
      </c>
      <c r="O8" s="19" t="str">
        <f>LEFT(Table1451314151617181920212223242528[[#This Row],[Customer Info]],FIND("|",Table1451314151617181920212223242528[[#This Row],[Customer Info]])-2)</f>
        <v>Amit</v>
      </c>
      <c r="P8" s="20" t="str">
        <f>RIGHT(Table1451314151617181920212223242528[[#This Row],[Customer Info]],LEN(Table1451314151617181920212223242528[[#This Row],[Customer Info]])-FIND("|",Table1451314151617181920212223242528[[#This Row],[Customer Info]])-1)</f>
        <v>9234567890</v>
      </c>
      <c r="Q8" s="20" t="str">
        <f>TRIM(Table1451314151617181920212223242528[[#This Row],[Customer Info]])</f>
        <v>Amit | 9234567890</v>
      </c>
      <c r="R8" s="20" t="str">
        <f>UPPER(Table1451314151617181920212223242528[[#This Row],[Region]])</f>
        <v>INDIA</v>
      </c>
      <c r="S8" s="20">
        <f>VALUE(SUBSTITUTE(Table1451314151617181920212223242528[[#This Row],[Quantity]],"pcs",""))</f>
        <v>2</v>
      </c>
      <c r="T8" s="20"/>
      <c r="U8" s="20"/>
      <c r="V8" s="20"/>
      <c r="W8" s="20" t="str">
        <f ca="1">IF(Table1451314151617181920212223242528[[#This Row],[Order Date]]="","",TODAY()-Table1451314151617181920212223242528[[#This Row],[Order Date]])</f>
        <v/>
      </c>
      <c r="X8" s="20"/>
    </row>
    <row r="9" spans="1:24" ht="23.4" hidden="1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Table1451314151617181920212223242528[[#This Row],[Quantity]]*Table1451314151617181920212223242528[[#This Row],[Price]]</f>
        <v>0</v>
      </c>
      <c r="M9" s="19" t="str">
        <f>IF(Table1451314151617181920212223242528[[#This Row],[Sales]]&gt;800,"High",IF(Table1451314151617181920212223242528[[#This Row],[Sales]]&gt;=500,"Medium","Low"))</f>
        <v>Low</v>
      </c>
      <c r="N9" s="19" t="str" cm="1">
        <f t="array" ref="N9">_xlfn.IFS(AND(Table1451314151617181920212223242528[Status]="Delivered",Table1451314151617181920212223242528[Sales]&gt;500),"Valid",TRUE,"Check")</f>
        <v>Check</v>
      </c>
      <c r="O9" s="19" t="str">
        <f>LEFT(Table1451314151617181920212223242528[[#This Row],[Customer Info]],FIND("|",Table1451314151617181920212223242528[[#This Row],[Customer Info]])-2)</f>
        <v>Sara</v>
      </c>
      <c r="P9" s="20" t="str">
        <f>RIGHT(Table1451314151617181920212223242528[[#This Row],[Customer Info]],LEN(Table1451314151617181920212223242528[[#This Row],[Customer Info]])-FIND("|",Table1451314151617181920212223242528[[#This Row],[Customer Info]])-1)</f>
        <v>9876501234</v>
      </c>
      <c r="Q9" s="20" t="str">
        <f>TRIM(Table1451314151617181920212223242528[[#This Row],[Customer Info]])</f>
        <v>Sara | 9876501234</v>
      </c>
      <c r="R9" s="20" t="str">
        <f>UPPER(Table1451314151617181920212223242528[[#This Row],[Region]])</f>
        <v>UK</v>
      </c>
      <c r="S9" s="20">
        <f>VALUE(SUBSTITUTE(Table1451314151617181920212223242528[[#This Row],[Quantity]],"pcs",""))</f>
        <v>0</v>
      </c>
      <c r="T9" s="20">
        <f>YEAR(Table1451314151617181920212223242528[[#This Row],[Order Date]])</f>
        <v>2024</v>
      </c>
      <c r="U9" s="20">
        <f>MONTH(Table1451314151617181920212223242528[[#This Row],[Order Date]])</f>
        <v>4</v>
      </c>
      <c r="V9" s="20" t="str">
        <f>TEXT(Table1451314151617181920212223242528[[#This Row],[Order Date]],"mmm")</f>
        <v>Apr</v>
      </c>
      <c r="W9" s="20">
        <f ca="1">IF(Table1451314151617181920212223242528[[#This Row],[Order Date]]="","",TODAY()-Table1451314151617181920212223242528[[#This Row],[Order Date]])</f>
        <v>728</v>
      </c>
      <c r="X9" s="20" t="str">
        <f ca="1">IF(TODAY()-Table1451314151617181920212223242528[[#This Row],[Order Date]]&gt;30,"Old","Recent")</f>
        <v>Old</v>
      </c>
    </row>
    <row r="10" spans="1:24" ht="16.2" hidden="1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Table1451314151617181920212223242528[[#This Row],[Quantity]]*Table1451314151617181920212223242528[[#This Row],[Price]]</f>
        <v>160</v>
      </c>
      <c r="M10" s="19" t="str">
        <f>IF(Table1451314151617181920212223242528[[#This Row],[Sales]]&gt;800,"High",IF(Table1451314151617181920212223242528[[#This Row],[Sales]]&gt;=500,"Medium","Low"))</f>
        <v>Low</v>
      </c>
      <c r="N10" s="19" t="str" cm="1">
        <f t="array" ref="N10">_xlfn.IFS(AND(Table1451314151617181920212223242528[Status]="Delivered",Table1451314151617181920212223242528[Sales]&gt;500),"Valid",TRUE,"Check")</f>
        <v>Check</v>
      </c>
      <c r="O10" s="19" t="str">
        <f>LEFT(Table1451314151617181920212223242528[[#This Row],[Customer Info]],FIND("|",Table1451314151617181920212223242528[[#This Row],[Customer Info]])-2)</f>
        <v>John</v>
      </c>
      <c r="P10" s="20" t="str">
        <f>RIGHT(Table1451314151617181920212223242528[[#This Row],[Customer Info]],LEN(Table1451314151617181920212223242528[[#This Row],[Customer Info]])-FIND("|",Table1451314151617181920212223242528[[#This Row],[Customer Info]])-1)</f>
        <v>9988001122</v>
      </c>
      <c r="Q10" s="20" t="str">
        <f>TRIM(Table1451314151617181920212223242528[[#This Row],[Customer Info]])</f>
        <v>John | 9988001122</v>
      </c>
      <c r="R10" s="20" t="str">
        <f>UPPER(Table1451314151617181920212223242528[[#This Row],[Region]])</f>
        <v>UK</v>
      </c>
      <c r="S10" s="20">
        <f>VALUE(SUBSTITUTE(Table1451314151617181920212223242528[[#This Row],[Quantity]],"pcs",""))</f>
        <v>8</v>
      </c>
      <c r="T10" s="20">
        <f>YEAR(Table1451314151617181920212223242528[[#This Row],[Order Date]])</f>
        <v>2024</v>
      </c>
      <c r="U10" s="20">
        <f>MONTH(Table1451314151617181920212223242528[[#This Row],[Order Date]])</f>
        <v>3</v>
      </c>
      <c r="V10" s="20" t="str">
        <f>TEXT(Table1451314151617181920212223242528[[#This Row],[Order Date]],"mmm")</f>
        <v>Mar</v>
      </c>
      <c r="W10" s="20">
        <f ca="1">IF(Table1451314151617181920212223242528[[#This Row],[Order Date]]="","",TODAY()-Table1451314151617181920212223242528[[#This Row],[Order Date]])</f>
        <v>771</v>
      </c>
      <c r="X10" s="20" t="str">
        <f ca="1">IF(TODAY()-Table1451314151617181920212223242528[[#This Row],[Order Date]]&gt;30,"Old","Recent")</f>
        <v>Old</v>
      </c>
    </row>
    <row r="11" spans="1:24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Table1451314151617181920212223242528[[#This Row],[Quantity]]*Table1451314151617181920212223242528[[#This Row],[Price]]</f>
        <v>300</v>
      </c>
      <c r="M11" s="19" t="str">
        <f>IF(Table1451314151617181920212223242528[[#This Row],[Sales]]&gt;800,"High",IF(Table1451314151617181920212223242528[[#This Row],[Sales]]&gt;=500,"Medium","Low"))</f>
        <v>Low</v>
      </c>
      <c r="N11" s="19" t="str" cm="1">
        <f t="array" ref="N11">_xlfn.IFS(AND(Table1451314151617181920212223242528[Status]="Delivered",Table1451314151617181920212223242528[Sales]&gt;500),"Valid",TRUE,"Check")</f>
        <v>Check</v>
      </c>
      <c r="O11" s="19" t="str">
        <f>LEFT(Table1451314151617181920212223242528[[#This Row],[Customer Info]],FIND("|",Table1451314151617181920212223242528[[#This Row],[Customer Info]])-2)</f>
        <v>Meena</v>
      </c>
      <c r="P11" s="20" t="str">
        <f>RIGHT(Table1451314151617181920212223242528[[#This Row],[Customer Info]],LEN(Table1451314151617181920212223242528[[#This Row],[Customer Info]])-FIND("|",Table1451314151617181920212223242528[[#This Row],[Customer Info]])-1)</f>
        <v>9765432109</v>
      </c>
      <c r="Q11" s="20" t="str">
        <f>TRIM(Table1451314151617181920212223242528[[#This Row],[Customer Info]])</f>
        <v>Meena | 9765432109</v>
      </c>
      <c r="R11" s="20" t="str">
        <f>UPPER(Table1451314151617181920212223242528[[#This Row],[Region]])</f>
        <v>INDIA</v>
      </c>
      <c r="S11" s="20">
        <f>VALUE(SUBSTITUTE(Table1451314151617181920212223242528[[#This Row],[Quantity]],"pcs",""))</f>
        <v>6</v>
      </c>
      <c r="T11" s="20">
        <f>YEAR(Table1451314151617181920212223242528[[#This Row],[Order Date]])</f>
        <v>2024</v>
      </c>
      <c r="U11" s="20">
        <f>MONTH(Table1451314151617181920212223242528[[#This Row],[Order Date]])</f>
        <v>4</v>
      </c>
      <c r="V11" s="20" t="str">
        <f>TEXT(Table1451314151617181920212223242528[[#This Row],[Order Date]],"mmm")</f>
        <v>Apr</v>
      </c>
      <c r="W11" s="20">
        <f ca="1">IF(Table1451314151617181920212223242528[[#This Row],[Order Date]]="","",TODAY()-Table1451314151617181920212223242528[[#This Row],[Order Date]])</f>
        <v>731</v>
      </c>
      <c r="X11" s="20" t="str">
        <f ca="1">IF(TODAY()-Table1451314151617181920212223242528[[#This Row],[Order Date]]&gt;30,"Old","Recent")</f>
        <v>Old</v>
      </c>
    </row>
    <row r="12" spans="1:24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Table1451314151617181920212223242528[[#This Row],[Quantity]]*Table1451314151617181920212223242528[[#This Row],[Price]]</f>
        <v>100</v>
      </c>
      <c r="M12" s="19" t="str">
        <f>IF(Table1451314151617181920212223242528[[#This Row],[Sales]]&gt;800,"High",IF(Table1451314151617181920212223242528[[#This Row],[Sales]]&gt;=500,"Medium","Low"))</f>
        <v>Low</v>
      </c>
      <c r="N12" s="19" t="str" cm="1">
        <f t="array" ref="N12">_xlfn.IFS(AND(Table1451314151617181920212223242528[Status]="Delivered",Table1451314151617181920212223242528[Sales]&gt;500),"Valid",TRUE,"Check")</f>
        <v>Check</v>
      </c>
      <c r="O12" s="19" t="str">
        <f>LEFT(Table1451314151617181920212223242528[[#This Row],[Customer Info]],FIND("|",Table1451314151617181920212223242528[[#This Row],[Customer Info]])-2)</f>
        <v>Vikram</v>
      </c>
      <c r="P12" s="20" t="str">
        <f>RIGHT(Table1451314151617181920212223242528[[#This Row],[Customer Info]],LEN(Table1451314151617181920212223242528[[#This Row],[Customer Info]])-FIND("|",Table1451314151617181920212223242528[[#This Row],[Customer Info]])-1)</f>
        <v>9123001122</v>
      </c>
      <c r="Q12" s="20" t="str">
        <f>TRIM(Table1451314151617181920212223242528[[#This Row],[Customer Info]])</f>
        <v>Vikram | 9123001122</v>
      </c>
      <c r="R12" s="20" t="str">
        <f>UPPER(Table1451314151617181920212223242528[[#This Row],[Region]])</f>
        <v>INDIA</v>
      </c>
      <c r="S12" s="20">
        <f>VALUE(SUBSTITUTE(Table1451314151617181920212223242528[[#This Row],[Quantity]],"pcs",""))</f>
        <v>5</v>
      </c>
      <c r="T12" s="20">
        <f>YEAR(Table1451314151617181920212223242528[[#This Row],[Order Date]])</f>
        <v>2024</v>
      </c>
      <c r="U12" s="20">
        <f>MONTH(Table1451314151617181920212223242528[[#This Row],[Order Date]])</f>
        <v>2</v>
      </c>
      <c r="V12" s="20" t="str">
        <f>TEXT(Table1451314151617181920212223242528[[#This Row],[Order Date]],"mmm")</f>
        <v>Feb</v>
      </c>
      <c r="W12" s="20">
        <f ca="1">IF(Table1451314151617181920212223242528[[#This Row],[Order Date]]="","",TODAY()-Table1451314151617181920212223242528[[#This Row],[Order Date]])</f>
        <v>795</v>
      </c>
      <c r="X12" s="20" t="str">
        <f ca="1">IF(TODAY()-Table1451314151617181920212223242528[[#This Row],[Order Date]]&gt;30,"Old","Recent")</f>
        <v>Old</v>
      </c>
    </row>
    <row r="13" spans="1:24" ht="23.4" hidden="1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Table1451314151617181920212223242528[[#This Row],[Quantity]]*Table1451314151617181920212223242528[[#This Row],[Price]]</f>
        <v>100</v>
      </c>
      <c r="M13" s="19" t="str">
        <f>IF(Table1451314151617181920212223242528[[#This Row],[Sales]]&gt;800,"High",IF(Table1451314151617181920212223242528[[#This Row],[Sales]]&gt;=500,"Medium","Low"))</f>
        <v>Low</v>
      </c>
      <c r="N13" s="19" t="str" cm="1">
        <f t="array" ref="N13">_xlfn.IFS(AND(Table1451314151617181920212223242528[Status]="Delivered",Table1451314151617181920212223242528[Sales]&gt;500),"Valid",TRUE,"Check")</f>
        <v>Check</v>
      </c>
      <c r="O13" s="19" t="str">
        <f>LEFT(Table1451314151617181920212223242528[[#This Row],[Customer Info]],FIND("|",Table1451314151617181920212223242528[[#This Row],[Customer Info]])-2)</f>
        <v>Pooja</v>
      </c>
      <c r="P13" s="20" t="str">
        <f>RIGHT(Table1451314151617181920212223242528[[#This Row],[Customer Info]],LEN(Table1451314151617181920212223242528[[#This Row],[Customer Info]])-FIND("|",Table1451314151617181920212223242528[[#This Row],[Customer Info]])-1)</f>
        <v>9345001123</v>
      </c>
      <c r="Q13" s="20" t="str">
        <f>TRIM(Table1451314151617181920212223242528[[#This Row],[Customer Info]])</f>
        <v>Pooja | 9345001123</v>
      </c>
      <c r="R13" s="20" t="str">
        <f>UPPER(Table1451314151617181920212223242528[[#This Row],[Region]])</f>
        <v>US</v>
      </c>
      <c r="S13" s="20">
        <f>VALUE(SUBSTITUTE(Table1451314151617181920212223242528[[#This Row],[Quantity]],"pcs",""))</f>
        <v>2</v>
      </c>
      <c r="T13" s="20">
        <f>YEAR(Table1451314151617181920212223242528[[#This Row],[Order Date]])</f>
        <v>2024</v>
      </c>
      <c r="U13" s="20">
        <f>MONTH(Table1451314151617181920212223242528[[#This Row],[Order Date]])</f>
        <v>3</v>
      </c>
      <c r="V13" s="20" t="str">
        <f>TEXT(Table1451314151617181920212223242528[[#This Row],[Order Date]],"mmm")</f>
        <v>Mar</v>
      </c>
      <c r="W13" s="20">
        <f ca="1">IF(Table1451314151617181920212223242528[[#This Row],[Order Date]]="","",TODAY()-Table1451314151617181920212223242528[[#This Row],[Order Date]])</f>
        <v>765</v>
      </c>
      <c r="X13" s="20" t="str">
        <f ca="1">IF(TODAY()-Table1451314151617181920212223242528[[#This Row],[Order Date]]&gt;30,"Old","Recent")</f>
        <v>Old</v>
      </c>
    </row>
    <row r="14" spans="1:24" ht="25.2" hidden="1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Table1451314151617181920212223242528[[#This Row],[Quantity]]*Table1451314151617181920212223242528[[#This Row],[Price]]</f>
        <v>45</v>
      </c>
      <c r="M14" s="19" t="str">
        <f>IF(Table1451314151617181920212223242528[[#This Row],[Sales]]&gt;800,"High",IF(Table1451314151617181920212223242528[[#This Row],[Sales]]&gt;=500,"Medium","Low"))</f>
        <v>Low</v>
      </c>
      <c r="N14" s="19" t="str" cm="1">
        <f t="array" ref="N14">_xlfn.IFS(AND(Table1451314151617181920212223242528[Status]="Delivered",Table1451314151617181920212223242528[Sales]&gt;500),"Valid",TRUE,"Check")</f>
        <v>Check</v>
      </c>
      <c r="O14" s="19" t="str">
        <f>LEFT(Table1451314151617181920212223242528[[#This Row],[Customer Info]],FIND("|",Table1451314151617181920212223242528[[#This Row],[Customer Info]])-2)</f>
        <v>Kiran</v>
      </c>
      <c r="P14" s="20" t="str">
        <f>RIGHT(Table1451314151617181920212223242528[[#This Row],[Customer Info]],LEN(Table1451314151617181920212223242528[[#This Row],[Customer Info]])-FIND("|",Table1451314151617181920212223242528[[#This Row],[Customer Info]])-1)</f>
        <v>9000011122</v>
      </c>
      <c r="Q14" s="20" t="str">
        <f>TRIM(Table1451314151617181920212223242528[[#This Row],[Customer Info]])</f>
        <v>Kiran | 9000011122</v>
      </c>
      <c r="R14" s="20" t="str">
        <f>UPPER(Table1451314151617181920212223242528[[#This Row],[Region]])</f>
        <v>UAE</v>
      </c>
      <c r="S14" s="20">
        <f>VALUE(SUBSTITUTE(Table1451314151617181920212223242528[[#This Row],[Quantity]],"pcs",""))</f>
        <v>3</v>
      </c>
      <c r="T14" s="20">
        <f>YEAR(Table1451314151617181920212223242528[[#This Row],[Order Date]])</f>
        <v>2024</v>
      </c>
      <c r="U14" s="20">
        <f>MONTH(Table1451314151617181920212223242528[[#This Row],[Order Date]])</f>
        <v>1</v>
      </c>
      <c r="V14" s="20" t="str">
        <f>TEXT(Table1451314151617181920212223242528[[#This Row],[Order Date]],"mmm")</f>
        <v>Jan</v>
      </c>
      <c r="W14" s="20">
        <f ca="1">IF(Table1451314151617181920212223242528[[#This Row],[Order Date]]="","",TODAY()-Table1451314151617181920212223242528[[#This Row],[Order Date]])</f>
        <v>823</v>
      </c>
      <c r="X14" s="20" t="str">
        <f ca="1">IF(TODAY()-Table1451314151617181920212223242528[[#This Row],[Order Date]]&gt;30,"Old","Recent")</f>
        <v>Old</v>
      </c>
    </row>
    <row r="15" spans="1:24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Table1451314151617181920212223242528[[#This Row],[Quantity]]*Table1451314151617181920212223242528[[#This Row],[Price]]</f>
        <v>10</v>
      </c>
      <c r="M15" s="19" t="str">
        <f>IF(Table1451314151617181920212223242528[[#This Row],[Sales]]&gt;800,"High",IF(Table1451314151617181920212223242528[[#This Row],[Sales]]&gt;=500,"Medium","Low"))</f>
        <v>Low</v>
      </c>
      <c r="N15" s="19" t="str" cm="1">
        <f t="array" ref="N15">_xlfn.IFS(AND(Table1451314151617181920212223242528[Status]="Delivered",Table1451314151617181920212223242528[Sales]&gt;500),"Valid",TRUE,"Check")</f>
        <v>Check</v>
      </c>
      <c r="O15" s="19" t="str">
        <f>LEFT(Table1451314151617181920212223242528[[#This Row],[Customer Info]],FIND("|",Table1451314151617181920212223242528[[#This Row],[Customer Info]])-2)</f>
        <v>Anil</v>
      </c>
      <c r="P15" s="20" t="str">
        <f>RIGHT(Table1451314151617181920212223242528[[#This Row],[Customer Info]],LEN(Table1451314151617181920212223242528[[#This Row],[Customer Info]])-FIND("|",Table1451314151617181920212223242528[[#This Row],[Customer Info]])-1)</f>
        <v>9888800011</v>
      </c>
      <c r="Q15" s="20" t="str">
        <f>TRIM(Table1451314151617181920212223242528[[#This Row],[Customer Info]])</f>
        <v>Anil | 9888800011</v>
      </c>
      <c r="R15" s="20" t="str">
        <f>UPPER(Table1451314151617181920212223242528[[#This Row],[Region]])</f>
        <v>INDIA</v>
      </c>
      <c r="S15" s="20">
        <f>VALUE(SUBSTITUTE(Table1451314151617181920212223242528[[#This Row],[Quantity]],"pcs",""))</f>
        <v>1</v>
      </c>
      <c r="T15" s="20">
        <f>YEAR(Table1451314151617181920212223242528[[#This Row],[Order Date]])</f>
        <v>2024</v>
      </c>
      <c r="U15" s="20">
        <f>MONTH(Table1451314151617181920212223242528[[#This Row],[Order Date]])</f>
        <v>5</v>
      </c>
      <c r="V15" s="20" t="str">
        <f>TEXT(Table1451314151617181920212223242528[[#This Row],[Order Date]],"mmm")</f>
        <v>May</v>
      </c>
      <c r="W15" s="20">
        <f ca="1">IF(Table1451314151617181920212223242528[[#This Row],[Order Date]]="","",TODAY()-Table1451314151617181920212223242528[[#This Row],[Order Date]])</f>
        <v>718</v>
      </c>
      <c r="X15" s="20" t="str">
        <f ca="1">IF(TODAY()-Table1451314151617181920212223242528[[#This Row],[Order Date]]&gt;30,"Old","Recent")</f>
        <v>Old</v>
      </c>
    </row>
    <row r="16" spans="1:24" ht="21.6" hidden="1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Table1451314151617181920212223242528[[#This Row],[Quantity]]*Table1451314151617181920212223242528[[#This Row],[Price]]</f>
        <v>200</v>
      </c>
      <c r="M16" s="19" t="str">
        <f>IF(Table1451314151617181920212223242528[[#This Row],[Sales]]&gt;800,"High",IF(Table1451314151617181920212223242528[[#This Row],[Sales]]&gt;=500,"Medium","Low"))</f>
        <v>Low</v>
      </c>
      <c r="N16" s="19" t="str" cm="1">
        <f t="array" ref="N16">_xlfn.IFS(AND(Table1451314151617181920212223242528[Status]="Delivered",Table1451314151617181920212223242528[Sales]&gt;500),"Valid",TRUE,"Check")</f>
        <v>Check</v>
      </c>
      <c r="O16" s="19" t="str">
        <f>LEFT(Table1451314151617181920212223242528[[#This Row],[Customer Info]],FIND("|",Table1451314151617181920212223242528[[#This Row],[Customer Info]])-2)</f>
        <v>Divya</v>
      </c>
      <c r="P16" s="20" t="str">
        <f>RIGHT(Table1451314151617181920212223242528[[#This Row],[Customer Info]],LEN(Table1451314151617181920212223242528[[#This Row],[Customer Info]])-FIND("|",Table1451314151617181920212223242528[[#This Row],[Customer Info]])-1)</f>
        <v>9777700011</v>
      </c>
      <c r="Q16" s="20" t="str">
        <f>TRIM(Table1451314151617181920212223242528[[#This Row],[Customer Info]])</f>
        <v>Divya | 9777700011</v>
      </c>
      <c r="R16" s="20" t="str">
        <f>UPPER(Table1451314151617181920212223242528[[#This Row],[Region]])</f>
        <v>UK</v>
      </c>
      <c r="S16" s="20">
        <f>VALUE(SUBSTITUTE(Table1451314151617181920212223242528[[#This Row],[Quantity]],"pcs",""))</f>
        <v>4</v>
      </c>
      <c r="T16" s="20">
        <f>YEAR(Table1451314151617181920212223242528[[#This Row],[Order Date]])</f>
        <v>2024</v>
      </c>
      <c r="U16" s="20">
        <f>MONTH(Table1451314151617181920212223242528[[#This Row],[Order Date]])</f>
        <v>6</v>
      </c>
      <c r="V16" s="20" t="str">
        <f>TEXT(Table1451314151617181920212223242528[[#This Row],[Order Date]],"mmm")</f>
        <v>Jun</v>
      </c>
      <c r="W16" s="20">
        <f ca="1">IF(Table1451314151617181920212223242528[[#This Row],[Order Date]]="","",TODAY()-Table1451314151617181920212223242528[[#This Row],[Order Date]])</f>
        <v>680</v>
      </c>
      <c r="X16" s="20" t="str">
        <f ca="1">IF(TODAY()-Table1451314151617181920212223242528[[#This Row],[Order Date]]&gt;30,"Old","Recent")</f>
        <v>Old</v>
      </c>
    </row>
    <row r="17" spans="1:24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Table1451314151617181920212223242528[[#This Row],[Quantity]]*Table1451314151617181920212223242528[[#This Row],[Price]]</f>
        <v>140</v>
      </c>
      <c r="M17" s="19" t="str">
        <f>IF(Table1451314151617181920212223242528[[#This Row],[Sales]]&gt;800,"High",IF(Table1451314151617181920212223242528[[#This Row],[Sales]]&gt;=500,"Medium","Low"))</f>
        <v>Low</v>
      </c>
      <c r="N17" s="19" t="str" cm="1">
        <f t="array" ref="N17">_xlfn.IFS(AND(Table1451314151617181920212223242528[Status]="Delivered",Table1451314151617181920212223242528[Sales]&gt;500),"Valid",TRUE,"Check")</f>
        <v>Check</v>
      </c>
      <c r="O17" s="19" t="str">
        <f>LEFT(Table1451314151617181920212223242528[[#This Row],[Customer Info]],FIND("|",Table1451314151617181920212223242528[[#This Row],[Customer Info]])-2)</f>
        <v>Rahul</v>
      </c>
      <c r="P17" s="20" t="str">
        <f>RIGHT(Table1451314151617181920212223242528[[#This Row],[Customer Info]],LEN(Table1451314151617181920212223242528[[#This Row],[Customer Info]])-FIND("|",Table1451314151617181920212223242528[[#This Row],[Customer Info]])-1)</f>
        <v>9666600011</v>
      </c>
      <c r="Q17" s="20" t="str">
        <f>TRIM(Table1451314151617181920212223242528[[#This Row],[Customer Info]])</f>
        <v>Rahul | 9666600011</v>
      </c>
      <c r="R17" s="20" t="str">
        <f>UPPER(Table1451314151617181920212223242528[[#This Row],[Region]])</f>
        <v>INDIA</v>
      </c>
      <c r="S17" s="20">
        <f>VALUE(SUBSTITUTE(Table1451314151617181920212223242528[[#This Row],[Quantity]],"pcs",""))</f>
        <v>7</v>
      </c>
      <c r="T17" s="20">
        <f>YEAR(Table1451314151617181920212223242528[[#This Row],[Order Date]])</f>
        <v>2024</v>
      </c>
      <c r="U17" s="20">
        <f>MONTH(Table1451314151617181920212223242528[[#This Row],[Order Date]])</f>
        <v>4</v>
      </c>
      <c r="V17" s="20" t="str">
        <f>TEXT(Table1451314151617181920212223242528[[#This Row],[Order Date]],"mmm")</f>
        <v>Apr</v>
      </c>
      <c r="W17" s="20">
        <f ca="1">IF(Table1451314151617181920212223242528[[#This Row],[Order Date]]="","",TODAY()-Table1451314151617181920212223242528[[#This Row],[Order Date]])</f>
        <v>746</v>
      </c>
      <c r="X17" s="20" t="str">
        <f ca="1">IF(TODAY()-Table1451314151617181920212223242528[[#This Row],[Order Date]]&gt;30,"Old","Recent")</f>
        <v>Old</v>
      </c>
    </row>
    <row r="18" spans="1:24" ht="22.2" hidden="1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Table1451314151617181920212223242528[[#This Row],[Quantity]]*Table1451314151617181920212223242528[[#This Row],[Price]]</f>
        <v>30</v>
      </c>
      <c r="M18" s="19" t="str">
        <f>IF(Table1451314151617181920212223242528[[#This Row],[Sales]]&gt;800,"High",IF(Table1451314151617181920212223242528[[#This Row],[Sales]]&gt;=500,"Medium","Low"))</f>
        <v>Low</v>
      </c>
      <c r="N18" s="19" t="str" cm="1">
        <f t="array" ref="N18">_xlfn.IFS(AND(Table1451314151617181920212223242528[Status]="Delivered",Table1451314151617181920212223242528[Sales]&gt;500),"Valid",TRUE,"Check")</f>
        <v>Check</v>
      </c>
      <c r="O18" s="19" t="str">
        <f>LEFT(Table1451314151617181920212223242528[[#This Row],[Customer Info]],FIND("|",Table1451314151617181920212223242528[[#This Row],[Customer Info]])-2)</f>
        <v>Sneha</v>
      </c>
      <c r="P18" s="20" t="str">
        <f>RIGHT(Table1451314151617181920212223242528[[#This Row],[Customer Info]],LEN(Table1451314151617181920212223242528[[#This Row],[Customer Info]])-FIND("|",Table1451314151617181920212223242528[[#This Row],[Customer Info]])-1)</f>
        <v>9555500011</v>
      </c>
      <c r="Q18" s="20" t="str">
        <f>TRIM(Table1451314151617181920212223242528[[#This Row],[Customer Info]])</f>
        <v>Sneha | 9555500011</v>
      </c>
      <c r="R18" s="20" t="str">
        <f>UPPER(Table1451314151617181920212223242528[[#This Row],[Region]])</f>
        <v>UAE</v>
      </c>
      <c r="S18" s="20">
        <f>VALUE(SUBSTITUTE(Table1451314151617181920212223242528[[#This Row],[Quantity]],"pcs",""))</f>
        <v>2</v>
      </c>
      <c r="T18" s="20">
        <f>YEAR(Table1451314151617181920212223242528[[#This Row],[Order Date]])</f>
        <v>2024</v>
      </c>
      <c r="U18" s="20">
        <f>MONTH(Table1451314151617181920212223242528[[#This Row],[Order Date]])</f>
        <v>2</v>
      </c>
      <c r="V18" s="20" t="str">
        <f>TEXT(Table1451314151617181920212223242528[[#This Row],[Order Date]],"mmm")</f>
        <v>Feb</v>
      </c>
      <c r="W18" s="20">
        <f ca="1">IF(Table1451314151617181920212223242528[[#This Row],[Order Date]]="","",TODAY()-Table1451314151617181920212223242528[[#This Row],[Order Date]])</f>
        <v>802</v>
      </c>
      <c r="X18" s="20" t="str">
        <f ca="1">IF(TODAY()-Table1451314151617181920212223242528[[#This Row],[Order Date]]&gt;30,"Old","Recent")</f>
        <v>Old</v>
      </c>
    </row>
    <row r="19" spans="1:24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Table1451314151617181920212223242528[[#This Row],[Quantity]]*Table1451314151617181920212223242528[[#This Row],[Price]]</f>
        <v>120</v>
      </c>
      <c r="M19" s="19" t="str">
        <f>IF(Table1451314151617181920212223242528[[#This Row],[Sales]]&gt;800,"High",IF(Table1451314151617181920212223242528[[#This Row],[Sales]]&gt;=500,"Medium","Low"))</f>
        <v>Low</v>
      </c>
      <c r="N19" s="19" t="str" cm="1">
        <f t="array" ref="N19">_xlfn.IFS(AND(Table1451314151617181920212223242528[Status]="Delivered",Table1451314151617181920212223242528[Sales]&gt;500),"Valid",TRUE,"Check")</f>
        <v>Check</v>
      </c>
      <c r="O19" s="19" t="str">
        <f>LEFT(Table1451314151617181920212223242528[[#This Row],[Customer Info]],FIND("|",Table1451314151617181920212223242528[[#This Row],[Customer Info]])-2)</f>
        <v>Karthik</v>
      </c>
      <c r="P19" s="20" t="str">
        <f>RIGHT(Table1451314151617181920212223242528[[#This Row],[Customer Info]],LEN(Table1451314151617181920212223242528[[#This Row],[Customer Info]])-FIND("|",Table1451314151617181920212223242528[[#This Row],[Customer Info]])-1)</f>
        <v>9001122334</v>
      </c>
      <c r="Q19" s="20" t="str">
        <f>TRIM(Table1451314151617181920212223242528[[#This Row],[Customer Info]])</f>
        <v>Karthik | 9001122334</v>
      </c>
      <c r="R19" s="20" t="str">
        <f>UPPER(Table1451314151617181920212223242528[[#This Row],[Region]])</f>
        <v>INDIA</v>
      </c>
      <c r="S19" s="20">
        <f>VALUE(SUBSTITUTE(Table1451314151617181920212223242528[[#This Row],[Quantity]],"pcs",""))</f>
        <v>6</v>
      </c>
      <c r="T19" s="20">
        <f>YEAR(Table1451314151617181920212223242528[[#This Row],[Order Date]])</f>
        <v>2024</v>
      </c>
      <c r="U19" s="20">
        <f>MONTH(Table1451314151617181920212223242528[[#This Row],[Order Date]])</f>
        <v>4</v>
      </c>
      <c r="V19" s="20" t="str">
        <f>TEXT(Table1451314151617181920212223242528[[#This Row],[Order Date]],"mmm")</f>
        <v>Apr</v>
      </c>
      <c r="W19" s="20">
        <f ca="1">IF(Table1451314151617181920212223242528[[#This Row],[Order Date]]="","",TODAY()-Table1451314151617181920212223242528[[#This Row],[Order Date]])</f>
        <v>743</v>
      </c>
      <c r="X19" s="20" t="str">
        <f ca="1">IF(TODAY()-Table1451314151617181920212223242528[[#This Row],[Order Date]]&gt;30,"Old","Recent")</f>
        <v>Old</v>
      </c>
    </row>
    <row r="20" spans="1:24" ht="30.6" hidden="1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Table1451314151617181920212223242528[[#This Row],[Quantity]]*Table1451314151617181920212223242528[[#This Row],[Price]]</f>
        <v>350</v>
      </c>
      <c r="M20" s="19" t="str">
        <f>IF(Table1451314151617181920212223242528[[#This Row],[Sales]]&gt;800,"High",IF(Table1451314151617181920212223242528[[#This Row],[Sales]]&gt;=500,"Medium","Low"))</f>
        <v>Low</v>
      </c>
      <c r="N20" s="19" t="str" cm="1">
        <f t="array" ref="N20">_xlfn.IFS(AND(Table1451314151617181920212223242528[Status]="Delivered",Table1451314151617181920212223242528[Sales]&gt;500),"Valid",TRUE,"Check")</f>
        <v>Check</v>
      </c>
      <c r="O20" s="19" t="str">
        <f>LEFT(Table1451314151617181920212223242528[[#This Row],[Customer Info]],FIND("|",Table1451314151617181920212223242528[[#This Row],[Customer Info]])-2)</f>
        <v>Lavanya</v>
      </c>
      <c r="P20" s="20" t="str">
        <f>RIGHT(Table1451314151617181920212223242528[[#This Row],[Customer Info]],LEN(Table1451314151617181920212223242528[[#This Row],[Customer Info]])-FIND("|",Table1451314151617181920212223242528[[#This Row],[Customer Info]])-1)</f>
        <v>9011223344</v>
      </c>
      <c r="Q20" s="20" t="str">
        <f>TRIM(Table1451314151617181920212223242528[[#This Row],[Customer Info]])</f>
        <v>Lavanya | 9011223344</v>
      </c>
      <c r="R20" s="20" t="str">
        <f>UPPER(Table1451314151617181920212223242528[[#This Row],[Region]])</f>
        <v>US</v>
      </c>
      <c r="S20" s="20">
        <f>VALUE(SUBSTITUTE(Table1451314151617181920212223242528[[#This Row],[Quantity]],"pcs",""))</f>
        <v>7</v>
      </c>
      <c r="T20" s="20">
        <f>YEAR(Table1451314151617181920212223242528[[#This Row],[Order Date]])</f>
        <v>2024</v>
      </c>
      <c r="U20" s="20">
        <f>MONTH(Table1451314151617181920212223242528[[#This Row],[Order Date]])</f>
        <v>5</v>
      </c>
      <c r="V20" s="20" t="str">
        <f>TEXT(Table1451314151617181920212223242528[[#This Row],[Order Date]],"mmm")</f>
        <v>May</v>
      </c>
      <c r="W20" s="20">
        <f ca="1">IF(Table1451314151617181920212223242528[[#This Row],[Order Date]]="","",TODAY()-Table1451314151617181920212223242528[[#This Row],[Order Date]])</f>
        <v>715</v>
      </c>
      <c r="X20" s="20" t="str">
        <f ca="1">IF(TODAY()-Table1451314151617181920212223242528[[#This Row],[Order Date]]&gt;30,"Old","Recent")</f>
        <v>Old</v>
      </c>
    </row>
    <row r="21" spans="1:24" ht="18" hidden="1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Table1451314151617181920212223242528[[#This Row],[Quantity]]*Table1451314151617181920212223242528[[#This Row],[Price]]</f>
        <v>30</v>
      </c>
      <c r="M21" s="19" t="str">
        <f>IF(Table1451314151617181920212223242528[[#This Row],[Sales]]&gt;800,"High",IF(Table1451314151617181920212223242528[[#This Row],[Sales]]&gt;=500,"Medium","Low"))</f>
        <v>Low</v>
      </c>
      <c r="N21" s="19" t="str" cm="1">
        <f t="array" ref="N21">_xlfn.IFS(AND(Table1451314151617181920212223242528[Status]="Delivered",Table1451314151617181920212223242528[Sales]&gt;500),"Valid",TRUE,"Check")</f>
        <v>Check</v>
      </c>
      <c r="O21" s="19" t="str">
        <f>LEFT(Table1451314151617181920212223242528[[#This Row],[Customer Info]],FIND("|",Table1451314151617181920212223242528[[#This Row],[Customer Info]])-2)</f>
        <v>Manoj</v>
      </c>
      <c r="P21" s="20" t="str">
        <f>RIGHT(Table1451314151617181920212223242528[[#This Row],[Customer Info]],LEN(Table1451314151617181920212223242528[[#This Row],[Customer Info]])-FIND("|",Table1451314151617181920212223242528[[#This Row],[Customer Info]])-1)</f>
        <v>9022334455</v>
      </c>
      <c r="Q21" s="20" t="str">
        <f>TRIM(Table1451314151617181920212223242528[[#This Row],[Customer Info]])</f>
        <v>Manoj | 9022334455</v>
      </c>
      <c r="R21" s="20" t="str">
        <f>UPPER(Table1451314151617181920212223242528[[#This Row],[Region]])</f>
        <v>UK</v>
      </c>
      <c r="S21" s="20">
        <f>VALUE(SUBSTITUTE(Table1451314151617181920212223242528[[#This Row],[Quantity]],"pcs",""))</f>
        <v>3</v>
      </c>
      <c r="T21" s="20"/>
      <c r="U21" s="20"/>
      <c r="V21" s="20"/>
      <c r="W21" s="20" t="str">
        <f ca="1">IF(Table1451314151617181920212223242528[[#This Row],[Order Date]]="","",TODAY()-Table1451314151617181920212223242528[[#This Row],[Order Date]])</f>
        <v/>
      </c>
      <c r="X21" s="20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9A11-63A4-49D3-82E2-B3121D5B8B1F}">
  <dimension ref="A1:X28"/>
  <sheetViews>
    <sheetView topLeftCell="N1" zoomScale="69" workbookViewId="0">
      <selection activeCell="AB26" sqref="AB26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21.2187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  <col min="24" max="24" width="16.33203125" customWidth="1"/>
  </cols>
  <sheetData>
    <row r="1" spans="1:24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</row>
    <row r="2" spans="1:24" ht="15.6" customHeight="1" thickBot="1" x14ac:dyDescent="0.3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Table1451314151617181920212223242529[[#This Row],[Quantity]]*Table1451314151617181920212223242529[[#This Row],[Price]]</f>
        <v>200</v>
      </c>
      <c r="M2" s="19" t="str">
        <f>IF(Table1451314151617181920212223242529[[#This Row],[Sales]]&gt;800,"High",IF(Table1451314151617181920212223242529[[#This Row],[Sales]]&gt;=500,"Medium","Low"))</f>
        <v>Low</v>
      </c>
      <c r="N2" s="19" t="str" cm="1">
        <f t="array" ref="N2">_xlfn.IFS(AND(Table1451314151617181920212223242529[Status]="Delivered",Table1451314151617181920212223242529[Sales]&gt;500),"Valid",TRUE,"Check")</f>
        <v>Check</v>
      </c>
      <c r="O2" s="19" t="str">
        <f>LEFT(Table1451314151617181920212223242529[[#This Row],[Customer Info]],FIND("|",Table1451314151617181920212223242529[[#This Row],[Customer Info]])-2)</f>
        <v>Arjun</v>
      </c>
      <c r="P2" s="20" t="str">
        <f>RIGHT(Table1451314151617181920212223242529[[#This Row],[Customer Info]],LEN(Table1451314151617181920212223242529[[#This Row],[Customer Info]])-FIND("|",Table1451314151617181920212223242529[[#This Row],[Customer Info]])-1)</f>
        <v>9876543210</v>
      </c>
      <c r="Q2" s="20" t="str">
        <f>TRIM(Table1451314151617181920212223242529[[#This Row],[Customer Info]])</f>
        <v>Arjun | 9876543210</v>
      </c>
      <c r="R2" s="20" t="str">
        <f>UPPER(Table1451314151617181920212223242529[[#This Row],[Region]])</f>
        <v>INDIA</v>
      </c>
      <c r="S2" s="20">
        <f>VALUE(SUBSTITUTE(Table1451314151617181920212223242529[[#This Row],[Quantity]],"pcs",""))</f>
        <v>10</v>
      </c>
      <c r="T2" s="20">
        <f>YEAR(Table1451314151617181920212223242529[[#This Row],[Order Date]])</f>
        <v>2024</v>
      </c>
      <c r="U2" s="20">
        <f>MONTH(Table1451314151617181920212223242529[[#This Row],[Order Date]])</f>
        <v>4</v>
      </c>
      <c r="V2" s="20" t="str">
        <f>TEXT(Table1451314151617181920212223242529[[#This Row],[Order Date]],"mmm")</f>
        <v>Apr</v>
      </c>
      <c r="W2" s="20">
        <f ca="1">IF(Table1451314151617181920212223242529[[#This Row],[Order Date]]="","",TODAY()-Table1451314151617181920212223242529[[#This Row],[Order Date]])</f>
        <v>741</v>
      </c>
      <c r="X2" s="20" t="str">
        <f ca="1">IF(TODAY()-Table1451314151617181920212223242529[[#This Row],[Order Date]]&gt;30,"Old","Recent")</f>
        <v>Old</v>
      </c>
    </row>
    <row r="3" spans="1:24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Table1451314151617181920212223242529[[#This Row],[Quantity]]*Table1451314151617181920212223242529[[#This Row],[Price]]</f>
        <v>250</v>
      </c>
      <c r="M3" s="19" t="str">
        <f>IF(Table1451314151617181920212223242529[[#This Row],[Sales]]&gt;800,"High",IF(Table1451314151617181920212223242529[[#This Row],[Sales]]&gt;=500,"Medium","Low"))</f>
        <v>Low</v>
      </c>
      <c r="N3" s="19" t="str" cm="1">
        <f t="array" ref="N3">_xlfn.IFS(AND(Table1451314151617181920212223242529[Status]="Delivered",Table1451314151617181920212223242529[Sales]&gt;500),"Valid",TRUE,"Check")</f>
        <v>Check</v>
      </c>
      <c r="O3" s="19" t="str">
        <f>LEFT(Table1451314151617181920212223242529[[#This Row],[Customer Info]],FIND("|",Table1451314151617181920212223242529[[#This Row],[Customer Info]])-2)</f>
        <v>Neha</v>
      </c>
      <c r="P3" s="20" t="str">
        <f>RIGHT(Table1451314151617181920212223242529[[#This Row],[Customer Info]],LEN(Table1451314151617181920212223242529[[#This Row],[Customer Info]])-FIND("|",Table1451314151617181920212223242529[[#This Row],[Customer Info]])-1)</f>
        <v>9123456780</v>
      </c>
      <c r="Q3" s="20" t="str">
        <f>TRIM(Table1451314151617181920212223242529[[#This Row],[Customer Info]])</f>
        <v>Neha | 9123456780</v>
      </c>
      <c r="R3" s="20" t="str">
        <f>UPPER(Table1451314151617181920212223242529[[#This Row],[Region]])</f>
        <v>US</v>
      </c>
      <c r="S3" s="20">
        <f>VALUE(SUBSTITUTE(Table1451314151617181920212223242529[[#This Row],[Quantity]],"pcs",""))</f>
        <v>5</v>
      </c>
      <c r="T3" s="20"/>
      <c r="U3" s="20"/>
      <c r="V3" s="20"/>
      <c r="W3" s="20" t="str">
        <f ca="1">IF(Table1451314151617181920212223242529[[#This Row],[Order Date]]="","",TODAY()-Table1451314151617181920212223242529[[#This Row],[Order Date]])</f>
        <v/>
      </c>
      <c r="X3" s="20"/>
    </row>
    <row r="4" spans="1:24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Table1451314151617181920212223242529[[#This Row],[Quantity]]*Table1451314151617181920212223242529[[#This Row],[Price]]</f>
        <v>80</v>
      </c>
      <c r="M4" s="19" t="str">
        <f>IF(Table1451314151617181920212223242529[[#This Row],[Sales]]&gt;800,"High",IF(Table1451314151617181920212223242529[[#This Row],[Sales]]&gt;=500,"Medium","Low"))</f>
        <v>Low</v>
      </c>
      <c r="N4" s="19" t="str" cm="1">
        <f t="array" ref="N4">_xlfn.IFS(AND(Table1451314151617181920212223242529[Status]="Delivered",Table1451314151617181920212223242529[Sales]&gt;500),"Valid",TRUE,"Check")</f>
        <v>Check</v>
      </c>
      <c r="O4" s="19" t="str">
        <f>LEFT(Table1451314151617181920212223242529[[#This Row],[Customer Info]],FIND("|",Table1451314151617181920212223242529[[#This Row],[Customer Info]])-2)</f>
        <v>Rohit</v>
      </c>
      <c r="P4" s="20" t="str">
        <f>RIGHT(Table1451314151617181920212223242529[[#This Row],[Customer Info]],LEN(Table1451314151617181920212223242529[[#This Row],[Customer Info]])-FIND("|",Table1451314151617181920212223242529[[#This Row],[Customer Info]])-1)</f>
        <v>9988776655</v>
      </c>
      <c r="Q4" s="20" t="str">
        <f>TRIM(Table1451314151617181920212223242529[[#This Row],[Customer Info]])</f>
        <v>Rohit | 9988776655</v>
      </c>
      <c r="R4" s="20" t="str">
        <f>UPPER(Table1451314151617181920212223242529[[#This Row],[Region]])</f>
        <v>UK</v>
      </c>
      <c r="S4" s="20">
        <f>VALUE(SUBSTITUTE(Table1451314151617181920212223242529[[#This Row],[Quantity]],"pcs",""))</f>
        <v>8</v>
      </c>
      <c r="T4" s="20">
        <f>YEAR(Table1451314151617181920212223242529[[#This Row],[Order Date]])</f>
        <v>2024</v>
      </c>
      <c r="U4" s="20">
        <f>MONTH(Table1451314151617181920212223242529[[#This Row],[Order Date]])</f>
        <v>3</v>
      </c>
      <c r="V4" s="20" t="str">
        <f>TEXT(Table1451314151617181920212223242529[[#This Row],[Order Date]],"mmm")</f>
        <v>Mar</v>
      </c>
      <c r="W4" s="20">
        <f ca="1">IF(Table1451314151617181920212223242529[[#This Row],[Order Date]]="","",TODAY()-Table1451314151617181920212223242529[[#This Row],[Order Date]])</f>
        <v>769</v>
      </c>
      <c r="X4" s="20" t="str">
        <f ca="1">IF(TODAY()-Table1451314151617181920212223242529[[#This Row],[Order Date]]&gt;30,"Old","Recent")</f>
        <v>Old</v>
      </c>
    </row>
    <row r="5" spans="1:24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Table1451314151617181920212223242529[[#This Row],[Quantity]]*Table1451314151617181920212223242529[[#This Row],[Price]]</f>
        <v>45</v>
      </c>
      <c r="M5" s="19" t="str">
        <f>IF(Table1451314151617181920212223242529[[#This Row],[Sales]]&gt;800,"High",IF(Table1451314151617181920212223242529[[#This Row],[Sales]]&gt;=500,"Medium","Low"))</f>
        <v>Low</v>
      </c>
      <c r="N5" s="19" t="str" cm="1">
        <f t="array" ref="N5">_xlfn.IFS(AND(Table1451314151617181920212223242529[Status]="Delivered",Table1451314151617181920212223242529[Sales]&gt;500),"Valid",TRUE,"Check")</f>
        <v>Check</v>
      </c>
      <c r="O5" s="19" t="str">
        <f>LEFT(Table1451314151617181920212223242529[[#This Row],[Customer Info]],FIND("|",Table1451314151617181920212223242529[[#This Row],[Customer Info]])-2)</f>
        <v>Simran</v>
      </c>
      <c r="P5" s="20" t="str">
        <f>RIGHT(Table1451314151617181920212223242529[[#This Row],[Customer Info]],LEN(Table1451314151617181920212223242529[[#This Row],[Customer Info]])-FIND("|",Table1451314151617181920212223242529[[#This Row],[Customer Info]])-1)</f>
        <v>9012345678</v>
      </c>
      <c r="Q5" s="20" t="str">
        <f>TRIM(Table1451314151617181920212223242529[[#This Row],[Customer Info]])</f>
        <v>Simran | 9012345678</v>
      </c>
      <c r="R5" s="20" t="str">
        <f>UPPER(Table1451314151617181920212223242529[[#This Row],[Region]])</f>
        <v>UAE</v>
      </c>
      <c r="S5" s="20">
        <f>VALUE(SUBSTITUTE(Table1451314151617181920212223242529[[#This Row],[Quantity]],"pcs",""))</f>
        <v>3</v>
      </c>
      <c r="T5" s="20">
        <f>YEAR(Table1451314151617181920212223242529[[#This Row],[Order Date]])</f>
        <v>2024</v>
      </c>
      <c r="U5" s="20">
        <f>MONTH(Table1451314151617181920212223242529[[#This Row],[Order Date]])</f>
        <v>2</v>
      </c>
      <c r="V5" s="20" t="str">
        <f>TEXT(Table1451314151617181920212223242529[[#This Row],[Order Date]],"mmm")</f>
        <v>Feb</v>
      </c>
      <c r="W5" s="20">
        <f ca="1">IF(Table1451314151617181920212223242529[[#This Row],[Order Date]]="","",TODAY()-Table1451314151617181920212223242529[[#This Row],[Order Date]])</f>
        <v>803</v>
      </c>
      <c r="X5" s="20" t="str">
        <f ca="1">IF(TODAY()-Table1451314151617181920212223242529[[#This Row],[Order Date]]&gt;30,"Old","Recent")</f>
        <v>Old</v>
      </c>
    </row>
    <row r="6" spans="1:24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Table1451314151617181920212223242529[[#This Row],[Quantity]]*Table1451314151617181920212223242529[[#This Row],[Price]]</f>
        <v>120</v>
      </c>
      <c r="M6" s="19" t="str">
        <f>IF(Table1451314151617181920212223242529[[#This Row],[Sales]]&gt;800,"High",IF(Table1451314151617181920212223242529[[#This Row],[Sales]]&gt;=500,"Medium","Low"))</f>
        <v>Low</v>
      </c>
      <c r="N6" s="19" t="str" cm="1">
        <f t="array" ref="N6">_xlfn.IFS(AND(Table1451314151617181920212223242529[Status]="Delivered",Table1451314151617181920212223242529[Sales]&gt;500),"Valid",TRUE,"Check")</f>
        <v>Check</v>
      </c>
      <c r="O6" s="19" t="str">
        <f>LEFT(Table1451314151617181920212223242529[[#This Row],[Customer Info]],FIND("|",Table1451314151617181920212223242529[[#This Row],[Customer Info]])-2)</f>
        <v>Karan</v>
      </c>
      <c r="P6" s="20" t="str">
        <f>RIGHT(Table1451314151617181920212223242529[[#This Row],[Customer Info]],LEN(Table1451314151617181920212223242529[[#This Row],[Customer Info]])-FIND("|",Table1451314151617181920212223242529[[#This Row],[Customer Info]])-1)</f>
        <v>9090909090</v>
      </c>
      <c r="Q6" s="20" t="str">
        <f>TRIM(Table1451314151617181920212223242529[[#This Row],[Customer Info]])</f>
        <v>Karan | 9090909090</v>
      </c>
      <c r="R6" s="20" t="str">
        <f>UPPER(Table1451314151617181920212223242529[[#This Row],[Region]])</f>
        <v>INDIA</v>
      </c>
      <c r="S6" s="20">
        <f>VALUE(SUBSTITUTE(Table1451314151617181920212223242529[[#This Row],[Quantity]],"pcs",""))</f>
        <v>6</v>
      </c>
      <c r="T6" s="20">
        <f>YEAR(Table1451314151617181920212223242529[[#This Row],[Order Date]])</f>
        <v>2024</v>
      </c>
      <c r="U6" s="20">
        <f>MONTH(Table1451314151617181920212223242529[[#This Row],[Order Date]])</f>
        <v>5</v>
      </c>
      <c r="V6" s="20" t="str">
        <f>TEXT(Table1451314151617181920212223242529[[#This Row],[Order Date]],"mmm")</f>
        <v>May</v>
      </c>
      <c r="W6" s="20">
        <f ca="1">IF(Table1451314151617181920212223242529[[#This Row],[Order Date]]="","",TODAY()-Table1451314151617181920212223242529[[#This Row],[Order Date]])</f>
        <v>712</v>
      </c>
      <c r="X6" s="20" t="str">
        <f ca="1">IF(TODAY()-Table1451314151617181920212223242529[[#This Row],[Order Date]]&gt;30,"Old","Recent")</f>
        <v>Old</v>
      </c>
    </row>
    <row r="7" spans="1:24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Table1451314151617181920212223242529[[#This Row],[Quantity]]*Table1451314151617181920212223242529[[#This Row],[Price]]</f>
        <v>150</v>
      </c>
      <c r="M7" s="19" t="str">
        <f>IF(Table1451314151617181920212223242529[[#This Row],[Sales]]&gt;800,"High",IF(Table1451314151617181920212223242529[[#This Row],[Sales]]&gt;=500,"Medium","Low"))</f>
        <v>Low</v>
      </c>
      <c r="N7" s="19" t="str" cm="1">
        <f t="array" ref="N7">_xlfn.IFS(AND(Table1451314151617181920212223242529[Status]="Delivered",Table1451314151617181920212223242529[Sales]&gt;500),"Valid",TRUE,"Check")</f>
        <v>Check</v>
      </c>
      <c r="O7" s="19" t="str">
        <f>LEFT(Table1451314151617181920212223242529[[#This Row],[Customer Info]],FIND("|",Table1451314151617181920212223242529[[#This Row],[Customer Info]])-2)</f>
        <v>Riya</v>
      </c>
      <c r="P7" s="20" t="str">
        <f>RIGHT(Table1451314151617181920212223242529[[#This Row],[Customer Info]],LEN(Table1451314151617181920212223242529[[#This Row],[Customer Info]])-FIND("|",Table1451314151617181920212223242529[[#This Row],[Customer Info]])-1)</f>
        <v>9345678901</v>
      </c>
      <c r="Q7" s="20" t="str">
        <f>TRIM(Table1451314151617181920212223242529[[#This Row],[Customer Info]])</f>
        <v>Riya | 9345678901</v>
      </c>
      <c r="R7" s="20" t="str">
        <f>UPPER(Table1451314151617181920212223242529[[#This Row],[Region]])</f>
        <v>US</v>
      </c>
      <c r="S7" s="20">
        <f>VALUE(SUBSTITUTE(Table1451314151617181920212223242529[[#This Row],[Quantity]],"pcs",""))</f>
        <v>3</v>
      </c>
      <c r="T7" s="20">
        <f>YEAR(Table1451314151617181920212223242529[[#This Row],[Order Date]])</f>
        <v>2024</v>
      </c>
      <c r="U7" s="20">
        <f>MONTH(Table1451314151617181920212223242529[[#This Row],[Order Date]])</f>
        <v>6</v>
      </c>
      <c r="V7" s="20" t="str">
        <f>TEXT(Table1451314151617181920212223242529[[#This Row],[Order Date]],"mmm")</f>
        <v>Jun</v>
      </c>
      <c r="W7" s="20">
        <f ca="1">IF(Table1451314151617181920212223242529[[#This Row],[Order Date]]="","",TODAY()-Table1451314151617181920212223242529[[#This Row],[Order Date]])</f>
        <v>685</v>
      </c>
      <c r="X7" s="20" t="str">
        <f ca="1">IF(TODAY()-Table1451314151617181920212223242529[[#This Row],[Order Date]]&gt;30,"Old","Recent")</f>
        <v>Old</v>
      </c>
    </row>
    <row r="8" spans="1:24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Table1451314151617181920212223242529[[#This Row],[Quantity]]*Table1451314151617181920212223242529[[#This Row],[Price]]</f>
        <v>20</v>
      </c>
      <c r="M8" s="19" t="str">
        <f>IF(Table1451314151617181920212223242529[[#This Row],[Sales]]&gt;800,"High",IF(Table1451314151617181920212223242529[[#This Row],[Sales]]&gt;=500,"Medium","Low"))</f>
        <v>Low</v>
      </c>
      <c r="N8" s="19" t="str" cm="1">
        <f t="array" ref="N8">_xlfn.IFS(AND(Table1451314151617181920212223242529[Status]="Delivered",Table1451314151617181920212223242529[Sales]&gt;500),"Valid",TRUE,"Check")</f>
        <v>Check</v>
      </c>
      <c r="O8" s="19" t="str">
        <f>LEFT(Table1451314151617181920212223242529[[#This Row],[Customer Info]],FIND("|",Table1451314151617181920212223242529[[#This Row],[Customer Info]])-2)</f>
        <v>Amit</v>
      </c>
      <c r="P8" s="20" t="str">
        <f>RIGHT(Table1451314151617181920212223242529[[#This Row],[Customer Info]],LEN(Table1451314151617181920212223242529[[#This Row],[Customer Info]])-FIND("|",Table1451314151617181920212223242529[[#This Row],[Customer Info]])-1)</f>
        <v>9234567890</v>
      </c>
      <c r="Q8" s="20" t="str">
        <f>TRIM(Table1451314151617181920212223242529[[#This Row],[Customer Info]])</f>
        <v>Amit | 9234567890</v>
      </c>
      <c r="R8" s="20" t="str">
        <f>UPPER(Table1451314151617181920212223242529[[#This Row],[Region]])</f>
        <v>INDIA</v>
      </c>
      <c r="S8" s="20">
        <f>VALUE(SUBSTITUTE(Table1451314151617181920212223242529[[#This Row],[Quantity]],"pcs",""))</f>
        <v>2</v>
      </c>
      <c r="T8" s="20"/>
      <c r="U8" s="20"/>
      <c r="V8" s="20"/>
      <c r="W8" s="20" t="str">
        <f ca="1">IF(Table1451314151617181920212223242529[[#This Row],[Order Date]]="","",TODAY()-Table1451314151617181920212223242529[[#This Row],[Order Date]])</f>
        <v/>
      </c>
      <c r="X8" s="20"/>
    </row>
    <row r="9" spans="1:24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Table1451314151617181920212223242529[[#This Row],[Quantity]]*Table1451314151617181920212223242529[[#This Row],[Price]]</f>
        <v>0</v>
      </c>
      <c r="M9" s="19" t="str">
        <f>IF(Table1451314151617181920212223242529[[#This Row],[Sales]]&gt;800,"High",IF(Table1451314151617181920212223242529[[#This Row],[Sales]]&gt;=500,"Medium","Low"))</f>
        <v>Low</v>
      </c>
      <c r="N9" s="19" t="str" cm="1">
        <f t="array" ref="N9">_xlfn.IFS(AND(Table1451314151617181920212223242529[Status]="Delivered",Table1451314151617181920212223242529[Sales]&gt;500),"Valid",TRUE,"Check")</f>
        <v>Check</v>
      </c>
      <c r="O9" s="19" t="str">
        <f>LEFT(Table1451314151617181920212223242529[[#This Row],[Customer Info]],FIND("|",Table1451314151617181920212223242529[[#This Row],[Customer Info]])-2)</f>
        <v>Sara</v>
      </c>
      <c r="P9" s="20" t="str">
        <f>RIGHT(Table1451314151617181920212223242529[[#This Row],[Customer Info]],LEN(Table1451314151617181920212223242529[[#This Row],[Customer Info]])-FIND("|",Table1451314151617181920212223242529[[#This Row],[Customer Info]])-1)</f>
        <v>9876501234</v>
      </c>
      <c r="Q9" s="20" t="str">
        <f>TRIM(Table1451314151617181920212223242529[[#This Row],[Customer Info]])</f>
        <v>Sara | 9876501234</v>
      </c>
      <c r="R9" s="20" t="str">
        <f>UPPER(Table1451314151617181920212223242529[[#This Row],[Region]])</f>
        <v>UK</v>
      </c>
      <c r="S9" s="20">
        <f>VALUE(SUBSTITUTE(Table1451314151617181920212223242529[[#This Row],[Quantity]],"pcs",""))</f>
        <v>0</v>
      </c>
      <c r="T9" s="20">
        <f>YEAR(Table1451314151617181920212223242529[[#This Row],[Order Date]])</f>
        <v>2024</v>
      </c>
      <c r="U9" s="20">
        <f>MONTH(Table1451314151617181920212223242529[[#This Row],[Order Date]])</f>
        <v>4</v>
      </c>
      <c r="V9" s="20" t="str">
        <f>TEXT(Table1451314151617181920212223242529[[#This Row],[Order Date]],"mmm")</f>
        <v>Apr</v>
      </c>
      <c r="W9" s="20">
        <f ca="1">IF(Table1451314151617181920212223242529[[#This Row],[Order Date]]="","",TODAY()-Table1451314151617181920212223242529[[#This Row],[Order Date]])</f>
        <v>728</v>
      </c>
      <c r="X9" s="20" t="str">
        <f ca="1">IF(TODAY()-Table1451314151617181920212223242529[[#This Row],[Order Date]]&gt;30,"Old","Recent")</f>
        <v>Old</v>
      </c>
    </row>
    <row r="10" spans="1:24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Table1451314151617181920212223242529[[#This Row],[Quantity]]*Table1451314151617181920212223242529[[#This Row],[Price]]</f>
        <v>160</v>
      </c>
      <c r="M10" s="19" t="str">
        <f>IF(Table1451314151617181920212223242529[[#This Row],[Sales]]&gt;800,"High",IF(Table1451314151617181920212223242529[[#This Row],[Sales]]&gt;=500,"Medium","Low"))</f>
        <v>Low</v>
      </c>
      <c r="N10" s="19" t="str" cm="1">
        <f t="array" ref="N10">_xlfn.IFS(AND(Table1451314151617181920212223242529[Status]="Delivered",Table1451314151617181920212223242529[Sales]&gt;500),"Valid",TRUE,"Check")</f>
        <v>Check</v>
      </c>
      <c r="O10" s="19" t="str">
        <f>LEFT(Table1451314151617181920212223242529[[#This Row],[Customer Info]],FIND("|",Table1451314151617181920212223242529[[#This Row],[Customer Info]])-2)</f>
        <v>John</v>
      </c>
      <c r="P10" s="20" t="str">
        <f>RIGHT(Table1451314151617181920212223242529[[#This Row],[Customer Info]],LEN(Table1451314151617181920212223242529[[#This Row],[Customer Info]])-FIND("|",Table1451314151617181920212223242529[[#This Row],[Customer Info]])-1)</f>
        <v>9988001122</v>
      </c>
      <c r="Q10" s="20" t="str">
        <f>TRIM(Table1451314151617181920212223242529[[#This Row],[Customer Info]])</f>
        <v>John | 9988001122</v>
      </c>
      <c r="R10" s="20" t="str">
        <f>UPPER(Table1451314151617181920212223242529[[#This Row],[Region]])</f>
        <v>UK</v>
      </c>
      <c r="S10" s="20">
        <f>VALUE(SUBSTITUTE(Table1451314151617181920212223242529[[#This Row],[Quantity]],"pcs",""))</f>
        <v>8</v>
      </c>
      <c r="T10" s="20">
        <f>YEAR(Table1451314151617181920212223242529[[#This Row],[Order Date]])</f>
        <v>2024</v>
      </c>
      <c r="U10" s="20">
        <f>MONTH(Table1451314151617181920212223242529[[#This Row],[Order Date]])</f>
        <v>3</v>
      </c>
      <c r="V10" s="20" t="str">
        <f>TEXT(Table1451314151617181920212223242529[[#This Row],[Order Date]],"mmm")</f>
        <v>Mar</v>
      </c>
      <c r="W10" s="20">
        <f ca="1">IF(Table1451314151617181920212223242529[[#This Row],[Order Date]]="","",TODAY()-Table1451314151617181920212223242529[[#This Row],[Order Date]])</f>
        <v>771</v>
      </c>
      <c r="X10" s="20" t="str">
        <f ca="1">IF(TODAY()-Table1451314151617181920212223242529[[#This Row],[Order Date]]&gt;30,"Old","Recent")</f>
        <v>Old</v>
      </c>
    </row>
    <row r="11" spans="1:24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Table1451314151617181920212223242529[[#This Row],[Quantity]]*Table1451314151617181920212223242529[[#This Row],[Price]]</f>
        <v>300</v>
      </c>
      <c r="M11" s="19" t="str">
        <f>IF(Table1451314151617181920212223242529[[#This Row],[Sales]]&gt;800,"High",IF(Table1451314151617181920212223242529[[#This Row],[Sales]]&gt;=500,"Medium","Low"))</f>
        <v>Low</v>
      </c>
      <c r="N11" s="19" t="str" cm="1">
        <f t="array" ref="N11">_xlfn.IFS(AND(Table1451314151617181920212223242529[Status]="Delivered",Table1451314151617181920212223242529[Sales]&gt;500),"Valid",TRUE,"Check")</f>
        <v>Check</v>
      </c>
      <c r="O11" s="19" t="str">
        <f>LEFT(Table1451314151617181920212223242529[[#This Row],[Customer Info]],FIND("|",Table1451314151617181920212223242529[[#This Row],[Customer Info]])-2)</f>
        <v>Meena</v>
      </c>
      <c r="P11" s="20" t="str">
        <f>RIGHT(Table1451314151617181920212223242529[[#This Row],[Customer Info]],LEN(Table1451314151617181920212223242529[[#This Row],[Customer Info]])-FIND("|",Table1451314151617181920212223242529[[#This Row],[Customer Info]])-1)</f>
        <v>9765432109</v>
      </c>
      <c r="Q11" s="20" t="str">
        <f>TRIM(Table1451314151617181920212223242529[[#This Row],[Customer Info]])</f>
        <v>Meena | 9765432109</v>
      </c>
      <c r="R11" s="20" t="str">
        <f>UPPER(Table1451314151617181920212223242529[[#This Row],[Region]])</f>
        <v>INDIA</v>
      </c>
      <c r="S11" s="20">
        <f>VALUE(SUBSTITUTE(Table1451314151617181920212223242529[[#This Row],[Quantity]],"pcs",""))</f>
        <v>6</v>
      </c>
      <c r="T11" s="20">
        <f>YEAR(Table1451314151617181920212223242529[[#This Row],[Order Date]])</f>
        <v>2024</v>
      </c>
      <c r="U11" s="20">
        <f>MONTH(Table1451314151617181920212223242529[[#This Row],[Order Date]])</f>
        <v>4</v>
      </c>
      <c r="V11" s="20" t="str">
        <f>TEXT(Table1451314151617181920212223242529[[#This Row],[Order Date]],"mmm")</f>
        <v>Apr</v>
      </c>
      <c r="W11" s="20">
        <f ca="1">IF(Table1451314151617181920212223242529[[#This Row],[Order Date]]="","",TODAY()-Table1451314151617181920212223242529[[#This Row],[Order Date]])</f>
        <v>731</v>
      </c>
      <c r="X11" s="20" t="str">
        <f ca="1">IF(TODAY()-Table1451314151617181920212223242529[[#This Row],[Order Date]]&gt;30,"Old","Recent")</f>
        <v>Old</v>
      </c>
    </row>
    <row r="12" spans="1:24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Table1451314151617181920212223242529[[#This Row],[Quantity]]*Table1451314151617181920212223242529[[#This Row],[Price]]</f>
        <v>100</v>
      </c>
      <c r="M12" s="19" t="str">
        <f>IF(Table1451314151617181920212223242529[[#This Row],[Sales]]&gt;800,"High",IF(Table1451314151617181920212223242529[[#This Row],[Sales]]&gt;=500,"Medium","Low"))</f>
        <v>Low</v>
      </c>
      <c r="N12" s="19" t="str" cm="1">
        <f t="array" ref="N12">_xlfn.IFS(AND(Table1451314151617181920212223242529[Status]="Delivered",Table1451314151617181920212223242529[Sales]&gt;500),"Valid",TRUE,"Check")</f>
        <v>Check</v>
      </c>
      <c r="O12" s="19" t="str">
        <f>LEFT(Table1451314151617181920212223242529[[#This Row],[Customer Info]],FIND("|",Table1451314151617181920212223242529[[#This Row],[Customer Info]])-2)</f>
        <v>Vikram</v>
      </c>
      <c r="P12" s="20" t="str">
        <f>RIGHT(Table1451314151617181920212223242529[[#This Row],[Customer Info]],LEN(Table1451314151617181920212223242529[[#This Row],[Customer Info]])-FIND("|",Table1451314151617181920212223242529[[#This Row],[Customer Info]])-1)</f>
        <v>9123001122</v>
      </c>
      <c r="Q12" s="20" t="str">
        <f>TRIM(Table1451314151617181920212223242529[[#This Row],[Customer Info]])</f>
        <v>Vikram | 9123001122</v>
      </c>
      <c r="R12" s="20" t="str">
        <f>UPPER(Table1451314151617181920212223242529[[#This Row],[Region]])</f>
        <v>INDIA</v>
      </c>
      <c r="S12" s="20">
        <f>VALUE(SUBSTITUTE(Table1451314151617181920212223242529[[#This Row],[Quantity]],"pcs",""))</f>
        <v>5</v>
      </c>
      <c r="T12" s="20">
        <f>YEAR(Table1451314151617181920212223242529[[#This Row],[Order Date]])</f>
        <v>2024</v>
      </c>
      <c r="U12" s="20">
        <f>MONTH(Table1451314151617181920212223242529[[#This Row],[Order Date]])</f>
        <v>2</v>
      </c>
      <c r="V12" s="20" t="str">
        <f>TEXT(Table1451314151617181920212223242529[[#This Row],[Order Date]],"mmm")</f>
        <v>Feb</v>
      </c>
      <c r="W12" s="20">
        <f ca="1">IF(Table1451314151617181920212223242529[[#This Row],[Order Date]]="","",TODAY()-Table1451314151617181920212223242529[[#This Row],[Order Date]])</f>
        <v>795</v>
      </c>
      <c r="X12" s="20" t="str">
        <f ca="1">IF(TODAY()-Table1451314151617181920212223242529[[#This Row],[Order Date]]&gt;30,"Old","Recent")</f>
        <v>Old</v>
      </c>
    </row>
    <row r="13" spans="1:24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Table1451314151617181920212223242529[[#This Row],[Quantity]]*Table1451314151617181920212223242529[[#This Row],[Price]]</f>
        <v>100</v>
      </c>
      <c r="M13" s="19" t="str">
        <f>IF(Table1451314151617181920212223242529[[#This Row],[Sales]]&gt;800,"High",IF(Table1451314151617181920212223242529[[#This Row],[Sales]]&gt;=500,"Medium","Low"))</f>
        <v>Low</v>
      </c>
      <c r="N13" s="19" t="str" cm="1">
        <f t="array" ref="N13">_xlfn.IFS(AND(Table1451314151617181920212223242529[Status]="Delivered",Table1451314151617181920212223242529[Sales]&gt;500),"Valid",TRUE,"Check")</f>
        <v>Check</v>
      </c>
      <c r="O13" s="19" t="str">
        <f>LEFT(Table1451314151617181920212223242529[[#This Row],[Customer Info]],FIND("|",Table1451314151617181920212223242529[[#This Row],[Customer Info]])-2)</f>
        <v>Pooja</v>
      </c>
      <c r="P13" s="20" t="str">
        <f>RIGHT(Table1451314151617181920212223242529[[#This Row],[Customer Info]],LEN(Table1451314151617181920212223242529[[#This Row],[Customer Info]])-FIND("|",Table1451314151617181920212223242529[[#This Row],[Customer Info]])-1)</f>
        <v>9345001123</v>
      </c>
      <c r="Q13" s="20" t="str">
        <f>TRIM(Table1451314151617181920212223242529[[#This Row],[Customer Info]])</f>
        <v>Pooja | 9345001123</v>
      </c>
      <c r="R13" s="20" t="str">
        <f>UPPER(Table1451314151617181920212223242529[[#This Row],[Region]])</f>
        <v>US</v>
      </c>
      <c r="S13" s="20">
        <f>VALUE(SUBSTITUTE(Table1451314151617181920212223242529[[#This Row],[Quantity]],"pcs",""))</f>
        <v>2</v>
      </c>
      <c r="T13" s="20">
        <f>YEAR(Table1451314151617181920212223242529[[#This Row],[Order Date]])</f>
        <v>2024</v>
      </c>
      <c r="U13" s="20">
        <f>MONTH(Table1451314151617181920212223242529[[#This Row],[Order Date]])</f>
        <v>3</v>
      </c>
      <c r="V13" s="20" t="str">
        <f>TEXT(Table1451314151617181920212223242529[[#This Row],[Order Date]],"mmm")</f>
        <v>Mar</v>
      </c>
      <c r="W13" s="20">
        <f ca="1">IF(Table1451314151617181920212223242529[[#This Row],[Order Date]]="","",TODAY()-Table1451314151617181920212223242529[[#This Row],[Order Date]])</f>
        <v>765</v>
      </c>
      <c r="X13" s="20" t="str">
        <f ca="1">IF(TODAY()-Table1451314151617181920212223242529[[#This Row],[Order Date]]&gt;30,"Old","Recent")</f>
        <v>Old</v>
      </c>
    </row>
    <row r="14" spans="1:24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Table1451314151617181920212223242529[[#This Row],[Quantity]]*Table1451314151617181920212223242529[[#This Row],[Price]]</f>
        <v>45</v>
      </c>
      <c r="M14" s="19" t="str">
        <f>IF(Table1451314151617181920212223242529[[#This Row],[Sales]]&gt;800,"High",IF(Table1451314151617181920212223242529[[#This Row],[Sales]]&gt;=500,"Medium","Low"))</f>
        <v>Low</v>
      </c>
      <c r="N14" s="19" t="str" cm="1">
        <f t="array" ref="N14">_xlfn.IFS(AND(Table1451314151617181920212223242529[Status]="Delivered",Table1451314151617181920212223242529[Sales]&gt;500),"Valid",TRUE,"Check")</f>
        <v>Check</v>
      </c>
      <c r="O14" s="19" t="str">
        <f>LEFT(Table1451314151617181920212223242529[[#This Row],[Customer Info]],FIND("|",Table1451314151617181920212223242529[[#This Row],[Customer Info]])-2)</f>
        <v>Kiran</v>
      </c>
      <c r="P14" s="20" t="str">
        <f>RIGHT(Table1451314151617181920212223242529[[#This Row],[Customer Info]],LEN(Table1451314151617181920212223242529[[#This Row],[Customer Info]])-FIND("|",Table1451314151617181920212223242529[[#This Row],[Customer Info]])-1)</f>
        <v>9000011122</v>
      </c>
      <c r="Q14" s="20" t="str">
        <f>TRIM(Table1451314151617181920212223242529[[#This Row],[Customer Info]])</f>
        <v>Kiran | 9000011122</v>
      </c>
      <c r="R14" s="20" t="str">
        <f>UPPER(Table1451314151617181920212223242529[[#This Row],[Region]])</f>
        <v>UAE</v>
      </c>
      <c r="S14" s="20">
        <f>VALUE(SUBSTITUTE(Table1451314151617181920212223242529[[#This Row],[Quantity]],"pcs",""))</f>
        <v>3</v>
      </c>
      <c r="T14" s="20">
        <f>YEAR(Table1451314151617181920212223242529[[#This Row],[Order Date]])</f>
        <v>2024</v>
      </c>
      <c r="U14" s="20">
        <f>MONTH(Table1451314151617181920212223242529[[#This Row],[Order Date]])</f>
        <v>1</v>
      </c>
      <c r="V14" s="20" t="str">
        <f>TEXT(Table1451314151617181920212223242529[[#This Row],[Order Date]],"mmm")</f>
        <v>Jan</v>
      </c>
      <c r="W14" s="20">
        <f ca="1">IF(Table1451314151617181920212223242529[[#This Row],[Order Date]]="","",TODAY()-Table1451314151617181920212223242529[[#This Row],[Order Date]])</f>
        <v>823</v>
      </c>
      <c r="X14" s="20" t="str">
        <f ca="1">IF(TODAY()-Table1451314151617181920212223242529[[#This Row],[Order Date]]&gt;30,"Old","Recent")</f>
        <v>Old</v>
      </c>
    </row>
    <row r="15" spans="1:24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Table1451314151617181920212223242529[[#This Row],[Quantity]]*Table1451314151617181920212223242529[[#This Row],[Price]]</f>
        <v>10</v>
      </c>
      <c r="M15" s="19" t="str">
        <f>IF(Table1451314151617181920212223242529[[#This Row],[Sales]]&gt;800,"High",IF(Table1451314151617181920212223242529[[#This Row],[Sales]]&gt;=500,"Medium","Low"))</f>
        <v>Low</v>
      </c>
      <c r="N15" s="19" t="str" cm="1">
        <f t="array" ref="N15">_xlfn.IFS(AND(Table1451314151617181920212223242529[Status]="Delivered",Table1451314151617181920212223242529[Sales]&gt;500),"Valid",TRUE,"Check")</f>
        <v>Check</v>
      </c>
      <c r="O15" s="19" t="str">
        <f>LEFT(Table1451314151617181920212223242529[[#This Row],[Customer Info]],FIND("|",Table1451314151617181920212223242529[[#This Row],[Customer Info]])-2)</f>
        <v>Anil</v>
      </c>
      <c r="P15" s="20" t="str">
        <f>RIGHT(Table1451314151617181920212223242529[[#This Row],[Customer Info]],LEN(Table1451314151617181920212223242529[[#This Row],[Customer Info]])-FIND("|",Table1451314151617181920212223242529[[#This Row],[Customer Info]])-1)</f>
        <v>9888800011</v>
      </c>
      <c r="Q15" s="20" t="str">
        <f>TRIM(Table1451314151617181920212223242529[[#This Row],[Customer Info]])</f>
        <v>Anil | 9888800011</v>
      </c>
      <c r="R15" s="20" t="str">
        <f>UPPER(Table1451314151617181920212223242529[[#This Row],[Region]])</f>
        <v>INDIA</v>
      </c>
      <c r="S15" s="20">
        <f>VALUE(SUBSTITUTE(Table1451314151617181920212223242529[[#This Row],[Quantity]],"pcs",""))</f>
        <v>1</v>
      </c>
      <c r="T15" s="20">
        <f>YEAR(Table1451314151617181920212223242529[[#This Row],[Order Date]])</f>
        <v>2024</v>
      </c>
      <c r="U15" s="20">
        <f>MONTH(Table1451314151617181920212223242529[[#This Row],[Order Date]])</f>
        <v>5</v>
      </c>
      <c r="V15" s="20" t="str">
        <f>TEXT(Table1451314151617181920212223242529[[#This Row],[Order Date]],"mmm")</f>
        <v>May</v>
      </c>
      <c r="W15" s="20">
        <f ca="1">IF(Table1451314151617181920212223242529[[#This Row],[Order Date]]="","",TODAY()-Table1451314151617181920212223242529[[#This Row],[Order Date]])</f>
        <v>718</v>
      </c>
      <c r="X15" s="20" t="str">
        <f ca="1">IF(TODAY()-Table1451314151617181920212223242529[[#This Row],[Order Date]]&gt;30,"Old","Recent")</f>
        <v>Old</v>
      </c>
    </row>
    <row r="16" spans="1:24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Table1451314151617181920212223242529[[#This Row],[Quantity]]*Table1451314151617181920212223242529[[#This Row],[Price]]</f>
        <v>200</v>
      </c>
      <c r="M16" s="19" t="str">
        <f>IF(Table1451314151617181920212223242529[[#This Row],[Sales]]&gt;800,"High",IF(Table1451314151617181920212223242529[[#This Row],[Sales]]&gt;=500,"Medium","Low"))</f>
        <v>Low</v>
      </c>
      <c r="N16" s="19" t="str" cm="1">
        <f t="array" ref="N16">_xlfn.IFS(AND(Table1451314151617181920212223242529[Status]="Delivered",Table1451314151617181920212223242529[Sales]&gt;500),"Valid",TRUE,"Check")</f>
        <v>Check</v>
      </c>
      <c r="O16" s="19" t="str">
        <f>LEFT(Table1451314151617181920212223242529[[#This Row],[Customer Info]],FIND("|",Table1451314151617181920212223242529[[#This Row],[Customer Info]])-2)</f>
        <v>Divya</v>
      </c>
      <c r="P16" s="20" t="str">
        <f>RIGHT(Table1451314151617181920212223242529[[#This Row],[Customer Info]],LEN(Table1451314151617181920212223242529[[#This Row],[Customer Info]])-FIND("|",Table1451314151617181920212223242529[[#This Row],[Customer Info]])-1)</f>
        <v>9777700011</v>
      </c>
      <c r="Q16" s="20" t="str">
        <f>TRIM(Table1451314151617181920212223242529[[#This Row],[Customer Info]])</f>
        <v>Divya | 9777700011</v>
      </c>
      <c r="R16" s="20" t="str">
        <f>UPPER(Table1451314151617181920212223242529[[#This Row],[Region]])</f>
        <v>UK</v>
      </c>
      <c r="S16" s="20">
        <f>VALUE(SUBSTITUTE(Table1451314151617181920212223242529[[#This Row],[Quantity]],"pcs",""))</f>
        <v>4</v>
      </c>
      <c r="T16" s="20">
        <f>YEAR(Table1451314151617181920212223242529[[#This Row],[Order Date]])</f>
        <v>2024</v>
      </c>
      <c r="U16" s="20">
        <f>MONTH(Table1451314151617181920212223242529[[#This Row],[Order Date]])</f>
        <v>6</v>
      </c>
      <c r="V16" s="20" t="str">
        <f>TEXT(Table1451314151617181920212223242529[[#This Row],[Order Date]],"mmm")</f>
        <v>Jun</v>
      </c>
      <c r="W16" s="20">
        <f ca="1">IF(Table1451314151617181920212223242529[[#This Row],[Order Date]]="","",TODAY()-Table1451314151617181920212223242529[[#This Row],[Order Date]])</f>
        <v>680</v>
      </c>
      <c r="X16" s="20" t="str">
        <f ca="1">IF(TODAY()-Table1451314151617181920212223242529[[#This Row],[Order Date]]&gt;30,"Old","Recent")</f>
        <v>Old</v>
      </c>
    </row>
    <row r="17" spans="1:24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Table1451314151617181920212223242529[[#This Row],[Quantity]]*Table1451314151617181920212223242529[[#This Row],[Price]]</f>
        <v>140</v>
      </c>
      <c r="M17" s="19" t="str">
        <f>IF(Table1451314151617181920212223242529[[#This Row],[Sales]]&gt;800,"High",IF(Table1451314151617181920212223242529[[#This Row],[Sales]]&gt;=500,"Medium","Low"))</f>
        <v>Low</v>
      </c>
      <c r="N17" s="19" t="str" cm="1">
        <f t="array" ref="N17">_xlfn.IFS(AND(Table1451314151617181920212223242529[Status]="Delivered",Table1451314151617181920212223242529[Sales]&gt;500),"Valid",TRUE,"Check")</f>
        <v>Check</v>
      </c>
      <c r="O17" s="19" t="str">
        <f>LEFT(Table1451314151617181920212223242529[[#This Row],[Customer Info]],FIND("|",Table1451314151617181920212223242529[[#This Row],[Customer Info]])-2)</f>
        <v>Rahul</v>
      </c>
      <c r="P17" s="20" t="str">
        <f>RIGHT(Table1451314151617181920212223242529[[#This Row],[Customer Info]],LEN(Table1451314151617181920212223242529[[#This Row],[Customer Info]])-FIND("|",Table1451314151617181920212223242529[[#This Row],[Customer Info]])-1)</f>
        <v>9666600011</v>
      </c>
      <c r="Q17" s="20" t="str">
        <f>TRIM(Table1451314151617181920212223242529[[#This Row],[Customer Info]])</f>
        <v>Rahul | 9666600011</v>
      </c>
      <c r="R17" s="20" t="str">
        <f>UPPER(Table1451314151617181920212223242529[[#This Row],[Region]])</f>
        <v>INDIA</v>
      </c>
      <c r="S17" s="20">
        <f>VALUE(SUBSTITUTE(Table1451314151617181920212223242529[[#This Row],[Quantity]],"pcs",""))</f>
        <v>7</v>
      </c>
      <c r="T17" s="20">
        <f>YEAR(Table1451314151617181920212223242529[[#This Row],[Order Date]])</f>
        <v>2024</v>
      </c>
      <c r="U17" s="20">
        <f>MONTH(Table1451314151617181920212223242529[[#This Row],[Order Date]])</f>
        <v>4</v>
      </c>
      <c r="V17" s="20" t="str">
        <f>TEXT(Table1451314151617181920212223242529[[#This Row],[Order Date]],"mmm")</f>
        <v>Apr</v>
      </c>
      <c r="W17" s="20">
        <f ca="1">IF(Table1451314151617181920212223242529[[#This Row],[Order Date]]="","",TODAY()-Table1451314151617181920212223242529[[#This Row],[Order Date]])</f>
        <v>746</v>
      </c>
      <c r="X17" s="20" t="str">
        <f ca="1">IF(TODAY()-Table1451314151617181920212223242529[[#This Row],[Order Date]]&gt;30,"Old","Recent")</f>
        <v>Old</v>
      </c>
    </row>
    <row r="18" spans="1:24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Table1451314151617181920212223242529[[#This Row],[Quantity]]*Table1451314151617181920212223242529[[#This Row],[Price]]</f>
        <v>30</v>
      </c>
      <c r="M18" s="19" t="str">
        <f>IF(Table1451314151617181920212223242529[[#This Row],[Sales]]&gt;800,"High",IF(Table1451314151617181920212223242529[[#This Row],[Sales]]&gt;=500,"Medium","Low"))</f>
        <v>Low</v>
      </c>
      <c r="N18" s="19" t="str" cm="1">
        <f t="array" ref="N18">_xlfn.IFS(AND(Table1451314151617181920212223242529[Status]="Delivered",Table1451314151617181920212223242529[Sales]&gt;500),"Valid",TRUE,"Check")</f>
        <v>Check</v>
      </c>
      <c r="O18" s="19" t="str">
        <f>LEFT(Table1451314151617181920212223242529[[#This Row],[Customer Info]],FIND("|",Table1451314151617181920212223242529[[#This Row],[Customer Info]])-2)</f>
        <v>Sneha</v>
      </c>
      <c r="P18" s="20" t="str">
        <f>RIGHT(Table1451314151617181920212223242529[[#This Row],[Customer Info]],LEN(Table1451314151617181920212223242529[[#This Row],[Customer Info]])-FIND("|",Table1451314151617181920212223242529[[#This Row],[Customer Info]])-1)</f>
        <v>9555500011</v>
      </c>
      <c r="Q18" s="20" t="str">
        <f>TRIM(Table1451314151617181920212223242529[[#This Row],[Customer Info]])</f>
        <v>Sneha | 9555500011</v>
      </c>
      <c r="R18" s="20" t="str">
        <f>UPPER(Table1451314151617181920212223242529[[#This Row],[Region]])</f>
        <v>UAE</v>
      </c>
      <c r="S18" s="20">
        <f>VALUE(SUBSTITUTE(Table1451314151617181920212223242529[[#This Row],[Quantity]],"pcs",""))</f>
        <v>2</v>
      </c>
      <c r="T18" s="20">
        <f>YEAR(Table1451314151617181920212223242529[[#This Row],[Order Date]])</f>
        <v>2024</v>
      </c>
      <c r="U18" s="20">
        <f>MONTH(Table1451314151617181920212223242529[[#This Row],[Order Date]])</f>
        <v>2</v>
      </c>
      <c r="V18" s="20" t="str">
        <f>TEXT(Table1451314151617181920212223242529[[#This Row],[Order Date]],"mmm")</f>
        <v>Feb</v>
      </c>
      <c r="W18" s="20">
        <f ca="1">IF(Table1451314151617181920212223242529[[#This Row],[Order Date]]="","",TODAY()-Table1451314151617181920212223242529[[#This Row],[Order Date]])</f>
        <v>802</v>
      </c>
      <c r="X18" s="20" t="str">
        <f ca="1">IF(TODAY()-Table1451314151617181920212223242529[[#This Row],[Order Date]]&gt;30,"Old","Recent")</f>
        <v>Old</v>
      </c>
    </row>
    <row r="19" spans="1:24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Table1451314151617181920212223242529[[#This Row],[Quantity]]*Table1451314151617181920212223242529[[#This Row],[Price]]</f>
        <v>120</v>
      </c>
      <c r="M19" s="19" t="str">
        <f>IF(Table1451314151617181920212223242529[[#This Row],[Sales]]&gt;800,"High",IF(Table1451314151617181920212223242529[[#This Row],[Sales]]&gt;=500,"Medium","Low"))</f>
        <v>Low</v>
      </c>
      <c r="N19" s="19" t="str" cm="1">
        <f t="array" ref="N19">_xlfn.IFS(AND(Table1451314151617181920212223242529[Status]="Delivered",Table1451314151617181920212223242529[Sales]&gt;500),"Valid",TRUE,"Check")</f>
        <v>Check</v>
      </c>
      <c r="O19" s="19" t="str">
        <f>LEFT(Table1451314151617181920212223242529[[#This Row],[Customer Info]],FIND("|",Table1451314151617181920212223242529[[#This Row],[Customer Info]])-2)</f>
        <v>Karthik</v>
      </c>
      <c r="P19" s="20" t="str">
        <f>RIGHT(Table1451314151617181920212223242529[[#This Row],[Customer Info]],LEN(Table1451314151617181920212223242529[[#This Row],[Customer Info]])-FIND("|",Table1451314151617181920212223242529[[#This Row],[Customer Info]])-1)</f>
        <v>9001122334</v>
      </c>
      <c r="Q19" s="20" t="str">
        <f>TRIM(Table1451314151617181920212223242529[[#This Row],[Customer Info]])</f>
        <v>Karthik | 9001122334</v>
      </c>
      <c r="R19" s="20" t="str">
        <f>UPPER(Table1451314151617181920212223242529[[#This Row],[Region]])</f>
        <v>INDIA</v>
      </c>
      <c r="S19" s="20">
        <f>VALUE(SUBSTITUTE(Table1451314151617181920212223242529[[#This Row],[Quantity]],"pcs",""))</f>
        <v>6</v>
      </c>
      <c r="T19" s="20">
        <f>YEAR(Table1451314151617181920212223242529[[#This Row],[Order Date]])</f>
        <v>2024</v>
      </c>
      <c r="U19" s="20">
        <f>MONTH(Table1451314151617181920212223242529[[#This Row],[Order Date]])</f>
        <v>4</v>
      </c>
      <c r="V19" s="20" t="str">
        <f>TEXT(Table1451314151617181920212223242529[[#This Row],[Order Date]],"mmm")</f>
        <v>Apr</v>
      </c>
      <c r="W19" s="20">
        <f ca="1">IF(Table1451314151617181920212223242529[[#This Row],[Order Date]]="","",TODAY()-Table1451314151617181920212223242529[[#This Row],[Order Date]])</f>
        <v>743</v>
      </c>
      <c r="X19" s="20" t="str">
        <f ca="1">IF(TODAY()-Table1451314151617181920212223242529[[#This Row],[Order Date]]&gt;30,"Old","Recent")</f>
        <v>Old</v>
      </c>
    </row>
    <row r="20" spans="1:24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Table1451314151617181920212223242529[[#This Row],[Quantity]]*Table1451314151617181920212223242529[[#This Row],[Price]]</f>
        <v>350</v>
      </c>
      <c r="M20" s="19" t="str">
        <f>IF(Table1451314151617181920212223242529[[#This Row],[Sales]]&gt;800,"High",IF(Table1451314151617181920212223242529[[#This Row],[Sales]]&gt;=500,"Medium","Low"))</f>
        <v>Low</v>
      </c>
      <c r="N20" s="19" t="str" cm="1">
        <f t="array" ref="N20">_xlfn.IFS(AND(Table1451314151617181920212223242529[Status]="Delivered",Table1451314151617181920212223242529[Sales]&gt;500),"Valid",TRUE,"Check")</f>
        <v>Check</v>
      </c>
      <c r="O20" s="19" t="str">
        <f>LEFT(Table1451314151617181920212223242529[[#This Row],[Customer Info]],FIND("|",Table1451314151617181920212223242529[[#This Row],[Customer Info]])-2)</f>
        <v>Lavanya</v>
      </c>
      <c r="P20" s="20" t="str">
        <f>RIGHT(Table1451314151617181920212223242529[[#This Row],[Customer Info]],LEN(Table1451314151617181920212223242529[[#This Row],[Customer Info]])-FIND("|",Table1451314151617181920212223242529[[#This Row],[Customer Info]])-1)</f>
        <v>9011223344</v>
      </c>
      <c r="Q20" s="20" t="str">
        <f>TRIM(Table1451314151617181920212223242529[[#This Row],[Customer Info]])</f>
        <v>Lavanya | 9011223344</v>
      </c>
      <c r="R20" s="20" t="str">
        <f>UPPER(Table1451314151617181920212223242529[[#This Row],[Region]])</f>
        <v>US</v>
      </c>
      <c r="S20" s="20">
        <f>VALUE(SUBSTITUTE(Table1451314151617181920212223242529[[#This Row],[Quantity]],"pcs",""))</f>
        <v>7</v>
      </c>
      <c r="T20" s="20">
        <f>YEAR(Table1451314151617181920212223242529[[#This Row],[Order Date]])</f>
        <v>2024</v>
      </c>
      <c r="U20" s="20">
        <f>MONTH(Table1451314151617181920212223242529[[#This Row],[Order Date]])</f>
        <v>5</v>
      </c>
      <c r="V20" s="20" t="str">
        <f>TEXT(Table1451314151617181920212223242529[[#This Row],[Order Date]],"mmm")</f>
        <v>May</v>
      </c>
      <c r="W20" s="20">
        <f ca="1">IF(Table1451314151617181920212223242529[[#This Row],[Order Date]]="","",TODAY()-Table1451314151617181920212223242529[[#This Row],[Order Date]])</f>
        <v>715</v>
      </c>
      <c r="X20" s="20" t="str">
        <f ca="1">IF(TODAY()-Table1451314151617181920212223242529[[#This Row],[Order Date]]&gt;30,"Old","Recent")</f>
        <v>Old</v>
      </c>
    </row>
    <row r="21" spans="1:24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Table1451314151617181920212223242529[[#This Row],[Quantity]]*Table1451314151617181920212223242529[[#This Row],[Price]]</f>
        <v>30</v>
      </c>
      <c r="M21" s="19" t="str">
        <f>IF(Table1451314151617181920212223242529[[#This Row],[Sales]]&gt;800,"High",IF(Table1451314151617181920212223242529[[#This Row],[Sales]]&gt;=500,"Medium","Low"))</f>
        <v>Low</v>
      </c>
      <c r="N21" s="19" t="str" cm="1">
        <f t="array" ref="N21">_xlfn.IFS(AND(Table1451314151617181920212223242529[Status]="Delivered",Table1451314151617181920212223242529[Sales]&gt;500),"Valid",TRUE,"Check")</f>
        <v>Check</v>
      </c>
      <c r="O21" s="19" t="str">
        <f>LEFT(Table1451314151617181920212223242529[[#This Row],[Customer Info]],FIND("|",Table1451314151617181920212223242529[[#This Row],[Customer Info]])-2)</f>
        <v>Manoj</v>
      </c>
      <c r="P21" s="20" t="str">
        <f>RIGHT(Table1451314151617181920212223242529[[#This Row],[Customer Info]],LEN(Table1451314151617181920212223242529[[#This Row],[Customer Info]])-FIND("|",Table1451314151617181920212223242529[[#This Row],[Customer Info]])-1)</f>
        <v>9022334455</v>
      </c>
      <c r="Q21" s="20" t="str">
        <f>TRIM(Table1451314151617181920212223242529[[#This Row],[Customer Info]])</f>
        <v>Manoj | 9022334455</v>
      </c>
      <c r="R21" s="20" t="str">
        <f>UPPER(Table1451314151617181920212223242529[[#This Row],[Region]])</f>
        <v>UK</v>
      </c>
      <c r="S21" s="20">
        <f>VALUE(SUBSTITUTE(Table1451314151617181920212223242529[[#This Row],[Quantity]],"pcs",""))</f>
        <v>3</v>
      </c>
      <c r="T21" s="20"/>
      <c r="U21" s="20"/>
      <c r="V21" s="20"/>
      <c r="W21" s="20" t="str">
        <f ca="1">IF(Table1451314151617181920212223242529[[#This Row],[Order Date]]="","",TODAY()-Table1451314151617181920212223242529[[#This Row],[Order Date]])</f>
        <v/>
      </c>
      <c r="X21" s="20"/>
    </row>
    <row r="24" spans="1:24" ht="21" x14ac:dyDescent="0.4">
      <c r="D24" s="21" t="s">
        <v>76</v>
      </c>
      <c r="E24" s="21"/>
    </row>
    <row r="25" spans="1:24" ht="15.6" x14ac:dyDescent="0.3">
      <c r="D25" s="22" t="str" cm="1">
        <f t="array" ref="D25:D28">_xlfn.UNIQUE(Table1451314151617181920212223242529[Product])</f>
        <v>Pen</v>
      </c>
    </row>
    <row r="26" spans="1:24" ht="15.6" x14ac:dyDescent="0.3">
      <c r="D26" s="22" t="str">
        <v>Notebook</v>
      </c>
    </row>
    <row r="27" spans="1:24" ht="15.6" x14ac:dyDescent="0.3">
      <c r="D27" s="22" t="str">
        <v>Pencil</v>
      </c>
    </row>
    <row r="28" spans="1:24" ht="15.6" x14ac:dyDescent="0.3">
      <c r="D28" s="22" t="str">
        <v>Eraser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A0C2-A4EA-4622-8FB4-1F95282957FB}">
  <dimension ref="A1:X21"/>
  <sheetViews>
    <sheetView zoomScale="69" workbookViewId="0">
      <selection activeCell="M29" sqref="M29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  <col min="24" max="24" width="16.33203125" customWidth="1"/>
  </cols>
  <sheetData>
    <row r="1" spans="1:24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</row>
    <row r="2" spans="1:24" ht="15.6" customHeight="1" thickBot="1" x14ac:dyDescent="0.35">
      <c r="A2" s="5">
        <v>1019</v>
      </c>
      <c r="B2" s="1" t="s">
        <v>48</v>
      </c>
      <c r="C2" s="1" t="s">
        <v>18</v>
      </c>
      <c r="D2" s="1" t="s">
        <v>13</v>
      </c>
      <c r="E2" s="2">
        <v>7</v>
      </c>
      <c r="F2" s="2">
        <v>50</v>
      </c>
      <c r="G2" s="1" t="s">
        <v>19</v>
      </c>
      <c r="H2" s="3">
        <v>45420</v>
      </c>
      <c r="I2" s="1" t="s">
        <v>28</v>
      </c>
      <c r="J2" s="1" t="s">
        <v>16</v>
      </c>
      <c r="K2" s="7">
        <v>0.1</v>
      </c>
      <c r="L2" s="9">
        <f>Table1451314151617181920212223242532[[#This Row],[Quantity]]*Table1451314151617181920212223242532[[#This Row],[Price]]</f>
        <v>350</v>
      </c>
      <c r="M2" s="19" t="str">
        <f>IF(Table1451314151617181920212223242532[[#This Row],[Sales]]&gt;800,"High",IF(Table1451314151617181920212223242532[[#This Row],[Sales]]&gt;=500,"Medium","Low"))</f>
        <v>Low</v>
      </c>
      <c r="N2" s="19" t="str" cm="1">
        <f t="array" ref="N2">_xlfn.IFS(AND(Table1451314151617181920212223242532[Status]="Delivered",Table1451314151617181920212223242532[Sales]&gt;500),"Valid",TRUE,"Check")</f>
        <v>Check</v>
      </c>
      <c r="O2" s="19" t="str">
        <f>LEFT(Table1451314151617181920212223242532[[#This Row],[Customer Info]],FIND("|",Table1451314151617181920212223242532[[#This Row],[Customer Info]])-2)</f>
        <v>Lavanya</v>
      </c>
      <c r="P2" s="20" t="str">
        <f>RIGHT(Table1451314151617181920212223242532[[#This Row],[Customer Info]],LEN(Table1451314151617181920212223242532[[#This Row],[Customer Info]])-FIND("|",Table1451314151617181920212223242532[[#This Row],[Customer Info]])-1)</f>
        <v>9011223344</v>
      </c>
      <c r="Q2" s="20" t="str">
        <f>TRIM(Table1451314151617181920212223242532[[#This Row],[Customer Info]])</f>
        <v>Lavanya | 9011223344</v>
      </c>
      <c r="R2" s="20" t="str">
        <f>UPPER(Table1451314151617181920212223242532[[#This Row],[Region]])</f>
        <v>US</v>
      </c>
      <c r="S2" s="20">
        <f>VALUE(SUBSTITUTE(Table1451314151617181920212223242532[[#This Row],[Quantity]],"pcs",""))</f>
        <v>7</v>
      </c>
      <c r="T2" s="20">
        <f>YEAR(Table1451314151617181920212223242532[[#This Row],[Order Date]])</f>
        <v>2024</v>
      </c>
      <c r="U2" s="20">
        <f>MONTH(Table1451314151617181920212223242532[[#This Row],[Order Date]])</f>
        <v>5</v>
      </c>
      <c r="V2" s="20" t="str">
        <f>TEXT(Table1451314151617181920212223242532[[#This Row],[Order Date]],"mmm")</f>
        <v>May</v>
      </c>
      <c r="W2" s="20">
        <f ca="1">IF(Table1451314151617181920212223242532[[#This Row],[Order Date]]="","",TODAY()-Table1451314151617181920212223242532[[#This Row],[Order Date]])</f>
        <v>715</v>
      </c>
      <c r="X2" s="20" t="str">
        <f ca="1">IF(TODAY()-Table1451314151617181920212223242532[[#This Row],[Order Date]]&gt;30,"Old","Recent")</f>
        <v>Old</v>
      </c>
    </row>
    <row r="3" spans="1:24" ht="21.6" customHeight="1" thickBot="1" x14ac:dyDescent="0.35">
      <c r="A3" s="5">
        <v>1010</v>
      </c>
      <c r="B3" s="1" t="s">
        <v>38</v>
      </c>
      <c r="C3" s="1" t="s">
        <v>18</v>
      </c>
      <c r="D3" s="1" t="s">
        <v>13</v>
      </c>
      <c r="E3" s="2">
        <v>6</v>
      </c>
      <c r="F3" s="2">
        <v>50</v>
      </c>
      <c r="G3" s="1" t="s">
        <v>30</v>
      </c>
      <c r="H3" s="4">
        <v>45404</v>
      </c>
      <c r="I3" s="1" t="s">
        <v>20</v>
      </c>
      <c r="J3" s="1" t="s">
        <v>39</v>
      </c>
      <c r="K3" s="7">
        <v>0.1</v>
      </c>
      <c r="L3" s="1">
        <f>Table1451314151617181920212223242532[[#This Row],[Quantity]]*Table1451314151617181920212223242532[[#This Row],[Price]]</f>
        <v>300</v>
      </c>
      <c r="M3" s="19" t="str">
        <f>IF(Table1451314151617181920212223242532[[#This Row],[Sales]]&gt;800,"High",IF(Table1451314151617181920212223242532[[#This Row],[Sales]]&gt;=500,"Medium","Low"))</f>
        <v>Low</v>
      </c>
      <c r="N3" s="19" t="str" cm="1">
        <f t="array" ref="N3">_xlfn.IFS(AND(Table1451314151617181920212223242532[Status]="Delivered",Table1451314151617181920212223242532[Sales]&gt;500),"Valid",TRUE,"Check")</f>
        <v>Check</v>
      </c>
      <c r="O3" s="19" t="str">
        <f>LEFT(Table1451314151617181920212223242532[[#This Row],[Customer Info]],FIND("|",Table1451314151617181920212223242532[[#This Row],[Customer Info]])-2)</f>
        <v>Meena</v>
      </c>
      <c r="P3" s="20" t="str">
        <f>RIGHT(Table1451314151617181920212223242532[[#This Row],[Customer Info]],LEN(Table1451314151617181920212223242532[[#This Row],[Customer Info]])-FIND("|",Table1451314151617181920212223242532[[#This Row],[Customer Info]])-1)</f>
        <v>9765432109</v>
      </c>
      <c r="Q3" s="20" t="str">
        <f>TRIM(Table1451314151617181920212223242532[[#This Row],[Customer Info]])</f>
        <v>Meena | 9765432109</v>
      </c>
      <c r="R3" s="20" t="str">
        <f>UPPER(Table1451314151617181920212223242532[[#This Row],[Region]])</f>
        <v>INDIA</v>
      </c>
      <c r="S3" s="20">
        <f>VALUE(SUBSTITUTE(Table1451314151617181920212223242532[[#This Row],[Quantity]],"pcs",""))</f>
        <v>6</v>
      </c>
      <c r="T3" s="20">
        <f>YEAR(Table1451314151617181920212223242532[[#This Row],[Order Date]])</f>
        <v>2024</v>
      </c>
      <c r="U3" s="20">
        <f>MONTH(Table1451314151617181920212223242532[[#This Row],[Order Date]])</f>
        <v>4</v>
      </c>
      <c r="V3" s="20" t="str">
        <f>TEXT(Table1451314151617181920212223242532[[#This Row],[Order Date]],"mmm")</f>
        <v>Apr</v>
      </c>
      <c r="W3" s="20">
        <f ca="1">IF(Table1451314151617181920212223242532[[#This Row],[Order Date]]="","",TODAY()-Table1451314151617181920212223242532[[#This Row],[Order Date]])</f>
        <v>731</v>
      </c>
      <c r="X3" s="20" t="str">
        <f ca="1">IF(TODAY()-Table1451314151617181920212223242532[[#This Row],[Order Date]]&gt;30,"Old","Recent")</f>
        <v>Old</v>
      </c>
    </row>
    <row r="4" spans="1:24" ht="21" customHeight="1" thickBot="1" x14ac:dyDescent="0.35">
      <c r="A4" s="5">
        <v>1002</v>
      </c>
      <c r="B4" s="1" t="s">
        <v>17</v>
      </c>
      <c r="C4" s="1" t="s">
        <v>18</v>
      </c>
      <c r="D4" s="1" t="s">
        <v>13</v>
      </c>
      <c r="E4" s="2">
        <v>5</v>
      </c>
      <c r="F4" s="2">
        <v>50</v>
      </c>
      <c r="G4" s="1" t="s">
        <v>19</v>
      </c>
      <c r="H4" s="1"/>
      <c r="I4" s="1" t="s">
        <v>20</v>
      </c>
      <c r="J4" s="1" t="s">
        <v>21</v>
      </c>
      <c r="K4" s="7">
        <v>0.1</v>
      </c>
      <c r="L4" s="1">
        <f>Table1451314151617181920212223242532[[#This Row],[Quantity]]*Table1451314151617181920212223242532[[#This Row],[Price]]</f>
        <v>250</v>
      </c>
      <c r="M4" s="19" t="str">
        <f>IF(Table1451314151617181920212223242532[[#This Row],[Sales]]&gt;800,"High",IF(Table1451314151617181920212223242532[[#This Row],[Sales]]&gt;=500,"Medium","Low"))</f>
        <v>Low</v>
      </c>
      <c r="N4" s="19" t="str" cm="1">
        <f t="array" ref="N4">_xlfn.IFS(AND(Table1451314151617181920212223242532[Status]="Delivered",Table1451314151617181920212223242532[Sales]&gt;500),"Valid",TRUE,"Check")</f>
        <v>Check</v>
      </c>
      <c r="O4" s="19" t="str">
        <f>LEFT(Table1451314151617181920212223242532[[#This Row],[Customer Info]],FIND("|",Table1451314151617181920212223242532[[#This Row],[Customer Info]])-2)</f>
        <v>Neha</v>
      </c>
      <c r="P4" s="20" t="str">
        <f>RIGHT(Table1451314151617181920212223242532[[#This Row],[Customer Info]],LEN(Table1451314151617181920212223242532[[#This Row],[Customer Info]])-FIND("|",Table1451314151617181920212223242532[[#This Row],[Customer Info]])-1)</f>
        <v>9123456780</v>
      </c>
      <c r="Q4" s="20" t="str">
        <f>TRIM(Table1451314151617181920212223242532[[#This Row],[Customer Info]])</f>
        <v>Neha | 9123456780</v>
      </c>
      <c r="R4" s="20" t="str">
        <f>UPPER(Table1451314151617181920212223242532[[#This Row],[Region]])</f>
        <v>US</v>
      </c>
      <c r="S4" s="20">
        <f>VALUE(SUBSTITUTE(Table1451314151617181920212223242532[[#This Row],[Quantity]],"pcs",""))</f>
        <v>5</v>
      </c>
      <c r="T4" s="20"/>
      <c r="U4" s="20"/>
      <c r="V4" s="20"/>
      <c r="W4" s="20" t="str">
        <f ca="1">IF(Table1451314151617181920212223242532[[#This Row],[Order Date]]="","",TODAY()-Table1451314151617181920212223242532[[#This Row],[Order Date]])</f>
        <v/>
      </c>
      <c r="X4" s="20"/>
    </row>
    <row r="5" spans="1:24" ht="22.8" customHeight="1" thickBot="1" x14ac:dyDescent="0.35">
      <c r="A5" s="5">
        <v>1001</v>
      </c>
      <c r="B5" s="1" t="s">
        <v>11</v>
      </c>
      <c r="C5" s="1" t="s">
        <v>12</v>
      </c>
      <c r="D5" s="1" t="s">
        <v>13</v>
      </c>
      <c r="E5" s="2">
        <v>10</v>
      </c>
      <c r="F5" s="2">
        <v>20</v>
      </c>
      <c r="G5" s="1" t="s">
        <v>14</v>
      </c>
      <c r="H5" s="3">
        <v>45394</v>
      </c>
      <c r="I5" s="1" t="s">
        <v>15</v>
      </c>
      <c r="J5" s="1" t="s">
        <v>16</v>
      </c>
      <c r="K5" s="7">
        <v>0.05</v>
      </c>
      <c r="L5" s="1">
        <f>Table1451314151617181920212223242532[[#This Row],[Quantity]]*Table1451314151617181920212223242532[[#This Row],[Price]]</f>
        <v>200</v>
      </c>
      <c r="M5" s="19" t="str">
        <f>IF(Table1451314151617181920212223242532[[#This Row],[Sales]]&gt;800,"High",IF(Table1451314151617181920212223242532[[#This Row],[Sales]]&gt;=500,"Medium","Low"))</f>
        <v>Low</v>
      </c>
      <c r="N5" s="19" t="str" cm="1">
        <f t="array" ref="N5">_xlfn.IFS(AND(Table1451314151617181920212223242532[Status]="Delivered",Table1451314151617181920212223242532[Sales]&gt;500),"Valid",TRUE,"Check")</f>
        <v>Check</v>
      </c>
      <c r="O5" s="19" t="str">
        <f>LEFT(Table1451314151617181920212223242532[[#This Row],[Customer Info]],FIND("|",Table1451314151617181920212223242532[[#This Row],[Customer Info]])-2)</f>
        <v>Arjun</v>
      </c>
      <c r="P5" s="20" t="str">
        <f>RIGHT(Table1451314151617181920212223242532[[#This Row],[Customer Info]],LEN(Table1451314151617181920212223242532[[#This Row],[Customer Info]])-FIND("|",Table1451314151617181920212223242532[[#This Row],[Customer Info]])-1)</f>
        <v>9876543210</v>
      </c>
      <c r="Q5" s="20" t="str">
        <f>TRIM(Table1451314151617181920212223242532[[#This Row],[Customer Info]])</f>
        <v>Arjun | 9876543210</v>
      </c>
      <c r="R5" s="20" t="str">
        <f>UPPER(Table1451314151617181920212223242532[[#This Row],[Region]])</f>
        <v>INDIA</v>
      </c>
      <c r="S5" s="20">
        <f>VALUE(SUBSTITUTE(Table1451314151617181920212223242532[[#This Row],[Quantity]],"pcs",""))</f>
        <v>10</v>
      </c>
      <c r="T5" s="20">
        <f>YEAR(Table1451314151617181920212223242532[[#This Row],[Order Date]])</f>
        <v>2024</v>
      </c>
      <c r="U5" s="20">
        <f>MONTH(Table1451314151617181920212223242532[[#This Row],[Order Date]])</f>
        <v>4</v>
      </c>
      <c r="V5" s="20" t="str">
        <f>TEXT(Table1451314151617181920212223242532[[#This Row],[Order Date]],"mmm")</f>
        <v>Apr</v>
      </c>
      <c r="W5" s="20">
        <f ca="1">IF(Table1451314151617181920212223242532[[#This Row],[Order Date]]="","",TODAY()-Table1451314151617181920212223242532[[#This Row],[Order Date]])</f>
        <v>741</v>
      </c>
      <c r="X5" s="20" t="str">
        <f ca="1">IF(TODAY()-Table1451314151617181920212223242532[[#This Row],[Order Date]]&gt;30,"Old","Recent")</f>
        <v>Old</v>
      </c>
    </row>
    <row r="6" spans="1:24" ht="18.600000000000001" customHeight="1" thickBot="1" x14ac:dyDescent="0.35">
      <c r="A6" s="5">
        <v>1015</v>
      </c>
      <c r="B6" s="1" t="s">
        <v>44</v>
      </c>
      <c r="C6" s="1" t="s">
        <v>18</v>
      </c>
      <c r="D6" s="1" t="s">
        <v>13</v>
      </c>
      <c r="E6" s="2">
        <v>4</v>
      </c>
      <c r="F6" s="2">
        <v>50</v>
      </c>
      <c r="G6" s="1" t="s">
        <v>24</v>
      </c>
      <c r="H6" s="3">
        <v>45455</v>
      </c>
      <c r="I6" s="1" t="s">
        <v>28</v>
      </c>
      <c r="J6" s="1" t="s">
        <v>16</v>
      </c>
      <c r="K6" s="7">
        <v>0.1</v>
      </c>
      <c r="L6" s="1">
        <f>Table1451314151617181920212223242532[[#This Row],[Quantity]]*Table1451314151617181920212223242532[[#This Row],[Price]]</f>
        <v>200</v>
      </c>
      <c r="M6" s="19" t="str">
        <f>IF(Table1451314151617181920212223242532[[#This Row],[Sales]]&gt;800,"High",IF(Table1451314151617181920212223242532[[#This Row],[Sales]]&gt;=500,"Medium","Low"))</f>
        <v>Low</v>
      </c>
      <c r="N6" s="19" t="str" cm="1">
        <f t="array" ref="N6">_xlfn.IFS(AND(Table1451314151617181920212223242532[Status]="Delivered",Table1451314151617181920212223242532[Sales]&gt;500),"Valid",TRUE,"Check")</f>
        <v>Check</v>
      </c>
      <c r="O6" s="19" t="str">
        <f>LEFT(Table1451314151617181920212223242532[[#This Row],[Customer Info]],FIND("|",Table1451314151617181920212223242532[[#This Row],[Customer Info]])-2)</f>
        <v>Divya</v>
      </c>
      <c r="P6" s="20" t="str">
        <f>RIGHT(Table1451314151617181920212223242532[[#This Row],[Customer Info]],LEN(Table1451314151617181920212223242532[[#This Row],[Customer Info]])-FIND("|",Table1451314151617181920212223242532[[#This Row],[Customer Info]])-1)</f>
        <v>9777700011</v>
      </c>
      <c r="Q6" s="20" t="str">
        <f>TRIM(Table1451314151617181920212223242532[[#This Row],[Customer Info]])</f>
        <v>Divya | 9777700011</v>
      </c>
      <c r="R6" s="20" t="str">
        <f>UPPER(Table1451314151617181920212223242532[[#This Row],[Region]])</f>
        <v>UK</v>
      </c>
      <c r="S6" s="20">
        <f>VALUE(SUBSTITUTE(Table1451314151617181920212223242532[[#This Row],[Quantity]],"pcs",""))</f>
        <v>4</v>
      </c>
      <c r="T6" s="20">
        <f>YEAR(Table1451314151617181920212223242532[[#This Row],[Order Date]])</f>
        <v>2024</v>
      </c>
      <c r="U6" s="20">
        <f>MONTH(Table1451314151617181920212223242532[[#This Row],[Order Date]])</f>
        <v>6</v>
      </c>
      <c r="V6" s="20" t="str">
        <f>TEXT(Table1451314151617181920212223242532[[#This Row],[Order Date]],"mmm")</f>
        <v>Jun</v>
      </c>
      <c r="W6" s="20">
        <f ca="1">IF(Table1451314151617181920212223242532[[#This Row],[Order Date]]="","",TODAY()-Table1451314151617181920212223242532[[#This Row],[Order Date]])</f>
        <v>680</v>
      </c>
      <c r="X6" s="20" t="str">
        <f ca="1">IF(TODAY()-Table1451314151617181920212223242532[[#This Row],[Order Date]]&gt;30,"Old","Recent")</f>
        <v>Old</v>
      </c>
    </row>
    <row r="7" spans="1:24" ht="23.4" customHeight="1" thickBot="1" x14ac:dyDescent="0.35">
      <c r="A7" s="5">
        <v>1009</v>
      </c>
      <c r="B7" s="1" t="s">
        <v>36</v>
      </c>
      <c r="C7" s="1" t="s">
        <v>12</v>
      </c>
      <c r="D7" s="1" t="s">
        <v>13</v>
      </c>
      <c r="E7" s="2">
        <v>8</v>
      </c>
      <c r="F7" s="2">
        <v>20</v>
      </c>
      <c r="G7" s="1" t="s">
        <v>37</v>
      </c>
      <c r="H7" s="4">
        <v>45364</v>
      </c>
      <c r="I7" s="1" t="s">
        <v>28</v>
      </c>
      <c r="J7" s="1" t="s">
        <v>16</v>
      </c>
      <c r="K7" s="7">
        <v>0.05</v>
      </c>
      <c r="L7" s="1">
        <f>Table1451314151617181920212223242532[[#This Row],[Quantity]]*Table1451314151617181920212223242532[[#This Row],[Price]]</f>
        <v>160</v>
      </c>
      <c r="M7" s="19" t="str">
        <f>IF(Table1451314151617181920212223242532[[#This Row],[Sales]]&gt;800,"High",IF(Table1451314151617181920212223242532[[#This Row],[Sales]]&gt;=500,"Medium","Low"))</f>
        <v>Low</v>
      </c>
      <c r="N7" s="19" t="str" cm="1">
        <f t="array" ref="N7">_xlfn.IFS(AND(Table1451314151617181920212223242532[Status]="Delivered",Table1451314151617181920212223242532[Sales]&gt;500),"Valid",TRUE,"Check")</f>
        <v>Check</v>
      </c>
      <c r="O7" s="19" t="str">
        <f>LEFT(Table1451314151617181920212223242532[[#This Row],[Customer Info]],FIND("|",Table1451314151617181920212223242532[[#This Row],[Customer Info]])-2)</f>
        <v>John</v>
      </c>
      <c r="P7" s="20" t="str">
        <f>RIGHT(Table1451314151617181920212223242532[[#This Row],[Customer Info]],LEN(Table1451314151617181920212223242532[[#This Row],[Customer Info]])-FIND("|",Table1451314151617181920212223242532[[#This Row],[Customer Info]])-1)</f>
        <v>9988001122</v>
      </c>
      <c r="Q7" s="20" t="str">
        <f>TRIM(Table1451314151617181920212223242532[[#This Row],[Customer Info]])</f>
        <v>John | 9988001122</v>
      </c>
      <c r="R7" s="20" t="str">
        <f>UPPER(Table1451314151617181920212223242532[[#This Row],[Region]])</f>
        <v>UK</v>
      </c>
      <c r="S7" s="20">
        <f>VALUE(SUBSTITUTE(Table1451314151617181920212223242532[[#This Row],[Quantity]],"pcs",""))</f>
        <v>8</v>
      </c>
      <c r="T7" s="20">
        <f>YEAR(Table1451314151617181920212223242532[[#This Row],[Order Date]])</f>
        <v>2024</v>
      </c>
      <c r="U7" s="20">
        <f>MONTH(Table1451314151617181920212223242532[[#This Row],[Order Date]])</f>
        <v>3</v>
      </c>
      <c r="V7" s="20" t="str">
        <f>TEXT(Table1451314151617181920212223242532[[#This Row],[Order Date]],"mmm")</f>
        <v>Mar</v>
      </c>
      <c r="W7" s="20">
        <f ca="1">IF(Table1451314151617181920212223242532[[#This Row],[Order Date]]="","",TODAY()-Table1451314151617181920212223242532[[#This Row],[Order Date]])</f>
        <v>771</v>
      </c>
      <c r="X7" s="20" t="str">
        <f ca="1">IF(TODAY()-Table1451314151617181920212223242532[[#This Row],[Order Date]]&gt;30,"Old","Recent")</f>
        <v>Old</v>
      </c>
    </row>
    <row r="8" spans="1:24" ht="23.4" customHeight="1" thickBot="1" x14ac:dyDescent="0.35">
      <c r="A8" s="5">
        <v>1006</v>
      </c>
      <c r="B8" s="1" t="s">
        <v>31</v>
      </c>
      <c r="C8" s="1" t="s">
        <v>18</v>
      </c>
      <c r="D8" s="1" t="s">
        <v>13</v>
      </c>
      <c r="E8" s="2">
        <v>3</v>
      </c>
      <c r="F8" s="2">
        <v>50</v>
      </c>
      <c r="G8" s="1" t="s">
        <v>32</v>
      </c>
      <c r="H8" s="3">
        <v>45450</v>
      </c>
      <c r="I8" s="1" t="s">
        <v>28</v>
      </c>
      <c r="J8" s="1" t="s">
        <v>16</v>
      </c>
      <c r="K8" s="7">
        <v>0.1</v>
      </c>
      <c r="L8" s="1">
        <f>Table1451314151617181920212223242532[[#This Row],[Quantity]]*Table1451314151617181920212223242532[[#This Row],[Price]]</f>
        <v>150</v>
      </c>
      <c r="M8" s="19" t="str">
        <f>IF(Table1451314151617181920212223242532[[#This Row],[Sales]]&gt;800,"High",IF(Table1451314151617181920212223242532[[#This Row],[Sales]]&gt;=500,"Medium","Low"))</f>
        <v>Low</v>
      </c>
      <c r="N8" s="19" t="str" cm="1">
        <f t="array" ref="N8">_xlfn.IFS(AND(Table1451314151617181920212223242532[Status]="Delivered",Table1451314151617181920212223242532[Sales]&gt;500),"Valid",TRUE,"Check")</f>
        <v>Check</v>
      </c>
      <c r="O8" s="19" t="str">
        <f>LEFT(Table1451314151617181920212223242532[[#This Row],[Customer Info]],FIND("|",Table1451314151617181920212223242532[[#This Row],[Customer Info]])-2)</f>
        <v>Riya</v>
      </c>
      <c r="P8" s="20" t="str">
        <f>RIGHT(Table1451314151617181920212223242532[[#This Row],[Customer Info]],LEN(Table1451314151617181920212223242532[[#This Row],[Customer Info]])-FIND("|",Table1451314151617181920212223242532[[#This Row],[Customer Info]])-1)</f>
        <v>9345678901</v>
      </c>
      <c r="Q8" s="20" t="str">
        <f>TRIM(Table1451314151617181920212223242532[[#This Row],[Customer Info]])</f>
        <v>Riya | 9345678901</v>
      </c>
      <c r="R8" s="20" t="str">
        <f>UPPER(Table1451314151617181920212223242532[[#This Row],[Region]])</f>
        <v>US</v>
      </c>
      <c r="S8" s="20">
        <f>VALUE(SUBSTITUTE(Table1451314151617181920212223242532[[#This Row],[Quantity]],"pcs",""))</f>
        <v>3</v>
      </c>
      <c r="T8" s="20">
        <f>YEAR(Table1451314151617181920212223242532[[#This Row],[Order Date]])</f>
        <v>2024</v>
      </c>
      <c r="U8" s="20">
        <f>MONTH(Table1451314151617181920212223242532[[#This Row],[Order Date]])</f>
        <v>6</v>
      </c>
      <c r="V8" s="20" t="str">
        <f>TEXT(Table1451314151617181920212223242532[[#This Row],[Order Date]],"mmm")</f>
        <v>Jun</v>
      </c>
      <c r="W8" s="20">
        <f ca="1">IF(Table1451314151617181920212223242532[[#This Row],[Order Date]]="","",TODAY()-Table1451314151617181920212223242532[[#This Row],[Order Date]])</f>
        <v>685</v>
      </c>
      <c r="X8" s="20" t="str">
        <f ca="1">IF(TODAY()-Table1451314151617181920212223242532[[#This Row],[Order Date]]&gt;30,"Old","Recent")</f>
        <v>Old</v>
      </c>
    </row>
    <row r="9" spans="1:24" ht="23.4" customHeight="1" thickBot="1" x14ac:dyDescent="0.35">
      <c r="A9" s="5">
        <v>1016</v>
      </c>
      <c r="B9" s="1" t="s">
        <v>45</v>
      </c>
      <c r="C9" s="1" t="s">
        <v>12</v>
      </c>
      <c r="D9" s="1" t="s">
        <v>13</v>
      </c>
      <c r="E9" s="2">
        <v>7</v>
      </c>
      <c r="F9" s="2">
        <v>20</v>
      </c>
      <c r="G9" s="1" t="s">
        <v>30</v>
      </c>
      <c r="H9" s="3">
        <v>45389</v>
      </c>
      <c r="I9" s="1" t="s">
        <v>15</v>
      </c>
      <c r="J9" s="1" t="s">
        <v>16</v>
      </c>
      <c r="K9" s="7">
        <v>0.05</v>
      </c>
      <c r="L9" s="1">
        <f>Table1451314151617181920212223242532[[#This Row],[Quantity]]*Table1451314151617181920212223242532[[#This Row],[Price]]</f>
        <v>140</v>
      </c>
      <c r="M9" s="19" t="str">
        <f>IF(Table1451314151617181920212223242532[[#This Row],[Sales]]&gt;800,"High",IF(Table1451314151617181920212223242532[[#This Row],[Sales]]&gt;=500,"Medium","Low"))</f>
        <v>Low</v>
      </c>
      <c r="N9" s="19" t="str" cm="1">
        <f t="array" ref="N9">_xlfn.IFS(AND(Table1451314151617181920212223242532[Status]="Delivered",Table1451314151617181920212223242532[Sales]&gt;500),"Valid",TRUE,"Check")</f>
        <v>Check</v>
      </c>
      <c r="O9" s="19" t="str">
        <f>LEFT(Table1451314151617181920212223242532[[#This Row],[Customer Info]],FIND("|",Table1451314151617181920212223242532[[#This Row],[Customer Info]])-2)</f>
        <v>Rahul</v>
      </c>
      <c r="P9" s="20" t="str">
        <f>RIGHT(Table1451314151617181920212223242532[[#This Row],[Customer Info]],LEN(Table1451314151617181920212223242532[[#This Row],[Customer Info]])-FIND("|",Table1451314151617181920212223242532[[#This Row],[Customer Info]])-1)</f>
        <v>9666600011</v>
      </c>
      <c r="Q9" s="20" t="str">
        <f>TRIM(Table1451314151617181920212223242532[[#This Row],[Customer Info]])</f>
        <v>Rahul | 9666600011</v>
      </c>
      <c r="R9" s="20" t="str">
        <f>UPPER(Table1451314151617181920212223242532[[#This Row],[Region]])</f>
        <v>INDIA</v>
      </c>
      <c r="S9" s="20">
        <f>VALUE(SUBSTITUTE(Table1451314151617181920212223242532[[#This Row],[Quantity]],"pcs",""))</f>
        <v>7</v>
      </c>
      <c r="T9" s="20">
        <f>YEAR(Table1451314151617181920212223242532[[#This Row],[Order Date]])</f>
        <v>2024</v>
      </c>
      <c r="U9" s="20">
        <f>MONTH(Table1451314151617181920212223242532[[#This Row],[Order Date]])</f>
        <v>4</v>
      </c>
      <c r="V9" s="20" t="str">
        <f>TEXT(Table1451314151617181920212223242532[[#This Row],[Order Date]],"mmm")</f>
        <v>Apr</v>
      </c>
      <c r="W9" s="20">
        <f ca="1">IF(Table1451314151617181920212223242532[[#This Row],[Order Date]]="","",TODAY()-Table1451314151617181920212223242532[[#This Row],[Order Date]])</f>
        <v>746</v>
      </c>
      <c r="X9" s="20" t="str">
        <f ca="1">IF(TODAY()-Table1451314151617181920212223242532[[#This Row],[Order Date]]&gt;30,"Old","Recent")</f>
        <v>Old</v>
      </c>
    </row>
    <row r="10" spans="1:24" ht="16.2" customHeight="1" thickBot="1" x14ac:dyDescent="0.35">
      <c r="A10" s="5">
        <v>1005</v>
      </c>
      <c r="B10" s="1" t="s">
        <v>29</v>
      </c>
      <c r="C10" s="1" t="s">
        <v>12</v>
      </c>
      <c r="D10" s="1" t="s">
        <v>13</v>
      </c>
      <c r="E10" s="2">
        <v>6</v>
      </c>
      <c r="F10" s="2">
        <v>20</v>
      </c>
      <c r="G10" s="1" t="s">
        <v>30</v>
      </c>
      <c r="H10" s="3">
        <v>45423</v>
      </c>
      <c r="I10" s="1" t="s">
        <v>15</v>
      </c>
      <c r="J10" s="1"/>
      <c r="K10" s="7">
        <v>0</v>
      </c>
      <c r="L10" s="1">
        <f>Table1451314151617181920212223242532[[#This Row],[Quantity]]*Table1451314151617181920212223242532[[#This Row],[Price]]</f>
        <v>120</v>
      </c>
      <c r="M10" s="19" t="str">
        <f>IF(Table1451314151617181920212223242532[[#This Row],[Sales]]&gt;800,"High",IF(Table1451314151617181920212223242532[[#This Row],[Sales]]&gt;=500,"Medium","Low"))</f>
        <v>Low</v>
      </c>
      <c r="N10" s="19" t="str" cm="1">
        <f t="array" ref="N10">_xlfn.IFS(AND(Table1451314151617181920212223242532[Status]="Delivered",Table1451314151617181920212223242532[Sales]&gt;500),"Valid",TRUE,"Check")</f>
        <v>Check</v>
      </c>
      <c r="O10" s="19" t="str">
        <f>LEFT(Table1451314151617181920212223242532[[#This Row],[Customer Info]],FIND("|",Table1451314151617181920212223242532[[#This Row],[Customer Info]])-2)</f>
        <v>Karan</v>
      </c>
      <c r="P10" s="20" t="str">
        <f>RIGHT(Table1451314151617181920212223242532[[#This Row],[Customer Info]],LEN(Table1451314151617181920212223242532[[#This Row],[Customer Info]])-FIND("|",Table1451314151617181920212223242532[[#This Row],[Customer Info]])-1)</f>
        <v>9090909090</v>
      </c>
      <c r="Q10" s="20" t="str">
        <f>TRIM(Table1451314151617181920212223242532[[#This Row],[Customer Info]])</f>
        <v>Karan | 9090909090</v>
      </c>
      <c r="R10" s="20" t="str">
        <f>UPPER(Table1451314151617181920212223242532[[#This Row],[Region]])</f>
        <v>INDIA</v>
      </c>
      <c r="S10" s="20">
        <f>VALUE(SUBSTITUTE(Table1451314151617181920212223242532[[#This Row],[Quantity]],"pcs",""))</f>
        <v>6</v>
      </c>
      <c r="T10" s="20">
        <f>YEAR(Table1451314151617181920212223242532[[#This Row],[Order Date]])</f>
        <v>2024</v>
      </c>
      <c r="U10" s="20">
        <f>MONTH(Table1451314151617181920212223242532[[#This Row],[Order Date]])</f>
        <v>5</v>
      </c>
      <c r="V10" s="20" t="str">
        <f>TEXT(Table1451314151617181920212223242532[[#This Row],[Order Date]],"mmm")</f>
        <v>May</v>
      </c>
      <c r="W10" s="20">
        <f ca="1">IF(Table1451314151617181920212223242532[[#This Row],[Order Date]]="","",TODAY()-Table1451314151617181920212223242532[[#This Row],[Order Date]])</f>
        <v>712</v>
      </c>
      <c r="X10" s="20" t="str">
        <f ca="1">IF(TODAY()-Table1451314151617181920212223242532[[#This Row],[Order Date]]&gt;30,"Old","Recent")</f>
        <v>Old</v>
      </c>
    </row>
    <row r="11" spans="1:24" ht="25.2" customHeight="1" thickBot="1" x14ac:dyDescent="0.35">
      <c r="A11" s="5">
        <v>1018</v>
      </c>
      <c r="B11" s="1" t="s">
        <v>47</v>
      </c>
      <c r="C11" s="1" t="s">
        <v>12</v>
      </c>
      <c r="D11" s="1" t="s">
        <v>13</v>
      </c>
      <c r="E11" s="2">
        <v>6</v>
      </c>
      <c r="F11" s="2">
        <v>20</v>
      </c>
      <c r="G11" s="1" t="s">
        <v>14</v>
      </c>
      <c r="H11" s="3">
        <v>45392</v>
      </c>
      <c r="I11" s="1" t="s">
        <v>15</v>
      </c>
      <c r="J11" s="1" t="s">
        <v>16</v>
      </c>
      <c r="K11" s="7">
        <v>0.05</v>
      </c>
      <c r="L11" s="1">
        <f>Table1451314151617181920212223242532[[#This Row],[Quantity]]*Table1451314151617181920212223242532[[#This Row],[Price]]</f>
        <v>120</v>
      </c>
      <c r="M11" s="19" t="str">
        <f>IF(Table1451314151617181920212223242532[[#This Row],[Sales]]&gt;800,"High",IF(Table1451314151617181920212223242532[[#This Row],[Sales]]&gt;=500,"Medium","Low"))</f>
        <v>Low</v>
      </c>
      <c r="N11" s="19" t="str" cm="1">
        <f t="array" ref="N11">_xlfn.IFS(AND(Table1451314151617181920212223242532[Status]="Delivered",Table1451314151617181920212223242532[Sales]&gt;500),"Valid",TRUE,"Check")</f>
        <v>Check</v>
      </c>
      <c r="O11" s="19" t="str">
        <f>LEFT(Table1451314151617181920212223242532[[#This Row],[Customer Info]],FIND("|",Table1451314151617181920212223242532[[#This Row],[Customer Info]])-2)</f>
        <v>Karthik</v>
      </c>
      <c r="P11" s="20" t="str">
        <f>RIGHT(Table1451314151617181920212223242532[[#This Row],[Customer Info]],LEN(Table1451314151617181920212223242532[[#This Row],[Customer Info]])-FIND("|",Table1451314151617181920212223242532[[#This Row],[Customer Info]])-1)</f>
        <v>9001122334</v>
      </c>
      <c r="Q11" s="20" t="str">
        <f>TRIM(Table1451314151617181920212223242532[[#This Row],[Customer Info]])</f>
        <v>Karthik | 9001122334</v>
      </c>
      <c r="R11" s="20" t="str">
        <f>UPPER(Table1451314151617181920212223242532[[#This Row],[Region]])</f>
        <v>INDIA</v>
      </c>
      <c r="S11" s="20">
        <f>VALUE(SUBSTITUTE(Table1451314151617181920212223242532[[#This Row],[Quantity]],"pcs",""))</f>
        <v>6</v>
      </c>
      <c r="T11" s="20">
        <f>YEAR(Table1451314151617181920212223242532[[#This Row],[Order Date]])</f>
        <v>2024</v>
      </c>
      <c r="U11" s="20">
        <f>MONTH(Table1451314151617181920212223242532[[#This Row],[Order Date]])</f>
        <v>4</v>
      </c>
      <c r="V11" s="20" t="str">
        <f>TEXT(Table1451314151617181920212223242532[[#This Row],[Order Date]],"mmm")</f>
        <v>Apr</v>
      </c>
      <c r="W11" s="20">
        <f ca="1">IF(Table1451314151617181920212223242532[[#This Row],[Order Date]]="","",TODAY()-Table1451314151617181920212223242532[[#This Row],[Order Date]])</f>
        <v>743</v>
      </c>
      <c r="X11" s="20" t="str">
        <f ca="1">IF(TODAY()-Table1451314151617181920212223242532[[#This Row],[Order Date]]&gt;30,"Old","Recent")</f>
        <v>Old</v>
      </c>
    </row>
    <row r="12" spans="1:24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Table1451314151617181920212223242532[[#This Row],[Quantity]]*Table1451314151617181920212223242532[[#This Row],[Price]]</f>
        <v>100</v>
      </c>
      <c r="M12" s="19" t="str">
        <f>IF(Table1451314151617181920212223242532[[#This Row],[Sales]]&gt;800,"High",IF(Table1451314151617181920212223242532[[#This Row],[Sales]]&gt;=500,"Medium","Low"))</f>
        <v>Low</v>
      </c>
      <c r="N12" s="19" t="str" cm="1">
        <f t="array" ref="N12">_xlfn.IFS(AND(Table1451314151617181920212223242532[Status]="Delivered",Table1451314151617181920212223242532[Sales]&gt;500),"Valid",TRUE,"Check")</f>
        <v>Check</v>
      </c>
      <c r="O12" s="19" t="str">
        <f>LEFT(Table1451314151617181920212223242532[[#This Row],[Customer Info]],FIND("|",Table1451314151617181920212223242532[[#This Row],[Customer Info]])-2)</f>
        <v>Vikram</v>
      </c>
      <c r="P12" s="20" t="str">
        <f>RIGHT(Table1451314151617181920212223242532[[#This Row],[Customer Info]],LEN(Table1451314151617181920212223242532[[#This Row],[Customer Info]])-FIND("|",Table1451314151617181920212223242532[[#This Row],[Customer Info]])-1)</f>
        <v>9123001122</v>
      </c>
      <c r="Q12" s="20" t="str">
        <f>TRIM(Table1451314151617181920212223242532[[#This Row],[Customer Info]])</f>
        <v>Vikram | 9123001122</v>
      </c>
      <c r="R12" s="20" t="str">
        <f>UPPER(Table1451314151617181920212223242532[[#This Row],[Region]])</f>
        <v>INDIA</v>
      </c>
      <c r="S12" s="20">
        <f>VALUE(SUBSTITUTE(Table1451314151617181920212223242532[[#This Row],[Quantity]],"pcs",""))</f>
        <v>5</v>
      </c>
      <c r="T12" s="20">
        <f>YEAR(Table1451314151617181920212223242532[[#This Row],[Order Date]])</f>
        <v>2024</v>
      </c>
      <c r="U12" s="20">
        <f>MONTH(Table1451314151617181920212223242532[[#This Row],[Order Date]])</f>
        <v>2</v>
      </c>
      <c r="V12" s="20" t="str">
        <f>TEXT(Table1451314151617181920212223242532[[#This Row],[Order Date]],"mmm")</f>
        <v>Feb</v>
      </c>
      <c r="W12" s="20">
        <f ca="1">IF(Table1451314151617181920212223242532[[#This Row],[Order Date]]="","",TODAY()-Table1451314151617181920212223242532[[#This Row],[Order Date]])</f>
        <v>795</v>
      </c>
      <c r="X12" s="20" t="str">
        <f ca="1">IF(TODAY()-Table1451314151617181920212223242532[[#This Row],[Order Date]]&gt;30,"Old","Recent")</f>
        <v>Old</v>
      </c>
    </row>
    <row r="13" spans="1:24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Table1451314151617181920212223242532[[#This Row],[Quantity]]*Table1451314151617181920212223242532[[#This Row],[Price]]</f>
        <v>100</v>
      </c>
      <c r="M13" s="19" t="str">
        <f>IF(Table1451314151617181920212223242532[[#This Row],[Sales]]&gt;800,"High",IF(Table1451314151617181920212223242532[[#This Row],[Sales]]&gt;=500,"Medium","Low"))</f>
        <v>Low</v>
      </c>
      <c r="N13" s="19" t="str" cm="1">
        <f t="array" ref="N13">_xlfn.IFS(AND(Table1451314151617181920212223242532[Status]="Delivered",Table1451314151617181920212223242532[Sales]&gt;500),"Valid",TRUE,"Check")</f>
        <v>Check</v>
      </c>
      <c r="O13" s="19" t="str">
        <f>LEFT(Table1451314151617181920212223242532[[#This Row],[Customer Info]],FIND("|",Table1451314151617181920212223242532[[#This Row],[Customer Info]])-2)</f>
        <v>Pooja</v>
      </c>
      <c r="P13" s="20" t="str">
        <f>RIGHT(Table1451314151617181920212223242532[[#This Row],[Customer Info]],LEN(Table1451314151617181920212223242532[[#This Row],[Customer Info]])-FIND("|",Table1451314151617181920212223242532[[#This Row],[Customer Info]])-1)</f>
        <v>9345001123</v>
      </c>
      <c r="Q13" s="20" t="str">
        <f>TRIM(Table1451314151617181920212223242532[[#This Row],[Customer Info]])</f>
        <v>Pooja | 9345001123</v>
      </c>
      <c r="R13" s="20" t="str">
        <f>UPPER(Table1451314151617181920212223242532[[#This Row],[Region]])</f>
        <v>US</v>
      </c>
      <c r="S13" s="20">
        <f>VALUE(SUBSTITUTE(Table1451314151617181920212223242532[[#This Row],[Quantity]],"pcs",""))</f>
        <v>2</v>
      </c>
      <c r="T13" s="20">
        <f>YEAR(Table1451314151617181920212223242532[[#This Row],[Order Date]])</f>
        <v>2024</v>
      </c>
      <c r="U13" s="20">
        <f>MONTH(Table1451314151617181920212223242532[[#This Row],[Order Date]])</f>
        <v>3</v>
      </c>
      <c r="V13" s="20" t="str">
        <f>TEXT(Table1451314151617181920212223242532[[#This Row],[Order Date]],"mmm")</f>
        <v>Mar</v>
      </c>
      <c r="W13" s="20">
        <f ca="1">IF(Table1451314151617181920212223242532[[#This Row],[Order Date]]="","",TODAY()-Table1451314151617181920212223242532[[#This Row],[Order Date]])</f>
        <v>765</v>
      </c>
      <c r="X13" s="20" t="str">
        <f ca="1">IF(TODAY()-Table1451314151617181920212223242532[[#This Row],[Order Date]]&gt;30,"Old","Recent")</f>
        <v>Old</v>
      </c>
    </row>
    <row r="14" spans="1:24" ht="25.2" customHeight="1" thickBot="1" x14ac:dyDescent="0.35">
      <c r="A14" s="5">
        <v>1003</v>
      </c>
      <c r="B14" s="1" t="s">
        <v>22</v>
      </c>
      <c r="C14" s="1" t="s">
        <v>23</v>
      </c>
      <c r="D14" s="1" t="s">
        <v>13</v>
      </c>
      <c r="E14" s="2">
        <v>8</v>
      </c>
      <c r="F14" s="2">
        <v>10</v>
      </c>
      <c r="G14" s="1" t="s">
        <v>24</v>
      </c>
      <c r="H14" s="4">
        <v>45366</v>
      </c>
      <c r="I14" s="1" t="s">
        <v>15</v>
      </c>
      <c r="J14" s="1" t="s">
        <v>16</v>
      </c>
      <c r="K14" s="6"/>
      <c r="L14" s="1">
        <f>Table1451314151617181920212223242532[[#This Row],[Quantity]]*Table1451314151617181920212223242532[[#This Row],[Price]]</f>
        <v>80</v>
      </c>
      <c r="M14" s="19" t="str">
        <f>IF(Table1451314151617181920212223242532[[#This Row],[Sales]]&gt;800,"High",IF(Table1451314151617181920212223242532[[#This Row],[Sales]]&gt;=500,"Medium","Low"))</f>
        <v>Low</v>
      </c>
      <c r="N14" s="19" t="str" cm="1">
        <f t="array" ref="N14">_xlfn.IFS(AND(Table1451314151617181920212223242532[Status]="Delivered",Table1451314151617181920212223242532[Sales]&gt;500),"Valid",TRUE,"Check")</f>
        <v>Check</v>
      </c>
      <c r="O14" s="19" t="str">
        <f>LEFT(Table1451314151617181920212223242532[[#This Row],[Customer Info]],FIND("|",Table1451314151617181920212223242532[[#This Row],[Customer Info]])-2)</f>
        <v>Rohit</v>
      </c>
      <c r="P14" s="20" t="str">
        <f>RIGHT(Table1451314151617181920212223242532[[#This Row],[Customer Info]],LEN(Table1451314151617181920212223242532[[#This Row],[Customer Info]])-FIND("|",Table1451314151617181920212223242532[[#This Row],[Customer Info]])-1)</f>
        <v>9988776655</v>
      </c>
      <c r="Q14" s="20" t="str">
        <f>TRIM(Table1451314151617181920212223242532[[#This Row],[Customer Info]])</f>
        <v>Rohit | 9988776655</v>
      </c>
      <c r="R14" s="20" t="str">
        <f>UPPER(Table1451314151617181920212223242532[[#This Row],[Region]])</f>
        <v>UK</v>
      </c>
      <c r="S14" s="20">
        <f>VALUE(SUBSTITUTE(Table1451314151617181920212223242532[[#This Row],[Quantity]],"pcs",""))</f>
        <v>8</v>
      </c>
      <c r="T14" s="20">
        <f>YEAR(Table1451314151617181920212223242532[[#This Row],[Order Date]])</f>
        <v>2024</v>
      </c>
      <c r="U14" s="20">
        <f>MONTH(Table1451314151617181920212223242532[[#This Row],[Order Date]])</f>
        <v>3</v>
      </c>
      <c r="V14" s="20" t="str">
        <f>TEXT(Table1451314151617181920212223242532[[#This Row],[Order Date]],"mmm")</f>
        <v>Mar</v>
      </c>
      <c r="W14" s="20">
        <f ca="1">IF(Table1451314151617181920212223242532[[#This Row],[Order Date]]="","",TODAY()-Table1451314151617181920212223242532[[#This Row],[Order Date]])</f>
        <v>769</v>
      </c>
      <c r="X14" s="20" t="str">
        <f ca="1">IF(TODAY()-Table1451314151617181920212223242532[[#This Row],[Order Date]]&gt;30,"Old","Recent")</f>
        <v>Old</v>
      </c>
    </row>
    <row r="15" spans="1:24" ht="22.2" customHeight="1" thickBot="1" x14ac:dyDescent="0.35">
      <c r="A15" s="5">
        <v>1004</v>
      </c>
      <c r="B15" s="1" t="s">
        <v>25</v>
      </c>
      <c r="C15" s="1" t="s">
        <v>26</v>
      </c>
      <c r="D15" s="1" t="s">
        <v>13</v>
      </c>
      <c r="E15" s="2">
        <v>3</v>
      </c>
      <c r="F15" s="2">
        <v>15</v>
      </c>
      <c r="G15" s="1" t="s">
        <v>27</v>
      </c>
      <c r="H15" s="3">
        <v>45332</v>
      </c>
      <c r="I15" s="1" t="s">
        <v>28</v>
      </c>
      <c r="J15" s="1" t="s">
        <v>16</v>
      </c>
      <c r="K15" s="7">
        <v>0.05</v>
      </c>
      <c r="L15" s="1">
        <f>Table1451314151617181920212223242532[[#This Row],[Quantity]]*Table1451314151617181920212223242532[[#This Row],[Price]]</f>
        <v>45</v>
      </c>
      <c r="M15" s="19" t="str">
        <f>IF(Table1451314151617181920212223242532[[#This Row],[Sales]]&gt;800,"High",IF(Table1451314151617181920212223242532[[#This Row],[Sales]]&gt;=500,"Medium","Low"))</f>
        <v>Low</v>
      </c>
      <c r="N15" s="19" t="str" cm="1">
        <f t="array" ref="N15">_xlfn.IFS(AND(Table1451314151617181920212223242532[Status]="Delivered",Table1451314151617181920212223242532[Sales]&gt;500),"Valid",TRUE,"Check")</f>
        <v>Check</v>
      </c>
      <c r="O15" s="19" t="str">
        <f>LEFT(Table1451314151617181920212223242532[[#This Row],[Customer Info]],FIND("|",Table1451314151617181920212223242532[[#This Row],[Customer Info]])-2)</f>
        <v>Simran</v>
      </c>
      <c r="P15" s="20" t="str">
        <f>RIGHT(Table1451314151617181920212223242532[[#This Row],[Customer Info]],LEN(Table1451314151617181920212223242532[[#This Row],[Customer Info]])-FIND("|",Table1451314151617181920212223242532[[#This Row],[Customer Info]])-1)</f>
        <v>9012345678</v>
      </c>
      <c r="Q15" s="20" t="str">
        <f>TRIM(Table1451314151617181920212223242532[[#This Row],[Customer Info]])</f>
        <v>Simran | 9012345678</v>
      </c>
      <c r="R15" s="20" t="str">
        <f>UPPER(Table1451314151617181920212223242532[[#This Row],[Region]])</f>
        <v>UAE</v>
      </c>
      <c r="S15" s="20">
        <f>VALUE(SUBSTITUTE(Table1451314151617181920212223242532[[#This Row],[Quantity]],"pcs",""))</f>
        <v>3</v>
      </c>
      <c r="T15" s="20">
        <f>YEAR(Table1451314151617181920212223242532[[#This Row],[Order Date]])</f>
        <v>2024</v>
      </c>
      <c r="U15" s="20">
        <f>MONTH(Table1451314151617181920212223242532[[#This Row],[Order Date]])</f>
        <v>2</v>
      </c>
      <c r="V15" s="20" t="str">
        <f>TEXT(Table1451314151617181920212223242532[[#This Row],[Order Date]],"mmm")</f>
        <v>Feb</v>
      </c>
      <c r="W15" s="20">
        <f ca="1">IF(Table1451314151617181920212223242532[[#This Row],[Order Date]]="","",TODAY()-Table1451314151617181920212223242532[[#This Row],[Order Date]])</f>
        <v>803</v>
      </c>
      <c r="X15" s="20" t="str">
        <f ca="1">IF(TODAY()-Table1451314151617181920212223242532[[#This Row],[Order Date]]&gt;30,"Old","Recent")</f>
        <v>Old</v>
      </c>
    </row>
    <row r="16" spans="1:24" ht="21.6" customHeight="1" thickBot="1" x14ac:dyDescent="0.35">
      <c r="A16" s="5">
        <v>1013</v>
      </c>
      <c r="B16" s="1" t="s">
        <v>42</v>
      </c>
      <c r="C16" s="1" t="s">
        <v>26</v>
      </c>
      <c r="D16" s="1" t="s">
        <v>13</v>
      </c>
      <c r="E16" s="2">
        <v>3</v>
      </c>
      <c r="F16" s="2">
        <v>15</v>
      </c>
      <c r="G16" s="1" t="s">
        <v>27</v>
      </c>
      <c r="H16" s="4">
        <v>45312</v>
      </c>
      <c r="I16" s="1" t="s">
        <v>15</v>
      </c>
      <c r="J16" s="1" t="s">
        <v>16</v>
      </c>
      <c r="K16" s="7">
        <v>0.05</v>
      </c>
      <c r="L16" s="1">
        <f>Table1451314151617181920212223242532[[#This Row],[Quantity]]*Table1451314151617181920212223242532[[#This Row],[Price]]</f>
        <v>45</v>
      </c>
      <c r="M16" s="19" t="str">
        <f>IF(Table1451314151617181920212223242532[[#This Row],[Sales]]&gt;800,"High",IF(Table1451314151617181920212223242532[[#This Row],[Sales]]&gt;=500,"Medium","Low"))</f>
        <v>Low</v>
      </c>
      <c r="N16" s="19" t="str" cm="1">
        <f t="array" ref="N16">_xlfn.IFS(AND(Table1451314151617181920212223242532[Status]="Delivered",Table1451314151617181920212223242532[Sales]&gt;500),"Valid",TRUE,"Check")</f>
        <v>Check</v>
      </c>
      <c r="O16" s="19" t="str">
        <f>LEFT(Table1451314151617181920212223242532[[#This Row],[Customer Info]],FIND("|",Table1451314151617181920212223242532[[#This Row],[Customer Info]])-2)</f>
        <v>Kiran</v>
      </c>
      <c r="P16" s="20" t="str">
        <f>RIGHT(Table1451314151617181920212223242532[[#This Row],[Customer Info]],LEN(Table1451314151617181920212223242532[[#This Row],[Customer Info]])-FIND("|",Table1451314151617181920212223242532[[#This Row],[Customer Info]])-1)</f>
        <v>9000011122</v>
      </c>
      <c r="Q16" s="20" t="str">
        <f>TRIM(Table1451314151617181920212223242532[[#This Row],[Customer Info]])</f>
        <v>Kiran | 9000011122</v>
      </c>
      <c r="R16" s="20" t="str">
        <f>UPPER(Table1451314151617181920212223242532[[#This Row],[Region]])</f>
        <v>UAE</v>
      </c>
      <c r="S16" s="20">
        <f>VALUE(SUBSTITUTE(Table1451314151617181920212223242532[[#This Row],[Quantity]],"pcs",""))</f>
        <v>3</v>
      </c>
      <c r="T16" s="20">
        <f>YEAR(Table1451314151617181920212223242532[[#This Row],[Order Date]])</f>
        <v>2024</v>
      </c>
      <c r="U16" s="20">
        <f>MONTH(Table1451314151617181920212223242532[[#This Row],[Order Date]])</f>
        <v>1</v>
      </c>
      <c r="V16" s="20" t="str">
        <f>TEXT(Table1451314151617181920212223242532[[#This Row],[Order Date]],"mmm")</f>
        <v>Jan</v>
      </c>
      <c r="W16" s="20">
        <f ca="1">IF(Table1451314151617181920212223242532[[#This Row],[Order Date]]="","",TODAY()-Table1451314151617181920212223242532[[#This Row],[Order Date]])</f>
        <v>823</v>
      </c>
      <c r="X16" s="20" t="str">
        <f ca="1">IF(TODAY()-Table1451314151617181920212223242532[[#This Row],[Order Date]]&gt;30,"Old","Recent")</f>
        <v>Old</v>
      </c>
    </row>
    <row r="17" spans="1:24" ht="25.2" customHeight="1" thickBot="1" x14ac:dyDescent="0.35">
      <c r="A17" s="5">
        <v>1017</v>
      </c>
      <c r="B17" s="1" t="s">
        <v>46</v>
      </c>
      <c r="C17" s="1" t="s">
        <v>26</v>
      </c>
      <c r="D17" s="1" t="s">
        <v>13</v>
      </c>
      <c r="E17" s="2">
        <v>2</v>
      </c>
      <c r="F17" s="2">
        <v>15</v>
      </c>
      <c r="G17" s="1" t="s">
        <v>27</v>
      </c>
      <c r="H17" s="3">
        <v>45333</v>
      </c>
      <c r="I17" s="1" t="s">
        <v>28</v>
      </c>
      <c r="J17" s="1" t="s">
        <v>34</v>
      </c>
      <c r="K17" s="7">
        <v>0.05</v>
      </c>
      <c r="L17" s="1">
        <f>Table1451314151617181920212223242532[[#This Row],[Quantity]]*Table1451314151617181920212223242532[[#This Row],[Price]]</f>
        <v>30</v>
      </c>
      <c r="M17" s="19" t="str">
        <f>IF(Table1451314151617181920212223242532[[#This Row],[Sales]]&gt;800,"High",IF(Table1451314151617181920212223242532[[#This Row],[Sales]]&gt;=500,"Medium","Low"))</f>
        <v>Low</v>
      </c>
      <c r="N17" s="19" t="str" cm="1">
        <f t="array" ref="N17">_xlfn.IFS(AND(Table1451314151617181920212223242532[Status]="Delivered",Table1451314151617181920212223242532[Sales]&gt;500),"Valid",TRUE,"Check")</f>
        <v>Check</v>
      </c>
      <c r="O17" s="19" t="str">
        <f>LEFT(Table1451314151617181920212223242532[[#This Row],[Customer Info]],FIND("|",Table1451314151617181920212223242532[[#This Row],[Customer Info]])-2)</f>
        <v>Sneha</v>
      </c>
      <c r="P17" s="20" t="str">
        <f>RIGHT(Table1451314151617181920212223242532[[#This Row],[Customer Info]],LEN(Table1451314151617181920212223242532[[#This Row],[Customer Info]])-FIND("|",Table1451314151617181920212223242532[[#This Row],[Customer Info]])-1)</f>
        <v>9555500011</v>
      </c>
      <c r="Q17" s="20" t="str">
        <f>TRIM(Table1451314151617181920212223242532[[#This Row],[Customer Info]])</f>
        <v>Sneha | 9555500011</v>
      </c>
      <c r="R17" s="20" t="str">
        <f>UPPER(Table1451314151617181920212223242532[[#This Row],[Region]])</f>
        <v>UAE</v>
      </c>
      <c r="S17" s="20">
        <f>VALUE(SUBSTITUTE(Table1451314151617181920212223242532[[#This Row],[Quantity]],"pcs",""))</f>
        <v>2</v>
      </c>
      <c r="T17" s="20">
        <f>YEAR(Table1451314151617181920212223242532[[#This Row],[Order Date]])</f>
        <v>2024</v>
      </c>
      <c r="U17" s="20">
        <f>MONTH(Table1451314151617181920212223242532[[#This Row],[Order Date]])</f>
        <v>2</v>
      </c>
      <c r="V17" s="20" t="str">
        <f>TEXT(Table1451314151617181920212223242532[[#This Row],[Order Date]],"mmm")</f>
        <v>Feb</v>
      </c>
      <c r="W17" s="20">
        <f ca="1">IF(Table1451314151617181920212223242532[[#This Row],[Order Date]]="","",TODAY()-Table1451314151617181920212223242532[[#This Row],[Order Date]])</f>
        <v>802</v>
      </c>
      <c r="X17" s="20" t="str">
        <f ca="1">IF(TODAY()-Table1451314151617181920212223242532[[#This Row],[Order Date]]&gt;30,"Old","Recent")</f>
        <v>Old</v>
      </c>
    </row>
    <row r="18" spans="1:24" ht="22.2" customHeight="1" thickBot="1" x14ac:dyDescent="0.35">
      <c r="A18" s="5">
        <v>1020</v>
      </c>
      <c r="B18" s="1" t="s">
        <v>49</v>
      </c>
      <c r="C18" s="1" t="s">
        <v>23</v>
      </c>
      <c r="D18" s="1" t="s">
        <v>13</v>
      </c>
      <c r="E18" s="2">
        <v>3</v>
      </c>
      <c r="F18" s="2">
        <v>10</v>
      </c>
      <c r="G18" s="1" t="s">
        <v>24</v>
      </c>
      <c r="H18" s="1"/>
      <c r="I18" s="1" t="s">
        <v>20</v>
      </c>
      <c r="J18" s="1" t="s">
        <v>16</v>
      </c>
      <c r="K18" s="6"/>
      <c r="L18" s="1">
        <f>Table1451314151617181920212223242532[[#This Row],[Quantity]]*Table1451314151617181920212223242532[[#This Row],[Price]]</f>
        <v>30</v>
      </c>
      <c r="M18" s="19" t="str">
        <f>IF(Table1451314151617181920212223242532[[#This Row],[Sales]]&gt;800,"High",IF(Table1451314151617181920212223242532[[#This Row],[Sales]]&gt;=500,"Medium","Low"))</f>
        <v>Low</v>
      </c>
      <c r="N18" s="19" t="str" cm="1">
        <f t="array" ref="N18">_xlfn.IFS(AND(Table1451314151617181920212223242532[Status]="Delivered",Table1451314151617181920212223242532[Sales]&gt;500),"Valid",TRUE,"Check")</f>
        <v>Check</v>
      </c>
      <c r="O18" s="19" t="str">
        <f>LEFT(Table1451314151617181920212223242532[[#This Row],[Customer Info]],FIND("|",Table1451314151617181920212223242532[[#This Row],[Customer Info]])-2)</f>
        <v>Manoj</v>
      </c>
      <c r="P18" s="20" t="str">
        <f>RIGHT(Table1451314151617181920212223242532[[#This Row],[Customer Info]],LEN(Table1451314151617181920212223242532[[#This Row],[Customer Info]])-FIND("|",Table1451314151617181920212223242532[[#This Row],[Customer Info]])-1)</f>
        <v>9022334455</v>
      </c>
      <c r="Q18" s="20" t="str">
        <f>TRIM(Table1451314151617181920212223242532[[#This Row],[Customer Info]])</f>
        <v>Manoj | 9022334455</v>
      </c>
      <c r="R18" s="20" t="str">
        <f>UPPER(Table1451314151617181920212223242532[[#This Row],[Region]])</f>
        <v>UK</v>
      </c>
      <c r="S18" s="20">
        <f>VALUE(SUBSTITUTE(Table1451314151617181920212223242532[[#This Row],[Quantity]],"pcs",""))</f>
        <v>3</v>
      </c>
      <c r="T18" s="20"/>
      <c r="U18" s="20"/>
      <c r="V18" s="20"/>
      <c r="W18" s="20" t="str">
        <f ca="1">IF(Table1451314151617181920212223242532[[#This Row],[Order Date]]="","",TODAY()-Table1451314151617181920212223242532[[#This Row],[Order Date]])</f>
        <v/>
      </c>
      <c r="X18" s="20"/>
    </row>
    <row r="19" spans="1:24" ht="21.6" customHeight="1" thickBot="1" x14ac:dyDescent="0.35">
      <c r="A19" s="5">
        <v>1007</v>
      </c>
      <c r="B19" s="1" t="s">
        <v>33</v>
      </c>
      <c r="C19" s="1" t="s">
        <v>23</v>
      </c>
      <c r="D19" s="1" t="s">
        <v>13</v>
      </c>
      <c r="E19" s="2">
        <v>2</v>
      </c>
      <c r="F19" s="2">
        <v>10</v>
      </c>
      <c r="G19" s="1" t="s">
        <v>30</v>
      </c>
      <c r="H19" s="1"/>
      <c r="I19" s="1" t="s">
        <v>20</v>
      </c>
      <c r="J19" s="1" t="s">
        <v>34</v>
      </c>
      <c r="K19" s="7">
        <v>0</v>
      </c>
      <c r="L19" s="1">
        <f>Table1451314151617181920212223242532[[#This Row],[Quantity]]*Table1451314151617181920212223242532[[#This Row],[Price]]</f>
        <v>20</v>
      </c>
      <c r="M19" s="19" t="str">
        <f>IF(Table1451314151617181920212223242532[[#This Row],[Sales]]&gt;800,"High",IF(Table1451314151617181920212223242532[[#This Row],[Sales]]&gt;=500,"Medium","Low"))</f>
        <v>Low</v>
      </c>
      <c r="N19" s="19" t="str" cm="1">
        <f t="array" ref="N19">_xlfn.IFS(AND(Table1451314151617181920212223242532[Status]="Delivered",Table1451314151617181920212223242532[Sales]&gt;500),"Valid",TRUE,"Check")</f>
        <v>Check</v>
      </c>
      <c r="O19" s="19" t="str">
        <f>LEFT(Table1451314151617181920212223242532[[#This Row],[Customer Info]],FIND("|",Table1451314151617181920212223242532[[#This Row],[Customer Info]])-2)</f>
        <v>Amit</v>
      </c>
      <c r="P19" s="20" t="str">
        <f>RIGHT(Table1451314151617181920212223242532[[#This Row],[Customer Info]],LEN(Table1451314151617181920212223242532[[#This Row],[Customer Info]])-FIND("|",Table1451314151617181920212223242532[[#This Row],[Customer Info]])-1)</f>
        <v>9234567890</v>
      </c>
      <c r="Q19" s="20" t="str">
        <f>TRIM(Table1451314151617181920212223242532[[#This Row],[Customer Info]])</f>
        <v>Amit | 9234567890</v>
      </c>
      <c r="R19" s="20" t="str">
        <f>UPPER(Table1451314151617181920212223242532[[#This Row],[Region]])</f>
        <v>INDIA</v>
      </c>
      <c r="S19" s="20">
        <f>VALUE(SUBSTITUTE(Table1451314151617181920212223242532[[#This Row],[Quantity]],"pcs",""))</f>
        <v>2</v>
      </c>
      <c r="T19" s="20"/>
      <c r="U19" s="20"/>
      <c r="V19" s="20"/>
      <c r="W19" s="20" t="str">
        <f ca="1">IF(Table1451314151617181920212223242532[[#This Row],[Order Date]]="","",TODAY()-Table1451314151617181920212223242532[[#This Row],[Order Date]])</f>
        <v/>
      </c>
      <c r="X19" s="20"/>
    </row>
    <row r="20" spans="1:24" ht="30.6" customHeight="1" thickBot="1" x14ac:dyDescent="0.35">
      <c r="A20" s="5">
        <v>1014</v>
      </c>
      <c r="B20" s="1" t="s">
        <v>43</v>
      </c>
      <c r="C20" s="1" t="s">
        <v>23</v>
      </c>
      <c r="D20" s="1" t="s">
        <v>13</v>
      </c>
      <c r="E20" s="2">
        <v>1</v>
      </c>
      <c r="F20" s="2">
        <v>10</v>
      </c>
      <c r="G20" s="1" t="s">
        <v>30</v>
      </c>
      <c r="H20" s="3">
        <v>45417</v>
      </c>
      <c r="I20" s="1" t="s">
        <v>20</v>
      </c>
      <c r="J20" s="1" t="s">
        <v>16</v>
      </c>
      <c r="K20" s="7">
        <v>0</v>
      </c>
      <c r="L20" s="1">
        <f>Table1451314151617181920212223242532[[#This Row],[Quantity]]*Table1451314151617181920212223242532[[#This Row],[Price]]</f>
        <v>10</v>
      </c>
      <c r="M20" s="19" t="str">
        <f>IF(Table1451314151617181920212223242532[[#This Row],[Sales]]&gt;800,"High",IF(Table1451314151617181920212223242532[[#This Row],[Sales]]&gt;=500,"Medium","Low"))</f>
        <v>Low</v>
      </c>
      <c r="N20" s="19" t="str" cm="1">
        <f t="array" ref="N20">_xlfn.IFS(AND(Table1451314151617181920212223242532[Status]="Delivered",Table1451314151617181920212223242532[Sales]&gt;500),"Valid",TRUE,"Check")</f>
        <v>Check</v>
      </c>
      <c r="O20" s="19" t="str">
        <f>LEFT(Table1451314151617181920212223242532[[#This Row],[Customer Info]],FIND("|",Table1451314151617181920212223242532[[#This Row],[Customer Info]])-2)</f>
        <v>Anil</v>
      </c>
      <c r="P20" s="20" t="str">
        <f>RIGHT(Table1451314151617181920212223242532[[#This Row],[Customer Info]],LEN(Table1451314151617181920212223242532[[#This Row],[Customer Info]])-FIND("|",Table1451314151617181920212223242532[[#This Row],[Customer Info]])-1)</f>
        <v>9888800011</v>
      </c>
      <c r="Q20" s="20" t="str">
        <f>TRIM(Table1451314151617181920212223242532[[#This Row],[Customer Info]])</f>
        <v>Anil | 9888800011</v>
      </c>
      <c r="R20" s="20" t="str">
        <f>UPPER(Table1451314151617181920212223242532[[#This Row],[Region]])</f>
        <v>INDIA</v>
      </c>
      <c r="S20" s="20">
        <f>VALUE(SUBSTITUTE(Table1451314151617181920212223242532[[#This Row],[Quantity]],"pcs",""))</f>
        <v>1</v>
      </c>
      <c r="T20" s="20">
        <f>YEAR(Table1451314151617181920212223242532[[#This Row],[Order Date]])</f>
        <v>2024</v>
      </c>
      <c r="U20" s="20">
        <f>MONTH(Table1451314151617181920212223242532[[#This Row],[Order Date]])</f>
        <v>5</v>
      </c>
      <c r="V20" s="20" t="str">
        <f>TEXT(Table1451314151617181920212223242532[[#This Row],[Order Date]],"mmm")</f>
        <v>May</v>
      </c>
      <c r="W20" s="20">
        <f ca="1">IF(Table1451314151617181920212223242532[[#This Row],[Order Date]]="","",TODAY()-Table1451314151617181920212223242532[[#This Row],[Order Date]])</f>
        <v>718</v>
      </c>
      <c r="X20" s="20" t="str">
        <f ca="1">IF(TODAY()-Table1451314151617181920212223242532[[#This Row],[Order Date]]&gt;30,"Old","Recent")</f>
        <v>Old</v>
      </c>
    </row>
    <row r="21" spans="1:24" ht="18" customHeight="1" x14ac:dyDescent="0.3">
      <c r="A21" s="11">
        <v>1008</v>
      </c>
      <c r="B21" s="12" t="s">
        <v>35</v>
      </c>
      <c r="C21" s="12" t="s">
        <v>26</v>
      </c>
      <c r="D21" s="12" t="s">
        <v>13</v>
      </c>
      <c r="E21" s="13">
        <v>0</v>
      </c>
      <c r="F21" s="13">
        <v>15</v>
      </c>
      <c r="G21" s="12" t="s">
        <v>24</v>
      </c>
      <c r="H21" s="23">
        <v>45407</v>
      </c>
      <c r="I21" s="12" t="s">
        <v>15</v>
      </c>
      <c r="J21" s="12" t="s">
        <v>16</v>
      </c>
      <c r="K21" s="16">
        <v>0.05</v>
      </c>
      <c r="L21" s="12">
        <f>Table1451314151617181920212223242532[[#This Row],[Quantity]]*Table1451314151617181920212223242532[[#This Row],[Price]]</f>
        <v>0</v>
      </c>
      <c r="M21" s="19" t="str">
        <f>IF(Table1451314151617181920212223242532[[#This Row],[Sales]]&gt;800,"High",IF(Table1451314151617181920212223242532[[#This Row],[Sales]]&gt;=500,"Medium","Low"))</f>
        <v>Low</v>
      </c>
      <c r="N21" s="19" t="str" cm="1">
        <f t="array" ref="N21">_xlfn.IFS(AND(Table1451314151617181920212223242532[Status]="Delivered",Table1451314151617181920212223242532[Sales]&gt;500),"Valid",TRUE,"Check")</f>
        <v>Check</v>
      </c>
      <c r="O21" s="19" t="str">
        <f>LEFT(Table1451314151617181920212223242532[[#This Row],[Customer Info]],FIND("|",Table1451314151617181920212223242532[[#This Row],[Customer Info]])-2)</f>
        <v>Sara</v>
      </c>
      <c r="P21" s="20" t="str">
        <f>RIGHT(Table1451314151617181920212223242532[[#This Row],[Customer Info]],LEN(Table1451314151617181920212223242532[[#This Row],[Customer Info]])-FIND("|",Table1451314151617181920212223242532[[#This Row],[Customer Info]])-1)</f>
        <v>9876501234</v>
      </c>
      <c r="Q21" s="20" t="str">
        <f>TRIM(Table1451314151617181920212223242532[[#This Row],[Customer Info]])</f>
        <v>Sara | 9876501234</v>
      </c>
      <c r="R21" s="20" t="str">
        <f>UPPER(Table1451314151617181920212223242532[[#This Row],[Region]])</f>
        <v>UK</v>
      </c>
      <c r="S21" s="20">
        <f>VALUE(SUBSTITUTE(Table1451314151617181920212223242532[[#This Row],[Quantity]],"pcs",""))</f>
        <v>0</v>
      </c>
      <c r="T21" s="20">
        <f>YEAR(Table1451314151617181920212223242532[[#This Row],[Order Date]])</f>
        <v>2024</v>
      </c>
      <c r="U21" s="20">
        <f>MONTH(Table1451314151617181920212223242532[[#This Row],[Order Date]])</f>
        <v>4</v>
      </c>
      <c r="V21" s="20" t="str">
        <f>TEXT(Table1451314151617181920212223242532[[#This Row],[Order Date]],"mmm")</f>
        <v>Apr</v>
      </c>
      <c r="W21" s="20">
        <f ca="1">IF(Table1451314151617181920212223242532[[#This Row],[Order Date]]="","",TODAY()-Table1451314151617181920212223242532[[#This Row],[Order Date]])</f>
        <v>728</v>
      </c>
      <c r="X21" s="20" t="str">
        <f ca="1">IF(TODAY()-Table1451314151617181920212223242532[[#This Row],[Order Date]]&gt;30,"Old","Recent")</f>
        <v>Old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9DC7-0A0D-434E-8FCD-892AE463C03F}">
  <dimension ref="A1:BV21"/>
  <sheetViews>
    <sheetView tabSelected="1" topLeftCell="AV1" zoomScale="69" workbookViewId="0">
      <selection activeCell="BP24" sqref="BP24"/>
    </sheetView>
  </sheetViews>
  <sheetFormatPr defaultRowHeight="14.4" x14ac:dyDescent="0.3"/>
  <cols>
    <col min="1" max="1" width="10.33203125" customWidth="1"/>
    <col min="2" max="2" width="27" customWidth="1"/>
    <col min="3" max="3" width="9.88671875" customWidth="1"/>
    <col min="4" max="4" width="12.33203125" customWidth="1"/>
    <col min="5" max="5" width="10.33203125" customWidth="1"/>
    <col min="7" max="7" width="9" customWidth="1"/>
    <col min="8" max="8" width="12.5546875" customWidth="1"/>
    <col min="9" max="9" width="10" customWidth="1"/>
    <col min="10" max="10" width="11.6640625" customWidth="1"/>
    <col min="11" max="11" width="10.6640625" customWidth="1"/>
    <col min="13" max="13" width="37.33203125" customWidth="1"/>
    <col min="14" max="14" width="20.44140625" customWidth="1"/>
    <col min="15" max="15" width="18.77734375" customWidth="1"/>
    <col min="16" max="16" width="22.109375" customWidth="1"/>
    <col min="17" max="17" width="30.109375" customWidth="1"/>
    <col min="18" max="18" width="25.21875" customWidth="1"/>
    <col min="19" max="19" width="15.6640625" customWidth="1"/>
    <col min="23" max="23" width="15.5546875" customWidth="1"/>
    <col min="24" max="24" width="16.33203125" customWidth="1"/>
    <col min="29" max="29" width="23.33203125" customWidth="1"/>
    <col min="54" max="54" width="14.5546875" customWidth="1"/>
    <col min="74" max="74" width="16.44140625" customWidth="1"/>
  </cols>
  <sheetData>
    <row r="1" spans="1:74" ht="28.2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50</v>
      </c>
      <c r="M1" s="9" t="s">
        <v>61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</row>
    <row r="2" spans="1:74" ht="29.4" customHeight="1" thickBot="1" x14ac:dyDescent="0.5">
      <c r="A2" s="5">
        <v>1001</v>
      </c>
      <c r="B2" s="1" t="s">
        <v>11</v>
      </c>
      <c r="C2" s="1" t="s">
        <v>12</v>
      </c>
      <c r="D2" s="1" t="s">
        <v>13</v>
      </c>
      <c r="E2" s="2">
        <v>10</v>
      </c>
      <c r="F2" s="2">
        <v>20</v>
      </c>
      <c r="G2" s="1" t="s">
        <v>14</v>
      </c>
      <c r="H2" s="3">
        <v>45394</v>
      </c>
      <c r="I2" s="1" t="s">
        <v>15</v>
      </c>
      <c r="J2" s="1" t="s">
        <v>16</v>
      </c>
      <c r="K2" s="7">
        <v>0.05</v>
      </c>
      <c r="L2" s="9">
        <f>Table1451314151617181920212223242533[[#This Row],[Quantity]]*Table1451314151617181920212223242533[[#This Row],[Price]]</f>
        <v>200</v>
      </c>
      <c r="M2" s="19" t="str">
        <f>IF(Table1451314151617181920212223242533[[#This Row],[Sales]]&gt;800,"High",IF(Table1451314151617181920212223242533[[#This Row],[Sales]]&gt;=500,"Medium","Low"))</f>
        <v>Low</v>
      </c>
      <c r="N2" s="19" t="str" cm="1">
        <f t="array" ref="N2">_xlfn.IFS(AND(Table1451314151617181920212223242533[Status]="Delivered",Table1451314151617181920212223242533[Sales]&gt;500),"Valid",TRUE,"Check")</f>
        <v>Check</v>
      </c>
      <c r="O2" s="19" t="str">
        <f>LEFT(Table1451314151617181920212223242533[[#This Row],[Customer Info]],FIND("|",Table1451314151617181920212223242533[[#This Row],[Customer Info]])-2)</f>
        <v>Arjun</v>
      </c>
      <c r="P2" s="20" t="str">
        <f>RIGHT(Table1451314151617181920212223242533[[#This Row],[Customer Info]],LEN(Table1451314151617181920212223242533[[#This Row],[Customer Info]])-FIND("|",Table1451314151617181920212223242533[[#This Row],[Customer Info]])-1)</f>
        <v>9876543210</v>
      </c>
      <c r="Q2" s="20" t="str">
        <f>TRIM(Table1451314151617181920212223242533[[#This Row],[Customer Info]])</f>
        <v>Arjun | 9876543210</v>
      </c>
      <c r="R2" s="20" t="str">
        <f>UPPER(Table1451314151617181920212223242533[[#This Row],[Region]])</f>
        <v>INDIA</v>
      </c>
      <c r="S2" s="20">
        <f>VALUE(SUBSTITUTE(Table1451314151617181920212223242533[[#This Row],[Quantity]],"pcs",""))</f>
        <v>10</v>
      </c>
      <c r="T2" s="20">
        <f>YEAR(Table1451314151617181920212223242533[[#This Row],[Order Date]])</f>
        <v>2024</v>
      </c>
      <c r="U2" s="20">
        <f>MONTH(Table1451314151617181920212223242533[[#This Row],[Order Date]])</f>
        <v>4</v>
      </c>
      <c r="V2" s="20" t="str">
        <f>TEXT(Table1451314151617181920212223242533[[#This Row],[Order Date]],"mmm")</f>
        <v>Apr</v>
      </c>
      <c r="W2" s="20">
        <f ca="1">IF(Table1451314151617181920212223242533[[#This Row],[Order Date]]="","",TODAY()-Table1451314151617181920212223242533[[#This Row],[Order Date]])</f>
        <v>741</v>
      </c>
      <c r="X2" s="20" t="str">
        <f ca="1">IF(TODAY()-Table1451314151617181920212223242533[[#This Row],[Order Date]]&gt;30,"Old","Recent")</f>
        <v>Old</v>
      </c>
      <c r="AC2" s="15" t="s">
        <v>77</v>
      </c>
      <c r="AD2" s="15"/>
      <c r="BA2" s="15" t="s">
        <v>78</v>
      </c>
      <c r="BB2" s="15"/>
      <c r="BV2" s="15" t="s">
        <v>79</v>
      </c>
    </row>
    <row r="3" spans="1:74" ht="21.6" customHeight="1" thickBot="1" x14ac:dyDescent="0.35">
      <c r="A3" s="5">
        <v>1002</v>
      </c>
      <c r="B3" s="1" t="s">
        <v>17</v>
      </c>
      <c r="C3" s="1" t="s">
        <v>18</v>
      </c>
      <c r="D3" s="1" t="s">
        <v>13</v>
      </c>
      <c r="E3" s="2">
        <v>5</v>
      </c>
      <c r="F3" s="2">
        <v>50</v>
      </c>
      <c r="G3" s="1" t="s">
        <v>19</v>
      </c>
      <c r="H3" s="1"/>
      <c r="I3" s="1" t="s">
        <v>20</v>
      </c>
      <c r="J3" s="1" t="s">
        <v>21</v>
      </c>
      <c r="K3" s="7">
        <v>0.1</v>
      </c>
      <c r="L3" s="1">
        <f>Table1451314151617181920212223242533[[#This Row],[Quantity]]*Table1451314151617181920212223242533[[#This Row],[Price]]</f>
        <v>250</v>
      </c>
      <c r="M3" s="19" t="str">
        <f>IF(Table1451314151617181920212223242533[[#This Row],[Sales]]&gt;800,"High",IF(Table1451314151617181920212223242533[[#This Row],[Sales]]&gt;=500,"Medium","Low"))</f>
        <v>Low</v>
      </c>
      <c r="N3" s="19" t="str" cm="1">
        <f t="array" ref="N3">_xlfn.IFS(AND(Table1451314151617181920212223242533[Status]="Delivered",Table1451314151617181920212223242533[Sales]&gt;500),"Valid",TRUE,"Check")</f>
        <v>Check</v>
      </c>
      <c r="O3" s="19" t="str">
        <f>LEFT(Table1451314151617181920212223242533[[#This Row],[Customer Info]],FIND("|",Table1451314151617181920212223242533[[#This Row],[Customer Info]])-2)</f>
        <v>Neha</v>
      </c>
      <c r="P3" s="20" t="str">
        <f>RIGHT(Table1451314151617181920212223242533[[#This Row],[Customer Info]],LEN(Table1451314151617181920212223242533[[#This Row],[Customer Info]])-FIND("|",Table1451314151617181920212223242533[[#This Row],[Customer Info]])-1)</f>
        <v>9123456780</v>
      </c>
      <c r="Q3" s="20" t="str">
        <f>TRIM(Table1451314151617181920212223242533[[#This Row],[Customer Info]])</f>
        <v>Neha | 9123456780</v>
      </c>
      <c r="R3" s="20" t="str">
        <f>UPPER(Table1451314151617181920212223242533[[#This Row],[Region]])</f>
        <v>US</v>
      </c>
      <c r="S3" s="20">
        <f>VALUE(SUBSTITUTE(Table1451314151617181920212223242533[[#This Row],[Quantity]],"pcs",""))</f>
        <v>5</v>
      </c>
      <c r="T3" s="20"/>
      <c r="U3" s="20"/>
      <c r="V3" s="20"/>
      <c r="W3" s="20" t="str">
        <f ca="1">IF(Table1451314151617181920212223242533[[#This Row],[Order Date]]="","",TODAY()-Table1451314151617181920212223242533[[#This Row],[Order Date]])</f>
        <v/>
      </c>
      <c r="X3" s="20"/>
    </row>
    <row r="4" spans="1:74" ht="21" customHeight="1" thickBot="1" x14ac:dyDescent="0.35">
      <c r="A4" s="5">
        <v>1003</v>
      </c>
      <c r="B4" s="1" t="s">
        <v>22</v>
      </c>
      <c r="C4" s="1" t="s">
        <v>23</v>
      </c>
      <c r="D4" s="1" t="s">
        <v>13</v>
      </c>
      <c r="E4" s="2">
        <v>8</v>
      </c>
      <c r="F4" s="2">
        <v>10</v>
      </c>
      <c r="G4" s="1" t="s">
        <v>24</v>
      </c>
      <c r="H4" s="4">
        <v>45366</v>
      </c>
      <c r="I4" s="1" t="s">
        <v>15</v>
      </c>
      <c r="J4" s="1" t="s">
        <v>16</v>
      </c>
      <c r="K4" s="6"/>
      <c r="L4" s="1">
        <f>Table1451314151617181920212223242533[[#This Row],[Quantity]]*Table1451314151617181920212223242533[[#This Row],[Price]]</f>
        <v>80</v>
      </c>
      <c r="M4" s="19" t="str">
        <f>IF(Table1451314151617181920212223242533[[#This Row],[Sales]]&gt;800,"High",IF(Table1451314151617181920212223242533[[#This Row],[Sales]]&gt;=500,"Medium","Low"))</f>
        <v>Low</v>
      </c>
      <c r="N4" s="19" t="str" cm="1">
        <f t="array" ref="N4">_xlfn.IFS(AND(Table1451314151617181920212223242533[Status]="Delivered",Table1451314151617181920212223242533[Sales]&gt;500),"Valid",TRUE,"Check")</f>
        <v>Check</v>
      </c>
      <c r="O4" s="19" t="str">
        <f>LEFT(Table1451314151617181920212223242533[[#This Row],[Customer Info]],FIND("|",Table1451314151617181920212223242533[[#This Row],[Customer Info]])-2)</f>
        <v>Rohit</v>
      </c>
      <c r="P4" s="20" t="str">
        <f>RIGHT(Table1451314151617181920212223242533[[#This Row],[Customer Info]],LEN(Table1451314151617181920212223242533[[#This Row],[Customer Info]])-FIND("|",Table1451314151617181920212223242533[[#This Row],[Customer Info]])-1)</f>
        <v>9988776655</v>
      </c>
      <c r="Q4" s="20" t="str">
        <f>TRIM(Table1451314151617181920212223242533[[#This Row],[Customer Info]])</f>
        <v>Rohit | 9988776655</v>
      </c>
      <c r="R4" s="20" t="str">
        <f>UPPER(Table1451314151617181920212223242533[[#This Row],[Region]])</f>
        <v>UK</v>
      </c>
      <c r="S4" s="20">
        <f>VALUE(SUBSTITUTE(Table1451314151617181920212223242533[[#This Row],[Quantity]],"pcs",""))</f>
        <v>8</v>
      </c>
      <c r="T4" s="20">
        <f>YEAR(Table1451314151617181920212223242533[[#This Row],[Order Date]])</f>
        <v>2024</v>
      </c>
      <c r="U4" s="20">
        <f>MONTH(Table1451314151617181920212223242533[[#This Row],[Order Date]])</f>
        <v>3</v>
      </c>
      <c r="V4" s="20" t="str">
        <f>TEXT(Table1451314151617181920212223242533[[#This Row],[Order Date]],"mmm")</f>
        <v>Mar</v>
      </c>
      <c r="W4" s="20">
        <f ca="1">IF(Table1451314151617181920212223242533[[#This Row],[Order Date]]="","",TODAY()-Table1451314151617181920212223242533[[#This Row],[Order Date]])</f>
        <v>769</v>
      </c>
      <c r="X4" s="20" t="str">
        <f ca="1">IF(TODAY()-Table1451314151617181920212223242533[[#This Row],[Order Date]]&gt;30,"Old","Recent")</f>
        <v>Old</v>
      </c>
    </row>
    <row r="5" spans="1:74" ht="22.8" customHeight="1" thickBot="1" x14ac:dyDescent="0.35">
      <c r="A5" s="5">
        <v>1004</v>
      </c>
      <c r="B5" s="1" t="s">
        <v>25</v>
      </c>
      <c r="C5" s="1" t="s">
        <v>26</v>
      </c>
      <c r="D5" s="1" t="s">
        <v>13</v>
      </c>
      <c r="E5" s="2">
        <v>3</v>
      </c>
      <c r="F5" s="2">
        <v>15</v>
      </c>
      <c r="G5" s="1" t="s">
        <v>27</v>
      </c>
      <c r="H5" s="3">
        <v>45332</v>
      </c>
      <c r="I5" s="1" t="s">
        <v>28</v>
      </c>
      <c r="J5" s="1" t="s">
        <v>16</v>
      </c>
      <c r="K5" s="7">
        <v>0.05</v>
      </c>
      <c r="L5" s="1">
        <f>Table1451314151617181920212223242533[[#This Row],[Quantity]]*Table1451314151617181920212223242533[[#This Row],[Price]]</f>
        <v>45</v>
      </c>
      <c r="M5" s="19" t="str">
        <f>IF(Table1451314151617181920212223242533[[#This Row],[Sales]]&gt;800,"High",IF(Table1451314151617181920212223242533[[#This Row],[Sales]]&gt;=500,"Medium","Low"))</f>
        <v>Low</v>
      </c>
      <c r="N5" s="19" t="str" cm="1">
        <f t="array" ref="N5">_xlfn.IFS(AND(Table1451314151617181920212223242533[Status]="Delivered",Table1451314151617181920212223242533[Sales]&gt;500),"Valid",TRUE,"Check")</f>
        <v>Check</v>
      </c>
      <c r="O5" s="19" t="str">
        <f>LEFT(Table1451314151617181920212223242533[[#This Row],[Customer Info]],FIND("|",Table1451314151617181920212223242533[[#This Row],[Customer Info]])-2)</f>
        <v>Simran</v>
      </c>
      <c r="P5" s="20" t="str">
        <f>RIGHT(Table1451314151617181920212223242533[[#This Row],[Customer Info]],LEN(Table1451314151617181920212223242533[[#This Row],[Customer Info]])-FIND("|",Table1451314151617181920212223242533[[#This Row],[Customer Info]])-1)</f>
        <v>9012345678</v>
      </c>
      <c r="Q5" s="20" t="str">
        <f>TRIM(Table1451314151617181920212223242533[[#This Row],[Customer Info]])</f>
        <v>Simran | 9012345678</v>
      </c>
      <c r="R5" s="20" t="str">
        <f>UPPER(Table1451314151617181920212223242533[[#This Row],[Region]])</f>
        <v>UAE</v>
      </c>
      <c r="S5" s="20">
        <f>VALUE(SUBSTITUTE(Table1451314151617181920212223242533[[#This Row],[Quantity]],"pcs",""))</f>
        <v>3</v>
      </c>
      <c r="T5" s="20">
        <f>YEAR(Table1451314151617181920212223242533[[#This Row],[Order Date]])</f>
        <v>2024</v>
      </c>
      <c r="U5" s="20">
        <f>MONTH(Table1451314151617181920212223242533[[#This Row],[Order Date]])</f>
        <v>2</v>
      </c>
      <c r="V5" s="20" t="str">
        <f>TEXT(Table1451314151617181920212223242533[[#This Row],[Order Date]],"mmm")</f>
        <v>Feb</v>
      </c>
      <c r="W5" s="20">
        <f ca="1">IF(Table1451314151617181920212223242533[[#This Row],[Order Date]]="","",TODAY()-Table1451314151617181920212223242533[[#This Row],[Order Date]])</f>
        <v>803</v>
      </c>
      <c r="X5" s="20" t="str">
        <f ca="1">IF(TODAY()-Table1451314151617181920212223242533[[#This Row],[Order Date]]&gt;30,"Old","Recent")</f>
        <v>Old</v>
      </c>
    </row>
    <row r="6" spans="1:74" ht="18.600000000000001" customHeight="1" thickBot="1" x14ac:dyDescent="0.35">
      <c r="A6" s="5">
        <v>1005</v>
      </c>
      <c r="B6" s="1" t="s">
        <v>29</v>
      </c>
      <c r="C6" s="1" t="s">
        <v>12</v>
      </c>
      <c r="D6" s="1" t="s">
        <v>13</v>
      </c>
      <c r="E6" s="2">
        <v>6</v>
      </c>
      <c r="F6" s="2">
        <v>20</v>
      </c>
      <c r="G6" s="1" t="s">
        <v>30</v>
      </c>
      <c r="H6" s="3">
        <v>45423</v>
      </c>
      <c r="I6" s="1" t="s">
        <v>15</v>
      </c>
      <c r="J6" s="1"/>
      <c r="K6" s="7">
        <v>0</v>
      </c>
      <c r="L6" s="1">
        <f>Table1451314151617181920212223242533[[#This Row],[Quantity]]*Table1451314151617181920212223242533[[#This Row],[Price]]</f>
        <v>120</v>
      </c>
      <c r="M6" s="19" t="str">
        <f>IF(Table1451314151617181920212223242533[[#This Row],[Sales]]&gt;800,"High",IF(Table1451314151617181920212223242533[[#This Row],[Sales]]&gt;=500,"Medium","Low"))</f>
        <v>Low</v>
      </c>
      <c r="N6" s="19" t="str" cm="1">
        <f t="array" ref="N6">_xlfn.IFS(AND(Table1451314151617181920212223242533[Status]="Delivered",Table1451314151617181920212223242533[Sales]&gt;500),"Valid",TRUE,"Check")</f>
        <v>Check</v>
      </c>
      <c r="O6" s="19" t="str">
        <f>LEFT(Table1451314151617181920212223242533[[#This Row],[Customer Info]],FIND("|",Table1451314151617181920212223242533[[#This Row],[Customer Info]])-2)</f>
        <v>Karan</v>
      </c>
      <c r="P6" s="20" t="str">
        <f>RIGHT(Table1451314151617181920212223242533[[#This Row],[Customer Info]],LEN(Table1451314151617181920212223242533[[#This Row],[Customer Info]])-FIND("|",Table1451314151617181920212223242533[[#This Row],[Customer Info]])-1)</f>
        <v>9090909090</v>
      </c>
      <c r="Q6" s="20" t="str">
        <f>TRIM(Table1451314151617181920212223242533[[#This Row],[Customer Info]])</f>
        <v>Karan | 9090909090</v>
      </c>
      <c r="R6" s="20" t="str">
        <f>UPPER(Table1451314151617181920212223242533[[#This Row],[Region]])</f>
        <v>INDIA</v>
      </c>
      <c r="S6" s="20">
        <f>VALUE(SUBSTITUTE(Table1451314151617181920212223242533[[#This Row],[Quantity]],"pcs",""))</f>
        <v>6</v>
      </c>
      <c r="T6" s="20">
        <f>YEAR(Table1451314151617181920212223242533[[#This Row],[Order Date]])</f>
        <v>2024</v>
      </c>
      <c r="U6" s="20">
        <f>MONTH(Table1451314151617181920212223242533[[#This Row],[Order Date]])</f>
        <v>5</v>
      </c>
      <c r="V6" s="20" t="str">
        <f>TEXT(Table1451314151617181920212223242533[[#This Row],[Order Date]],"mmm")</f>
        <v>May</v>
      </c>
      <c r="W6" s="20">
        <f ca="1">IF(Table1451314151617181920212223242533[[#This Row],[Order Date]]="","",TODAY()-Table1451314151617181920212223242533[[#This Row],[Order Date]])</f>
        <v>712</v>
      </c>
      <c r="X6" s="20" t="str">
        <f ca="1">IF(TODAY()-Table1451314151617181920212223242533[[#This Row],[Order Date]]&gt;30,"Old","Recent")</f>
        <v>Old</v>
      </c>
    </row>
    <row r="7" spans="1:74" ht="23.4" customHeight="1" thickBot="1" x14ac:dyDescent="0.35">
      <c r="A7" s="5">
        <v>1006</v>
      </c>
      <c r="B7" s="1" t="s">
        <v>31</v>
      </c>
      <c r="C7" s="1" t="s">
        <v>18</v>
      </c>
      <c r="D7" s="1" t="s">
        <v>13</v>
      </c>
      <c r="E7" s="2">
        <v>3</v>
      </c>
      <c r="F7" s="2">
        <v>50</v>
      </c>
      <c r="G7" s="1" t="s">
        <v>32</v>
      </c>
      <c r="H7" s="3">
        <v>45450</v>
      </c>
      <c r="I7" s="1" t="s">
        <v>28</v>
      </c>
      <c r="J7" s="1" t="s">
        <v>16</v>
      </c>
      <c r="K7" s="7">
        <v>0.1</v>
      </c>
      <c r="L7" s="1">
        <f>Table1451314151617181920212223242533[[#This Row],[Quantity]]*Table1451314151617181920212223242533[[#This Row],[Price]]</f>
        <v>150</v>
      </c>
      <c r="M7" s="19" t="str">
        <f>IF(Table1451314151617181920212223242533[[#This Row],[Sales]]&gt;800,"High",IF(Table1451314151617181920212223242533[[#This Row],[Sales]]&gt;=500,"Medium","Low"))</f>
        <v>Low</v>
      </c>
      <c r="N7" s="19" t="str" cm="1">
        <f t="array" ref="N7">_xlfn.IFS(AND(Table1451314151617181920212223242533[Status]="Delivered",Table1451314151617181920212223242533[Sales]&gt;500),"Valid",TRUE,"Check")</f>
        <v>Check</v>
      </c>
      <c r="O7" s="19" t="str">
        <f>LEFT(Table1451314151617181920212223242533[[#This Row],[Customer Info]],FIND("|",Table1451314151617181920212223242533[[#This Row],[Customer Info]])-2)</f>
        <v>Riya</v>
      </c>
      <c r="P7" s="20" t="str">
        <f>RIGHT(Table1451314151617181920212223242533[[#This Row],[Customer Info]],LEN(Table1451314151617181920212223242533[[#This Row],[Customer Info]])-FIND("|",Table1451314151617181920212223242533[[#This Row],[Customer Info]])-1)</f>
        <v>9345678901</v>
      </c>
      <c r="Q7" s="20" t="str">
        <f>TRIM(Table1451314151617181920212223242533[[#This Row],[Customer Info]])</f>
        <v>Riya | 9345678901</v>
      </c>
      <c r="R7" s="20" t="str">
        <f>UPPER(Table1451314151617181920212223242533[[#This Row],[Region]])</f>
        <v>US</v>
      </c>
      <c r="S7" s="20">
        <f>VALUE(SUBSTITUTE(Table1451314151617181920212223242533[[#This Row],[Quantity]],"pcs",""))</f>
        <v>3</v>
      </c>
      <c r="T7" s="20">
        <f>YEAR(Table1451314151617181920212223242533[[#This Row],[Order Date]])</f>
        <v>2024</v>
      </c>
      <c r="U7" s="20">
        <f>MONTH(Table1451314151617181920212223242533[[#This Row],[Order Date]])</f>
        <v>6</v>
      </c>
      <c r="V7" s="20" t="str">
        <f>TEXT(Table1451314151617181920212223242533[[#This Row],[Order Date]],"mmm")</f>
        <v>Jun</v>
      </c>
      <c r="W7" s="20">
        <f ca="1">IF(Table1451314151617181920212223242533[[#This Row],[Order Date]]="","",TODAY()-Table1451314151617181920212223242533[[#This Row],[Order Date]])</f>
        <v>685</v>
      </c>
      <c r="X7" s="20" t="str">
        <f ca="1">IF(TODAY()-Table1451314151617181920212223242533[[#This Row],[Order Date]]&gt;30,"Old","Recent")</f>
        <v>Old</v>
      </c>
    </row>
    <row r="8" spans="1:74" ht="23.4" customHeight="1" thickBot="1" x14ac:dyDescent="0.35">
      <c r="A8" s="5">
        <v>1007</v>
      </c>
      <c r="B8" s="1" t="s">
        <v>33</v>
      </c>
      <c r="C8" s="1" t="s">
        <v>23</v>
      </c>
      <c r="D8" s="1" t="s">
        <v>13</v>
      </c>
      <c r="E8" s="2">
        <v>2</v>
      </c>
      <c r="F8" s="2">
        <v>10</v>
      </c>
      <c r="G8" s="1" t="s">
        <v>30</v>
      </c>
      <c r="H8" s="1"/>
      <c r="I8" s="1" t="s">
        <v>20</v>
      </c>
      <c r="J8" s="1" t="s">
        <v>34</v>
      </c>
      <c r="K8" s="7">
        <v>0</v>
      </c>
      <c r="L8" s="1">
        <f>Table1451314151617181920212223242533[[#This Row],[Quantity]]*Table1451314151617181920212223242533[[#This Row],[Price]]</f>
        <v>20</v>
      </c>
      <c r="M8" s="19" t="str">
        <f>IF(Table1451314151617181920212223242533[[#This Row],[Sales]]&gt;800,"High",IF(Table1451314151617181920212223242533[[#This Row],[Sales]]&gt;=500,"Medium","Low"))</f>
        <v>Low</v>
      </c>
      <c r="N8" s="19" t="str" cm="1">
        <f t="array" ref="N8">_xlfn.IFS(AND(Table1451314151617181920212223242533[Status]="Delivered",Table1451314151617181920212223242533[Sales]&gt;500),"Valid",TRUE,"Check")</f>
        <v>Check</v>
      </c>
      <c r="O8" s="19" t="str">
        <f>LEFT(Table1451314151617181920212223242533[[#This Row],[Customer Info]],FIND("|",Table1451314151617181920212223242533[[#This Row],[Customer Info]])-2)</f>
        <v>Amit</v>
      </c>
      <c r="P8" s="20" t="str">
        <f>RIGHT(Table1451314151617181920212223242533[[#This Row],[Customer Info]],LEN(Table1451314151617181920212223242533[[#This Row],[Customer Info]])-FIND("|",Table1451314151617181920212223242533[[#This Row],[Customer Info]])-1)</f>
        <v>9234567890</v>
      </c>
      <c r="Q8" s="20" t="str">
        <f>TRIM(Table1451314151617181920212223242533[[#This Row],[Customer Info]])</f>
        <v>Amit | 9234567890</v>
      </c>
      <c r="R8" s="20" t="str">
        <f>UPPER(Table1451314151617181920212223242533[[#This Row],[Region]])</f>
        <v>INDIA</v>
      </c>
      <c r="S8" s="20">
        <f>VALUE(SUBSTITUTE(Table1451314151617181920212223242533[[#This Row],[Quantity]],"pcs",""))</f>
        <v>2</v>
      </c>
      <c r="T8" s="20"/>
      <c r="U8" s="20"/>
      <c r="V8" s="20"/>
      <c r="W8" s="20" t="str">
        <f ca="1">IF(Table1451314151617181920212223242533[[#This Row],[Order Date]]="","",TODAY()-Table1451314151617181920212223242533[[#This Row],[Order Date]])</f>
        <v/>
      </c>
      <c r="X8" s="20"/>
    </row>
    <row r="9" spans="1:74" ht="23.4" customHeight="1" thickBot="1" x14ac:dyDescent="0.35">
      <c r="A9" s="5">
        <v>1008</v>
      </c>
      <c r="B9" s="1" t="s">
        <v>35</v>
      </c>
      <c r="C9" s="1" t="s">
        <v>26</v>
      </c>
      <c r="D9" s="1" t="s">
        <v>13</v>
      </c>
      <c r="E9" s="2">
        <v>0</v>
      </c>
      <c r="F9" s="2">
        <v>15</v>
      </c>
      <c r="G9" s="1" t="s">
        <v>24</v>
      </c>
      <c r="H9" s="4">
        <v>45407</v>
      </c>
      <c r="I9" s="1" t="s">
        <v>15</v>
      </c>
      <c r="J9" s="1" t="s">
        <v>16</v>
      </c>
      <c r="K9" s="7">
        <v>0.05</v>
      </c>
      <c r="L9" s="1">
        <f>Table1451314151617181920212223242533[[#This Row],[Quantity]]*Table1451314151617181920212223242533[[#This Row],[Price]]</f>
        <v>0</v>
      </c>
      <c r="M9" s="19" t="str">
        <f>IF(Table1451314151617181920212223242533[[#This Row],[Sales]]&gt;800,"High",IF(Table1451314151617181920212223242533[[#This Row],[Sales]]&gt;=500,"Medium","Low"))</f>
        <v>Low</v>
      </c>
      <c r="N9" s="19" t="str" cm="1">
        <f t="array" ref="N9">_xlfn.IFS(AND(Table1451314151617181920212223242533[Status]="Delivered",Table1451314151617181920212223242533[Sales]&gt;500),"Valid",TRUE,"Check")</f>
        <v>Check</v>
      </c>
      <c r="O9" s="19" t="str">
        <f>LEFT(Table1451314151617181920212223242533[[#This Row],[Customer Info]],FIND("|",Table1451314151617181920212223242533[[#This Row],[Customer Info]])-2)</f>
        <v>Sara</v>
      </c>
      <c r="P9" s="20" t="str">
        <f>RIGHT(Table1451314151617181920212223242533[[#This Row],[Customer Info]],LEN(Table1451314151617181920212223242533[[#This Row],[Customer Info]])-FIND("|",Table1451314151617181920212223242533[[#This Row],[Customer Info]])-1)</f>
        <v>9876501234</v>
      </c>
      <c r="Q9" s="20" t="str">
        <f>TRIM(Table1451314151617181920212223242533[[#This Row],[Customer Info]])</f>
        <v>Sara | 9876501234</v>
      </c>
      <c r="R9" s="20" t="str">
        <f>UPPER(Table1451314151617181920212223242533[[#This Row],[Region]])</f>
        <v>UK</v>
      </c>
      <c r="S9" s="20">
        <f>VALUE(SUBSTITUTE(Table1451314151617181920212223242533[[#This Row],[Quantity]],"pcs",""))</f>
        <v>0</v>
      </c>
      <c r="T9" s="20">
        <f>YEAR(Table1451314151617181920212223242533[[#This Row],[Order Date]])</f>
        <v>2024</v>
      </c>
      <c r="U9" s="20">
        <f>MONTH(Table1451314151617181920212223242533[[#This Row],[Order Date]])</f>
        <v>4</v>
      </c>
      <c r="V9" s="20" t="str">
        <f>TEXT(Table1451314151617181920212223242533[[#This Row],[Order Date]],"mmm")</f>
        <v>Apr</v>
      </c>
      <c r="W9" s="20">
        <f ca="1">IF(Table1451314151617181920212223242533[[#This Row],[Order Date]]="","",TODAY()-Table1451314151617181920212223242533[[#This Row],[Order Date]])</f>
        <v>728</v>
      </c>
      <c r="X9" s="20" t="str">
        <f ca="1">IF(TODAY()-Table1451314151617181920212223242533[[#This Row],[Order Date]]&gt;30,"Old","Recent")</f>
        <v>Old</v>
      </c>
    </row>
    <row r="10" spans="1:74" ht="16.2" customHeight="1" thickBot="1" x14ac:dyDescent="0.35">
      <c r="A10" s="5">
        <v>1009</v>
      </c>
      <c r="B10" s="1" t="s">
        <v>36</v>
      </c>
      <c r="C10" s="1" t="s">
        <v>12</v>
      </c>
      <c r="D10" s="1" t="s">
        <v>13</v>
      </c>
      <c r="E10" s="2">
        <v>8</v>
      </c>
      <c r="F10" s="2">
        <v>20</v>
      </c>
      <c r="G10" s="1" t="s">
        <v>37</v>
      </c>
      <c r="H10" s="4">
        <v>45364</v>
      </c>
      <c r="I10" s="1" t="s">
        <v>28</v>
      </c>
      <c r="J10" s="1" t="s">
        <v>16</v>
      </c>
      <c r="K10" s="7">
        <v>0.05</v>
      </c>
      <c r="L10" s="1">
        <f>Table1451314151617181920212223242533[[#This Row],[Quantity]]*Table1451314151617181920212223242533[[#This Row],[Price]]</f>
        <v>160</v>
      </c>
      <c r="M10" s="19" t="str">
        <f>IF(Table1451314151617181920212223242533[[#This Row],[Sales]]&gt;800,"High",IF(Table1451314151617181920212223242533[[#This Row],[Sales]]&gt;=500,"Medium","Low"))</f>
        <v>Low</v>
      </c>
      <c r="N10" s="19" t="str" cm="1">
        <f t="array" ref="N10">_xlfn.IFS(AND(Table1451314151617181920212223242533[Status]="Delivered",Table1451314151617181920212223242533[Sales]&gt;500),"Valid",TRUE,"Check")</f>
        <v>Check</v>
      </c>
      <c r="O10" s="19" t="str">
        <f>LEFT(Table1451314151617181920212223242533[[#This Row],[Customer Info]],FIND("|",Table1451314151617181920212223242533[[#This Row],[Customer Info]])-2)</f>
        <v>John</v>
      </c>
      <c r="P10" s="20" t="str">
        <f>RIGHT(Table1451314151617181920212223242533[[#This Row],[Customer Info]],LEN(Table1451314151617181920212223242533[[#This Row],[Customer Info]])-FIND("|",Table1451314151617181920212223242533[[#This Row],[Customer Info]])-1)</f>
        <v>9988001122</v>
      </c>
      <c r="Q10" s="20" t="str">
        <f>TRIM(Table1451314151617181920212223242533[[#This Row],[Customer Info]])</f>
        <v>John | 9988001122</v>
      </c>
      <c r="R10" s="20" t="str">
        <f>UPPER(Table1451314151617181920212223242533[[#This Row],[Region]])</f>
        <v>UK</v>
      </c>
      <c r="S10" s="20">
        <f>VALUE(SUBSTITUTE(Table1451314151617181920212223242533[[#This Row],[Quantity]],"pcs",""))</f>
        <v>8</v>
      </c>
      <c r="T10" s="20">
        <f>YEAR(Table1451314151617181920212223242533[[#This Row],[Order Date]])</f>
        <v>2024</v>
      </c>
      <c r="U10" s="20">
        <f>MONTH(Table1451314151617181920212223242533[[#This Row],[Order Date]])</f>
        <v>3</v>
      </c>
      <c r="V10" s="20" t="str">
        <f>TEXT(Table1451314151617181920212223242533[[#This Row],[Order Date]],"mmm")</f>
        <v>Mar</v>
      </c>
      <c r="W10" s="20">
        <f ca="1">IF(Table1451314151617181920212223242533[[#This Row],[Order Date]]="","",TODAY()-Table1451314151617181920212223242533[[#This Row],[Order Date]])</f>
        <v>771</v>
      </c>
      <c r="X10" s="20" t="str">
        <f ca="1">IF(TODAY()-Table1451314151617181920212223242533[[#This Row],[Order Date]]&gt;30,"Old","Recent")</f>
        <v>Old</v>
      </c>
    </row>
    <row r="11" spans="1:74" ht="25.2" customHeight="1" thickBot="1" x14ac:dyDescent="0.35">
      <c r="A11" s="5">
        <v>1010</v>
      </c>
      <c r="B11" s="1" t="s">
        <v>38</v>
      </c>
      <c r="C11" s="1" t="s">
        <v>18</v>
      </c>
      <c r="D11" s="1" t="s">
        <v>13</v>
      </c>
      <c r="E11" s="2">
        <v>6</v>
      </c>
      <c r="F11" s="2">
        <v>50</v>
      </c>
      <c r="G11" s="1" t="s">
        <v>30</v>
      </c>
      <c r="H11" s="4">
        <v>45404</v>
      </c>
      <c r="I11" s="1" t="s">
        <v>20</v>
      </c>
      <c r="J11" s="1" t="s">
        <v>39</v>
      </c>
      <c r="K11" s="7">
        <v>0.1</v>
      </c>
      <c r="L11" s="1">
        <f>Table1451314151617181920212223242533[[#This Row],[Quantity]]*Table1451314151617181920212223242533[[#This Row],[Price]]</f>
        <v>300</v>
      </c>
      <c r="M11" s="19" t="str">
        <f>IF(Table1451314151617181920212223242533[[#This Row],[Sales]]&gt;800,"High",IF(Table1451314151617181920212223242533[[#This Row],[Sales]]&gt;=500,"Medium","Low"))</f>
        <v>Low</v>
      </c>
      <c r="N11" s="19" t="str" cm="1">
        <f t="array" ref="N11">_xlfn.IFS(AND(Table1451314151617181920212223242533[Status]="Delivered",Table1451314151617181920212223242533[Sales]&gt;500),"Valid",TRUE,"Check")</f>
        <v>Check</v>
      </c>
      <c r="O11" s="19" t="str">
        <f>LEFT(Table1451314151617181920212223242533[[#This Row],[Customer Info]],FIND("|",Table1451314151617181920212223242533[[#This Row],[Customer Info]])-2)</f>
        <v>Meena</v>
      </c>
      <c r="P11" s="20" t="str">
        <f>RIGHT(Table1451314151617181920212223242533[[#This Row],[Customer Info]],LEN(Table1451314151617181920212223242533[[#This Row],[Customer Info]])-FIND("|",Table1451314151617181920212223242533[[#This Row],[Customer Info]])-1)</f>
        <v>9765432109</v>
      </c>
      <c r="Q11" s="20" t="str">
        <f>TRIM(Table1451314151617181920212223242533[[#This Row],[Customer Info]])</f>
        <v>Meena | 9765432109</v>
      </c>
      <c r="R11" s="20" t="str">
        <f>UPPER(Table1451314151617181920212223242533[[#This Row],[Region]])</f>
        <v>INDIA</v>
      </c>
      <c r="S11" s="20">
        <f>VALUE(SUBSTITUTE(Table1451314151617181920212223242533[[#This Row],[Quantity]],"pcs",""))</f>
        <v>6</v>
      </c>
      <c r="T11" s="20">
        <f>YEAR(Table1451314151617181920212223242533[[#This Row],[Order Date]])</f>
        <v>2024</v>
      </c>
      <c r="U11" s="20">
        <f>MONTH(Table1451314151617181920212223242533[[#This Row],[Order Date]])</f>
        <v>4</v>
      </c>
      <c r="V11" s="20" t="str">
        <f>TEXT(Table1451314151617181920212223242533[[#This Row],[Order Date]],"mmm")</f>
        <v>Apr</v>
      </c>
      <c r="W11" s="20">
        <f ca="1">IF(Table1451314151617181920212223242533[[#This Row],[Order Date]]="","",TODAY()-Table1451314151617181920212223242533[[#This Row],[Order Date]])</f>
        <v>731</v>
      </c>
      <c r="X11" s="20" t="str">
        <f ca="1">IF(TODAY()-Table1451314151617181920212223242533[[#This Row],[Order Date]]&gt;30,"Old","Recent")</f>
        <v>Old</v>
      </c>
    </row>
    <row r="12" spans="1:74" ht="20.399999999999999" customHeight="1" thickBot="1" x14ac:dyDescent="0.35">
      <c r="A12" s="5">
        <v>1011</v>
      </c>
      <c r="B12" s="1" t="s">
        <v>40</v>
      </c>
      <c r="C12" s="1" t="s">
        <v>12</v>
      </c>
      <c r="D12" s="1" t="s">
        <v>13</v>
      </c>
      <c r="E12" s="2">
        <v>5</v>
      </c>
      <c r="F12" s="2">
        <v>20</v>
      </c>
      <c r="G12" s="1" t="s">
        <v>30</v>
      </c>
      <c r="H12" s="4">
        <v>45340</v>
      </c>
      <c r="I12" s="1" t="s">
        <v>15</v>
      </c>
      <c r="J12" s="1" t="s">
        <v>16</v>
      </c>
      <c r="K12" s="6"/>
      <c r="L12" s="1">
        <f>Table1451314151617181920212223242533[[#This Row],[Quantity]]*Table1451314151617181920212223242533[[#This Row],[Price]]</f>
        <v>100</v>
      </c>
      <c r="M12" s="19" t="str">
        <f>IF(Table1451314151617181920212223242533[[#This Row],[Sales]]&gt;800,"High",IF(Table1451314151617181920212223242533[[#This Row],[Sales]]&gt;=500,"Medium","Low"))</f>
        <v>Low</v>
      </c>
      <c r="N12" s="19" t="str" cm="1">
        <f t="array" ref="N12">_xlfn.IFS(AND(Table1451314151617181920212223242533[Status]="Delivered",Table1451314151617181920212223242533[Sales]&gt;500),"Valid",TRUE,"Check")</f>
        <v>Check</v>
      </c>
      <c r="O12" s="19" t="str">
        <f>LEFT(Table1451314151617181920212223242533[[#This Row],[Customer Info]],FIND("|",Table1451314151617181920212223242533[[#This Row],[Customer Info]])-2)</f>
        <v>Vikram</v>
      </c>
      <c r="P12" s="20" t="str">
        <f>RIGHT(Table1451314151617181920212223242533[[#This Row],[Customer Info]],LEN(Table1451314151617181920212223242533[[#This Row],[Customer Info]])-FIND("|",Table1451314151617181920212223242533[[#This Row],[Customer Info]])-1)</f>
        <v>9123001122</v>
      </c>
      <c r="Q12" s="20" t="str">
        <f>TRIM(Table1451314151617181920212223242533[[#This Row],[Customer Info]])</f>
        <v>Vikram | 9123001122</v>
      </c>
      <c r="R12" s="20" t="str">
        <f>UPPER(Table1451314151617181920212223242533[[#This Row],[Region]])</f>
        <v>INDIA</v>
      </c>
      <c r="S12" s="20">
        <f>VALUE(SUBSTITUTE(Table1451314151617181920212223242533[[#This Row],[Quantity]],"pcs",""))</f>
        <v>5</v>
      </c>
      <c r="T12" s="20">
        <f>YEAR(Table1451314151617181920212223242533[[#This Row],[Order Date]])</f>
        <v>2024</v>
      </c>
      <c r="U12" s="20">
        <f>MONTH(Table1451314151617181920212223242533[[#This Row],[Order Date]])</f>
        <v>2</v>
      </c>
      <c r="V12" s="20" t="str">
        <f>TEXT(Table1451314151617181920212223242533[[#This Row],[Order Date]],"mmm")</f>
        <v>Feb</v>
      </c>
      <c r="W12" s="20">
        <f ca="1">IF(Table1451314151617181920212223242533[[#This Row],[Order Date]]="","",TODAY()-Table1451314151617181920212223242533[[#This Row],[Order Date]])</f>
        <v>795</v>
      </c>
      <c r="X12" s="20" t="str">
        <f ca="1">IF(TODAY()-Table1451314151617181920212223242533[[#This Row],[Order Date]]&gt;30,"Old","Recent")</f>
        <v>Old</v>
      </c>
    </row>
    <row r="13" spans="1:74" ht="23.4" customHeight="1" thickBot="1" x14ac:dyDescent="0.35">
      <c r="A13" s="5">
        <v>1012</v>
      </c>
      <c r="B13" s="1" t="s">
        <v>41</v>
      </c>
      <c r="C13" s="1" t="s">
        <v>18</v>
      </c>
      <c r="D13" s="1" t="s">
        <v>13</v>
      </c>
      <c r="E13" s="2">
        <v>2</v>
      </c>
      <c r="F13" s="2">
        <v>50</v>
      </c>
      <c r="G13" s="1" t="s">
        <v>19</v>
      </c>
      <c r="H13" s="4">
        <v>45370</v>
      </c>
      <c r="I13" s="1" t="s">
        <v>28</v>
      </c>
      <c r="J13" s="1" t="s">
        <v>21</v>
      </c>
      <c r="K13" s="7">
        <v>0.1</v>
      </c>
      <c r="L13" s="1">
        <f>Table1451314151617181920212223242533[[#This Row],[Quantity]]*Table1451314151617181920212223242533[[#This Row],[Price]]</f>
        <v>100</v>
      </c>
      <c r="M13" s="19" t="str">
        <f>IF(Table1451314151617181920212223242533[[#This Row],[Sales]]&gt;800,"High",IF(Table1451314151617181920212223242533[[#This Row],[Sales]]&gt;=500,"Medium","Low"))</f>
        <v>Low</v>
      </c>
      <c r="N13" s="19" t="str" cm="1">
        <f t="array" ref="N13">_xlfn.IFS(AND(Table1451314151617181920212223242533[Status]="Delivered",Table1451314151617181920212223242533[Sales]&gt;500),"Valid",TRUE,"Check")</f>
        <v>Check</v>
      </c>
      <c r="O13" s="19" t="str">
        <f>LEFT(Table1451314151617181920212223242533[[#This Row],[Customer Info]],FIND("|",Table1451314151617181920212223242533[[#This Row],[Customer Info]])-2)</f>
        <v>Pooja</v>
      </c>
      <c r="P13" s="20" t="str">
        <f>RIGHT(Table1451314151617181920212223242533[[#This Row],[Customer Info]],LEN(Table1451314151617181920212223242533[[#This Row],[Customer Info]])-FIND("|",Table1451314151617181920212223242533[[#This Row],[Customer Info]])-1)</f>
        <v>9345001123</v>
      </c>
      <c r="Q13" s="20" t="str">
        <f>TRIM(Table1451314151617181920212223242533[[#This Row],[Customer Info]])</f>
        <v>Pooja | 9345001123</v>
      </c>
      <c r="R13" s="20" t="str">
        <f>UPPER(Table1451314151617181920212223242533[[#This Row],[Region]])</f>
        <v>US</v>
      </c>
      <c r="S13" s="20">
        <f>VALUE(SUBSTITUTE(Table1451314151617181920212223242533[[#This Row],[Quantity]],"pcs",""))</f>
        <v>2</v>
      </c>
      <c r="T13" s="20">
        <f>YEAR(Table1451314151617181920212223242533[[#This Row],[Order Date]])</f>
        <v>2024</v>
      </c>
      <c r="U13" s="20">
        <f>MONTH(Table1451314151617181920212223242533[[#This Row],[Order Date]])</f>
        <v>3</v>
      </c>
      <c r="V13" s="20" t="str">
        <f>TEXT(Table1451314151617181920212223242533[[#This Row],[Order Date]],"mmm")</f>
        <v>Mar</v>
      </c>
      <c r="W13" s="20">
        <f ca="1">IF(Table1451314151617181920212223242533[[#This Row],[Order Date]]="","",TODAY()-Table1451314151617181920212223242533[[#This Row],[Order Date]])</f>
        <v>765</v>
      </c>
      <c r="X13" s="20" t="str">
        <f ca="1">IF(TODAY()-Table1451314151617181920212223242533[[#This Row],[Order Date]]&gt;30,"Old","Recent")</f>
        <v>Old</v>
      </c>
    </row>
    <row r="14" spans="1:74" ht="25.2" customHeight="1" thickBot="1" x14ac:dyDescent="0.35">
      <c r="A14" s="5">
        <v>1013</v>
      </c>
      <c r="B14" s="1" t="s">
        <v>42</v>
      </c>
      <c r="C14" s="1" t="s">
        <v>26</v>
      </c>
      <c r="D14" s="1" t="s">
        <v>13</v>
      </c>
      <c r="E14" s="2">
        <v>3</v>
      </c>
      <c r="F14" s="2">
        <v>15</v>
      </c>
      <c r="G14" s="1" t="s">
        <v>27</v>
      </c>
      <c r="H14" s="4">
        <v>45312</v>
      </c>
      <c r="I14" s="1" t="s">
        <v>15</v>
      </c>
      <c r="J14" s="1" t="s">
        <v>16</v>
      </c>
      <c r="K14" s="7">
        <v>0.05</v>
      </c>
      <c r="L14" s="1">
        <f>Table1451314151617181920212223242533[[#This Row],[Quantity]]*Table1451314151617181920212223242533[[#This Row],[Price]]</f>
        <v>45</v>
      </c>
      <c r="M14" s="19" t="str">
        <f>IF(Table1451314151617181920212223242533[[#This Row],[Sales]]&gt;800,"High",IF(Table1451314151617181920212223242533[[#This Row],[Sales]]&gt;=500,"Medium","Low"))</f>
        <v>Low</v>
      </c>
      <c r="N14" s="19" t="str" cm="1">
        <f t="array" ref="N14">_xlfn.IFS(AND(Table1451314151617181920212223242533[Status]="Delivered",Table1451314151617181920212223242533[Sales]&gt;500),"Valid",TRUE,"Check")</f>
        <v>Check</v>
      </c>
      <c r="O14" s="19" t="str">
        <f>LEFT(Table1451314151617181920212223242533[[#This Row],[Customer Info]],FIND("|",Table1451314151617181920212223242533[[#This Row],[Customer Info]])-2)</f>
        <v>Kiran</v>
      </c>
      <c r="P14" s="20" t="str">
        <f>RIGHT(Table1451314151617181920212223242533[[#This Row],[Customer Info]],LEN(Table1451314151617181920212223242533[[#This Row],[Customer Info]])-FIND("|",Table1451314151617181920212223242533[[#This Row],[Customer Info]])-1)</f>
        <v>9000011122</v>
      </c>
      <c r="Q14" s="20" t="str">
        <f>TRIM(Table1451314151617181920212223242533[[#This Row],[Customer Info]])</f>
        <v>Kiran | 9000011122</v>
      </c>
      <c r="R14" s="20" t="str">
        <f>UPPER(Table1451314151617181920212223242533[[#This Row],[Region]])</f>
        <v>UAE</v>
      </c>
      <c r="S14" s="20">
        <f>VALUE(SUBSTITUTE(Table1451314151617181920212223242533[[#This Row],[Quantity]],"pcs",""))</f>
        <v>3</v>
      </c>
      <c r="T14" s="20">
        <f>YEAR(Table1451314151617181920212223242533[[#This Row],[Order Date]])</f>
        <v>2024</v>
      </c>
      <c r="U14" s="20">
        <f>MONTH(Table1451314151617181920212223242533[[#This Row],[Order Date]])</f>
        <v>1</v>
      </c>
      <c r="V14" s="20" t="str">
        <f>TEXT(Table1451314151617181920212223242533[[#This Row],[Order Date]],"mmm")</f>
        <v>Jan</v>
      </c>
      <c r="W14" s="20">
        <f ca="1">IF(Table1451314151617181920212223242533[[#This Row],[Order Date]]="","",TODAY()-Table1451314151617181920212223242533[[#This Row],[Order Date]])</f>
        <v>823</v>
      </c>
      <c r="X14" s="20" t="str">
        <f ca="1">IF(TODAY()-Table1451314151617181920212223242533[[#This Row],[Order Date]]&gt;30,"Old","Recent")</f>
        <v>Old</v>
      </c>
    </row>
    <row r="15" spans="1:74" ht="22.2" customHeight="1" thickBot="1" x14ac:dyDescent="0.35">
      <c r="A15" s="5">
        <v>1014</v>
      </c>
      <c r="B15" s="1" t="s">
        <v>43</v>
      </c>
      <c r="C15" s="1" t="s">
        <v>23</v>
      </c>
      <c r="D15" s="1" t="s">
        <v>13</v>
      </c>
      <c r="E15" s="2">
        <v>1</v>
      </c>
      <c r="F15" s="2">
        <v>10</v>
      </c>
      <c r="G15" s="1" t="s">
        <v>30</v>
      </c>
      <c r="H15" s="3">
        <v>45417</v>
      </c>
      <c r="I15" s="1" t="s">
        <v>20</v>
      </c>
      <c r="J15" s="1" t="s">
        <v>16</v>
      </c>
      <c r="K15" s="7">
        <v>0</v>
      </c>
      <c r="L15" s="1">
        <f>Table1451314151617181920212223242533[[#This Row],[Quantity]]*Table1451314151617181920212223242533[[#This Row],[Price]]</f>
        <v>10</v>
      </c>
      <c r="M15" s="19" t="str">
        <f>IF(Table1451314151617181920212223242533[[#This Row],[Sales]]&gt;800,"High",IF(Table1451314151617181920212223242533[[#This Row],[Sales]]&gt;=500,"Medium","Low"))</f>
        <v>Low</v>
      </c>
      <c r="N15" s="19" t="str" cm="1">
        <f t="array" ref="N15">_xlfn.IFS(AND(Table1451314151617181920212223242533[Status]="Delivered",Table1451314151617181920212223242533[Sales]&gt;500),"Valid",TRUE,"Check")</f>
        <v>Check</v>
      </c>
      <c r="O15" s="19" t="str">
        <f>LEFT(Table1451314151617181920212223242533[[#This Row],[Customer Info]],FIND("|",Table1451314151617181920212223242533[[#This Row],[Customer Info]])-2)</f>
        <v>Anil</v>
      </c>
      <c r="P15" s="20" t="str">
        <f>RIGHT(Table1451314151617181920212223242533[[#This Row],[Customer Info]],LEN(Table1451314151617181920212223242533[[#This Row],[Customer Info]])-FIND("|",Table1451314151617181920212223242533[[#This Row],[Customer Info]])-1)</f>
        <v>9888800011</v>
      </c>
      <c r="Q15" s="20" t="str">
        <f>TRIM(Table1451314151617181920212223242533[[#This Row],[Customer Info]])</f>
        <v>Anil | 9888800011</v>
      </c>
      <c r="R15" s="20" t="str">
        <f>UPPER(Table1451314151617181920212223242533[[#This Row],[Region]])</f>
        <v>INDIA</v>
      </c>
      <c r="S15" s="20">
        <f>VALUE(SUBSTITUTE(Table1451314151617181920212223242533[[#This Row],[Quantity]],"pcs",""))</f>
        <v>1</v>
      </c>
      <c r="T15" s="20">
        <f>YEAR(Table1451314151617181920212223242533[[#This Row],[Order Date]])</f>
        <v>2024</v>
      </c>
      <c r="U15" s="20">
        <f>MONTH(Table1451314151617181920212223242533[[#This Row],[Order Date]])</f>
        <v>5</v>
      </c>
      <c r="V15" s="20" t="str">
        <f>TEXT(Table1451314151617181920212223242533[[#This Row],[Order Date]],"mmm")</f>
        <v>May</v>
      </c>
      <c r="W15" s="20">
        <f ca="1">IF(Table1451314151617181920212223242533[[#This Row],[Order Date]]="","",TODAY()-Table1451314151617181920212223242533[[#This Row],[Order Date]])</f>
        <v>718</v>
      </c>
      <c r="X15" s="20" t="str">
        <f ca="1">IF(TODAY()-Table1451314151617181920212223242533[[#This Row],[Order Date]]&gt;30,"Old","Recent")</f>
        <v>Old</v>
      </c>
    </row>
    <row r="16" spans="1:74" ht="21.6" customHeight="1" thickBot="1" x14ac:dyDescent="0.35">
      <c r="A16" s="5">
        <v>1015</v>
      </c>
      <c r="B16" s="1" t="s">
        <v>44</v>
      </c>
      <c r="C16" s="1" t="s">
        <v>18</v>
      </c>
      <c r="D16" s="1" t="s">
        <v>13</v>
      </c>
      <c r="E16" s="2">
        <v>4</v>
      </c>
      <c r="F16" s="2">
        <v>50</v>
      </c>
      <c r="G16" s="1" t="s">
        <v>24</v>
      </c>
      <c r="H16" s="3">
        <v>45455</v>
      </c>
      <c r="I16" s="1" t="s">
        <v>28</v>
      </c>
      <c r="J16" s="1" t="s">
        <v>16</v>
      </c>
      <c r="K16" s="7">
        <v>0.1</v>
      </c>
      <c r="L16" s="1">
        <f>Table1451314151617181920212223242533[[#This Row],[Quantity]]*Table1451314151617181920212223242533[[#This Row],[Price]]</f>
        <v>200</v>
      </c>
      <c r="M16" s="19" t="str">
        <f>IF(Table1451314151617181920212223242533[[#This Row],[Sales]]&gt;800,"High",IF(Table1451314151617181920212223242533[[#This Row],[Sales]]&gt;=500,"Medium","Low"))</f>
        <v>Low</v>
      </c>
      <c r="N16" s="19" t="str" cm="1">
        <f t="array" ref="N16">_xlfn.IFS(AND(Table1451314151617181920212223242533[Status]="Delivered",Table1451314151617181920212223242533[Sales]&gt;500),"Valid",TRUE,"Check")</f>
        <v>Check</v>
      </c>
      <c r="O16" s="19" t="str">
        <f>LEFT(Table1451314151617181920212223242533[[#This Row],[Customer Info]],FIND("|",Table1451314151617181920212223242533[[#This Row],[Customer Info]])-2)</f>
        <v>Divya</v>
      </c>
      <c r="P16" s="20" t="str">
        <f>RIGHT(Table1451314151617181920212223242533[[#This Row],[Customer Info]],LEN(Table1451314151617181920212223242533[[#This Row],[Customer Info]])-FIND("|",Table1451314151617181920212223242533[[#This Row],[Customer Info]])-1)</f>
        <v>9777700011</v>
      </c>
      <c r="Q16" s="20" t="str">
        <f>TRIM(Table1451314151617181920212223242533[[#This Row],[Customer Info]])</f>
        <v>Divya | 9777700011</v>
      </c>
      <c r="R16" s="20" t="str">
        <f>UPPER(Table1451314151617181920212223242533[[#This Row],[Region]])</f>
        <v>UK</v>
      </c>
      <c r="S16" s="20">
        <f>VALUE(SUBSTITUTE(Table1451314151617181920212223242533[[#This Row],[Quantity]],"pcs",""))</f>
        <v>4</v>
      </c>
      <c r="T16" s="20">
        <f>YEAR(Table1451314151617181920212223242533[[#This Row],[Order Date]])</f>
        <v>2024</v>
      </c>
      <c r="U16" s="20">
        <f>MONTH(Table1451314151617181920212223242533[[#This Row],[Order Date]])</f>
        <v>6</v>
      </c>
      <c r="V16" s="20" t="str">
        <f>TEXT(Table1451314151617181920212223242533[[#This Row],[Order Date]],"mmm")</f>
        <v>Jun</v>
      </c>
      <c r="W16" s="20">
        <f ca="1">IF(Table1451314151617181920212223242533[[#This Row],[Order Date]]="","",TODAY()-Table1451314151617181920212223242533[[#This Row],[Order Date]])</f>
        <v>680</v>
      </c>
      <c r="X16" s="20" t="str">
        <f ca="1">IF(TODAY()-Table1451314151617181920212223242533[[#This Row],[Order Date]]&gt;30,"Old","Recent")</f>
        <v>Old</v>
      </c>
    </row>
    <row r="17" spans="1:24" ht="25.2" customHeight="1" thickBot="1" x14ac:dyDescent="0.35">
      <c r="A17" s="5">
        <v>1016</v>
      </c>
      <c r="B17" s="1" t="s">
        <v>45</v>
      </c>
      <c r="C17" s="1" t="s">
        <v>12</v>
      </c>
      <c r="D17" s="1" t="s">
        <v>13</v>
      </c>
      <c r="E17" s="2">
        <v>7</v>
      </c>
      <c r="F17" s="2">
        <v>20</v>
      </c>
      <c r="G17" s="1" t="s">
        <v>30</v>
      </c>
      <c r="H17" s="3">
        <v>45389</v>
      </c>
      <c r="I17" s="1" t="s">
        <v>15</v>
      </c>
      <c r="J17" s="1" t="s">
        <v>16</v>
      </c>
      <c r="K17" s="7">
        <v>0.05</v>
      </c>
      <c r="L17" s="1">
        <f>Table1451314151617181920212223242533[[#This Row],[Quantity]]*Table1451314151617181920212223242533[[#This Row],[Price]]</f>
        <v>140</v>
      </c>
      <c r="M17" s="19" t="str">
        <f>IF(Table1451314151617181920212223242533[[#This Row],[Sales]]&gt;800,"High",IF(Table1451314151617181920212223242533[[#This Row],[Sales]]&gt;=500,"Medium","Low"))</f>
        <v>Low</v>
      </c>
      <c r="N17" s="19" t="str" cm="1">
        <f t="array" ref="N17">_xlfn.IFS(AND(Table1451314151617181920212223242533[Status]="Delivered",Table1451314151617181920212223242533[Sales]&gt;500),"Valid",TRUE,"Check")</f>
        <v>Check</v>
      </c>
      <c r="O17" s="19" t="str">
        <f>LEFT(Table1451314151617181920212223242533[[#This Row],[Customer Info]],FIND("|",Table1451314151617181920212223242533[[#This Row],[Customer Info]])-2)</f>
        <v>Rahul</v>
      </c>
      <c r="P17" s="20" t="str">
        <f>RIGHT(Table1451314151617181920212223242533[[#This Row],[Customer Info]],LEN(Table1451314151617181920212223242533[[#This Row],[Customer Info]])-FIND("|",Table1451314151617181920212223242533[[#This Row],[Customer Info]])-1)</f>
        <v>9666600011</v>
      </c>
      <c r="Q17" s="20" t="str">
        <f>TRIM(Table1451314151617181920212223242533[[#This Row],[Customer Info]])</f>
        <v>Rahul | 9666600011</v>
      </c>
      <c r="R17" s="20" t="str">
        <f>UPPER(Table1451314151617181920212223242533[[#This Row],[Region]])</f>
        <v>INDIA</v>
      </c>
      <c r="S17" s="20">
        <f>VALUE(SUBSTITUTE(Table1451314151617181920212223242533[[#This Row],[Quantity]],"pcs",""))</f>
        <v>7</v>
      </c>
      <c r="T17" s="20">
        <f>YEAR(Table1451314151617181920212223242533[[#This Row],[Order Date]])</f>
        <v>2024</v>
      </c>
      <c r="U17" s="20">
        <f>MONTH(Table1451314151617181920212223242533[[#This Row],[Order Date]])</f>
        <v>4</v>
      </c>
      <c r="V17" s="20" t="str">
        <f>TEXT(Table1451314151617181920212223242533[[#This Row],[Order Date]],"mmm")</f>
        <v>Apr</v>
      </c>
      <c r="W17" s="20">
        <f ca="1">IF(Table1451314151617181920212223242533[[#This Row],[Order Date]]="","",TODAY()-Table1451314151617181920212223242533[[#This Row],[Order Date]])</f>
        <v>746</v>
      </c>
      <c r="X17" s="20" t="str">
        <f ca="1">IF(TODAY()-Table1451314151617181920212223242533[[#This Row],[Order Date]]&gt;30,"Old","Recent")</f>
        <v>Old</v>
      </c>
    </row>
    <row r="18" spans="1:24" ht="22.2" customHeight="1" thickBot="1" x14ac:dyDescent="0.35">
      <c r="A18" s="5">
        <v>1017</v>
      </c>
      <c r="B18" s="1" t="s">
        <v>46</v>
      </c>
      <c r="C18" s="1" t="s">
        <v>26</v>
      </c>
      <c r="D18" s="1" t="s">
        <v>13</v>
      </c>
      <c r="E18" s="2">
        <v>2</v>
      </c>
      <c r="F18" s="2">
        <v>15</v>
      </c>
      <c r="G18" s="1" t="s">
        <v>27</v>
      </c>
      <c r="H18" s="3">
        <v>45333</v>
      </c>
      <c r="I18" s="1" t="s">
        <v>28</v>
      </c>
      <c r="J18" s="1" t="s">
        <v>34</v>
      </c>
      <c r="K18" s="7">
        <v>0.05</v>
      </c>
      <c r="L18" s="1">
        <f>Table1451314151617181920212223242533[[#This Row],[Quantity]]*Table1451314151617181920212223242533[[#This Row],[Price]]</f>
        <v>30</v>
      </c>
      <c r="M18" s="19" t="str">
        <f>IF(Table1451314151617181920212223242533[[#This Row],[Sales]]&gt;800,"High",IF(Table1451314151617181920212223242533[[#This Row],[Sales]]&gt;=500,"Medium","Low"))</f>
        <v>Low</v>
      </c>
      <c r="N18" s="19" t="str" cm="1">
        <f t="array" ref="N18">_xlfn.IFS(AND(Table1451314151617181920212223242533[Status]="Delivered",Table1451314151617181920212223242533[Sales]&gt;500),"Valid",TRUE,"Check")</f>
        <v>Check</v>
      </c>
      <c r="O18" s="19" t="str">
        <f>LEFT(Table1451314151617181920212223242533[[#This Row],[Customer Info]],FIND("|",Table1451314151617181920212223242533[[#This Row],[Customer Info]])-2)</f>
        <v>Sneha</v>
      </c>
      <c r="P18" s="20" t="str">
        <f>RIGHT(Table1451314151617181920212223242533[[#This Row],[Customer Info]],LEN(Table1451314151617181920212223242533[[#This Row],[Customer Info]])-FIND("|",Table1451314151617181920212223242533[[#This Row],[Customer Info]])-1)</f>
        <v>9555500011</v>
      </c>
      <c r="Q18" s="20" t="str">
        <f>TRIM(Table1451314151617181920212223242533[[#This Row],[Customer Info]])</f>
        <v>Sneha | 9555500011</v>
      </c>
      <c r="R18" s="20" t="str">
        <f>UPPER(Table1451314151617181920212223242533[[#This Row],[Region]])</f>
        <v>UAE</v>
      </c>
      <c r="S18" s="20">
        <f>VALUE(SUBSTITUTE(Table1451314151617181920212223242533[[#This Row],[Quantity]],"pcs",""))</f>
        <v>2</v>
      </c>
      <c r="T18" s="20">
        <f>YEAR(Table1451314151617181920212223242533[[#This Row],[Order Date]])</f>
        <v>2024</v>
      </c>
      <c r="U18" s="20">
        <f>MONTH(Table1451314151617181920212223242533[[#This Row],[Order Date]])</f>
        <v>2</v>
      </c>
      <c r="V18" s="20" t="str">
        <f>TEXT(Table1451314151617181920212223242533[[#This Row],[Order Date]],"mmm")</f>
        <v>Feb</v>
      </c>
      <c r="W18" s="20">
        <f ca="1">IF(Table1451314151617181920212223242533[[#This Row],[Order Date]]="","",TODAY()-Table1451314151617181920212223242533[[#This Row],[Order Date]])</f>
        <v>802</v>
      </c>
      <c r="X18" s="20" t="str">
        <f ca="1">IF(TODAY()-Table1451314151617181920212223242533[[#This Row],[Order Date]]&gt;30,"Old","Recent")</f>
        <v>Old</v>
      </c>
    </row>
    <row r="19" spans="1:24" ht="21.6" customHeight="1" thickBot="1" x14ac:dyDescent="0.35">
      <c r="A19" s="5">
        <v>1018</v>
      </c>
      <c r="B19" s="1" t="s">
        <v>47</v>
      </c>
      <c r="C19" s="1" t="s">
        <v>12</v>
      </c>
      <c r="D19" s="1" t="s">
        <v>13</v>
      </c>
      <c r="E19" s="2">
        <v>6</v>
      </c>
      <c r="F19" s="2">
        <v>20</v>
      </c>
      <c r="G19" s="1" t="s">
        <v>14</v>
      </c>
      <c r="H19" s="3">
        <v>45392</v>
      </c>
      <c r="I19" s="1" t="s">
        <v>15</v>
      </c>
      <c r="J19" s="1" t="s">
        <v>16</v>
      </c>
      <c r="K19" s="7">
        <v>0.05</v>
      </c>
      <c r="L19" s="1">
        <f>Table1451314151617181920212223242533[[#This Row],[Quantity]]*Table1451314151617181920212223242533[[#This Row],[Price]]</f>
        <v>120</v>
      </c>
      <c r="M19" s="19" t="str">
        <f>IF(Table1451314151617181920212223242533[[#This Row],[Sales]]&gt;800,"High",IF(Table1451314151617181920212223242533[[#This Row],[Sales]]&gt;=500,"Medium","Low"))</f>
        <v>Low</v>
      </c>
      <c r="N19" s="19" t="str" cm="1">
        <f t="array" ref="N19">_xlfn.IFS(AND(Table1451314151617181920212223242533[Status]="Delivered",Table1451314151617181920212223242533[Sales]&gt;500),"Valid",TRUE,"Check")</f>
        <v>Check</v>
      </c>
      <c r="O19" s="19" t="str">
        <f>LEFT(Table1451314151617181920212223242533[[#This Row],[Customer Info]],FIND("|",Table1451314151617181920212223242533[[#This Row],[Customer Info]])-2)</f>
        <v>Karthik</v>
      </c>
      <c r="P19" s="20" t="str">
        <f>RIGHT(Table1451314151617181920212223242533[[#This Row],[Customer Info]],LEN(Table1451314151617181920212223242533[[#This Row],[Customer Info]])-FIND("|",Table1451314151617181920212223242533[[#This Row],[Customer Info]])-1)</f>
        <v>9001122334</v>
      </c>
      <c r="Q19" s="20" t="str">
        <f>TRIM(Table1451314151617181920212223242533[[#This Row],[Customer Info]])</f>
        <v>Karthik | 9001122334</v>
      </c>
      <c r="R19" s="20" t="str">
        <f>UPPER(Table1451314151617181920212223242533[[#This Row],[Region]])</f>
        <v>INDIA</v>
      </c>
      <c r="S19" s="20">
        <f>VALUE(SUBSTITUTE(Table1451314151617181920212223242533[[#This Row],[Quantity]],"pcs",""))</f>
        <v>6</v>
      </c>
      <c r="T19" s="20">
        <f>YEAR(Table1451314151617181920212223242533[[#This Row],[Order Date]])</f>
        <v>2024</v>
      </c>
      <c r="U19" s="20">
        <f>MONTH(Table1451314151617181920212223242533[[#This Row],[Order Date]])</f>
        <v>4</v>
      </c>
      <c r="V19" s="20" t="str">
        <f>TEXT(Table1451314151617181920212223242533[[#This Row],[Order Date]],"mmm")</f>
        <v>Apr</v>
      </c>
      <c r="W19" s="20">
        <f ca="1">IF(Table1451314151617181920212223242533[[#This Row],[Order Date]]="","",TODAY()-Table1451314151617181920212223242533[[#This Row],[Order Date]])</f>
        <v>743</v>
      </c>
      <c r="X19" s="20" t="str">
        <f ca="1">IF(TODAY()-Table1451314151617181920212223242533[[#This Row],[Order Date]]&gt;30,"Old","Recent")</f>
        <v>Old</v>
      </c>
    </row>
    <row r="20" spans="1:24" ht="30.6" customHeight="1" thickBot="1" x14ac:dyDescent="0.35">
      <c r="A20" s="5">
        <v>1019</v>
      </c>
      <c r="B20" s="1" t="s">
        <v>48</v>
      </c>
      <c r="C20" s="1" t="s">
        <v>18</v>
      </c>
      <c r="D20" s="1" t="s">
        <v>13</v>
      </c>
      <c r="E20" s="2">
        <v>7</v>
      </c>
      <c r="F20" s="2">
        <v>50</v>
      </c>
      <c r="G20" s="1" t="s">
        <v>19</v>
      </c>
      <c r="H20" s="3">
        <v>45420</v>
      </c>
      <c r="I20" s="1" t="s">
        <v>28</v>
      </c>
      <c r="J20" s="1" t="s">
        <v>16</v>
      </c>
      <c r="K20" s="7">
        <v>0.1</v>
      </c>
      <c r="L20" s="1">
        <f>Table1451314151617181920212223242533[[#This Row],[Quantity]]*Table1451314151617181920212223242533[[#This Row],[Price]]</f>
        <v>350</v>
      </c>
      <c r="M20" s="19" t="str">
        <f>IF(Table1451314151617181920212223242533[[#This Row],[Sales]]&gt;800,"High",IF(Table1451314151617181920212223242533[[#This Row],[Sales]]&gt;=500,"Medium","Low"))</f>
        <v>Low</v>
      </c>
      <c r="N20" s="19" t="str" cm="1">
        <f t="array" ref="N20">_xlfn.IFS(AND(Table1451314151617181920212223242533[Status]="Delivered",Table1451314151617181920212223242533[Sales]&gt;500),"Valid",TRUE,"Check")</f>
        <v>Check</v>
      </c>
      <c r="O20" s="19" t="str">
        <f>LEFT(Table1451314151617181920212223242533[[#This Row],[Customer Info]],FIND("|",Table1451314151617181920212223242533[[#This Row],[Customer Info]])-2)</f>
        <v>Lavanya</v>
      </c>
      <c r="P20" s="20" t="str">
        <f>RIGHT(Table1451314151617181920212223242533[[#This Row],[Customer Info]],LEN(Table1451314151617181920212223242533[[#This Row],[Customer Info]])-FIND("|",Table1451314151617181920212223242533[[#This Row],[Customer Info]])-1)</f>
        <v>9011223344</v>
      </c>
      <c r="Q20" s="20" t="str">
        <f>TRIM(Table1451314151617181920212223242533[[#This Row],[Customer Info]])</f>
        <v>Lavanya | 9011223344</v>
      </c>
      <c r="R20" s="20" t="str">
        <f>UPPER(Table1451314151617181920212223242533[[#This Row],[Region]])</f>
        <v>US</v>
      </c>
      <c r="S20" s="20">
        <f>VALUE(SUBSTITUTE(Table1451314151617181920212223242533[[#This Row],[Quantity]],"pcs",""))</f>
        <v>7</v>
      </c>
      <c r="T20" s="20">
        <f>YEAR(Table1451314151617181920212223242533[[#This Row],[Order Date]])</f>
        <v>2024</v>
      </c>
      <c r="U20" s="20">
        <f>MONTH(Table1451314151617181920212223242533[[#This Row],[Order Date]])</f>
        <v>5</v>
      </c>
      <c r="V20" s="20" t="str">
        <f>TEXT(Table1451314151617181920212223242533[[#This Row],[Order Date]],"mmm")</f>
        <v>May</v>
      </c>
      <c r="W20" s="20">
        <f ca="1">IF(Table1451314151617181920212223242533[[#This Row],[Order Date]]="","",TODAY()-Table1451314151617181920212223242533[[#This Row],[Order Date]])</f>
        <v>715</v>
      </c>
      <c r="X20" s="20" t="str">
        <f ca="1">IF(TODAY()-Table1451314151617181920212223242533[[#This Row],[Order Date]]&gt;30,"Old","Recent")</f>
        <v>Old</v>
      </c>
    </row>
    <row r="21" spans="1:24" ht="18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2"/>
      <c r="I21" s="12" t="s">
        <v>20</v>
      </c>
      <c r="J21" s="12" t="s">
        <v>16</v>
      </c>
      <c r="K21" s="14"/>
      <c r="L21" s="12">
        <f>Table1451314151617181920212223242533[[#This Row],[Quantity]]*Table1451314151617181920212223242533[[#This Row],[Price]]</f>
        <v>30</v>
      </c>
      <c r="M21" s="19" t="str">
        <f>IF(Table1451314151617181920212223242533[[#This Row],[Sales]]&gt;800,"High",IF(Table1451314151617181920212223242533[[#This Row],[Sales]]&gt;=500,"Medium","Low"))</f>
        <v>Low</v>
      </c>
      <c r="N21" s="19" t="str" cm="1">
        <f t="array" ref="N21">_xlfn.IFS(AND(Table1451314151617181920212223242533[Status]="Delivered",Table1451314151617181920212223242533[Sales]&gt;500),"Valid",TRUE,"Check")</f>
        <v>Check</v>
      </c>
      <c r="O21" s="19" t="str">
        <f>LEFT(Table1451314151617181920212223242533[[#This Row],[Customer Info]],FIND("|",Table1451314151617181920212223242533[[#This Row],[Customer Info]])-2)</f>
        <v>Manoj</v>
      </c>
      <c r="P21" s="20" t="str">
        <f>RIGHT(Table1451314151617181920212223242533[[#This Row],[Customer Info]],LEN(Table1451314151617181920212223242533[[#This Row],[Customer Info]])-FIND("|",Table1451314151617181920212223242533[[#This Row],[Customer Info]])-1)</f>
        <v>9022334455</v>
      </c>
      <c r="Q21" s="20" t="str">
        <f>TRIM(Table1451314151617181920212223242533[[#This Row],[Customer Info]])</f>
        <v>Manoj | 9022334455</v>
      </c>
      <c r="R21" s="20" t="str">
        <f>UPPER(Table1451314151617181920212223242533[[#This Row],[Region]])</f>
        <v>UK</v>
      </c>
      <c r="S21" s="20">
        <f>VALUE(SUBSTITUTE(Table1451314151617181920212223242533[[#This Row],[Quantity]],"pcs",""))</f>
        <v>3</v>
      </c>
      <c r="T21" s="20"/>
      <c r="U21" s="20"/>
      <c r="V21" s="20"/>
      <c r="W21" s="20" t="str">
        <f ca="1">IF(Table1451314151617181920212223242533[[#This Row],[Order Date]]="","",TODAY()-Table1451314151617181920212223242533[[#This Row],[Order Date]])</f>
        <v/>
      </c>
      <c r="X21" s="20"/>
    </row>
  </sheetData>
  <conditionalFormatting sqref="L2:L21">
    <cfRule type="cellIs" dxfId="32" priority="5" operator="greaterThan">
      <formula>800</formula>
    </cfRule>
    <cfRule type="cellIs" dxfId="33" priority="4" operator="greaterThan">
      <formula>800</formula>
    </cfRule>
  </conditionalFormatting>
  <conditionalFormatting sqref="A2:X20">
    <cfRule type="containsBlanks" priority="3">
      <formula>LEN(TRIM(A2))=0</formula>
    </cfRule>
  </conditionalFormatting>
  <conditionalFormatting sqref="A2:X21">
    <cfRule type="containsBlanks" dxfId="2" priority="2">
      <formula>LEN(TRIM(A2))=0</formula>
    </cfRule>
    <cfRule type="expression" dxfId="1" priority="1">
      <formula>OR($E2=0,$L2&lt;100)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 </vt:lpstr>
      <vt:lpstr>Sales</vt:lpstr>
      <vt:lpstr>Total Sales</vt:lpstr>
      <vt:lpstr>Average Sales </vt:lpstr>
      <vt:lpstr>Highest Sales Value</vt:lpstr>
      <vt:lpstr>Lowest Sales Value</vt:lpstr>
      <vt:lpstr>Total Orders</vt:lpstr>
      <vt:lpstr>Orders from India</vt:lpstr>
      <vt:lpstr>Quantity &gt; 5</vt:lpstr>
      <vt:lpstr>Missing Order Date</vt:lpstr>
      <vt:lpstr>Avg Sales(India)</vt:lpstr>
      <vt:lpstr>Performance Classification</vt:lpstr>
      <vt:lpstr>Sales &gt; 500 AND Delivered</vt:lpstr>
      <vt:lpstr>Quantity =0 OR Sales&lt;100</vt:lpstr>
      <vt:lpstr>Valid or Check</vt:lpstr>
      <vt:lpstr>Extract Customer Name</vt:lpstr>
      <vt:lpstr>Extract Customer Number</vt:lpstr>
      <vt:lpstr>Remove Extra Spaces</vt:lpstr>
      <vt:lpstr>Standardize Region</vt:lpstr>
      <vt:lpstr>Remove "pcs"</vt:lpstr>
      <vt:lpstr>Extract Year</vt:lpstr>
      <vt:lpstr>Extract Month</vt:lpstr>
      <vt:lpstr>Days Since Order</vt:lpstr>
      <vt:lpstr>Old or Recent</vt:lpstr>
      <vt:lpstr>Show Sales&gt;500</vt:lpstr>
      <vt:lpstr>Show Only India</vt:lpstr>
      <vt:lpstr>Unique Products</vt:lpstr>
      <vt:lpstr>Sort by Sales(High to Low)</vt:lpstr>
      <vt:lpstr>Highlight(ConditionalFormatting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2026-04-23T07:09:31Z</dcterms:created>
  <dcterms:modified xsi:type="dcterms:W3CDTF">2026-04-23T15:05:33Z</dcterms:modified>
</cp:coreProperties>
</file>